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sheetId="1" r:id="rId5"/>
    <sheet state="visible" name="ingredient" sheetId="2" r:id="rId6"/>
    <sheet state="visible" name="recipe" sheetId="3" r:id="rId7"/>
    <sheet state="visible" name="step" sheetId="4" r:id="rId8"/>
    <sheet state="visible" name="recipe_ingredient" sheetId="5" r:id="rId9"/>
    <sheet state="visible" name="category" sheetId="6" r:id="rId10"/>
  </sheets>
  <definedNames/>
  <calcPr/>
</workbook>
</file>

<file path=xl/sharedStrings.xml><?xml version="1.0" encoding="utf-8"?>
<sst xmlns="http://schemas.openxmlformats.org/spreadsheetml/2006/main" count="1284" uniqueCount="1278">
  <si>
    <t>recipe_raws</t>
  </si>
  <si>
    <t>&lt;정창욱 셰프 - 치킨 밀푀유 &gt;
● 재료
닭가슴살, 슬라이스햄, 양파, 양배추, 파프리카, 바게트, 다진마늘, 크림소스, 우유, 통후추, 소금, 토마토소스
● 조리 방법
1. 파프리카, 양배추, 슬라이스 햄을 썰어서 볶는다.
2. 닭가슴살에 소금, 후추를 뿌린 후 팬에 굽고, 잠시 식힌 후 얇게 포를 뜬다.
3. 포를 뜬 가슴살, 볶은 채소와 햄, 치즈, 토마토소스를 켜켜이 쌓는다.
*동시에 작은 프라이팬에 크림과 가루치즈를 붓고 약불에 끓여 놓는다
4. 오븐에 5분간 굽고 홀그레인 머스터드, 크림소스, 구운 바게트를 곁들인다.</t>
  </si>
  <si>
    <t>냉장고를 부탁해 시즌 1, 1화</t>
  </si>
  <si>
    <t>&lt;홍석천 셰프 - 취닭거리&gt;
● 재료
닭죽, 라조장, 취두부, 족발, 버터
● 조리 방법
1. 살을 발라낸 족발에 버터, 라조장을 넣고 볶는다.
2. 취두부를 팬에서 익힌다.
3. 해동한 닭죽과 볶은 족발, 취두부를 함께 곁들인다.</t>
  </si>
  <si>
    <t>&lt;최현석 - 닭딸&gt;
● 재료
복분자, 바게트, 닭가슴살, 우유, 레몬즙, 소금, 후추, 마늘
● 조리 방법
1. 복분자를 가열하다가 우유와 레몬즙을 넣고 졸인다.
2. 바케트는 썰어서 팬에 굽는다.
3. 소금 후추로 간을 한 닭가슴살을 마늘과 함께 굽는다.
4. 구운 닭가슴살에 복분자 소스와 바게트를 함께 곁들인다.</t>
  </si>
  <si>
    <t>&lt;김풍 셰프 - 어머니 맛 풍족밥&gt;
● 재료
치킨, 족발, 두반장, 라조장, 유자청, 밀가루, 밥
● 조리 방법
1. 살을 발라낸 치킨, 족발에 두반장, 라조장, 유자청 을 넣고 볶는다.
2. 어느 정도 볶다가 밀가루(또는 녹말)를 물에 풀어 좀 더 볶아내면 완성.
3. 뜨거운 밥에 끼얹어 먹는다.</t>
  </si>
  <si>
    <t>&lt;샘킴 셰프 - 치킨 요로케&gt;
● 재료
닭가슴살, 소금, 후추, 밀가루, 양파, 햄, 토마토 소스, 파마산 치즈, 모짜렐라 치츠, 올리브유
● 조리 방법
1. 얇게 저민 닭가슴살에 소금, 후추를 뿌리고 밀가루를 묻혀 굽는다.
2. 잘게 썰은 양파와 슬라이스 햄을 함께 볶는다.
3. 토마토 소스에 구운 닭가슴살, 파마산 치즈, 모짜렐라 치즈를 넣고 가열한다.
4. 마지막으로 올리브유를 뿌려준다.</t>
  </si>
  <si>
    <t>&lt;미카엘 셰프 - 포크 미트볼&gt;
● 재료
김치, 달걀, 햄, 밥
● 조리 방법
1. 믹서에 갈은 김치와 달걀 물을 섞어서 스크램블을 만든다.
2. 갈은 통조림 햄을 넓게 편 후 1을 넣고 말아준다.
3. 겉에 달걀 물을 뭍이고 팬에서 익혀준다.
4. 접시에 밥과 함께 곁들여 낸다.</t>
  </si>
  <si>
    <t>&lt;홍석천 셰프 - 만두부인 육수터졌네&gt;
● 재료
냉동만두, 사골육수, 토마토, 발사믹 소스, 버터, 다진마늘, 고추냉이, 올리브오일, 프로슈토햄, 그뤼에르 치즈
● 조리 방법
① 뜨거운 팬에 올리브 오일을 두르고 다진 마늘을 볶다가 냉동만두를 굽는다.
② 겉은 바삭하게 구운 다음 버터를 조금 넣고 사골육수를 넣어 졸인다.
③ 졸여지면 발사믹 소스와 고추냉이, 토마토를 함께 넣어 볶는다.
④ 접시에 만두, 토마토 순으로 올리고 프로슈토 햄과 그뤼에르 치즈를 위에 토핑한다.</t>
  </si>
  <si>
    <t>냉장고를 부탁해 시즌 1, 2화</t>
  </si>
  <si>
    <t>&lt;정창욱 셰프 - 심쿵 오믈렛&gt;
● 재료
달걀, 연어, 양파잼, 버터, 브로콜리, 소금, 후추, 케찹
● 조리 방법
① 달걀을 풀어놓는다.
② 프라이팬에 오일을 두르고 소금 후추 간을 한 연어를 굽는다.
③ 양파잼과 다진 브로콜리를 넣고 함께 굽는다.
④ 버터를 두른 팬에 풀어놓은 계란을 넣어 반숙으로 익힌다.
(* 스크램블 에그 만들 듯이 약간 저어주며 익힌다)
⑤ 반숙으로 익힌 오믈렛에 구운 연어와 야채를 넣고 반으로 접는다.
⑥ 접시에 올리고 케찹을 뿌린다.</t>
  </si>
  <si>
    <t>&lt;샘킴 셰프 - 엔초비 파스타&gt;
● 재료
파스타면, 바게트빵, 올리브오일, 파슬리, 다진마늘, 애호박, 페페로치노, 엔초비
● 조리 방법
① 올리브 오일에 파슬리와 다진 마늘, 찢은 바게트 빵을 섞어 프라이팬에 굽는다.
② 끓는 물에 파스타면을 삶는다.
③ 프라이팬에 올리브 오일을 두르고 애호박, 엔초비, 페페로치노, 파슬리를 넣어 볶는다.
④ 익은 파스타면을 팬으로 옮겨 모든 재료를 함께 볶는다. (기호에 따라 버터를 조금 넣는다.)</t>
  </si>
  <si>
    <t>&lt;김풍 셰프 - 고기와 썸타는 떡국떡 삼합&gt;
● 재료
맥주, 삼겹살, 김치, 케찹, 고추장, 방울토마토, 떡국떡, 올리브오일
● 조리 방법
① 맥주와 삼겹살을 한 번에 넣고 삶는다.
② 들기름 두른 팬에 김치를 볶다가 방울토마토 간 것, 케찹, 고추장을 넣고 볶는다.
③ 기름 두른 팬에 떡국떡을 굽는다.
④ 접시에 적당한 크기로 자른 삼겹살과 김치, 구운 떡국떡을 담아낸다.</t>
  </si>
  <si>
    <t>&lt;최현석 셰프 - 와닭&gt;
● 재료
생닭, 마늘, 양파, 아티초크, 토마토 소스, 적포도, 사골육수
● 조리 방법
① 생닭을 해체한다. (껍질과 뼈는 사용하지 않는다.)
② 양파를 채 썰고, 마늘을 편 썬다.
③ 팬에 오일을 두르고 해체한 닭을 굽는다.
④ 다른 팬에 마늘과 양파를 넣고 볶다가 아티초크를 넣어 함께 볶는다.
⑤ 닭을 굽던 팬에 토마토 소스와 야채들을 넣어 함께 볶는다.
⑥ 적포도의 씨를 발라 프라이팬에 볶다가 모든재료를 함께 볶고 사골육수를 조금 넣어 익힌다.</t>
  </si>
  <si>
    <t>&lt;미카엘 셰프 - 브로콜리 치킨&gt;
● 재료
닭가슴살, 브로콜리, 슬라이스 치즈, 파프리카, 방울토마토, 버터, 소금, 후추
● 조리 방법
① 브로콜리를 잘라서 소금 넣은 물에 데친 후 다진다.
② 방울토마토를 반으로 자르고 파프리카를 채썬다.
③ 닭가슴살을 반으로 갈라 소금 후추 간을 한 후 데친 브로콜리와 치즈를 넣고 이쑤시개로 고정해
굽는다.
④ 같은 팬에 파프리카와 방울토마토를 넣어 함께 익힌다.
⑤ 버터를 조금 넣고 물을 약간 부어 뚜껑을 덮어 익힌다.
⑥ 고춧가루를 조금 뿌린다.</t>
  </si>
  <si>
    <t>&lt;정창욱 셰프 - 삼겹살 플레이트&gt;
● 재료
삼겹살, 양파, 알배추, 밥, 버터, 통마늘, 간장, 미림, 청주, 커피가루, 다진 마늘, 다진 생강
● 조리 방법
① 삼겹살을 썰어서 소금후추 간을 해서 굽는다.
② 다른 팬에 버터와 통마늘, 채 썬 양파를 넣어 볶다가 간장, 미림, 다진생강, 다진마늘, 커피가루를 넣어 끓인다.
③ 삼겹살에 청주를 넣어 끓이다가 건져 야채와 함께 섞는다
④ 채 썬 알배추를 듬뿍 넣고 뚜껑을 덮어 숨을 죽인다.
⑤ 아이스크림 스쿱으로 밥을 담고 익은 고기와 채소를 얹어 낸다.</t>
  </si>
  <si>
    <t>냉장고를 부탁해 시즌 1, 3화</t>
  </si>
  <si>
    <t>&lt;최현석 셰프 - 강남비빔면&gt;
● 재료
생칼국수면, 삼겹살, 새우젓, 고추장, 딸기잼, 참기름, 고추냉이
● 조리 방법
① 삼겹살을 잘게 썰어서 기름에 바삭하게 튀긴다
② 고추장과 딸기잼, 참기름, 고추냉이를 섞는다
③ 끓는 물에 칼국수면을 삶는다 (넘칠 때쯤 찬물을 한 번 넣어 쫄깃함을 더한다)
④ 물에 씻은 새우젓을 기름에 튀긴다
⑤ 익은 면을 찬물에 씻고 소스와 버무려 접시에 담은 뒤 튀긴 삼겹살과 새우젓, 오렌지를 토핑한다.</t>
  </si>
  <si>
    <t>&lt;샘킴 셰프 - 나 또 브리또&gt;
● 재료
냉동새우 볶음밥, 소고기, 간장, 미림, 다진 마늘, 후추, 대파, 타이 칠리소스, 낫토, 버터, 플레인 요거트, 레몬즙
● 조리 방법
① 간장, 미림, 다진마늘, 후추, 어슷 썬 대파, 타이칠리소스, 낫토를 섞은 것에 샤브샤브용 고기를 넣어 재운다.
② 냉동새우볶음밥에 낫토, 버터를 넣어 볶는다.
③ 플레인 요거트와 레몬즙을 섞어 사워크림을 만들고 낫토를 잘게 다져 넣는다.
④ 또띠아를 팬에 굽고 다른 팬에 고기를 익힌다.
⑤ 또띠아 위에 볶음밥과 고기, 크림과 어슷썬 파를 얹어 낸다.</t>
  </si>
  <si>
    <t>냉장고를 부탁해 시즌 1, 4화</t>
  </si>
  <si>
    <t>&lt;김풍 셰프 - 갸루상 케이크&gt;
● 재료
또띠아, 달걀, 설탕, 우유, 바닐라 아이스크림, 밀가루, 딸기
● 조리 방법
① 달걀의 흰자와 노른자를 분리한다.
② 노른자 2개와 설탕, 우유, 바닐라 아이스크림, 밀가루를 넣어 섞고 커스터드 크림이 될 때까지 전자렌지에 3분 간격으로 돌린다.
③ 또띠아를 6등분 해 기름에 튀겨낸다.
④ 튀긴 또띠아 위에 커스터드 크림을 층층이 올리고 반으로 자른 딸기를 토핑한다.</t>
  </si>
  <si>
    <t>&lt;미카엘 셰프 - PLETKA&gt;
● 재료
돼지고기 안심, 베이컨, 김치, 밥, 당근, 양파, 소주, 부추
● 조리 방법
① 길게 썬 돼지고기 안심과 베이컨의 윗부분을 이쑤시개로 고정한 후 머리땋 듯 땋고 끝부분도 이쑤시개로 고정해 팬에 굽는다.
② 소주를 부어 잡내를 날린다.
③ 김치, 양파, 당근을 잘게 썰어 같은 팬에 넣고 볶다가 물을 붓고 뚜껑을 덮는다.
④ 접시에 고기를 올리고 밥과 김치를 쌓아서 낸 후 다진 부추로 토핑한다.</t>
  </si>
  <si>
    <t>&lt;홍석천 셰프 - 다 줄게라면&gt;
● 재료
삼겹살, 복분자주, 김치, 어묵 통조림, 알배추, 라면, 매운 미소소스
● 조리 방법
① 복분자주에 재운 삼겹살을 길게 찢은 김치와 함께 말아 부추로 고정한 후 팬에 굽는다.
② 물과 어묵통조림과 매운미소소스, 큼직하게 썬 알배추를 넣고 끓인다.
③ 면을 넣어 끓인다.
④ 접시에 끓인 라면을 담고 김치말이 삼겹살을 얹어서 낸다.</t>
  </si>
  <si>
    <t>&lt;정창욱 셰프 - 우리집에 오.새.요&gt;
● 재료
청주, 미림, 양조간장, 국수장국, 오징어, 칵테일 새우, 다진 마늘, 당근, 양파, 박력분, 전분, 얼음, 대파, 무
● 조리 방법
1. 청주, 미림, 양조간장, 국수장국을 끓여 소스를 만든다.
2. 오징어는 간장, 다진 마늘, 청주, 미림에 담가 간을 한다.
3. 채썬 채소와 칵테일 새우, 박력분, 전분, 얼음을 넣어 반죽을 한다.
(* 반죽 후 얼음은 꼭 제거한다.)
4. 달궈진 기름에 반죽을 한국자씩 넣고 튀긴다.
5. 간을 한 오징어에 전분을 묻혀 튀긴다.
6. 그릇에 밥과 어슷썬 대파, 완성된 튀김과 갈은 무, 소스를 올려낸다.</t>
  </si>
  <si>
    <t>냉장고를 부탁해 시즌 1, 5화</t>
  </si>
  <si>
    <t>&lt;샘킴 셰프 - Mr.콩chu~♥&gt;
● 재료
버터, 밀가루, 두유, 두부, 전분, 계피맛 쿠키, 설탕, 초콜릿
● 조리 방법
1. 두부의 물기를 제거한다.
2. 버터를 녹이고 밀가루, 두유를 넣어 소스를 만든다.
3. 계피맛 쿠키를 믹서에 갈고 설탕을 섞어둔다
4. 깍뚝 썬 두부에 전분을 묻혀 튀긴다.
5. 튀긴 두부에 계피설탕가루를 입힌다.
6. 그릇에 두유소스와 두부츄러스, 바닐라 아이스크림, 다진 초콜릿을 토핑한다.</t>
  </si>
  <si>
    <t>&lt;최현석 셰프 - For덕&gt;
● 재료
가지, 계란흰자 통조림, 토마토, 파프리카, 고추장아찌, 토마토 소스, 올리브유, 소금, 후추
● 조리 방법
① 가지를 길게 썰어 올리브유를 두른 팬에 양면을 굽는다.
② 토마토는 열십자로 칼집을 내어 끓는 물에 데쳐 껍질을 벗긴다.
③ 적당한 크기로 썬 토마토와 다진 파프리카, 양파, 사과, 고추장아찌를 냄비에 넣고 으깨 소스를 만든다.
④ 토마토 소스를 넣어 풍미를 더한다.
⑤ 익은 가지를 격자 모양으로 놓고 소금 후추를 뿌린 후, 가운데 계란흰자 통조림을 넣어 감싼다.
(* 비닐을 이용하면 좀 더 쉽게 모양을 잡을 수 있다.)
⑥ 모양이 잡힌 가지를 올리브유를 두른 팬에 한 번 더 익힌다.
⑦ 접시에 소스와 가지를 담아 낸다.</t>
  </si>
  <si>
    <t>냉장고를 부탁해 시즌 1, 6화</t>
  </si>
  <si>
    <t>&lt;미카엘 셰프 - 프로틴 스틱&gt;
● 재료
계란흰자 통조림, 닭가슴살, 파프리카, 양파, 당근, 사과, 견과류, 대파, 식초, 올리브유
● 조리 방법
① 계란 흰자 통조림과 닭가슴살, 파프리카, 양파를 깍둑썰기 해 꼬치에 끼운다.
② 꼬치에 소금, 후추를 두르고 그릴팬에 굽는다.
③ 당근, 사과를 강판에 채썰고, 식초, 올리브유, 다진 견과류를 뿌린다.
④ 접시에 샐러드를 깔고 꼬치를 위에 낸다.</t>
  </si>
  <si>
    <t xml:space="preserve">&lt;홍석천 셰프 - 불닭 소시지&gt;
● 재료
소시지, 매운라면 소스, 당면라면, 청양고추, 상추
● 조리 방법
① 소시지를 끓는 물에 데쳐 기름기를 제거하고 적당한 크기로 썬다.
② 당면라면의 면을 끓는 물에 데쳐 찬물에 헹군 후, 매운라면 소스, 다진 청양고추에 버무린다.
③ 꼬치에 소시지를 꽂고, 양념한 면을 감는다.
④ 접시에 꼬치를 놓고 상추를 곁들여 낸다.
</t>
  </si>
  <si>
    <t>&lt;김풍 셰프 - 매우면 참치 &amp; 쏘루아밀크&gt;
● 재료
참치, 식빵, 토마토, 버터, 고춧가루, 소금, 소주, 인스턴트 커피, 흰우유
● 조리 방법
① 식빵을 토스트기에 굽는다.
② 버터를 두른 팬에 기름 뺀 참치와 믹서에 간 토마토, 고춧가루를 넣고 끓인다.
③ 얼음을 담은 잔에 소주, 설탕, 인스턴트 커피 섞은 것을 넣고, 흰우유를 넣어 층을 낸다.
④ 구운 식빵을 적당한 크기로 자르고 참치 양념을 얹어낸다.</t>
  </si>
  <si>
    <t>&lt;정창욱 셰프 - 삼층돈탑&gt;
● 재료
알배추, 대파, 목살, 다진 고추 장아찌, 설탕, 스테이크 소스, 올리고당
● 조리 방법
1. 알배추는 먹기 좋은 크기로 썰어둔다.
2. 대파는 채썰고, 마늘은 편으로 썰어둔다. 돼지고기는 먹기 좋은 크기로 자른다.
3. 전자레인지용 그릇에 알배추 - 채 썬 대파 - 돼지고기를 층층이 쌓고 소금 후추 간을 한다.
4. 랩을 두르고 3분 간격으로 렌지에 돌린다.
5. 다진 고추 장아찌와 국물, 설탕을 두른 소스와 스테이크소스, 올리고당을 섞은 소스를 함께 낸다.</t>
  </si>
  <si>
    <t>냉장고를 부탁해 시즌 1, 7화</t>
  </si>
  <si>
    <t>&lt;김풍 셰프 - 엠티 오후의 라면&gt;
● 재료
라면, 밀가루, 쇠고기 스프, 오징어, 계란
● 조리 방법
1. 끓는 물에 밀가루와 쇠고기 스프, 라면스프를 넣고 끓인다.
2. 채 썬 오징어와 면, 건더기 스프를 넣고 끓인다.
3. 계란 푼 것을 라면에 두른다.
4. 총각김치를 곁들여 낸다.</t>
  </si>
  <si>
    <t xml:space="preserve">&lt;최현석 셰프 - 봉선아 시집가자미&gt;
● 재료
가자미, 양송이 버섯, 복분자 엑기스, 대파, 소금, 후추, 밀가루, 화이트 와인, 버터
● 조리 방법
1. 팬 하나에 대파를 잘게 썰어 볶고, 다른 팬에는 양송이 버섯에 소금 후추 간을 해 볶는다.
2. 가자미는 껍질을 벗기고 뼈를 발라낸다.
3. 가자미에 소금 후추 간을 하고 밀가루를 뭍혀 올리브유를 두른 팬에 굽는다.
4. 가자미를 굽는 팬에 화이트와인과 복분자 엑기스를 부어 졸인다.
5. 그릇에 볶은 대파와 버섯을 놓고 그 위에 구운 가자미를 올린다.
6. 가자미 육즙이 남은 팬에 버터를 넣어 소스를 만든다.
</t>
  </si>
  <si>
    <t>&lt;샘킴 - 스키니 신&gt;
● 재료
키조개 관자, 단감, 양상추, 양파, 고구마, 감자, 올리브유
● 조리 방법
1. 감자를 삶는다.
2. 관자는 물기를 제거하고, 올리브유는 냄비에 넣고 데운다.
3. 관자는 얇게 썰어두고, 살짝 감자를 강판에 간다
4. 볼에 다진 양상추, 단감, 고구마를 넣고 샐러드를 만든다.
5. 감자와 다진 양파로 전을 부친다.
6. 달군 올리브유를 관자에 부어 익힌다.
7. 접시에 감자양파전, 샐러드, 관자를 얹어 낸다.</t>
  </si>
  <si>
    <t>&lt;미카엘 - 파티비프&gt;
● 재료
밥, 등심, 느타리 버섯, 양송이 버섯, 양상추, 양파, 총각김치, 쌈장, 생크림
● 조리 방법
1. 청고추에 칼집을 내고 그릴팬에 굽는다.
2. 고기와 양파는 채썰고 양송이 버섯도 편으로 썰어 팬에 볶는다.
3. 2에 고기에 쌈장과 생크림을 넣고 볶는다.
4. 3에 다진 총각김치를 넣고 후추를 뿌린다.
5. 접시에 밥을 놓고 주위에 볶은 고기를 얹는다.
6. 중앙에 총각김치를 올린다.</t>
  </si>
  <si>
    <t>&lt;홍석천 - 아이러브유부&gt;
● 재료
삼겹살, 생크림, 달걀, 통마늘, 잣, 양파, 두반장, 굴소스, 고추장아찌 국물, 핫소스
● 조리 방법
1. 삼겹살, 생크림, 달걀 흰자, 마늘 2쪽을 믹서기에 넣고 간다.
2. 간 고기에 잣, 두반장, 굴소스를 넣고 섞는다.
3. 양파와 물에 씻은 고추장아찌를 다져 섞는다.
4. 유부의 속을 채우고 삶는다.
5. 고추 장아찌 국물과 핫소스, 볶은 다진 마늘을 섞어 소스를 만들어 함께 낸다.</t>
  </si>
  <si>
    <t xml:space="preserve">&lt;최현석 셰프 - 곤약 봉골레 곤봉&gt;
● 재료
곤약, 파프리카, 바지락, 올리브 오일, 마늘, 소금, 후추
● 조리 방법
1. 가스레인지 위에 파프리카를 올리고 표면을 태운다.
2. 곤약을 얇게 국수처럼 썬다. (실곤약 대체 가능)
3. 바지락 반은 육수를 내고 반은 살을 발라둔다.
4. 표면을 태운 파프리카의 껍질을 벗기고 얇게 채썬다.
5. 올리브유에 다진 마늘을 볶다가 바지락과 소금 후추를 뿌리고 볶는다.
6. 채 썬 곤약과 파프리카를 넣어 볶다가 육수를 부어 끓인다.
</t>
  </si>
  <si>
    <t>냉장고를 부탁해 시즌 1, 8화</t>
  </si>
  <si>
    <t xml:space="preserve">&lt;홍석천 셰프 - 렛잇컵&gt;
● 재료
찐고구마, 두유, 딸기, 키위, 사과, 홍시, 플레인 요거트, 생고구마
● 조리 방법
1. 찐 고구마의 껍질을 벗기고 으깬 후, 두유를 섞어 농도를 맞춘다.
2. 각종 과일을 먹기 좋은 크기로 썰어 둔다.
3. 와인잔에 찐 고구마와 과일을 겹겹이 쌓는다.
4. 플레인 요거트와 복분자 원액을 넣는다.
5. 생고구마를 썰어 스틱을 만들고 홍시와 플레인 요거트로 소스을 만들어 함께 낸다.
</t>
  </si>
  <si>
    <t>&lt;샘킴 셰프 - 마이 러블리 튀밥&gt;
● 재료
파프리카, 버섯, 양파, 명란젓, 대파, 즉석밥, 참기름, 치즈, 소금, 후추, 올리브유, 마늘, 블랙올리브, 홍고추, 방울토마토, 토마토소스, 밀가루, 달걀, 빵가루, 식용유, 파슬리
● 조리 방법
1. 파프리카, 버섯, 양파를 다지고 올리브유를 두른 팬에 볶는다.
2. 명란젓에 다진 대파를 넣고, 볶은 채소, 즉석밥, 참기름을 넣고 함께 섞는다.
3. 팬에 올리브유와 마늘, 블랙올리브, 홍고추, 방울토마토, 토마토 소스를 넣어 소스를 만든다.
4. 밥을 뭉칠 때 속에 치즈를 넣고 밀가루, 달걀물, 빵가루 순으로 옷을 입힌다.
5. 달군 기름에 뭉친 밥을 넣어 튀긴다.
6. 토마토소스 위에 튀긴 밥을 올리고 파슬리와 올리브유를 뿌려서 낸다.</t>
  </si>
  <si>
    <t>냉장고를 부탁해 시즌 1, 9화</t>
  </si>
  <si>
    <t>&lt;김풍 셰프 - 자투리타타&gt;
● 재료
파프리카, 양파, 버섯, 명란젓, 달걀, 올리브유, 방울토마토, 마늘, 팽이버섯, 베이컨
● 조리 방법
1. 파프리카, 양파, 버섯 등의 재료는 잘게 다진다.
2. 명란젓을 넣은 달걀물에 치즈를 갈아 넣는다.
3. 올리브유를 두른 팬에 다진 채소와 방울토마토, 다진 마늘, 팽이버섯을 넣고 볶는다.
4. 채소를 볶던 팬에 달걀물을 붓고 호일을 덮어 익힌다.
5. 베이컨을 잘게 썰어 키친타올 사이에 넣고 렌지에 돌려 바삭하게 만든다.
6. 프리타타 위에 베이컨을 놓고 토치로 표면을 익힌다.</t>
  </si>
  <si>
    <t>&lt;정창욱 셰프 - 괜찮아, 목심이야&gt;
● 재료
돼지고기 목심, 양파, 당근, 양상추, 사과, 전분, 소금, 후추, 오리엔탈 소스, 식초, 설탕
● 조리 방법
1. 양파, 당근, 사과, 양상추를 가늘게 채 썬다.
2. 오리엔탈 소스에 식초와 설탕을 넣어 끓인 후, 채 썬 양파, 당근과 섞어둔다.
3. 소금, 후추로 밑간을 한 돼지고기 목심을 전분이 고르게 묻도록 섞는다.
4. 끓는 물에 돼지고기 목심을 익힌 후, 건진다.
5. 접시에 고기와 채소를 차례로 얹는다.
6. 채 썬 양상추와 사과를 올리고 소스를 뿌려 완성한다.</t>
  </si>
  <si>
    <t>&lt;미카엘 셰프 - 마이 스위트 베이비&gt;
● 재료
소고기 등심, 사과, 레드와인, 흑설탕, 소금, 후추
● 조리 방법
1. 소금, 후추 간을 한 소고기 등심을 팬에 굽는다.
2. 사과를 자르고 씨를 발라 팬에 굽는다.
3. 소고기 등심을 꺼내 놓고 흑설탕과 물에 구운 사과를 졸인다.
4. 등심을 다시 팬에 올리고 레드와인을 부어 좀 더 익힌다.
5. 졸인 사과와 등심을 함께 낸다</t>
  </si>
  <si>
    <t>&lt;최현석 셰프 - 어란대첩&gt;
● 재료
파스타면(엔젤헤어), 무, 어란, 올리브유, 쯔유, 소금, 후추
● 조리 방법
1. 무를 얇게 채 썬다.
2. 채 썬 무를 얼음물에 담가 식감을 살린다.
3. 끓는 물에 파스타면을 넣고 삶는다.
4. 익은 파스타면을 얼음물에 넣어 식힌 후 올리브유, 쯔유, 소금, 후추를 넣어 섞는다.
5. 접시에 파스타면과 채썬 무를 차례로 올리고 어란을 갈아 올린다.</t>
  </si>
  <si>
    <t>냉장고를 부탁해 시즌 1, 10화</t>
  </si>
  <si>
    <t>&lt;박준우 셰프 - 뉴타운 달팽이&gt;
● 재료
달팽이, 양파, 버터, 매시드 포테이토 분말, 레드와인, 시금치
● 조리 방법
1. 팬에 버터, 다진 양파, 소금, 달팽이를 넣고 볶는다.
2. 끓는 물에 매시드 포테이토 분말을 넣고 매시드 포테이토를 만든다.
3. 달팽이를 볶던 팬에 레드와인을 부어 졸인다.
4. 팬에 버터와 시금치를 넣어 볶는다.
5. 접시에 매시드 포테이토를 깔고 달팽이와 양파를 올린 후, 볶은 시금치와 소스를 곁들여 낸다.
6. 마지막으로 다진 홍고추를 올린다.</t>
  </si>
  <si>
    <t>&lt;홍석천 셰프 - 삼국회담&gt;
● 재료
양갈비, 쌀국수면, 커민, 마늘, 중국 고추소스, 코코넛 밀크, 새우젓, 말린 양파, 피쉬소스, 동치미 국물, 탄산수, 참기름
● 조리 방법
1. 끓는 물에 쌀국수면을 삶는다.
2. 후추를 뿌린 양갈비를 손질한 후, 커민으로 양념을 한다.
3. 올리브유를 두른 팬에 으깬 마늘과 중국 고추소스를 넣어 볶다가 양갈비를 넣어 굽는다.
4. 믹서기에 코코넛 밀크와 새우젓, 말린 양파를 넣고 갈아 소스를 만든다.
5. 끓인 쌀국수 면을 건져 얼음물에 헹군 후 피쉬소스, 동치미 국물, 탄산수, 참기름을 넣어 국수를 완성한다.
6. 접시에 구운 양갈비와 새우젓 소스를 곁들여 낸다.</t>
  </si>
  <si>
    <t>&lt;샘킴 셰프 - 로맨티스튜~♡&gt;
● 재료
한우 등심, 밀가루, 베이컨, 양파, 토마토, 생크림, 코코넛 밀크, 커리 페이스트, 양배추, 밥, 레몬즙, 고수, 홍고추, 청고추, 올리브유
● 조리 방법
1. 한우 등심을 깍둑썰기 한다.
2. 올리브유를 두른 팬에 밀가루를 묻힌 등심을 볶아 놓는다.
3. 팬에 올리브유와 잘게 썬 베이컨을 넣어 볶는다.
4. 팬에 올리브유와 다진 양파, 토마토를 넣고 볶는다.
5. 토마토가 익으면 생크림, 코코넛 밀크를 넣고 끓인다.
6. 끓인 소스에 볶아둔 한우 등심을 넣고 끓인다.
7. 커리 페이스트를 넣고 소금, 후추로 간을 한다.
8. 베이컨을 볶던 팬에 채 썬 양배추를 넣어 함께 볶는다.
9. 즉석밥을 전자레인지에 돌리고, 베이컨에 레몬즙을 넣는다.
10. 스튜와 베이컨에 고수를 넣어 익힌다.
11. 접시에 스튜와 볶은 베이컨, 양배추를 올린 후 홍고추, 청고추, 레몬을 곁들인다.
12. 밥 위에 홍고추, 고수를 올리고 레몬즙을 뿌려낸다.</t>
  </si>
  <si>
    <t>&lt;김풍 셰프 - 섹시 한 컵&gt;
● 재료
통조림햄, 슬라이스 치즈, 바질페스토, 달걀, 할라피뇨
● 조리 방법
1. 통조림 햄을 비닐팩에 넣고 으깬다.
2. 팬에 버터를 두르고 다진 양파와 으깬 햄을 볶는다.
3. 볶던 햄과 양파에 설탕을 넣는다.
4. 슬라이스 치즈를 넣고 함께 볶는다.
5. 밥을 바질페스토에 비벼둔다.
6. 올리브유를 두른 팬에 달걀을 깨트려 넣고 물을 조금 부은 다음 뚜껑을 닫아 반숙으로 익힌다.
7. 컵에 바질페스토에 비빈 밥과 할라피뇨, 볶은 햄과 양파를 차례로 담는다.
8. 컵밥 가장 위에 반숙 달걀 프라이를 올린다.</t>
  </si>
  <si>
    <t>냉장고를 부탁해 시즌 1, 11화</t>
  </si>
  <si>
    <t>&lt;미카엘 셰프 - 가희에게 반하나&gt;
● 재료
달걀, 탄산수, 바나나, 초콜릿 잼, 견과류, 블루베리
● 조리 방법
1. 달걀, 밀가루, 우유, 탄산수를 넣어 반죽을 만든다.
2. 바나나를 얇게 썬다.
3. 팬에 반죽을 얇게 부친다.
4. 익은 반죽 위에 바나나를 올리고 초콜릿 잼을 바른다.
5. 크레페의 가장자리를 접어 모양을 만든 후, 접시에 올려 다진 견과류와 블루베리를 곁들인다.
* 기호에 따라 다양한 재료를 넣어 식사, 디저트 등으로 즐길 수 있다</t>
  </si>
  <si>
    <t>&lt;정창욱 셰프 - 엑소 떡볶이&gt;
● 재료
인스턴트 떡볶이, 굴소스, XO소스, 양배추, 로메인 상추
● 조리 방법
1. 소량의 기름에 떡을 표면만 살짝 튀긴다.
2. 잘게 썬 대파를 볶다가 굴소스, XO소스, 다진 마늘, 다진 생강, 채 썬 양배추를 넣어 소스를 만든다.
3. 소스에 백후추, 청주, 설탕을 넣어 볶는다.
4. 소스에 식초, 양조간장을 넣어 볶는다.
5. 소스에 떡을 넣어 볶는다.
6. 접시에 떡볶이를 담고 볶은 로메인 상추를 올려낸다.</t>
  </si>
  <si>
    <t>&lt;이원일 셰프 - 한 뚝볶이 하실래예?&gt;
● 재료
떡국떡, 감자, 냉동만두, 페페로치노
● 조리 방법
1. 끓는 물에 떡국떡을 살짝 데친다.
2. 감자, 양파, 대파를 잘게 다진다.
3. 다진 채소를 뚝배기에 담고 만두소를 넣는다.
4. 뚝배기에 물을 붓고 끓인다.
5. 된장에 전분, 고춧가루, 청주를 섞는다.
6. 기름을 두른 팬에 다진 마늘과 다진 페페로치노를 넣고 데친 떡을 볶는다.
7. 채소를 끓이던 뚝배기에 된장을 넣고 졸여 강된장을 만든다.
8. 볶은 떡을 소금, 간장으로 간을 한다.
9. 떡에 채 썬 대파를 고명으로 올리고 강된장과 함께 낸다.</t>
  </si>
  <si>
    <t xml:space="preserve">&lt;홍석천 셰프 - 굴로장생&gt;
● 재료
멸치가루, 굴비, 호두오일, 레몬, 느타리버섯, 그라나파다노 치즈, 후추, 고추장, 양파, 마늘, 소금, 후추, 버터
● 조리 방법
1. 끓는 물에 멸치가루를 넣어 육수를 만든다.
2. 해동된 굴비는 다듬어 칼집을 낸다.
3. 고추장과 호두오일, 레몬즙을 섞어 양념을 만든다.
4. 후추를 뿌린 굴비에 고추장 양념을 바른다.
5. 얇게 썬 레몬을 양념한 굴비의 위아래에 깐 다음 오븐에 굽는다.
6. 기름을 두른 팬에 다진 양파, 으깬 마늘을 넣어 볶다가 밥과 멸치 육수를 넣어 볶는다.
7. 팬에 기름을 두르고 편썰기 한 마늘과 느타리버섯을 소금, 후추 간을 해 볶는다.
8. 리소토에 그라나파다노 치즈를 갈아 넣고 버터를 넣어 볶는다.
9. 접시에 리소토와 볶은 버섯을 담고 위에 고추장 굴비를 얹어낸다.
</t>
  </si>
  <si>
    <t>냉장고를 부탁해 시즌 1, 12화</t>
  </si>
  <si>
    <t>&lt;이원일 셰프 - 낙지 호로록&gt;
● 재료
낙지, 돌나물, 레몬청, 레몬, 청양고추, 페페로치노, 소금, 양파, 식초, 설탕, 다진 마늘, 참기름, 깨
● 조리 방법
1. 낙지는 소금을 뿌려 깨끗하게 씻는다.
2. 돌나물, 채 썬 양파, 얇게 썬 청양고추를 각각 얼음물에 담근다.
3. 끓는 물에 식초와 소금을 넣고 낙지를 데친다.
4. 데친 낙지는 얼음물에 식혀둔다.
5. 레몬청, 얼음, 설탕, 다진마늘, 페페로치노를 믹서에 곱게 갈아 소스를 만든다.
6. 식혀둔 낙지에 다진 마늘과 참기름으로 양념을 한다.
7. 접시에 돌나물, 양념한 낙지, 양파, 청양고추를 차례로 담는다.
8. 깨를 양 손으로 비벼 으깨 넣고 소스를 부어 완성한다.</t>
  </si>
  <si>
    <t>&lt;샘킴 셰프 - 달.고.나&gt;
● 재료
돼지고기 앞다리살, 마살라, 양파, 당근, 밀가루, 버터, 쪽파
● 조리 방법
1. 한 입 크기로 썬 양파와 당근을 볶다가 설탕을 넣는다.
2. 돼지고기 앞다리살을 반으로 가르고 고기망치로 육질을 부드럽게 만든다.
3. 볶던 채소에 물을 부어 끓인다.
4. 고기에 소금 후추로 간을 하고 마살라와 밀가루를 묻혀 기름을 두른 팬에 굽는다.
5. 채소를 끓인 물을 고기에 부어 익힌다.
6. 고기를 다른 팬에 옮기고 남은 육수에 밀가루와 버터를 넣어 소스를 만든다.
7. 쪽파를 굽는다.
8. 접시에 볶은 야채, 고기, 쪽파를 차례로 올리고 소스를 뿌려 완성한다.</t>
  </si>
  <si>
    <t>&lt;미카엘 셰프 - 오순도순&gt;
● 재료
오징어, 청양고추, 쌈채소, 토마토, 레몬, 케이퍼, 그라나파다노 치즈, 양파, 대파, 밥, 쌈장
● 조리 방법
1. 올리브유를 두른 팬에 다진 오징어 다리, 양파, 대파, 청양고추를 넣어 볶는다.
2. 밥과 쌈장을 넣고 볶다가 토마토를 갈아 넣는다.
3. 오징어 몸통의 속을 채운 다음 그릴팬에 굽는다.
4. 접시에 쌈채소, 토마토, 레몬, 케이퍼를 놓고 가운데 오징어를 놓는다.
5. 오징어에 칼집을 내고 그라나파다노 치즈를 갈아 오징어 위에 뿌려준다.</t>
  </si>
  <si>
    <t>&lt;정창욱 셰프 - 굴링굴링&gt;
● 재료
굴, 우스터소스, 굴소스, 매실장아찌, 소금, 식초, 설탕, 간장, 국수장국, 연겨자, 전분, 양차, 고추, 쪽파
● 조리 방법
1. 굴에 소금을 많이 뿌려 수분을 뺀다.
2. 식초, 설탕, 간장, 국수장국, 연겨자, 굴소스, 우스터소스를 끓여 소스를 만든다.
3. 수분을 제거한 굴을 물에 담가 남은 염분을 제거한다.
4. 물기를 닦아낸 굴에 전분을 입혀서 튀긴다.
5. 끓인 소스에 물전분을 넣어 걸쭉하게 만든다.
6. 접시에 굴튀김을 담고 채 썬 양파, 다진 고추와 매실장아찌, 소스를 얹는다.
7. 다진 파를 뿌려 완성한다.</t>
  </si>
  <si>
    <t>냉장고를 부탁해 시즌 1, 13화</t>
  </si>
  <si>
    <t xml:space="preserve">&lt;최현석 셰프 - 보굴보굴&gt;
● 재료
굴, 미역, 우유, 양파, 버터, 밀가루, 참기름, 마늘
● 조리 방법
1. 끓는 물에 굴을 넣고 삶아서 육수를 만든다.
2. 팬에 버터, 밀가루를 넣어서 루를 만든다.
3. 참기름, 마늘, 불린 미역을 함께 볶다가 굴 육수를 넣고 끓인다.
4. 루에 우유를 부어 베샤멜 소스를 만든다.
5. 팬에 다진 양파와 굴을 넣어 볶는다.
6. 미역과 함께 끓인 굴 육수에 베샤멜 소스를 넣어 함께 끓인다.
7. 끓인 스프를 믹서기에 넣고 간다.
8. 스프를 체에 거르고 볶은 굴과 양파를 넣은 뒤 소금, 후추로 간을 한다.
9. 그릇에 완성된 스프를 담고 참기름을 뿌려 낸다.
</t>
  </si>
  <si>
    <t>&lt;김풍 셰프 - 허풍찜닭밥&gt;
● 재료
닭가슴살 통조림, 참치 통조림, 우스터소스, 김치, 카레가루, 달걀, 토마토, 레몬즙, 굴소스, 양파, 소금, 후추, 밥, 전분, 설탕
● 조리 방법
1. 팬에 채 썬 양파를 볶다가 소금, 후추 간을 한다.
2. 다진 양파에 콜라를 붓고, 닭가슴살 통조림, 우스터소스를 넣어 졸인다.
3. 끓는 물에 김치를 잘라 넣는다.
4. 달걀과 카레가루를 함께 푼다.
5. 살짝 익힌 즉석밥을 달걀물에 넣고 섞어 팬에 볶는다.
6. 토마토 간 것과 참치 통조림을 찌개에 부어 함께 끓인다.
7. 졸인 닭가슴살에 전분을 넣어 농도를 조절한다.
8. 찌개에 우스터소스와 설탕을 넣는다.
9. 찌개에는 굴소스를, 닭가슴살에는 레몬즙을 넣어 마무리한다.
10. 볶음밥에 콜라에 졸인 닭가슴살을 곁들이고, 김치찌개를 따로 낸다.</t>
  </si>
  <si>
    <t>&lt;박준우 셰프 - 허달달&gt;
● 재료
치킨 비프볼, 굴소스, 달걀, 우유, 소보로빵, 새송이 버섯, 두부, 다시마, 멸치, 대파, 양파, 다진 마늘, 다진 생강, 즉석밥
● 조리 방법
1. 다시마와 멸치로 육수를 낸다.
2. 팬에 기름을 두르고 대파를 볶는다.
3. 육수에 새송이 버섯, 채 썬 양파, 두부를 넣고 된장을 푼다.
4. 치킨 비프볼과 다진 마늘, 다진 생강, 굴소스를 섞은 다음 대파와 함께 볶는다.
5. 즉석밥과 치킨 비프볼을 함께 볶는다.
6. 달걀물을 부어 함께 볶아 볶음밥을 완성한다.
7. 된장국에 체에 내린 달걀물을 넣어 함께 끓인다.
8. 달걀물에 우유, 설탕을 넣고 소로보빵을 적셔 팬에 굽는다.
9. 볶음밥, 된장국, 프렌치토스트를 따로 담아 낸다.</t>
  </si>
  <si>
    <t>&lt;샘킴 셰프 - 파콘 투게더&gt;
● 재료
옥수수캔, 참치캔, 펜네, 방울토마토, 베이컨, 아보카도, 칠리파우더, 파마산 치즈, 고수, 소금, 레몬즙, 양파
● 조리 방법
1. 옥수수와 참치를 체에 받쳐 수분과 기름기를 제거한다.
2. 끓는 물에 소금을 넣고 펜네를 삶는다.
3. 방울토마토를 썰어 레몬즙을 뿌리고 올리브유와 소금, 다진 고수를 넣어 섞는다.
4. 채 썬 양파와 잘게 썬 베이컨을 팬에 볶는다.
5. 아보카도를 잘게 썰어 샐러드에 넣고 섞는다.
6. 팬에 칠리파우더, 방울토마토, 면수를 넣어 볶는다.
7. 채소를 볶던 팬에 토마토소스를 넣어 끓인다.
8. 삶은 펜네를 토마토소스에 넣고 함께 볶는다.
9. 파마산 치즈를 뿌려 파스타를 완성한다.
10. 샐러드 위에 옥수수와 참치를 올리고 레몬즙, 다진 고수를 뿌려 파스타와 함께 낸다.</t>
  </si>
  <si>
    <t>냉장고를 부탁해 시즌 1, 14화</t>
  </si>
  <si>
    <t>&lt;미카엘 셰프 - 백 투 더 치킨&gt;
● 재료
닭고기, 생강, 달걀, 방울토마토, 고수, 올리브유, 양파, 당근, 전분
● 조리 방법
1. 닭의 뼈를 발라 육수를 낸다.
2. 닭고기를 올리브유를 두른 팬에 굽는다.
3. 닭고기에 생강을 갈아 넣고 소금, 후추로 간을 한다.
4. 양파와 당근을 다져 넣고 함께 볶는다.
5. 육수에 달걀 흰자를 넣는다.
6. 육수를 체에 걸러 남은 기름기를 제거한다.
7. 닭고기를 익히던 팬에 육수를 부어 함께 끓인다.
8. 스튜에 방울토마토를 갈아 넣는다.
9. 스튜에 물전분을 넣어 농도를 조절한다.
10. 즉석밥에 고수를 올리고 완성된 스튜와 함께 낸다.</t>
  </si>
  <si>
    <t xml:space="preserve">&lt;홍석천 셰프 - 멕시코 갓(god) 쌈?!&gt;
● 재료
망고스틴, 방울토마토, 고수, 사워크림, 사과, 타코시즈닝, 식빵, 소시지, 슬라이스 치즈, 화이트와인
● 조리 방법
1. 망고스틴, 양파, 방울토마토, 고수를 다져서 섞어 타코 토핑을 만든다.
2. 사워크림과 사과를 섞어 딥소스를 만든다.
3. 잘게 썬 닭고기를 타코시즈닝, 화이트 와인을 넣어 볶는다.
4. 소시지를 길게 잘라 굽는다.
5. 슬라이스 치즈는 길게 잘라 둔다.
6. 가장자리를 자른 식빵을 밀대로 납작하게 펴서 팬에 굽는다.
7. 식빵과 볶은 닭고기, 타코 토핑, 구운 소시지, 치즈, 사과 딥소스를 함께 낸다.
</t>
  </si>
  <si>
    <t>&lt;정창욱 셰프 - 타코 리턴&gt;
● 재료
만두피, 다진 소고기, 타코시즈닝, 방울토마토, 얼린 토마토, 고수, 마늘장아찌, 아보카도, 사워크림, 스리라차 소스, 핫소스, 소금, 후추, 양파, 올리브유, 레몬즙
● 조리 방법
1. 만두피를 기름에 튀긴다.
2. 다진 소고기에 소금, 후추 간을 해서 볶는다.
3. 볶던 소고기에 타코시즈닝으로 양념을 한다.
4. 고추를 가스레인지 불에 그대로 올려 직화한다.
5. 방울토마토, 양파, 청양고추 섞은 것에 핫소스, 스리라차 소스를 넣는다.
6. 얼린 토마토, 고수, 마늘장아찌, 올리브유, 후추, 레몬즙을 섞는다.
7. 구운 고추를 다져서 넣고 아보카도를 올려 타코 토핑을 완성한다.
8. 튀긴 만두피, 볶은 고기, 타코 토핑, 사워크림, 스리라차 소스를 함께 낸다.</t>
  </si>
  <si>
    <t>&lt;이원일 셰프 - 냉장고탕&gt;
● 재료
김치, 고등어, 상추, 된장, 두부
● 조리 방법
1. 김치를 물에 씻는다.
2. 김치와 양파를 채 썰어 다진 마늘과 참기름으로 양념한다.
3. 2에 다진 대파를 섞고 냄비에 넣어 볶는다.
4. 3에 물과 청주를 부어 끓인다.
5. 잘게 썬 청양고추를 넣어 끓인다.
6. 기름을 두른 팬에 고등어를 구워서 으깬다.
7. 믹서에 고등어, 뜨거운 물을 넣고 갈아 냄비에 넣는다.
8. 상추를 넣고 된장을 푼 다음 두부를 넣는다.
9. 깨를 갈아 넣고 후추를 뿌린다.
10. 완성된 탕에 대파를 썰어 올리고 밥과 함께 낸다.</t>
  </si>
  <si>
    <t>냉장고를 부탁해 시즌 1, 15화</t>
  </si>
  <si>
    <t>&lt;박준우 셰프 - 고된 밀푀유&gt;
● 재료
두부, 감자, 된장, 할라피뇨, 유자청, 상추
● 조리 방법
1. 원형 틀을 이용해 두부를 동그랗게 자르고 얇게 포를 뜬다.
2. 기름을 두른 팬에 두부를 바삭하게 지진다.
3. 감자는 작게 썰어 끓는 물에 삶는다.
4. 고등어에 된장을 바르고 버터를 두른 팬에 굽는다.
5. 다진 마늘과 다진 생강, 청주, 미림을 부어 익힌다.
6. 버터와 된장을 섞는다.
7. 삶은 감자, 버터, 된장버터를 섞어 퓨레를 만든다.
8. 다진 할라피뇨를 넣는다.
9. 체를 이용해 구운 고등어와 소스를 분리한다.
10. 접시에 감자 퓨레, 고등어, 두부를 차례로 쌓는다.
11. 올리브유와 레몬즙, 유자청, 다진 상추를 섞어 가니쉬를 만든다.
12. 밀푀유 위에 가니쉬를 얹고 소스를 둘러 완성한다.</t>
  </si>
  <si>
    <t>&lt;최현석 셰프 - 안심하드라고~!&gt;
● 재료
감자, 당근, 안심, 팥 아이스크림
● 조리 방법
1. 끓는 물에 소금, 버터를 넣고 감자, 당근, 대파를 삶는다.
2. 소금, 후추 간을 한 안심을 달군 팬에 굽는다.
3. 고기를 굽는 팬에 삶은 대파를 넣어 함께 굽는다.
4. 삶은 당근에 버터, 레몬즙, 설탕을 넣고 볶아준다.
5. 4에 레몬 껍질을 갈아 넣는다.
6. 팬에 레드와인을 붓고 팥 아이스크림과 버터를 넣고 졸인다.
7. 체에 팥 건더기를 거르고 소스만 끓인다.
8. 접시에 안심 스테이크와 감자, 당근, 대파를 올리고 팥소스를 뿌려낸다.</t>
  </si>
  <si>
    <t>&lt;김풍 셰프 - 미숫가루보나라&gt;
● 재료
미숫가루, 달걀, 우유, 초콜릿
● 조리 방법
1. 믹서에 우유와 미숫가루를 넣고 간다.
2. 냄비에 1을 붓고 설탕을 넣어 끓인다.
3. 달걀, 박력분, 우유를 넣고 반죽을 만든다.
4. 기름을 두른 팬에 반죽을 부어 굽는다.
5. 미숫가루 소스에 소금 간을 한다.
6. 구워진 반죽을 가늘게 썰어 면을 만든다.
7. 미숫가루 소스에 면을 넣어 끓인다.
8. 접시에 면과 소스를 담고 초콜릿을 뿌려낸다.</t>
  </si>
  <si>
    <t>&lt;정창욱 셰프 - 미소볼&gt;
● 재료
미트볼, 크림치즈, 옥수수, 팽이버섯, 새송이버섯, 달걀, 마늘, 레드와인, 생강, 토마토소스, 버터, 설탕, 간장, 고추, 대파, 양파, 소금, 후추, 레몬, 파마산 치즈, 즉석밥
● 조리 방법
1. 냄비에 으깬 마늘, 미트볼, 레드와인, 다진 생강을 넣고 끓인다.
2. 토마토 소스에 크림치즈를 넣어 소스를 만든다.
3. 버터를 두른 팬에 옥수수를 넣고 설탕, 간장을 넣어 볶는다.
4. 미트볼에 토마토 소스를 넣고 간장을 넣어 끓인다.
5. 고추, 팽이버섯, 새송이버섯, 대파, 양파를 굽는다.
6. 소금, 후추 간을 하고 레몬 껍질을 갈아 넣는다.
7. 채소에 레몬즙을 넣는다.
8. 미트볼에 파마산 치즈를 뿌린다.
9. 달걀 프라이를 만든다.
10. 그릇에 밥, 미트볼, 달걀 프라이, 옥수수, 채소를 얹어낸다.</t>
  </si>
  <si>
    <t>냉장고를 부탁해 시즌 1, 16화</t>
  </si>
  <si>
    <t>&lt;김풍 셰프 - 와풍 주니어 버거&gt;
● 재료
미트볼, 통조림햄, 달걀, 팽이버섯, 카스테라, 슬라이스 치즈, 버터, 양파, 소금, 후추, 마요네즈, 머스터드, 마늘
● 조리 방법
1. 미트볼, 통조림햄, 달걀을 함께 으깨어 섞는다.
2. 둥글게 패티를 만들어 굽는다.
3. 버터를 두른 팬에 채 썬 양파, 팽이버섯을 볶다가 소금, 후추 간을 한다.
4. 카스테라 두 개를 납작하게 누른다.
5. 패티 위에 슬라이스 치즈를 올리고 뚜껑을 닫아 치즈를 녹인다.
6. 마요네즈, 머스터드, 다진 마늘, 후추를 섞어 소스를 만든다.
7. 카스테라→패티→볶은 채소→소스→카스테라 순으로 얹어 낸다.</t>
  </si>
  <si>
    <t>&lt;이원일 셰프 - 트리퐁크라운&gt;
● 재료
우유, 크림치즈, 달걀, 사과주스, 초콜릿, 호두, 바닐라 시럽, 카스테라, 시리얼, 아몬드, 설탕, 레몬즙
● 조리 방법
1. 냄비 두 개에 우유를 끓인다.
2. 크림치즈를 전자레인지에 넣어 녹인다.
3. 달걀, 설탕, 사과주스, 레몬즙을 섞어서 끓인다.
4. 3에 버터를 넣어 커스터드 크림을 만든다.
5. 체에 거른 커스터드 크림을 냉동실에 넣어 식힌다.
6. 끓인 우유에 초콜릿을 넣어 녹인다.
7. 초콜릿 소스에 호두를 갈아 넣는다.
8. 끓인 우유에 크림치즈, 레몬즙을 넣어 끓인다.
9. 크림치즈 소스에 바닐라 시럽을 넣는다.
10. 깍둑썰기 한 카스테라를 접시에 담고, 크림치즈 소스, 초콜릿 소스, 커스터드 크림을 각각 담아낸다.
11. 시리얼을 잘게 부숴 함께 낸다.</t>
  </si>
  <si>
    <t>&lt;박준우 셰프 - 라벤더숲&gt;
● 재료
우유, 라벤더 티백, 달걀, 아사이베리즙, 사과, 카스테라, 초콜릿, 쿠키, 아몬드, 설탕, 레몬즙
● 조리 방법
1. 냄비에 우유, 설탕, 라벤더 티백을 넣어 끓인다.
2. 달걀 노른자에 설탕을 넣고 섞다가 1을 부어 함께 섞는다.
3. 체를 이용해 거품과 티백을 거르고 다시 끓인다.
4. 아사이베리즙에 레몬즙을 넣어 끓인다.
5. 다진 아몬드, 잘게 썬 사과를 완성 그릇에 깔아준다.
6. 카스테라를 얇게 썰어 아몬드와 사과 위에 얹는다.
7. 완성된 라벤더 소스를 카스테라에 붓는다.
8. 다진 초콜릿을 올린다.
9. 쿠키를 올리고 아사이베리 소스를 둘러 완성한다.</t>
  </si>
  <si>
    <t>&lt;샘킴 - 살치는 매운 요리&gt;
● 재료
페페론치노, 파슬리, 양배추, 살치살, 콜라비, 아보카도, 올리브유, 마늘, 레몬, 소금, 후추, 고추
● 조리 방법
1. 올리브유에 마늘, 페페론치노, 파슬리, 레몬즙을 넣고 끓인다.
2. 감자를 삶는다.
3. 마늘 기름을 두른 팬에 채 썬 양배추를 볶는다.
4. 소금, 후추로 간을 한 살치살을 굽는다.
5. 고추와 콜라비, 아보카도를 함께 구워준다.
6. 살치살과 볶은 양배추를 접시에 담는다.
7. 구운 고추를 올리고 마늘 기름을 둘러 완성한다.</t>
  </si>
  <si>
    <t>냉장고를 부탁해 시즌 1, 17화</t>
  </si>
  <si>
    <t>&lt;최현석 - 삼고마비&gt;
● 재료
고춧가루, 페페론치노, 콜라비, 꽃갈비살, 매실액, 꿀, 청양고추, 대파, 소금, 후추, 설탕, 레몬
● 조리 방법
1. 올리브유에 대파를 넣어 끓인다.
2. 1에 고춧가루, 페페론치노를 넣어 함께 끓인다.
3. 얇게 채 썬 콜라비에 소금을 뿌려 숨을 죽인다.
3. 소금, 후추 간을 한 꽃갈비살을 굽는다.
4. 익힌 꽃갈비살을 얇게 썬다.
5. 콜라비에 매실액을 넣는다.
6. 콜라비에 다진 대파와 설탕을 넣어 섞는다.
7. 끓인 기름을 체에 거르고 꿀과 레몬즙을 넣고 섞는다.
8. 접시에 꽃갈비살과 콜라비를 올리고 기름을 두른다.
9. 얇게 썬 청양고추와 레몬 껍질을 갈아 올려서 완성한다.</t>
  </si>
  <si>
    <t xml:space="preserve">&lt;미카엘 - 가슴이 콩닭콩닭&gt;
● 재료
파슬리, 닭가슴살, 고춧가루, 애호박, 콜라비, 발사믹 드레싱, 설탕, 올리브유, 후추, 소금, 양파, 고추, 마늘
● 조리 방법
1. 팬에 호일을 깔고 설탕, 파슬리를 가득 뿌린다.
2. 닭가슴살은 얇게 포를 뜬다.
3. 올리브유, 고춧가루, 후추, 소금으로 간을 한다.
4. 그릴에 닭가슴살을 올리고 뚜껑을 닫아 훈제한다.
5. 올리브유, 소금, 후추로 간을 한 애호박과 양파, 고추를 굽는다.
6. 동그랗게 파낸 콜라비를 채소와 함께 굽는다.
8. 호일에 소금을 뿌려 연기를 더한다.
8. 구운 채소에 올리브유, 발사믹 드레싱을 넣어 섞는다.
9. 접시에 채소와 훈제 닭가슴살을 올리고 파슬리를 뿌려준다.
10. 다진 마늘을 섞은 발사믹 드레싱과 구운 콜라비를 올려 완성한다.
</t>
  </si>
  <si>
    <t xml:space="preserve">&lt;홍석천 - 나 혼자 쓰리볼&gt;
● 재료
닭가슴살, 달걀, 크림소스, 페페론치노, 바질페스토, 훈제연어, 석류, 볶은 현미, 화이트와인, 소금, 후추, 청양고추, 마늘, 양파, 파르메산 치즈
● 조리 방법
1. 물에 화이트와인을 넣고 끓인다.
2. 닭가슴살과 달걀 흰자, 크림소스, 소금, 후추를 믹서기에 넣고 간다.
3. 닭가슴살을 같은 양으로 3등분한다.
4. 3개로 나눈 닭가슴살에 각각 크림소스를 넣어준다.
5. 첫 번째 볼 : 닭가슴살 + 크림소스 + 바질페스토
6. 두 번째 볼 : 닭가슴살 + 크림소스 + 다진 청양고추, 페페론치노
7. 세 번째 볼 : 닭가슴살 + 크림소스
8. 숟가락을 이용해 닭가슴살을 완자 모양으로 만들어 끓는 물에 삶는다.
9. 마늘과 양파를 다져서 볶다가 완자 삶은 물을 넣어준다.
10. 10에 크림소스를 넣고 후추, 파르메산 치즈를 뿌린다.
11. 익은 완자를 건지고 크림소스 완자에 훈제연어를 두른다.
12. 크림소스 위에 세 종류의 완자를 올린다.
13. 석류와 볶은 현미를 올려 완성한다.
</t>
  </si>
  <si>
    <t>&lt;샘킴 - 연양만점&gt;
● 재료
양배추, 감자, 훈제연어, 플레인 요거트, 발사믹 식초, 딸기, 소금, 대파, 양파, 레몬즙
● 조리 방법
1. 채 썬 양배추에 소금으로 간을 한 후 볶아준다.
2. 감자, 대파, 양파를 채 썰어 물기를 뺀다.
3. 훈제연어를 랩에 싼 다음 두드려준다.
4. 플레인 요거트에 레몬즙, 다진 양파를 넣고 섞는다.
5. 발사믹 식초에 설탕을 넣고 졸인다.
6. 연어에 볶은 양배추를 올려 감싼 다음 모양을 잡아준다.
7. 요거트 소스에 레몬 껍질을 갈아 넣는다.
8. 접시에 요거트 소스를 깔고 연어쌈을 올린다.
9. 감자, 대파, 양파를 기름에 튀긴다.
10. 연어쌈 위에 튀긴 채소를 올리고 발사믹 소스를 뿌려준다.
11. 딸기에 발사믹 소스를 뿌려 같이 낸다.</t>
  </si>
  <si>
    <t>냉장고를 부탁해 시즌 1, 18화</t>
  </si>
  <si>
    <t>&lt;정창욱 - 의기양양&gt;
● 재료
양배추, 훈제오리, 닭가슴살, 쯔유, 백김치, 달걀, 어린잎 채소, 밥, 양파, 대파, 버터, 마늘, 후추, 다진 생강
● 조리 방법
1. 즉석밥을 전자레인지에 돌린다.
2. 양배추를 잘게 썰어 볶아준다.
3. 채 썬 양파, 파를 넣고 함께 볶는다.
4. 훈제오리를 잘게 썰어 버터와 함께 볶는다.
5. 4에 후추, 으깬 마늘을 넣어 볶는다.
6. 볶던 양배추에 닭가슴살을 넣어 함께 볶는다.
7. 후추와 쯔유를 넣어준다.
8. 다진 생강을 넣는다.
9. 체를 이용해 훈제오리의 기름을 걸러준다.
10. 백김치 국물을 넣어 훈제오리에 간을 한다.
11. 볶은 양배추와 닭가슴살에 달걀물을 넣고 살짝 익힌다.
12. 밥 위에 11을 올리고 훈제오리, 어린잎 채소를 올려 완성한다</t>
  </si>
  <si>
    <t>&lt;이원일 - 감자봤수란&gt;
● 재료
감자, 어린잎 채소, 매실액, 쯔유, 달걀, 마늘장아찌, 소금, 양파, 밀가루, 버터, 후추, 깨, 식초
● 조리 방법
1. 강판을 이용해 감자를 채 썬다.
2. 채 썬 감자에 소금을 넣어 수분을 뺀다.
3. 얼음물에 어린잎 채소와 양파를 담가 둔다.
4. 감자를 손으로 짜 수분을 빼내고 밀가루를 넣어 섞어준다.
5. 채 썬 감자를 팬에 올려 굽는다.
6. 감자전에 버터를 넣어 굽는다.
7. 쯔유, 매실액, 후추, 으깬 깨를 함께 넣고 끓인다.
8. 끓는 물에 소금과 식초를 넣는다.
9. 물을 저어 회오리를 만든 후 달걀을 넣어 수란을 만든다.
10. 소스에 버터와 밀가루를 넣어 함께 끓인다.
11. 채소를 면포로 싼 다음 크게 휘둘러 물기를 뺀다.
12. 접시에 감자전, 채소, 수란, 잘게 썬 마늘장아찌를 올린다.
13. 소스를 따로 담아낸다.</t>
  </si>
  <si>
    <t>&lt;김풍 - 미치고 팔닭&gt;
● 재료
인절미, 닭가슴살 통조림, 조미료, 꿀, 다진 마늘, 양파, 후추, 간장
● 조리 방법
1. 팬에 다진 마늘, 채 썬 양파를 넣어 볶는다.
2. 체를 이용해 인절미의 콩고물을 털어낸다.
3. 기름을 두른 팬에 인절미를 굽는다.
4. 양파에 후추, 간장, 조미료, 닭가슴살 통조림을 넣고 함께 볶는다.
5. 구운 인절미 위에 볶은 재료를 올리고 감싼다.
6. 접시에 구운 인절미를 올리고 콩고물, 꿀을 함께 낸다.</t>
  </si>
  <si>
    <t>&lt;박준우 - 2연타&gt;
● 재료
연어, 양배추, 옥수수 통조림, 매운 오리엔탈 소스, 고추장아찌, 방울토마토, 참치, 크림치즈, 소금, 후추, 레몬, 양파, 핫소스, 올리브유, 마요네즈
● 조리 방법
1. 적당한 크기로 썬 연어에 소금, 후추 간을 한다.
2. 기름을 두른 팬에 연어의 겉면만 익힌다.
3. 양배추, 옥수수 통조림, 후추, 매운 오리엔탈 소스를 섞어 샐러드를 만든다.
4. 샐러드에 레몬즙을 넣어준다.
5. 양파는 잘게 썬 후 물에 담가 아린 맛을 뺀다.
6. 고추장아찌, 방울토마토, 연어를 다진다.
7. 다진 재료에 후추, 핫소스, 올리브유, 마요네즈를 섞어 준다.
8. 참치, 마요네즈, 크림치즈, 우유를 섞은 후 갈아서 소스를 만든다.
9. 겉만 익힌 연어를 적당한 크기로 썬다.
10. 접시에 샐러드를 깔고 연어 타타키를 올린 후 참치 소스를 뿌린다.
11. 원형 틀을 이용해 타타키를 담고 방울토마토와 청포도를 올려낸다.</t>
  </si>
  <si>
    <t>냉장고를 부탁해 시즌 1, 19화</t>
  </si>
  <si>
    <t>&lt;홍석천 - 홍런볼&gt;
● 재료
연어, 양배추, 멸치볶음, 고추장아찌, 김자반, 유산균 음료, 딸기 요거트, 청포도, 레몬, 소금, 후추, 버터, 참기름, 올리브오일
● 조리 방법
1. 연어를 얇게 썬다.
2. 레몬 껍질, 레몬즙, 소금, 후추를 섞은 소스에 연어를 절인다.
3. 멸치볶음을 버터에 볶는다.
4. 즉석밥에 멸치볶음, 다진 고추장아찌, 참기름을 넣어 섞는다.
5. 주먹밥을 만들어 김자반에 굴린다.
6. 양배추와 과일을 잘게 썰어 그릇에 담는다.
7. 유산균 음료, 딸기 요거트, 올리브 오일을 섞어 요거트 소스를 만든다.
8. 양배추와 과일에 요거트 소스를 섞는다.
9. 접시에 과일 샐러드를 깔고 주먹밥, 연어 세비체를 올린다.
10. 요거트 소스를 뿌려 완성한다.</t>
  </si>
  <si>
    <t>&lt;미카엘 - 비어 쉬림프&gt;
● 재료
새우, 달걀, 맥주, 양배추, 소금, 후추, 마늘, 밀가루, 당근, 올리브유, 식초, 레몬
● 조리 방법
1. 새우는 물기를 제거하고 소금, 후추, 마늘을 넣어 재워둔다.
2. 달걀 노른자와 흰자를 분리해 흰자는 냉장고에 넣어둔다.
3. 노른자에 소금, 밀가루를 섞어 튀김옷을 만든다.
4. 튀김옷에 맥주를 넣고, 레몬껍질을 갈아 넣는다.
5. 양배추, 당근을 채썰고 소금, 올리브유, 식초로 양념해 샐러드를 만든다.
6. 냉장고에서 달걀 흰자를 꺼내 거품을 낸다.
7. 튀김옷에 거품을 낸 달걀 흰자를 넣어 접듯이 섞는다.
8. 새우에 튀김옷을 입혀 튀긴다.
9. 접시에 샐러드를 얹고 새우튀김과 레몬을 올려 완성한다.</t>
  </si>
  <si>
    <t>&lt;최현석 - 치튀치튀뱅뱅&gt;
● 재료
크림치즈, 오리엔탈 드레싱, 딸기잼, 딸기, 청포도, 버터, 토마토소스, 밀가루
● 조리 방법
1. 크림치즈를 적당한 크기로 썬다.
2. 크림치즈를 둥글게 빚어 밀가루를 묻힌다.
3. 버터, 딸기, 토마토소스를 끓여 소스를 만든다.
4. 소스를 갈아 체에 거른다.
5. 소스에 딸기잼을 넣는다.
6. 다른 냄비에 오리엔탈 드레싱, 딸기잼을 섞은 후 갈아서 두 번째 소스를 만든다.
7. 밀가루에 물을 넣어 튀김옷을 만든 후 얼음을 넣는다.
8. 크림치즈에 튀김옷을 입혀 튀긴다.
9. 튀김 위에 반죽을 뿌려 눈꽃 모양을 만든다.
10. 청포도를 얇게 썬다.
11. 접시에 두 가지 소스, 크림치즈 튀김, 청포도를 올려 완성한다.</t>
  </si>
  <si>
    <t>&lt;이원일 - 사우나 육국수&gt;
● 재료
냉동만두, 페페론치노, 소주, 소고기 등심, 양송이버섯, 마카다미아, 곶감, 바닐라 아이스크림, 소면, 다진 생강, 다진 마늘, 양파, 대파, 고춧가루, 된장, 깻잎
● 조리 방법
1. 물에 으깬 냉동만두, 생강즙, 다진 마늘, 소주를 넣고 끓여 육수를 낸다.
2. 다진 마늘, 양파, 대파, 고춧가루, 페페론치노를 함께 볶는다.
3. 2에 소주를 넣고 볶아 다진 양념을 만든다.
4. 다진 양념에 등심, 양송이버섯을 넣고 볶아준다.
5. 육수를 체에 거른 후 다진 양념에 부어 끓인다.
6. 국물에 된장, 다진 마늘을 넣어 끓인다.
7. 마카다미아를 잘게 부순다.
8. 넓게 펼친 곶감에 마카다미아를 놓고 말아준 다음 적당한 크기로 썬다.
9. 바닐라 아이스크림 위에 마카다미아 곶감말이를 올린다.
10. 소면을 삶은 후 찬물에 헹군다.
11. 소면 위에 육개장 국물을 붓고 깻잎을 올린 후 밥과 함께 낸다.</t>
  </si>
  <si>
    <t>냉장고를 부탁해 시즌 1, 20화</t>
  </si>
  <si>
    <t>&lt;이연복 - 완소짬뽕&gt;
● 재료
낙지, 양송이버섯, 새우, 칼국수 면, 달걀, 고추, 양파, 마늘, 대파, 전분
● 조리 방법
1. 낙지를 먹기 좋은 크기로 썬다.
2. 고추, 양송이버섯, 양파, 마늘, 대파 등 채소를 손질해 둔다.
3. 손질한 새우를 다진다.
4. 칼국수 면을 삶는다.
5. 고추와 대파에 간장을 넣어 볶는다.
6. 나머지 채소, 고춧가루를 넣고 볶다가 면수를 부어준다.
7. 6에 낙지를 넣어 함께 끓인다.
8. 새우, 전분, 달걀물을 섞어 반죽한다.
9. 새우 완자를 만들어 국물에 넣고 끓인다.
10. 칼국수 면을 건져 찬물→뜨거운물→찬물 순으로 헹구고 접시에 담는다.
11. 면에 짬뽕 국물을 부어 마무리한다.</t>
  </si>
  <si>
    <t>&lt;홍석천 - 털업 샐러드&gt;
● 재료
렌틸콩, 페페론치노, 주꾸미, 새우, 요거트, 메이플 시럽, 된장, 양파, 당근, 청양고추, 버터, 마늘, 고춧가루, 레몬즙, 마르메산 치즈, 레몬
● 조리 방법
1. 물에 된장을 풀어 육수를 낸다.
2. 양파, 당근을 다져서 팬에 볶는다.
3. 볶던 채소에 된장 육수를 부어 졸인다.
4. 3에 불려놓은 렌틸콩을 넣어 졸인다.
5. 페페론치노, 청양고추를 넣어준다.
6. 버터에 마늘을 다져 넣어 마늘버터를 만든다.
7. 주꾸미, 새우를 손질해 마늘버터에 넣고 고춧가루로 간을 한다.
8. 주꾸미와 새우에 레몬즙을 뿌려준다.
9. 렌틸콩에 파르메산 치즈를 뿌린다.
10. 요거트에 메이플 시럽, 레몬즙, 레몬껍질을 섞어 소스를 만든다.
11. 렌틸콩 위에 주꾸미, 새우를 올린 다음 요거트 소스를 담아낸다.</t>
  </si>
  <si>
    <t>&lt;정창욱 - 하우 두 유두?&gt;
● 재료
두부, 소고기 등심, 양송이버섯, 달걀, 레드페퍼, 소금, 후추, 국수장국, 맛술, 식초, 다진생강, 대파, 전분, 밀가루, 양파, 버터, 케첩, 돈가스 소스, 설탕
● 조리 방법
1. 면포를 이용해 두부의 물기를 뺀다.
2. 잘게 썬 소고기 등심에 소금, 후추 간을 하고 믹서에 간다.
3. 2에 양송이버섯을 넣고 함께 간다.
4. 국수장국, 맛술, 식초, 다진 생강을 넣어 소스를 만든다.
5. 소스에 대파를 넣어 끓인다.
6. 소스에 전분물을 풀어 넣는다.
7. 두부, 소고기, 버섯, 달걀을 섞어 반죽한다.
8. 반죽을 동그랗게 빚어 밀가루를 묻힌 후 팬에 굽는다.
9. 다진 양파에 버터를 넣고 볶아준다.
10. 양파에 케첩, 돈가스 소스, 설탕을 넣어 두 번째 소스를 만든다.
11. 레드페퍼를 넣어 끓인다.
12. 두부 스테이크에 간장 소스, 케첩 소스를 뿌려 낸다.</t>
  </si>
  <si>
    <t>&lt;김풍 - 치즈 듬풍 토스트&gt;
● 재료
호두, 식빵, 체다 치즈, 모차렐라 치즈, 설탕, 소금
● 조리 방법
1. 설탕에 물을 넣고 끓여 시럽을 만든다.
2. 시럽에 호두를 넣어 졸인다.
3. 버터를 두른 팬에 소금을 뿌린 후 식빵을 굽는다.
4. 식빵 위에 체다 치즈 &gt; 모차렐라 치즈 순서로 얹어준다.
5. 치즈 위에 시럽에 졸인 호두를 올린다.
6. 호두 위에 체다 치즈를 올리고, 구운 식빵을 덮어 치즈를 녹인다.
7. 식빵을 반으로 자른 다음 접시에 올려 낸다.</t>
  </si>
  <si>
    <t>냉장고를 부탁해 시즌 1, 21화</t>
  </si>
  <si>
    <t>&lt;샘킴 - 샘 앤 치즈 그라탱&gt;
● 재료
감자, 마카로니, 우유, 모차렐라 치즈, 체다 치즈, 소금, 버터, 밀가루, 양파
● 조리 방법
1. 감자를 얇게 썰어 소금을 넣고 삶는다.
2. 마카로니에 소금을 넣고 삶는다.
3. 버터에 밀가루를 넣고 볶다가 우유, 소금을 넣어 끓인다.
4. 3에 모차렐라 치즈와 체다 치즈를 넣어 끓인다.
5. 삶은 감자에 버터, 소금, 후추, 치즈 소스를 넣고 으깬다.
6. 양파를 볶는다.
7. 볶던 양파에 삶은 마카로니, 버터, 후추를 넣고 함께 볶는다.
8. 7에 치즈 소스와 체다 치즈를 넣어준다.
9. 그릇에 볶은 마카로니를 넣고 후추를 뿌려준다.
10. 마카로니 위에 으깬 감자를 얹고 토치로 표면을 익혀 낸다.</t>
  </si>
  <si>
    <t>&lt;미카엘 - 베리베리 러블리걸&gt;
● 재료
마카로니, 블루베리, 우유, 달걀, 호두, 키위, 석류, 소금, 설탕, 버터
● 조리 방법
1. 끓는 물에 마카로니와 소금을 넣어 삶는다.
2. 블루베리에 설탕을 부어 졸인다.
3. 우유를 따뜻하게 데운다.
4. 데운 우유에 설탕, 달걀, 버터를 넣어 섞는다.
5. 삶은 마카로니를 건져 찬물에 헹군 후, 버터를 넣고 볶는다.
6. 그릇에 버터를 바른다.
7. 호두를 잘게 다진다.
8. 그릇에 마카로니, 다진 호두, 달걀을 섞은 우유를 넣어준다.
9. 7을 전자레인지에 넣어 익힌다.
10. 접시에 마카로니, 키위, 블루베리, 석류를 올려서 완성한다.</t>
  </si>
  <si>
    <t>&lt;박준우 - LOL : The love of your life&gt;
● 재료
감자, 우유, 만두, 불고기, 식빵, 부추, 복분자 원액, 석류, 강황 가루, 소금, 버터, 올리브오일, 설탕
● 조리 방법
1. 감자를 잘게 자른다.
2. 끓는 물에 소금을 넣고 감자를 삶는다.
3. 삶은 감자에 우유와 소금을 넣고 끓인다.
4. 버터를 두른 팬에 만두소와 불고기를 볶는다.
5. 식빵의 가장자리를 자르고 밀대로 밀어 얇게 편다.
6. 식빵에 볶은 고기를 넣고 말아서 팬에 굽는다.
7. 부추와 올리브오일을 믹서에 넣고 갈아 부추오일을 만든다.
8. 복분자 원액, 설탕, 석류즙을 넣고 끓여 소스를 만든다.
9. 만두피를 튀긴다.
10. 감자에 강황 가루를 넣고 블렌더로 갈아준다.
11. 10에 우유와 버터를 넣어 함께 간다.
12. 불고기롤에 복분자 소스를 바른다.
13. 접시에 감자 퓌레, 불고기롤, 부추오일, 튀긴 만두피를 올려서 완성한다.</t>
  </si>
  <si>
    <t>&lt;정창욱 - 순결한 튀김&gt;
● 재료
소고기 안심, 사과, 블루 치즈, 태국고추, 멸치액젓, 마카다미아, 레몬청, 양상추, 소금, 후추, 청양고추, 식초, 레몬즙, 설탕, 다진 마늘, 파
● 조리 방법
1. 소고기 안심을 반으로 갈라 넓게 편다.
2. 소고기 안심에 소금, 후추로 간을 한다.
3. 사과를 다진다.
4. 넓게 편 소고기 안심에 사과와 블루 치즈를 넣어 말아준다.
5. 안심롤에 밀가루&gt;달걀물&gt;빵가루 순서로 튀김옷을 입힌다.
6. 안심롤을 기름에 튀긴다.
7. 튀긴 안심롤을 전자레인지에 넣어 속까지 익힌다.
8. 청양고추, 태국고추, 멸치액젓, 식초, 레몬즙, 설탕, 다진 마늘, 다진 파를 섞어 소스를 만든다.
9. 8에 다진 마카다미아와 레몬청을 넣어 소스를 완성한다.
10. 양상추 위에 안심롤을 올리고 후추를 뿌린 후 소스와 함께 낸다.</t>
  </si>
  <si>
    <t>냉장고를 부탁해 시즌 1, 22화</t>
  </si>
  <si>
    <t>&lt;이연복 - 고기 차이나&gt;
● 재료
닭가슴살, 달걀, 채끝살, 청경채, 파프리카, 굴소스, 양상추, 감자 전분, 밀가루, 식용유, 양파, 대파, 마늘, 간장, 설탕, 식초, 레몬즙, 다진 마늘
● 조리 방법
1. 닭가슴살을 적당한 크기로 썬다.
2. 감자 전분, 밀가루, 물을 섞어 튀김 반죽을 만든다.
3. 반죽에 달걀물과 식용유를 넣는다.
4. 닭가슴살에 반죽을 입혀 튀긴다.
5. 채끝살을 감자 전분, 달걀물과 섞어 기름에 볶는다.
6. 볶은 채끝살을 체에 받쳐 기름기를 뺀다.
7. 청경채, 파프리카, 양파, 대파, 마늘을 볶는다.
8. 7에 간장과 굴소스를 넣는다.
9. 채소에 볶은 채끝살을 넣어 함께 볶는다.
10. 튀긴 닭가슴살을 체에 받쳐 기름기를 뺀다.
11. 간장, 설탕, 식초, 레몬즙, 다진 마늘을 섞어 소스를 만든다.
12. 소스에 다진 파를 넣어 준다.
13. 양상추, 양파 위에 튀긴 닭가슴살을 얹고 소스와 함께 낸다.</t>
  </si>
  <si>
    <t>&lt;김풍 - 힘을 내요 슈퍼 나베&gt;
● 재료
사골 육수, 양지머리, 양배추, 송화 버섯, 청경채, 소면, 팽이 버섯, 소고기 안심, 깻잎, 달걀, 된장, 마늘, 대파, 국간장
● 조리 방법
1. 사골 육수에 된장을 풀어 끓인다
2. 체를 받치고 마늘, 대파, 양지머리를 넣어 고기 육수를 낸다.
3. 국물에 양배추, 송화 버섯, 청경채를 넣어 끓인다.
4. 소면을 삶아 찬물에 헹군다.
5. 국간장으로 간을 한 후 팽이버섯을 넣는다.
6. 얇게 썬 소고기 안심, 깻잎을 넣는다.
7. 소면을 넣는다.
8. 달걀 노른자와 간장을 섞은 소스를 곁들여 낸다.</t>
  </si>
  <si>
    <t>&lt;미카엘 - 소테미너&gt;
● 재료
방울 양배추, 콜리플라워, 파프리카, 브로콜리, 살치살, 소금, 버터, 마늘, 양파, 후추
● 조리 방법
1. 적은 양의 물에 방울 양배추, 콜리플라워, 파프리카, 브로콜리를 넣고 뚜껑을 닫아 익힌다.
2. 채소에 소금, 버터, 으깬 마늘을 넣어준다.
3. 양파에 밀가루를 묻혀 튀긴다.
4. 살치살에 소금, 후추 간을 해서 굽는다.
5. 구운 살치살, 튀긴 양파, 소테한 채소를 함께 낸다.</t>
  </si>
  <si>
    <t>&lt;이원일 - 초코 모찌 맛있찌&gt;
● 재료
초코 비스킷, 쑥떡, 달걀, 커피 음료, 믹스커피, 커피 우유, 냉동 블루베리, 딸기, 아이스크림, 버터, 소금, 밀가루, 설탕
● 조리 방법
1. 초코 비스킷을 으깨어 버터와 섞은 후 전자레인지에 넣어 녹인다.
2. 녹인 초코 비스킷에 소금을 살짝 넣어준다.
3. 원형 틀 안에 초코 비스킷을 깔고 잘게 썬 쑥떡을 얹어 케이크 시트를 만든다.
4. 케이크 시트를 냉동실에 넣어 둔다.
5. 달걀 노른자에 커피 음료, 믹스커피, 밀가루, 설탕을 넣고 섞는다.
6. 5에 버터를 넣고 끓여 모카 크림을 만든다.
7. 모카 크림에 커피 우유를 넣어준다.
8. 모카 크림을 체에 거른다.
9. 얼음물 위에서 모카 크림을 식힌다.
10. 냉동 블루베리를 설탕에 졸인다.
11. 냉동실에서 케이크 시트를 꺼낸 후 아이스크림을 올린다.
12. 11에 모카 크림을 부어준다.
13. 케이크 위에 딸기를 올리고 블루베리 소스를 뿌려 장식한다.</t>
  </si>
  <si>
    <t>냉장고를 부탁해 시즌 1, 23화</t>
  </si>
  <si>
    <t>&lt;최현석 - 수플레가 머랭?&gt;
● 재료
초콜릿, 달걀, 커피 우유, 냉동 블루베리, 설탕, 전분
● 조리 방법
1. 초콜릿은 중탕한다.
2. 달걀 흰자를 분리해 설탕을 넣고 거품을 낸다.
3. 수플레 컵에 버터와 설탕을 바른다.
4. 중탕한 초콜릿에 커피 우유를 넣는다.
5. 머랭에 녹인 초콜릿을 섞는다.
6. 수플레 컵에 반죽을 반 정도 담는다.
7. 6에 블루베리를 올리고 나머지 반죽을 담는다.
8. 오븐에 넣고 익힌다.
9. 설탕과 전분을 믹서에 넣고 갈아준다.
10. 수플레 위에 슈거파우더를 뿌려 완성한다.</t>
  </si>
  <si>
    <t>&lt;박준우 - 그.레.요 (그대를 위한 레토르트 요리)&gt;
● 재료
토마토 소스, 참치 통조림, 건자두, 레드 와인, 달걀, 햄 통조림, 옥수수 수프 분말, 데친 브로콜리, 버터, 양파, 즉석밥, 레드 와인, 설탕, 밀가루, 빵가루, 파르메산 치즈, 후추
● 조리 방법
1. 버터를 두른 팬에 양파를 볶는다.
2. 볶던 양파에 즉석밥, 토마토 소스를 넣고 함께 볶는다.
3. 2에 기름을 뺀 참치, 파르메산 치즈를 넣고 볶는다.
4. 버터를 두른 냄비에 건자두를 볶다가 레드 와인, 설탕을 넣어 졸인다.
5. 햄을 으깬 후 달걀, 밀가루와 섞는다.
6. 햄 반죽 안에 참치를 넣어 동그랗게 빚는다.
7. 6에 밀가루&gt;달걀물&gt;빵가루 순으로 튀김옷을 입혀 튀긴다.
8. 물에 옥수수 수프 분말을 넣고 끓이다 파르메산 치즈, 후추를 넣어 소스를 만든다.
9. 토마토 리소토 위에 옥수수 수프 소스를 뿌린다.
10. 9에 햄 튀김을 올리고 건자두, 데친 브로콜리를 올려 완성한다.</t>
  </si>
  <si>
    <t>&lt;홍석천 - 수픈데 오믈렛&gt;
● 재료
달걀, 햄 통조림, 참치 통조림, 데친 브로콜리, 머스터드 소스, 옥수수 수프 분말, 스위트 칠리 소스, 레몬, 소금, 후추, 버터, 올리브유, 설탕
● 조리 방법
1. 달걀 노른자와 흰자를 분리한다.
2. 노른자에 레몬 껍질, 레몬즙을 넣고 소금, 후추 간을 한다.
3. 노른자를 체에 거른다.
4. 흰자는 거품을 낸다.
5. 노른자에 잘게 자른 햄, 흰자 거품을 넣고 섞는다.
6. 팬에 버터를 녹인 후 오믈렛 재료를 담는다.
7. 6을 오븐에 넣어 익힌다.
8. 참치와 데친 브로콜리를 섞어 샐러드를 만든다.
9. 머스터드 소스, 올리브유, 레몬즙, 설탕을 섞어 소스를 만든 후 샐러드와 섞는다.
10. 물에 옥수수 수프 분말을 넣고 끓이다 후추 간을 한다.
11. 옥수수 수프에 스위트 칠리 소스, 레몬즙을 섞어 소스를 만든다.
12. 접시에 샐러드와 오믈렛을 담고 옥수수 수프 소스를 뿌려 완성한다.</t>
  </si>
  <si>
    <t>&lt;박준우 - 빠리송로&gt;
● 재료
치킨 스톡, 두부, 느타리버섯, 트러플 소스, 우유, 트러플 오일, 당근, 버터, 양파
● 조리 방법
1. 물에 치킨 스톡, 당근을 넣어 끓인다.
2. 두부의 물기를 제거하고 4등분 한다.
3. 기름에 두부를 살짝 튀긴다.
4. 버터, 느타리버섯, 양파를 함께 볶다가 소금, 후추, 다진 생강을 넣는다.
5. 두부의 속을 파낸다.
6. 볶은 버섯을 잘게 다진다.
7. 두부에 다진 버섯, 트러플 소스를 넣어 속을 채운다.
8. 냄비에 체를 밭쳐 육수를 걸러낸다.
9. 당근을 핸드 블렌더로 갈아 준다.
10. 9에 육수, 우유를 넣고 갈아 당근 퓌레를 만든다.
11. 접시에 당근 퓌레와 속을 채운 두부를 올리고 트러플 소스를 올린다.
12. 트러플 오일을 뿌려 완성한다.</t>
  </si>
  <si>
    <t>냉장고를 부탁해 시즌 1, 24화</t>
  </si>
  <si>
    <t>&lt;샘킴 - 머라노&gt;
● 재료
표고버섯, 느타리버섯, 그라나파다노 치즈, 올리브 오일, 양파, 당근, 올리브 오일, 마늘, 즉석밥, 버터, 소금, 후추
● 조리 방법
1. 표고버섯을 따뜻한 물에 넣어 우린다.
2. 양파, 당근을 큼직하게 썰어 소금을 넣고 볶는다.
3. 2에 물을 붓고 끓여 채소 육수를 낸다.
4. 올리브 오일을 두른 팬에 마늘과 표고버섯, 느타리버섯을 넣고 볶는다.
5. 버섯에 즉석밥을 넣고 함께 볶는다.
6. 5에 표고버섯을 우린 물과 채소 육수를 부어가며 리소토를 만든다.
7. 리소토에 그라나파다노 치즈를 갈아 넣는다.
8. 버터를 두른 팬에 느타리버섯을 볶는다.
9. 접시에 리소토를 담고 치즈를 갈아 올린 후, 볶은 느타리버섯을 올린다.
10. 리소토에 후추를 뿌려 완성한다.</t>
  </si>
  <si>
    <t>&lt;미카엘 - 파프리콘&gt;
● 재료
파프리카, 토마토 통조림, 파슬리, 바질페스토, 페타 치즈, 옥수수, 블랙 올리브, 마늘, 소금, 후추, 올리브 오일, 밀가루
● 조리 방법
1. 파프리카의 껍질을 태운다.
2. 믹서기에 토마토 통조림, 마늘, 고추, 파슬리, 바질페스토, 소금, 후추, 올리브 오일을 넣고 간다.
3. 페타 치즈와 옥수수를 섞는다.
4. 파프리카의 껍질을 벗긴다.
5. 파프리카에 페타 치즈와 옥수수 섞은 것을 넣어 속을 채운다.
6. 5에 밀가루를 묻혀 굽는다.
7. 파프리카에 토마토 소스를 부어 함께 끓인다.
8. 토마토 소스에 옥수수를 넣고 볶아준다.
9. 접시에 속을 채운 파프리카를 놓고 생 파프리카, 블랙 올리브를 올린다.
10. 옥수수를 넣어 볶은 토마토 소스와 파슬리를 올려 완성한다.</t>
  </si>
  <si>
    <t>&lt;정창욱 - 섬섬옥수수&gt;
● 재료
옥수수, 리코타 치즈, 치킨 스톡, 우유, 해바라기씨, 트러플 오일, 그라나파다노 치즈, 버터, 마늘, 양파, 소금, 후추, 밀가루, 설탕
● 조리 방법
1. 버터를 두른 팬에 으깬 마늘, 다진 양파, 소금을 넣고 볶는다.
2. 볶던 양파에 옥수수를 넣어 함께 볶는다.
3. 우유에 리코타 치즈를 넣고 끓인다.
4. 3에 치킨 스톡을 넣는다.
5. 치킨 스톡과 치즈를 넣고 끓인 우유를 옥수수에 부어 함께 끓인다.
6. 5를 믹서에 넣고 갈아준다.
7. 옥수수 수프에 버터, 소금, 후추를 넣는다.
8. 밀가루, 설탕, 우유, 달걀, 소금을 섞어 튀김 반죽을 만든다.
9. 반죽에 해바라기씨, 옥수수를 넣은 후 트러플 오일을 섞어 준다.
10. 반죽을 한 숟가락씩 덜어 기름에 튀긴다.
11. 옥수수 수프 위에 옥수수 튀김을 올리고 그라나파다노 치즈를 갈아 올린다.</t>
  </si>
  <si>
    <t>&lt;최현석 - 스푼 파스타&gt;
● 재료
밴댕이, 갑오징어 알, 새우, 키조개 관자, 카망베르 치즈, 올리브 오일, 다진 마늘, 후추
● 조리 방법
1. 물에 밴댕이를 넣고 끓여 육수를 낸다.
2. 파스타면을 펼치지 않고 한데 모아 삶는다.
3. 살짝 익은 면을 찬물에 헹군 뒤 잘게 썬다.
4. 갑오징어 알, 새우, 키조개 관자를 손질한다.
5. 팬에 올리브 오일을 두르고다진 마늘, 갑오징어 알, 새우, 키조개 관자를 함께 볶는다.
6. 5에 올리브유를 한 번 더 두르고, 후추로 간을 한다.
7. 밴댕이 육수를 부어준 다음, 잘게 썬 파스타면을 넣어 익힌다.
8. 잘게 썬 파스타면을 넣어 익힌다.
9. 파스타에 카망베르 치즈를 잘게 썰어 넣는다.
10. 접시에 파스타를 담아낸다.</t>
  </si>
  <si>
    <t>냉장고를 부탁해 시즌 1, 25화</t>
  </si>
  <si>
    <t>&lt;이연복 - 연복쌈&gt;
● 재료
전복, 돼지고기, 애호박, 오이, 춘장, 전복소스, 양파, 밀가루, 소금, 참기름, 올리브 오일, 대파
● 조리 방법
1. 끓는 물에 전복을 삶는다.
2. 돼지고기를 가늘게 썬다.
3. 양파, 애호박을 잘게 썬다.
4. 대파와 오이를 채 썰어 접시에 담아둔다.
5. 밀가루에 소금을 넣고 뜨거운 물을 부어가며 춘빙 반죽을 만든다.
6. 춘빙 반죽을 적당한 크기로 떼어 납작하게 누른 후 한쪽 면에 참기름을 바른다.
7. 참기름을 바른 쪽이 서로 마주보도록 춘빙 반죽을 두 개 합친 후 밀대로 얇게 민다.
8. 삶은 전복을 얇게 채 썬다.
9. 기름을 두른 팬에 손질해 둔 양파, 애호박, 돼지고기, 전복을 넣고 볶는다.
10. 9에 춘장, 전복소스, 올리브 오일을 넣어 볶는다.
11. 팬에 춘빙 반죽을 굽는다.
12. 구운 춘빙 반죽을 바닥에 강하게 내리쳐 두 장으로 분리한다.
13. 채썬 대파, 오이를 담아 놓은 접시에 춘빙을 접어 낸다.
14. 다른 접시에 볶은 돼지고기와 전복을 얹어 낸다.</t>
  </si>
  <si>
    <t>&lt;김풍 - 갈갈이 풍면&gt;
● 재료
황태채, 새우가루, 홍합가루, 토마토, 할라피뇨, 매실 장아찌, 마늘 장아찌, 매실액, 삼겹살, 엔젤헤어, 고춧가루, 올리브 오일, 후추
● 조리 방법
1. 믹서에 황태채, 새우가루, 홍합가루, 고춧가루를 넣고 간다.
2. 1에 토마토, 할라피뇨, 매실 장아찌, 마늘 장아찌, 매실액, 올리브 오일을 넣고 간다.
3. 삼겹살에 후추 간을 해서 굽는다.
4. 엔젤헤어를 삶는다.
5. 면을 건져 찬물에 헹군다.
6. 접시에 적당한 크기로 자른 삼겹살을 얹는다.
7. 6에 면, 토마토 소스를 올려 완성한다.</t>
  </si>
  <si>
    <t>&lt;이원일 - 한식 브런찜&gt;
● 재료
솔잎, 굴비채, 눈개승마, 아가베 시럽, 유자청, 된장, 요리술, 즉석밥, 소금, 다진 마늘, 다진 파, 고춧가루, 깨, 참기름, 양조간장
● 조리 방법
1. 끓는 물에 된장을 풀고 요리술을 넣어 끓인다.
2. 찜기에 솔잎을 올리고 굴비채를 찐다.
3. 즉석밥을 전자레인지에 넣고 익힌다.
4. 끓는 물에 소금을 넣고 눈개승마를 데친다.
5. 데친 눈개승마를 차가운 물에 담가 놓는다.
6. 다진 마늘, 다진 파, 된장, 아가베 시럽을 섞는다.
7. 6에 고춧가루, 깨를 갈아 넣어 나물 양념을 만든다.
8. 물기를 뺀 눈개승마에 나물 양념과 참기름을 넣고 무친다.
9. 접시에 밥과 나물을 올린다.
10. 대파, 양조간장, 유자청, 아가베 시럽, 물을 섞어 굴비채 양념을 만든다.
11. 찐 굴비채를 접시에 담고 굴비채 양념을 올려 완성한다.</t>
  </si>
  <si>
    <t>&lt;김풍 - 연복풍 덮밥&gt;
● 재료
게맛살, 고량주, 팽이버섯, 달걀, 식용유, 참기름, 마늘, 생강, 대파, 간장, 고춧가루, 전분, 즉석밥
● 조리 방법
1. 팬에 식용유와 참기름을 두른 후 다진 마늘, 다진 생강을 넣어 볶는다.
2. 1에 길게 썬 대파를 넣어 볶는다.
3. 간장, 고춧가루, 게맛살을 넣고 함께 볶는다.
4. 고량주를 넣어 볶는다.
5. 팽이버섯을 넣어 볶는다.
6. 전분물을 넣어준다.
7. 달걀 프라이를 만든다.
8. 즉석밥을 전자레인지에 데운다.
9. 달걀 프라이에 물을 조금 붓고 뚜껑을 닫아 익힌다.
10. 접시에 즉석밥을 담고 볶은 재료와 달걀 프라이를 올린다.</t>
  </si>
  <si>
    <t>냉장고를 부탁해 시즌 1, 26화</t>
  </si>
  <si>
    <t>&lt;샘킴 - 윌나잇까스&gt;
● 재료
소고기 등심, 달걀, 팽이버섯, 당근, 양파, 소금, 후추, 버터, 밀가루, 레몬즙, 밀가루, 빵가루
● 조리 방법
1. 큼직하게 썬 당근과 양파를 볶는다.
2. 1에 물을 붓고 끓여 채소 육수를 만든다.
3. 소고기 등심 위 아래로 비닐을 깔고 고기를 두드려 얇게 편다.
4. 고기에 칼집을 넣은 다음 소금, 후추 간을 한다.
5. 버터와 밀가루를 볶아 루를 만든다.
6. 다진 양파를 볶다가 레몬즙과 채소 육수를 넣는다.
7. 6에 루를 넣어 레몬 소스를 만든다.
8. 고기에 밀가루-달걀-빵가루 순으로 튀김옷을 입혀 굽는다.
9. 기름 두른 팬에 팽이버섯을 볶는다.
10. 고기와 버섯에 버터를 넣어준다.
11. 고기에 버터를 끼얹으며 굽는다.
12. 접시에 레몬 소스를 붓고 돈가스, 볶은 팽이버섯을 올려 낸다.</t>
  </si>
  <si>
    <t>&lt;이원일 - 이것이 원윌이닭&gt;
● 재료
닭가슴살, 메밀라면, 알배추, 사과, 깻잎, 사과 주스, 소금, 후추, 레몬즙, 식초, 마늘, 고추, 연겨자
● 조리 방법
1. 닭가슴살을 얇게 썬 다음 소금, 후추 간을 한다.
2. 닭가슴살을 비닐팩에 넣어 최대한 공기를 뺀 후 밀봉한다.
3. 비닐팩에 넣은 닭가슴살을 따뜻한 물에 넣어 익힌다.
4. 메밀라면을 익힌다.
5. 익힌 메밀라면은 얼음물에 담가둔다.
6. 알배추, 사과, 깻잎은 채 썰어 얼음물에 담가둔다.
7. 쌈무를 잘게 썰어둔다.
8. 익은 닭가슴살을 잘게 찢는다.
9. 물김치 국물에 사과 주스, 식초, 레몬즙, 설탕, 다진 마늘, 고추, 연겨자, 닭고기 육수를 섞는다.
10. 9에 얼음을 넣는다.
11. 그릇에 메밀라면과 닭고기, 채 썬 채소를 올리고 국물을 붓는다.</t>
  </si>
  <si>
    <t>&lt;미카엘 - 치킨 마요랑깨&gt;
● 재료
닭가슴살, 김치, 달걀, 간장, 후추, 마늘, 깨, 밀가루, 허니 머스터드, 레몬즙, 소금, 청양고추
● 조리 방법
1. 닭가슴살을 길게 썰어 간장, 후추로 간을 한다.
2. 닭가슴살에 믹서에 간 김치, 으깬 마늘을 넣는다.
3. 깨와 밀가루를 섞어 준비한다.
4. 닭가슴살에 달걀물을 섞은 다음 3을 묻혀 준다.
5. 닭가슴살을 튀긴다.
6. 달걀 노른자에 허니 머스터드, 레몬즙을 넣고 거품기로 섞는다.
7. 올리브 오일을 조금씩 넣어가며 섞는다.
8. 소금을 조금 넣는다.
9. 접시에 튀긴 닭가슴살, 김치, 청양고추를 썰어 넣은 마요네즈를 같이 낸다.</t>
  </si>
  <si>
    <t>&lt;최현석 - 감동의 더가니&gt;
● 재료
새우, 인스턴트 도가니탕, 레드 와인, 더치커피, 선드라이드 토마토, 파슬리, 미나리 잎, 소금, 후추, 밀가루, 토마토 소스, 올리브 오일, 즉석밥, 레몬
● 조리 방법
1. 새우 껍질을 벗긴다.
2. 새우 등에 칼집을 넣고 소금, 후추 간을 한다.
3. 새우에 밀가루를 묻힌 후 마늘을 볶던 팬에 굽는다.
4. 인스턴트 도가니탕을 끓인다.
5. 냄비에 레드와인을 넣고 졸인다.
6. 도가니탕에 졸인 레드와인, 더치커피를 넣고 끓여 소스를 만든다.
7. 6에 토마토 소스를 넣는다.
8. 설탕을 넣는다.
9. 버터에 밀가루를 묻힌 후 소스에 넣어 점도를 잡는다.
10. 즉석밥을 데운다.
11. 선드라이드 토마토를 잘게 다진 후 즉석밥, 올리브 오일과 섞는다.
12. 새우에 화이트 와인을 뿌린다.
13. 밥에 파슬리를 넣고 동그랗게 모양을 잡는다.
14. 접시에 밥과 새우를 올린다.
15. 소스를 붓고 미나리 잎으로 장식한 후, 레몬껍질을 갈아 올린다.</t>
  </si>
  <si>
    <t>냉장고를 부탁해 시즌 1, 27화</t>
  </si>
  <si>
    <t>&lt;홍석천 - 치사의 사탑&gt;
● 재료
사과, 살치살, 포트 와인, 레드 와인, 소시지, 베이컨, 할라피뇨, 베이크드 빈, 표고 버섯, 스리라차 소스, 칠리 플레이크, 파슬리, 버터, 양파, 다진 마늘, 케첩, 설탕
● 조리 방법
1. 버터를 두른 팬에 동그랗게 썬 사과를 굽는다.
2. 버터를 두른 팬에 살치살을 굽는다.
3. 원형틀을 놓고 사과-살치살-사과-살치살 순으로 쌓는다.
4. 3에 포트 와인과 레드 와인을 붓고 끓인다.
5. 적당히 졸여진 사과와 살치살을 접시에 옮겨 담는다.
6. 양파, 소시지, 베이컨, 할라피뇨를 볶는다.
7. 6에 토마토 소스와 베이크드 빈을 넣어 카술레를 만든다.
8. 팬에 레드와인을 붓고 다진 마늘, 표고 버섯, 케첩, 스리라차 소스를 넣는다.
9. 8에 칠리 플레이크, 설탕, 버터를 넣어 레드 와인 소스를 만든다.
10. 사과와 살치살 위에 레드 와인 소스를 뿌리고 카술레를 따로 담는다.
11. 파슬리와 할라피뇨로 장식한다.</t>
  </si>
  <si>
    <t>&lt;박준우 - 와인퐁당&gt;
● 재료
스모크 치즈, 화이트 와인, 카망베르 치즈, 애호박, 살치살, 새우, 칠리 플레이크, 로즈마리, 마늘
● 조리 방법
1. 스모크 치즈를 잘게 썬다.
2. 냄비에 화이트 와인을 붓고 스모크 치즈를 넣어 끓인다.
3. 2에 카망베르 치즈를 넣고 끓여 치즈 소스를 만든다.
4. 마늘, 애호박, 살치살을 그릴팬에 굽는다.
5. 손질한 새우를 그릴팬에 굽는다.
6. 치즈 소스를 체에 거른다.
7. 접시에 구운 애호박, 새우, 살치살을 담는다.
8. 애호박과 살치살 위에 칠리 플레이크를 뿌린다.
9. 새우 위에 로즈마리를 뿌린다.
10. 치즈 소스에 칠리 플레이크를 뿌려 함께 낸다.</t>
  </si>
  <si>
    <t>&lt;정창욱 - 우와한 양갈비&gt;
● 재료
사과, 애호박, 베이크드 빈, 베이컨, 블랙 올리브, 양갈비, 레드 와인, 표고 버섯, 로즈마리, 파슬리, 칠리 플레이크, 양꼬치 분말 소스, 버터, 소금, 후추, 다진 마늘, 식용유
● 조리 방법
1. 사과와 애호박을 잘게 다진다.
2. 베이크드 빈을 물에 헹군다.
3. 베이컨을 잘게 다진다.
4. 버터를 두른 팬에 다진 재료들과 베이크드 빈, 블랙 올리브를 넣고 볶는다.
5. 양갈비에 소금, 후추 간을 한다.
6. 레드 와인에 다진 표고 버섯, 다진 마늘을 넣고 끓인다.
7. 6에 소금, 설탕을 넣고 끓인다.
8. 재료를 걸러낸 끓인 레드 와인을 볶던 채소에 붓는다.
9. 식용유를 두른 팬에 양갈비를 굽는다.
10. 접시 위에 구운 양갈비를 놓고 레스팅한다.
11. 양갈비를 굽던 팬에 포트 와인을 부어 알코올을 날린다.
12. 끓인 포트 와인에 로즈마리를 넣는다.
13. 12에 버터와 후추를 넣고 졸여 포트 와인 소스를 만든다.
14. 볶은 채소 위에 양갈비를 올린다.
15. 양갈비 위에 포트 와인 소스를 두른다.
16. 파슬리와 칠리 플레이크를 뿌린다.
17. 한 쪽에 양꼬치 분말 소스를 곁들여 낸다.</t>
  </si>
  <si>
    <t>&lt;김풍 - 이길 만두 하자냐&gt;
● 재료
새우 물만두, 배추김치, 방울토마토, 양송이 수프 통조림, 모차렐라 치즈, 찬밥, 버터, 고추장, 설탕
● 조리 방법
1. 새우 물만두의 만두피와 만두소를 분리한다.
2. 배추김치를 다진다.
3. 버터를 두른 팬에 김치를 볶는다.
4. 방울토마토를 으깨어 넣는다.
5. 만두소를 으깨어 넣는다.
6. 고추장과 설탕을 넣어 볶는다.
7. 찬밥에 우유를 넣고 간다.
8. 7에 양송이 수프 통조림을 섞어 함께 끓인다.
9. 그릇에 볶은 김치&gt;만두피&gt;수프&gt;모차렐라 치즈를 얹고 전자레인지에 돌린다.</t>
  </si>
  <si>
    <t>냉장고를 부탁해 시즌 1, 28화</t>
  </si>
  <si>
    <t>&lt;이연복 - 복꽃엔딩&gt;
● 재료
달걀, 배추김치, 표고버섯, 돼지고기, 오징어, 굴소스, 식용유, 전분, 소금, 양파, 설탕, 밀가루
● 조리 방법
1. 팬에 기름을 두르고 한 번 살짝 닦는다.
2. 달걀에 전분, 소금을 섞는다.
3. 달군 팬에 달걀지단을 부친다.
4. 배추김치를 물에 한 번 헹군 뒤 잘게 다진다.
5. 양파, 표고버섯, 돼지고기를 잘게 썬다.
6. 살짝 데친 오징어를 잘게 썬다.
7. 팬에 기름을 두르고 양파와 돼지고기를 볶다가 간장을 넣는다.
8. 7에 김치, 표고버섯, 오징어를 넣어 함께 볶는다.
9. 굴소스를 넣는다.
10. 설탕을 넣는다.
11. 달걀지단에 볶은 재료를 올리고 김밥 말듯이 만다.
12. 11에 밀가루 푼 물을 바른 후 기름에 살짝 튀긴다.
13. 달걀춘권을 썰어 낸다.</t>
  </si>
  <si>
    <t>&lt;맹기용 - 맹모닝&gt;
● 재료
꽁치 통조림, 오렌지, 레몬 식초, 식빵, 토마토, 양송이 수프 통조림, 배추김치, 열무김치, 옥수수 통조림, 잣, 슬라이스 치즈, 다진 피클, 양파, 소금, 청양고추, 후추, 다진 마늘, 당근, 마요네즈
● 조리 방법
1. 꽁치 통조림의 국물과 건더기를 분리한다.
2. 꽁치를 반으로 자르고 오렌지 즙을 뿌려 재워둔다.
3. 꽁치에 레몬 식초를 뿌린다.
4. 재워둔 꽁치를 팬에 넣고 끓인다.
5. 4에 다진 양파와 소금을 넣고 볶는다.
6. 식빵을 토스트기에 넣어 굽는다.
7. 토마토를 얇게 썬다.
8. 꽁치 국물에 양송이 수프 통조림을 넣고 끓인다.
9. 8에 청양고추를 넣고, 우유를 부어 끓인다.
10. 식빵의 가장자리를 자른 후, 수프에 넣어 적신다.
11. 꽁치에 소금, 후추 간을 한다.
12. 꽁치에 다진 마늘을 넣는다.
13. 배추김치와 열무김치를 물에 헹군 후, 잘게 썬다.
14. 김치에 옥수수 통조림, 채 썬 당근, 마요네즈를 함께 넣어 버무린다.
15. 그릇에 김치 콘슬로우를 담고 다진 잣을 올린다.
16. 식빵에 볶은 꽁치를 올린 후, 수프에 적신 식빵을 올린다.
17. 16에 슬라이스 치즈, 토마토, 다진 피클을 얹고 식빵으로 덮는다.
18. 접시에 토스트와 김치 콘슬로우를 함께 낸다.</t>
  </si>
  <si>
    <t>&lt;이원일 - LA 떡다져스&gt;
● 재료
소고기, 떡국떡, 표고버섯, 관자구이 제품, 갈릭&amp;차이브 치즈, 맛간장, 모차렐라 치즈, 잣, 간장, 설탕, 다진 마늘, 참기름, 깨, 파, 양파
● 조리 방법
1. 소고기를 잘게 썬다.
2. 간장, 설탕, 다진 마늘, 참기름, 깨를 섞어 간장 양념을 만든다.
3. 간장 양념에 다진 파를 넣고 섞는다.
4. 잘게 썬 소고기를 믹서에 간다.
5. 간 소고기와 간장 양념을 섞는다.
6. 떡국떡을 다진다.
7. 양념한 소고기와 다진 떡을 섞은 후, 한 덩이씩 떼어 뭉친다.
8. 동그랗게 반죽한 소고기를 팬에 굽는다.
9. 표고버섯, 관자구이 제품, 양파, 갈릭&amp;차이브 치즈, 대파를 썰어 둔다.
10. 팬에 다진 마늘과 양파, 표고버섯, 대파, 갈릭&amp;차이브 치즈를 볶는다.
11. 10에 맛간장을 넣은 후, 관자구이 제품을 넣어 볶는다.
12. 볶은 재료들을 그릇에 담고, 모차렐라 치즈를 올려 전자레인지에 돌린다.
13. 철판에 떡갈비를 담고 잣을 올린다.
14. 떡갈비에 관자 버섯 볶음을 곁들인 후, 모차렐라 치즈를 올려 낸다.</t>
  </si>
  <si>
    <t>&lt;최현석 - 혜.품.닭&gt;
● 재료
닭가슴살, 리코타 치즈, 크림 치즈, 말린 크랜베리, 가쓰오부시, 샤프란, 생크림, 파슬리, 소금, 화이트 와인
● 조리 방법
1. 닭가슴살 위아래로 비닐을 깔고 냄비로 두드려 얇게 편다.
2. 얇게 편 닭가슴살에 소금 간을 한다.
3. 리코타 치즈와 크림 치즈, 말린 크랜베리를 섞는다.
4. 3을 닭가슴살 위에 놓고 럭비공 모양으로 말아준다.
5. 찜기에 물과 화이트 와인을 넣고, 말아놓은 닭가슴살을 찐다.
6. 체에 가쓰오부시를 넣고 따뜻한 물을 부어 육수를 낸다.
7. 가쓰오부시 육수에 샤프란을 넣는다.
8. 생크림에 소금을 조금 넣고 끓인다.
9. 생크림에 샤프란을 넣은 육수를 넣고 소금 간을 해 끓인다.
10. 그릇에 찐 닭가슴살을 담고 샤프란 소스를 붓는다.
11. 파슬리를 올려 완성한다.</t>
  </si>
  <si>
    <t>냉장고를 부탁해 시즌 1, 29화</t>
  </si>
  <si>
    <t>&lt;정창욱 - 커룽지&gt;
● 재료
페페론치노, 레드 페퍼, 커리 가루, 코코넛 밀크, 생크림, 방울토마토, 레드와인 식초, 다마리 간장, 진간장, 레드 커리 페이스트, 요거트, 닭가슴살, 누룽지, 그라나파다노 치즈, 바질, 고추, 양파, 설탕, 소금, 레몬즙, 올리브 오일
● 조리 방법
1. 고추, 양파를 잘게 썰어 마늘과 함께 볶는다.
2. 페페론치노와 레드 페퍼를 넣어 볶는다.
3. 커리 가루, 코코넛 밀크, 생크림을 넣어 커리를 끓인다.
4. 방울토마토, 레드와인 식초를 넣는다.
5. 다마리 간장과 진간장을 넣는다.
6. 기름을 두른 팬에 레드 커리 페이스트를 볶는다.
7. 커리에 볶은 커리 페이스트를 넣는다.
8. 설탕, 커리 가루를 넣고 함께 끓인다.
9. 요거트를 넣는다.
10. 끓인 커리를 믹서에 갈아준 뒤, 다시 끓인다.
11. 닭가슴살을 잘게 썬다.
12. 닭가슴살에 소금과 커리 가루를 묻힌 뒤, 커리에 넣어 함께 끓인다.
13. 레몬즙을 넣는다.
14. 그릇에 누룽지를 깔고, 커리를 붓는다.
15. 그라나파다노 치즈를 갈아 올린 뒤, 다진 바질을 올린다.
16. 올리브 오일을 둘러 완성한다.</t>
  </si>
  <si>
    <t>&lt;샘킴 - 아빠손 피자&gt;
● 재료
애호박, 파프리카, 느타리 버섯, 우유, 리코타 치즈, 토르티야, 고르곤졸라 치즈, 생크림, 양상추, 사과, 마카다미아, 말린 크랜베리, 올리브 오일, 소금, 후추, 마늘, 올리고당
● 조리 방법
1. 애호박, 파프리카, 느타리 버섯을 손질한다.
2. 손질한 채소에 올리브 오일, 소금을 넣고 섞는다.
3. 채소를 그릴팬에 굽는다.
4. 채소에 소금, 후추로 간을 한다.
5. 마늘을 올리브 오일에 볶는다.
6. 볶은 마늘을 우유에 넣고 함께 끓인다.
7. 6을 믹서에 넣고 간 다음, 리코타 치즈를 넣어 마늘 크림 스프레드를 만든다.
8. 토르티야를 구운 뒤 마늘 크림 스프레드를 바른다.
9. 구운 채소를 올린다.
10. 고르곤졸라 치즈, 생크림, 올리고당을 섞어 소스를 만든다.
11. 구운 채소 위에 소스를 뿌린 뒤, 다진 양상추를 올린다.
12. 채 썬 사과와 다진 마카다미아를 올린다.
13. 말린 크랜베리를 올려 완성한다.</t>
  </si>
  <si>
    <t>&lt;미카엘 - 따라미소&gt;
● 재료
달걀, 리코타 치즈, 바닐라 오일, 생크림, 레이디핑거 쿠키, 딸기잼, 키위, 코코아 파우더, 체리, 사과, 설탕
● 조리 방법
1. 달걀 흰자와 노른자를 분리한다.
2. 달걀 흰자를 냉동실에 넣어둔다.
3. 리코타 치즈에 달걀 노른자와 바닐라 오일을 넣는다.
4. 3에 설탕을 넣고 섞는다.
5. 생크림으로 거품을 낸다.
6. 차가워진 달걀 흰자에 설탕을 넣어가며 머랭을 친다.
7. 레이디핑거 쿠키를 썰어 딸기잼과 섞는다.
8. 키위를 얇게 썬다.
9. 달걀 노른자를 섞은 리코타 치즈, 거품을 낸 생크림, 머랭을 섞어 크림을 만든다.
10. 컵에 크림&gt;키위&gt;크림&gt;쿠키를 섞은 딸기잼&gt;크림 순으로 올린다.
11. 표면을 평평하게 만든 후, 코코아 파우더를 뿌린다.
12. 체리, 사과로 장식해서 낸다.</t>
  </si>
  <si>
    <t>&lt;김풍 - 흥.칩.풍&gt;
● 재료
플레인 치즈, 바나나, 생크림, 라이스 페이퍼, 블루베리 퓌레, 딸기, 설탕
● 조리 방법
1. 플레인 치즈와 바나나, 설탕을 섞은 뒤 갈아준다.
2. 생크림, 설탕을 섞어 거품을 낸다.
3. 2에 갈아놓은 치즈와 바나나를 섞어 바나나 크림을 만든다.
4. 바나나 크림을 냉동실에 넣어 차갑게 만든다.
5. 라이스 페이퍼를 튀겨 칩을 만든다.
6. 접시에 블루베리 퓌레를 바른다.
7. 퓌레 위에 라이스 페이퍼 칩을 올린다.
8. 칩 위에 바나나 크림, 딸기를 올린다.
9. 설탕과 물을 끓여 시럽을 만든 뒤, 포크로 가늘고 길게 늘어뜨린다.
10. 9를 동그랗게 뭉친 뒤, 바나나 크림 위에 올려 완성한다.</t>
  </si>
  <si>
    <t>냉장고를 부탁해 시즌 1, 30화</t>
  </si>
  <si>
    <t>&lt;맹기용 - 이롤슈가&gt;
● 재료
커피 리큐어, 달걀, 생크림, 요거트, 조청, 사과, 딸기, 아몬드, 버터, 설탕, 소금, 박력분, 전분
● 조리 방법
1. 오븐을 예열한다.
2. 전자레인지에 버터를 넣어 녹인다.
3. 설탕(종이컵 1/2컵)과 커피 리큐어(한 큰술)를 섞는다.
4. 3에 녹인 버터(종이컵 1/2컵)를 넣고 섞는다.
5. 소금과 달걀 두 개를 넣고 섞는다.
6. 박력분(소주 종이컵 2컵)을 넣고 섞는다.
7. 유산지 위에 반죽을 부어 오븐에 넣고 익힌다.
8. 설탕, 생크림을 섞어 거품을 낸다.
9. 구워진 케이크 시트를 네모난 모양으로 자른다.
10. 요거트, 조청을 섞어 케이크 시트에 바른다.
11. 잘게 썬 사과와 딸기를 올린 뒤 생크림을 얹는다.
12. 11을 돌돌 말아준 다음, 한입 크기로 썬다.
13. 접시에 생크림을 깔고 롤케이크를 올린다.
14. 다진 아몬드를 뿌려준다.
15. 설탕과 전분을 믹서에 넣고 갈아 슈거파우더를 만든다.
16. 롤케이크 위에 슈거파우더를 뿌려 완성한다.</t>
  </si>
  <si>
    <t>&lt;정창욱 - 나이스 춘권&gt;
● 재료
차돌박이, 표고버섯, 삶은 죽순, 콩나물, 굴소스, 해선장, 라이스 페이퍼, 달걀, 샐러드 채소, 대파, 소금, 후추, 다진 마늘, 고추, 설탕, 식초, 맛술, 간장
● 조리 방법
1. 대파를 썰어 팬에 볶는다.
2. 차돌박이를 다진 뒤 소금, 후추 간을 한다.
3. 대파를 볶던 팬에 차돌박이, 표고버섯을 넣고 볶는다.
4. 3에 죽순을 넣어 함께 볶는다.
5. 콩나물을 잘게 썰어 넣는다.
6. 굴소스를 넣는다.
7. 다진 마늘, 다진 고추를 넣는다.
8. 설탕, 식초, 맛술을 넣어 볶는다.
9. 간장을 넣는다.
10. 레몬즙, 해선장, 다진 고추, 다진 마늘을 섞어 소스를 만든다.
11. 뜨거운 물에 라이스 페이퍼를 넣고 불린다.
12. 라이스 페이퍼에 볶은 재료를 놓고 말아준 뒤, 달걀물을 묻혀 고정시킨다.
13. 12를 기름에 튀긴다.
14. 접시에 샐러드 채소를 담고, 춘권을 잘라 올린 후 소스를 곁들여 낸다.</t>
  </si>
  <si>
    <t>&lt;샘킴 - 오리감자 너엇~!&gt;
● 재료
오이, 토마토, 감자, 달걀, 어니언 파우더, 파슬리, 훈제오리, 아몬드, 호두, 밀가루, 소금, 양파, 마요네즈, 레몬즙, 올리고당, 간장, 들기름, 올리브 오일, 다진 마늘, 식초
● 조리 방법
1. 오이와 토마토를 썰어둔다.
2. 적당한 크기로 썬 감자와 달걀을 삶는다.
3. 밀가루, 어니언 파우더, 물, 소금을 섞어 튀김옷을 만든다.
4. 양파를 동그란 모양으로 썰어 튀김옷을 입힌다.
5. 마요네즈에 다진 양파, 레몬즙, 파슬리를 넣는다.
6. 5에 올리고당을 넣고 섞어 타르타르 소스를 만든다.
7. 훈제오리를 굽는다.
8. 튀김옷을 입힌 양파를 기름에 튀긴다.
9. 구운 훈제오리를 잘게 썬다.
10. 간장, 들기름, 올리브 오일, 파슬리, 레몬즙, 다진 마늘, 식초를 넣어 간장 소스를 만든다.
11. 접시에 토마토와 오이를 깔고 양파튀김을 올린다.
12. 잘게 썬 훈제오리를 타르타르 소스와 섞어 양파튀김 속을 채운다.
13. 파슬리와 올리브 오일, 간장 소스를 뿌린다.
14. 다진 아몬드와 호두를 뿌려 낸다.</t>
  </si>
  <si>
    <t>&lt;홍석천- 행사의 완자님&gt;
● 재료
삼겹살, 새우, 달걀, 청국장, 양배추, 김치, 번데기 통조림, 고추기름, 유자청, 소금, 후추, 버터, 대파, 고추, 고춧가루, 전분, 탄산수, 마요네즈, 다진 마늘, 핫소스
● 조리 방법
1. 삼겹살을 적당한 크기로 썬다.
2. 믹서에 삼겹살, 새우, 달걀 노른자, 소금, 후추를 넣고 간다.
3. 2에 청국장을 넣고 함께 갈아 완자 반죽을 만든다.
4. 완자 반죽에 양배추를 잘게 썰어 넣는다.
5. 물에 헹군 김치를 잘게 썰어 완자 반죽에 넣는다.
6. 번데기 통조림 국물에 번데기와 버터를 넣어 볶는다.
7. 채 썬 파, 씨를 뺀 고추, 채 썬 양배추를 넣는다.
8. 7에 소금, 후추, 고추기름을 넣고 볶는다.
9. 고춧가루를 넣어 함께 볶는다.
10. 전분에 탄산수를 넣어 튀김옷을 만든다.
11. 동그랗게 뭉친 반죽에 전분 &gt; 튀김옷을 입혀 기름에 튀긴다.
12. 마요네즈, 다진 마늘, 핫소스, 유자청, 탄산수를 섞어 소스를 만든다.
13. 접시에 번데기 채소 볶음을 담고 완자를 올린 후 소스를 곁들여 낸다.</t>
  </si>
  <si>
    <t>냉장고를 부탁해 시즌 1, 31화</t>
  </si>
  <si>
    <t>&lt;미카엘 - 막창 한 번 믿어봐~&gt;
● 재료
막창, 우유, 레드 페퍼, 마늘, 식초, 올리브 오일, 버터
● 조리 방법
1. 물에 막창을 삶은 육수를 섞는다.
2. 1에 잘게 썬 막창, 우유를 넣고 끓여 수프를 만든다.
3. 다진 마늘과 식초를 섞는다.
4. 올리브 오일에 버터를 녹인다.
5. 4에 레드 페퍼를 넣어 고추기름을 만든다.
6. 수프에 고추기름을 넣고 끓인다.
7. 그릇에 수프를 담고 대파를 올린다.
8. 마늘 식초를 곁들여낸다.</t>
  </si>
  <si>
    <t>&lt;최현석 - 김마삼&gt;
● 재료
당면, 갈릭 디핑소스, 명란젓, 슬라이스 체다 치즈, 새우, 김밥용 김, 간장, 소금, 후추, 튀김가루, 밀가루
● 조리 방법
1. 끓는 물에 당면을 삶는다.
2. 명란젓을 물에 헹군다.
3. 껍질을 제거한 명란젓과 갈릭 디핑소스를 섞는다.
4. 삶은 당면을 찬물에 헹군다.
5. 당면에 간장, 소금, 후추를 넣어 섞는다.
6. 슬라이스 체다 치즈와 김밥용 김을 자른다.
7. 첫 번째 김말이 : 당면 + 치즈를 넣고 돌돌 만다.
8. 두 번째 김말이 : 당면 + 새우를 넣고 돌돌 만다.
9. 김말이에 밀가루를 묻힌다.
10. 튀김가루와 물을 섞어 튀김옷을 만든다.
11. 김말이에 튀김옷을 입혀 기름에 튀긴다.
12. 튀김옷을 뿌려 눈꽃모양을 만든다.
13. 접시에 소스를 담고 김말이를 올린다.</t>
  </si>
  <si>
    <t>&lt;박준우 - 누르삼&gt;
● 재료
막창, 레드 페퍼, 토마토, 브로콜리, 베이컨, 달걀, 명란젓, 누룽지, 슬라이스 체다 치즈, 울외 장아찌, 당근, 양파, 소금, 후추, 토마토 소스, 올리브 오일, 참기름, 설탕, 대파
● 조리 방법
1. 당근과 양파를 얇게 썰어 올리브 오일에 볶는다.
2. 1에 적당한 크기로 썬 막창을 넣어 함께 볶는다.
3. 소금, 후추 간을 한다.
4. 레드 페퍼, 토마토, 브로콜리를 넣어 함께 볶는다.
5. 토마토 소스를 넣어 끓인다.
6. 베이컨을 굽는다.
7. 베이컨 기름에 달걀 스크램블을 만든다.
8. 올리브 오일과 참기름을 두른 팬에 명란젓을 굽는다.
9. 누룽지를 기름에 튀긴다.
10. 남은 누룽지를 잘게 부숴 기름에 튀긴다.
11. 10에 설탕을 묻힌 뒤 그릇에 담는다.
12. 튀긴 누룽지에 파르메산 치즈가루를 묻힌다.
13. 첫 번째 누룽지 : 치즈 + 달걀 스크램블+베이컨을 올린다.
14. 두 번째 누룽지 : 치즈 + 토마토 막창 스튜를 올린다.
15. 세 번째 누룽지 : 구운 명란젓 + 다진 대파 + 울외 장아찌를 올린다.
16. 세 가지 누룽지를 함께 담아 완성한다.</t>
  </si>
  <si>
    <t>&lt;최현석 - 만두렀써니&gt;
● 재료
소고기 등심, 우유, 파르메산 치즈, 설렁탕 국물, 밀싹, 소금, 후추, 양파, 밀가루, 버터
● 조리 방법
1. 우유에 설렁탕 국물, 버터를 넣고 끓여 크림 소스를 만든다.
2. 팬에 소고기 등심을 넣고 소금, 후추를 뿌려 굽는다.
3. 2에 잘게 썬 양파를 넣어 볶는다.
4. 끓는 물에 밀싹, 소금을 넣어 살짝 데친다.
5. 소고기 등심을 볶던 팬에 데친 밀싹을 넣어 함께 볶는다.
6. 5를 핸드 블렌더로 갈아 만두소를 만든다.
7. 만두소에 파르메산 치즈를 갈아 넣는다.
8. 밀가루, 달걀을 섞어 반죽을 만든다.
9. 반죽을 밀대로 얇게 펴서 만두피를 만든다.
10. 만두피를 정사각형으로 자른 뒤, 가장자리에 물을 발라준다.
11. 만두피 위에 만두소를 얹은 뒤, 동그랗게 빚는다.
12. 끓는 물에 만두를 넣어 익힌다.
13. 버터를 두른 팬에 다진 양파를 넣고, 크림 소스를 부어 끓인다.
14. 크림 소스에 만두를 넣은 뒤, 다진 밀싹을 뿌려준다.
15. 만두를 그릇에 옮겨 담고 파르메산 치즈를 갈아 올린다.</t>
  </si>
  <si>
    <t>냉장고를 부탁해 시즌 1, 32화</t>
  </si>
  <si>
    <t>&lt;샘킴 - 오겹시대&gt;
● 재료
사과즙, 오겹살, 양배추, 시나몬 설탕, 살라미, 마늘, 대파, 당근, 양파, 올리브 오일, 소금, 후추, 레몬
● 조리 방법
1. 마늘, 파, 당근, 양파를 손질한다.
2. 냄비에 기름을 두른 뒤, 채소를 넣고 물을 부어 육수를 낸다.
3. 살라미를 다진다.
4. 마늘, 파, 양배추를 잘게 자른다.
5. 팬에 살라미와 채소를 넣고 볶은 뒤 소금, 후추로 간을 한다.
6. 5에 채소 육수, 레몬즙을 넣어가며 볶는다.
7. 사과즙에 시나몬 설탕을 넣어 졸인다.
8. 볶던 채소에 사과 소스를 넣어준다.
9. 오겹살 비계에 칼집을 낸 뒤 소금, 후추를 뿌려준다.
10. 칼집을 낸 오겹살을 굽는다.
11. 오겹살 비계에 사과 소스를 발라가며 다시 굽는다.
12. 오븐 팬에 채소 볶음을 깔고 오겹살을 올린다.
13. 12에 사과 소스를 뿌린 뒤, 오븐에 넣어 다시 익힌다.
14. 밀싹을 다진다.
15. 접시에 채소 볶음을 올린다.
16. 채소 볶음 위에 사과 소스를 뿌리고, 오겹살을 올린다.
17. 다진 밀싹, 레몬즙을 뿌려 완성한다.</t>
  </si>
  <si>
    <t>&lt;박준우 - 코드네임 써니&gt;
● 재료
대구, 살라미, 데이츠, 설렁탕 국물, 꿀, 데이츠 시럽, 샤프란, 감자, 파르메산 치즈, 밀싹, 올리브 오일, 레몬, 소금, 후추
● 조리 방법
1. 냄비에 올리브 오일을 가득 따른 뒤, 레몬 껍질을 넣어준다.
2. 1에 대구를 넣어 중불로 익힌다.
3. 설렁탕 국물에 샤프란을 넣어 끓인다.
4. 3에 잘게 썬 감자, 소금을 넣는다.
5. 살라미를 썰어 전자레인지에 넣고 돌린다.
6. 팬에 파르메산 치즈를 갈아서 넣은 뒤, 잘게 썬 밀싹을 올려 굽는다.
7. 익힌 대구에 레몬 껍질을 갈아 올린다.
8. 레몬즙, 올리브 오일, 꿀, 데이츠 시럽, 데이츠, 소금, 후추를 넣어 소스를 만든다.
9. 접시에 데이츠 소스를 올린다.
10. 샤프란 소스에 졸인 감자를 올린다.
11. 감자 위에 대구를 올린다.
12. 구운 살라미를 얹는다.
13. 데이츠 소스를 뿌린 뒤, 밀싹을 올려 완성한다.</t>
  </si>
  <si>
    <t>&lt;맹기용 - 오시지&gt;
● 재료
오징어, 양배추, 오렌지 주스, 케이퍼, 버터, 다진 마늘, 후추, 설탕, 고춧가루, 소주, 맛술, 간장, 다진 생강, 전분, 마요네즈, 대파
● 조리 방법
1. 오징어를 손질한다.
2. 팬에 버터, 다진 마늘을 넣고 볶는다.
3. 오징어에 칼집을 낸 뒤 후추, 설탕, 고춧가루를 뿌린다.
4. 믹서에 케이퍼, 볶은 버터와 다진 마늘, 오징어를 넣어 함께 갈아준다.
5. 종이호일 위에 오징어 반죽을 올린 뒤 소시지 모양으로 돌돌 말아준다.
6. 찜기에 소주를 넣은 뒤, 오징어 반죽을 찐다.
7. 냄비에 맛술, 간장, 오렌지 주스, 다진 생강을 넣어 졸인다.
8. 7에 전분물을 넣는다.
9. 오렌지 소스를 체에 거른다.
10. 오징어 소시지의 종이호일을 벗겨내고 굽는다.
11. 잘게 썬 양배추를 볶는다.
12. 달군 팬에 볶은 양배추를 올린 뒤, 오징어 소시지를 올린다.
13. 오징어 소시지 위에 오렌지 소스를 뿌린다.
14. 마요네즈를 뿌린다.
15. 잘게 썬 파를 올리고, 후추를 뿌려 완성한다.</t>
  </si>
  <si>
    <t>&lt;미카엘 - 나이스 투 미튜&gt;
● 재료
컵라면, 감자칩, 야채참치, 달걀, 밀가루, 소금, 후추, 버터, 레몬, 케첩, 마요네즈, 방울토마토
● 조리 방법
1. 물에 잘게 부순 면과 분말수프를 넣어 끓인다.
2. 감자칩을 잘게 부순다.
3. 달걀물과 밀가루를 준비한다.
4. 야채참치의 기름을 제거한다.
5. 야채참치에 소금, 후추, 버터를 섞은 후, 동그랗게 뭉친다.
6. 익은 면을 건진 후, 찬물에 헹군다.
7. 참치볼에 면을 감싸 동그랗게 뭉친 후, 밀가루를 묻힌다.
8. 7에 달걀물→감자칩 순으로 튀김옷을 입힌다.
9. 참치볼을 기름에 튀긴다.
10. 면을 기름에 넣어 튀긴다.
11. 접시에 레몬을 잘게 썰어 얹고, 케첩과 마요네즈를 뿌린다.
12. 접시에 참치볼을 얹은 후, 방울토마토로 장식한다.
13. 참치볼과 튀긴 면을 함께 낸다.</t>
  </si>
  <si>
    <t>냉장고를 부탁해 시즌 1, 33화</t>
  </si>
  <si>
    <t>&lt;이연복 - 복침개&gt;
● 재료
햄 통조림, 인스턴트 우동, 양파, 대파, 당근, 다진 마늘, 전분
● 조리 방법
1. 햄을 잘게 썬다.
2. 양파, 대파, 당근을 잘게 썰어 준비한다.
3. 우동면을 기름에 넣어 튀긴다.
4. 튀긴 우동면을 건져낸 후, 다시 기름에 넣어 납작하게 튀긴다.
5. 잘게 썰어 놓은 햄을 튀긴다.
6. 햄을 체에 밭쳐 기름을 뺀다.
7. 기름을 두른 팬에 다진 마늘과 손질한 채소를 넣어 볶는다.
8. 볶던 채소에 우동 액상소스와 물을 넣어 끓인다.
9. 8에 튀긴 햄을 넣어 함께 볶는다.
10. 전분물을 풀어 농도를 맞춘다.
11. 튀긴 우동면을 적당한 크기로 잘라 접시에 담는다.
12. 채소&amp;햄 볶음에 참기름을 넣는다.
13. 튀긴 우동면 위에 채소&amp;햄 볶음을 얹어 낸다.</t>
  </si>
  <si>
    <t>&lt;김풍 - 토달토달&gt;
● 재료
방울토마토, 식빵, 곰탕라면, 달걀, 마늘, 참기름, 간장, 식초, 맛술, 전분
● 조리 방법
1. 마늘을 으깬다.
2. 팬에 식용유와 참기름을 두른 후, 으깬 마늘을 볶는다.
3. 비닐팩에 방울토마토를 넣고 으깬다.
4. 볶던 마늘에 으깬 방울토마토, 간장, 식초를 넣고 끓인다.
5. 맛술을 넣어 함께 끓인다.
6. 식빵을 깍둑썰기한 후, 팬에 굽는다.
7. 토마토탕에 곰탕라면의 분말수프를 넣고 함께 끓인다.
8. 8에 전분물을 풀어 농도를 맞춰준다.
9. 달걀을 볼에 깨트린 후 거품기로 곱게 푼다.
10. 토마토탕에 달걀물을 천천히 풀어가며 끓인다.
11. 그릇에 토마토 달걀탕을 부은 후, 구운 식빵을 함께 낸다.</t>
  </si>
  <si>
    <t>&lt;이원일 - 아육동&gt;
● 재료
육포, 장조림 통조림, 깻잎 장아찌 통조림, 인스턴트 우동, 양파, 마늘, 당근, 대파, 소주, 밀가루, 소금, 참기름, 다진 마늘, 청양고추, 설탕
● 조리 방법
1. 양파, 마늘, 당근, 대파를 손질한다.
2. 기름을 두른 팬에 손질한 채소를 넣고 볶는다.
3. 믹서기에 육포를 넣고 간다.
4. 볶던 채소에 육포가루를 넣고 함께 볶는다.
5. 소주를 부어 함께 볶는다.
6. 5에 뜨거운 물을 붓고 끓여 육수를 낸다.
7. 장조림 통조림의 국물과 건더기를 분리한다.
8. 장조림을 잘게 찢는다.
9. 밀가루에 소금, 물을 넣고 섞어 반죽을 만든다.
10. 끓는 기름에 반죽을 부어 튀긴다.
11. 텐카스를 잘게 부순 후, 그릇에 담는다.
12. 깻잎 장아찌, 참기름, 다진 마늘을 섞은 후, 그릇에 담는다.
13. 대파를 잘게 썰어 물에 담가 아린맛을 뺀 후, 그릇에 담는다.
14. 육수에 장조림 국물과 청양고추를 넣는다.
15. 끓는 물에 우동면을 삶는다.
16. 육수에 설탕, 소금을 넣는다.
17. 그릇에 우동면을 담고 육수를 부은 후, 잘게 찢은 장조림을 얹어낸다.
18. 잘게 썬 대파, 양념한 깻잎 장아찌, 텐카스를 곁들여 낸다.</t>
  </si>
  <si>
    <t>&lt;미카엘 - 뽀빠이롤&gt;
● 재료
냉동 시금치, 훈제 연어, 크림 치즈, 페타 치즈, 플레인 요거트, 샐러드 채소, 마요네즈, 소금, 탄산수, 밀가루, 꿀
● 조리 방법
1. 접시를 냉동실에 넣어둔다.
2. 달걀, 소금, 우유, 탄산수를 섞어준다.
3. 2에 냉동 시금치를 넣고 핸드 블렌더로 갈아준다.
4. 곱게 간 재료들에 밀가루를 섞어 반죽을 만든다.
5. 기름을 두른 팬에 시금치 반죽을 얇게 부친다.
6. 훈제 연어를 으깨듯이 잘게 부순다.
7. 크림 치즈, 페타 치즈, 플레인 요거트를 섞어 치즈 소스를 만든다.
8. 냉동실에서 꺼낸 접시 위에 구운 시금치 반죽을 올려 식힌다.
9. 구운 시금치 반죽에 치즈 소스를 바른다.
10. 9에 훈제 연어살을 올린 후 돌돌 말아준다.
11. 시금치롤을 냉동실에 넣어 식힌다.
12. 플레인 요거트, 마요네즈, 꿀을 섞어 드레싱을 만든 후 샐러드 채소와 버무린다.
13. 접시에 샐러드를 담는다.
14. 시금치롤을 썰어 접시에 올린 후 치즈 소스를 뿌려 완성한다.</t>
  </si>
  <si>
    <t>냉장고를 부탁해 시즌 1, 34화</t>
  </si>
  <si>
    <t>&lt;최현석 - 부드러어&gt;
● 재료
달걀, 살라미, 우유, 방울양배추, 냉동 대구살, 방울토마토, 소금, 후추, 올리브 오일, 버터, 밀가루, 화이트 와인, 꿀, 레몬, 대파
● 조리 방법
1. 달걀을 푼 다음 소금, 후추로 간을 한다.
2. 살라미를 적당한 크기로 썬다.
3. 냄비에 올리브 오일, 살라미, 우유를 넣어 함께 끓인다.
4. 끓인 재료들을 핸드 블렌더로 갈아준다.
5. 4를 체에 밭쳐 건더기를 분리한 후, 달걀물과 함께 섞는다.
6. 소금으로 간을 한 후, 버터를 바른 원형틀에 달걀물을 붓는다.
7. 원형틀에 랩을 씌운 후 구멍을 낸다.
8. 7을 찜통에 넣어 찐다.
9. 방울양배추를 찜통에 넣어 함께 찐다.
10. 대구살을 적당한 크기로 썬 다음 소금, 후추로 간을 한다.
11. 대구살에 밀가루를 묻혀 기름을 두른 팬에 굽는다.
12. 11에 화이트 와인을 부어준다.
13. 꿀을 넣는다.
14. 레몬즙을 넣는다.
15. 버터, 잘게 썬 방울토마토를 넣어 조린다.
16. 대파를 채 썬 다음 기름에 튀긴다.
17. 접시에 달걀찜을 올린 후 방울양배추 잎을 곁들인다.
18. 달걀찜 위에 대구살, 방울토마토를 올린 후 소스를 부어준다.
19. 튀긴 대파를 올려 완성한다.</t>
  </si>
  <si>
    <t>&lt;김풍 - 오린기&gt;
● 재료
반건조 오징어, 옥수수 전분, 달걀, 코코넛 밀크, 고추냉이, 양파, 감자 전분, 식용유, 마요네즈, 레몬, 설탕
● 조리 방법
1. 양파를 채 썰어 얼음물에 담가둔다.
2. 감자 전분과 옥수수 전분을 7:3의 비율로 섞는다.
3. 2에 물을 넣으면서 섞어준다.
4. 식용유를 넣어 섞는다.
5. 달걀을 풀어 반죽에 넣고 섞는다.
6. 물에 불린 반건조 오징어에 칼집을 낸다.
7. 반건조 오징어를 적당한 크기로 썬다.
8. 반건조 오징어에 반죽을 묻힌 후 기름에 튀긴다.
9. 마요네즈, 코코넛 밀크, 레몬즙, 설탕, 고추냉이를 섞어 소스를 만든다.
10. 양파의 물기를 제거한 후 접시에 담는다.
11. 양파 위에 오징어 튀김을 올린 후, 소스를 부어 완성한다.</t>
  </si>
  <si>
    <t>&lt;이원일 - 허니버터징&gt;
● 재료
반건조 오징어, 브로콜리, 애호박, 방울양배추, 쪽파, 매실청, 쯔유, 파슬리, 달걀, 오이지, 소금, 양파, 레몬, 마늘, 고추, 꿀, 후추, 버터, 대파, 다진 마늘, 참기름, 깨
● 조리 방법
1. 그릇(오븐용)을 오븐에 넣어 데운다.
2. 반건조 오징어를 잘게 자른다.
3. 끓는 물에 소금을 넣은 후 브로콜리를 데친다.
4. 애호박, 양파, 레몬, 방울양배추, 마늘, 쪽파, 고추 등 채소를 손질한다.
5. 손질한 채소들을 팬에 굽는다.
6. 데운 그릇에 구운 채소들을 담은 후, 오븐에 넣어 다시 굽는다.
7. 끓는 물에 반건조 오징어를 넣고 익힌다.
8. 매실청, 꿀, 쯔유, 후추, 버터, 파슬리를 섞어 소스를 만든다.
9. 익힌 반건조 오징어를 소스에 넣고 끓인다.
10. 오븐에서 그릇을 꺼낸 후 반건조 오징어를 담고 소스를 붓는다.
11. 10을 오븐에 넣고 다시 굽는다.
12. 잘게 썬 대파, 양파를 볶는다.
13. 12에 쯔유, 달걀물을 부은 후 즉석밥을 넣어 함께 볶는다.
14. 후추로 간을 한 후 볶음밥을 컵에 담는다.
15. 오이지의 물기를 뺀 후, 대파를 다져 함께 섞는다.
16. 15에 다진 마늘, 참기름, 깨를 넣어 무친다.
17. 오븐에서 구운 재료들을 꺼낸 후, 볶음밥을 함께 담아낸다.</t>
  </si>
  <si>
    <t>&lt;이연복 - 납작 탕수육&gt;
● 재료
대파, 소고기 등심, 찹쌀가루, 달걀, 당근, 토마토소스, 굴소스, 식용유, 고춧가루, 전분, 고추, 양파, 마늘, 다진 마늘, 간장, 설탕
● 조리 방법
1. 대파의 뿌리를 제거한 후 껍질을 벗긴다.
2. 식용유에 대파, 고춧가루를 넣고 끓인다.
3. 등심을 칼등으로 두드려준다.
4. 전분, 찹쌀가루, 물, 달걀물, 식용유를 섞어 튀김옷을 만든다.
5. 등심에 튀김옷을 입힌 후 기름에 튀긴다.
6. 끓인 재료들을 체에 밭쳐 기름만 걸러낸다.
7. 당근, 양파, 고추를 얇게 썬다.
8. 마늘을 다지고, 대파를 썰어둔다.
9. 고추기름에 다진 마늘, 대파, 고추를 넣어 볶는다.
10. 9에 양파, 당근, 간장을 넣어 함께 볶는다.
11. 토마토소스를 넣는다.
12. 물, 설탕, 굴소스를 넣는다.
13. 레몬즙을 넣은 다음, 전분물을 풀어 농도를 맞춘다.
14. 튀긴 등심을 먹기 좋은 크기로 썰어 접시에 담는다.
15. 탕수육 소스를 따로 담아 고기와 함께 낸다.</t>
  </si>
  <si>
    <t>냉장고를 부탁해 시즌 1, 35화</t>
  </si>
  <si>
    <t>&lt;샘킴 - 샐러드 올리오&gt;
● 재료
애호박, 토마토, 파스타면, 새싹 채소, 마늘, 후추, 소금, 올리브 오일, 레몬즙, 설탕
● 조리 방법
1. 마늘을 편으로 썬다.
2. 그릴팬에 얇게 썬 애호박을 올리고 후추를 뿌려 굽는다.
3. 토마토를 적당한 크기로 썰어 둔다.
4. 끓는 물에 소금을 넣고 면을 삶는다.
5. 올리브 오일을 두른 팬에 마늘을 넣어 볶는다.
6. 5에 면수를 넣어 볶는다.
7. 레몬즙, 올리브 오일, 설탕을 섞어 레몬 드레싱을 만든다.
8. 팬에 삶은 면을 넣어 함께 볶는다.
9. 8에 구운 호박을 넣어 함께 볶는다.
10. 접시에 파스타를 담는다.
11. 파스타 위에 토마토와 새싹 채소를 올린다.
12. 레몬 드레싱을 뿌린다.
13. 고다 치즈를 갈아서 올린다.
14. 바질을 올려 완성한다.</t>
  </si>
  <si>
    <t>&lt;정창욱 - 소고기 냉부&gt;
● 재료
무, 당근, 다시마, 애호박, 양배추, 청경채, 달걀, 일본 된장, 소고기, 소금, 참깨, 마요네즈, 간장, 설탕, 식초, 통마늘, 다진 마늘, 참기름
● 조리 방법
1. 무, 당근을 채 썬다.
2. 다시마로 육수를 낸다.
3. 육수에 소금을 넣고 무, 당근을 넣어 데친다.
4. 애호박, 양배추, 청경채를 손질한다.
5. 손질한 채소를 육수에 넣어 데친다.
6. 참깨, 마요네즈, 간장, 설탕, 식초를 섞는다.
7. 6을 핸드 블렌더로 갈아 참깨 소스를 만든다.
8. 달걀 노른자, 일본 된장, 간장, 통마늘을 섞은 후 핸드 블렌더로 갈아준다.
9. 8에 식초, 다진 마늘, 설탕을 넣어 된장 소스를 만든다.
10. 된장 소스와 참깨 소스를 그릇에 담는다.
11. 데친 채소들을 얼음물에 담가둔다.
12. 소고기를 잘게 썬 후, 육수에 넣어 살짝 익힌다.
13. 익힌 소고기를 얼음물에 담가둔다.
14. 접시에 물기를 뺀 채소들을 올린다.
15. 채소 위에 차갑게 식힌 소고기를 올린다.
16. 소고기 위에 참기름을 두르고, 소스들을 함께 낸다.</t>
  </si>
  <si>
    <t>&lt;홍석천 - 채면차림&gt;
● 재료
채끝살, 두릅 장아찌, 마늘 장아찌, 고구마, 당근, 무, 대파, 레몬&amp;산수유청, 새싹 채소, 견과류, 소금, 후추, 고춧가루, 올리브 오일, 레몬즙, 버터, 마늘, 양파, 간장
● 조리 방법
1. 채끝살을 두드려 얇게 편다.
2. 채끝살의 표면에 소금, 후추, 고춧가루를 묻힌다.
3. 채끝살의 한쪽 면만 살짝 굽는다.
4. 접시에 구운 고기를 올리고 올리브 오일을 뿌린 후, 냉동실에 넣어 식힌다.
5. 두릅 장아찌, 마늘 장아찌, 올리브 오일, 레몬즙을 섞는다.
6. 5를 핸드 블렌더로 갈아 두릅소스를 만든다.
7. 고구마, 당근, 무를 필러로 얇게 썬 후, 반을 접어 면처럼 가늘게 썰어준다.
8. 대파를 가늘게 채 썬다.
9. 채소면을 찬물에 담가둔다.
10. 올리브 오일과 버터를 두른 팬에 잘게 썬 마늘, 양파를 볶는다.
11. 10에 채소면을 넣어 함께 볶는다.
12. 채소면에 소금, 후추, 간장으로 간을 한다.
13. 냉동실에 넣어둔 채끝살을 꺼낸 후, 나머지 한쪽 면을 살짝 구워준다.
14. 접시에 채끝살을 얹은 후, 그 위에 볶은 채소면을 올린다.
15. 레몬&amp;산수유청, 올리브 오일, 레몬즙을 섞어 드레싱을 만든다.
16. 15에 새싹 채소를 버무려 샐러드를 만든다.
17. 채소면 위에 샐러드를 올린다.
18. 두릅 소스를 뿌린 후 두릅 장아찌를 곁들인다.
19. 견과류를 뿌려 완성한다.</t>
  </si>
  <si>
    <t>&lt;오세득 - 보아 씨, 초면입니다&gt;
● 재료
소면, 표고버섯, 소고기 안심, 오징어, 미나리, 파채, 청양고추, 양파, 대파, 청양고추, 소금, 다진 마늘, 후추, 맛술, 간장, 고춧가루, 통마늘, 참기름
● 조리 방법
1. 끓는 물에 소면을 삶는다.
2. 익힌 면을 얼음물에 헹군다.
3. 면의 물기를 제거한 뒤, 기름을 두른 팬에 넣고 지진다.
4. 양파, 대파, 청양고추, 표고버섯을 잘게 썬다.
5. 기름을 두른 팬에 대파를 넣어 볶는다.
6. 소고기 안심을 얇게 썰어 넣는다.
7. 소금, 다진 마늘을 넣는다.
8. 얇게 썬 오징어와 손질한 채소를 넣고 함께 볶는다.
9. 소금, 후추, 맛술을 넣는다.
10. 간장과 물을 넣고 끓인다.
11. 밀폐용기에 고춧가루, 으깬 마늘, 기름을 넣는다.
12. 11을 전자레인지에 넣고 돌린다.
13. 1분, 30초, 30초씩 끊어서 돌린다.
14. 미나리를 적당한 크기로 썰어 넣는다.
15. 참기름을 넣는다.
16. 소스에 전분물을 넣어 농도를 맞춘다.
17. 면을 적당한 크기로 썬다.
18. 그릇에 면을 담고 소스를 올린 뒤, 고추기름을 뿌린다.
19. 파채를 올린 뒤, 끓인 기름을 둘러 완성한다.</t>
  </si>
  <si>
    <t>냉장고를 부탁해 시즌 1, 36화</t>
  </si>
  <si>
    <t>&lt;최현석 - 최.면.석&gt;
● 재료
달걀, 아스파라거스, 새우, 멸치육수, 카레가루, 밀가루, 청양고추, 마늘, 소금, 후추, 화이트 와인, 올리브 오일
● 조리 방법
1. 밀가루와 달걀을 섞어 반죽을 만든다.
2. 반죽을 밀대로 얇게 민다.
3. 얇게 민 반죽을 접은 다음, 가늘게 썰어 면을 만든다.
4. 끓는 물에 면을 넣고 삶는다.
5. 청양고추, 아스파라거스, 마늘을 잘게 썬다.
6. 팬에 손질한 채소를 넣고 볶는다.
7. 6에 새우를 넣은 뒤 소금, 후추, 화이트 와인을 넣어 함께 볶는다.
8. 새우를 볶던 팬에 멸치육수, 카레가루를 넣어 소스를 만든다.
9. 카레소스에 익힌 면을 넣어 함께 볶는다.
10. 올리브 오일을 넣는다.
11. 그릇에 완성된 요리를 담아낸다.</t>
  </si>
  <si>
    <t>&lt;박준우 - 맛있게 자시오&gt;
● 재료
냉면육수, 표고버섯, 잣, 소고기 안심, 카레가루, 새우, 쑥갓, 청양고추, 후추, 레몬, 버터, 소금, 고춧가루
● 조리 방법
1. 냉면육수에 청양고추, 표고버섯을 넣어 끓인다.
2. 잣을 볶은 다음 핸드 블렌더로 갈아준다.
3. 끓인 재료들을 체에 밭쳐 육수만 걸러낸다.
4. 갈아놓은 잣에 육수를 섞은 뒤, 함께 갈아 잣소스를 만든다.
5. 잣소스를 체에 거른 뒤, 후추로 간을 한다.
6. 소고기 안심을 깍둑썰기 한 뒤, 카레가루를 골고루 묻힌다.
7. 카레가루로 양념한 소고기 안심을 굽는다.
8. 끓는 물에 새우, 레몬을 넣어 데친다.
9. 팬에 데친 새우와 레몬을 넣어 굽는다.
10. 9에 버터, 소금, 후추를 넣어 함께 볶는다.
11. 접시에 잣소스를 바르고 소고기 안심, 새우를 올린 뒤 쑥갓으로 장식한다.
12. 고춧가루를 뿌려 완성한다.</t>
  </si>
  <si>
    <t>&lt;이원일 - 옥돔이 맛있돔&gt;
● 재료
멸치육수, 옥돔, 북어채, 고추장아찌, 깻잎, 소금, 후추, 양파, 대파, 마늘, 즉석밥, 맛술, 설탕, 참기름
● 조리 방법
1. 즉석밥에 멸치육수를 붓고 전자레인지에 넣어 데운다.
2. 냄비에 멸치육수를 넣고 끓인다.
3. 옥돔의 살만 발라낸다.
4. 옥돔살에 소금, 후추로 밑간을 한 뒤, 기름을 두른 팬에 굽는다.
5. 양파, 대파, 마늘을 다진다.
6. 옥돔살을 굽던 팬에 다진 채소를 넣은 뒤, 맛술을 넣고 볶는다.
7. 6에 멸치육수를 붓고 끓인다.
8. 멸치육수를 넣어 데운 밥을 넣고 함께 끓인다.
9. 8을 핸드 블렌더로 곱게 간다.
10. 곱게 간 옥돔죽을 냄비에 붓고 끓인다.
11. 북어채를 믹서에 넣고 곱게 갈아 북어보푸라기를 만든다.
12. 북어보푸라기에 부순 참깨를 넣는다.
13. 설탕, 참기름, 소금을 섞은 뒤, 북어보푸라기에 양념이 배도록 무친다.
14. 양념한 북어보푸라기를 동그랗게 뭉친 뒤 접시에 담는다.
15. 고추 장아찌를 썰어 접시에 담는다.
16. 그릇에 옥돔죽을 담고 채 썬 깻잎을 올린다.
17. 옥돔죽에 북어보푸라기, 고추장아찌를 곁들여 낸다.</t>
  </si>
  <si>
    <t>&lt;홍석천 - 키스 버거&gt;
● 재료
베이컨, 새우, 소고기 안심, 바질, 사과, 오이 장아찌, 고추 장아찌, 진저 시럽, 훈제 닭가슴살, 명이나물, 버터, 후추, 소금, 양파, 마요네즈, 올리브 오일, 레몬즙
● 조리 방법
1. 버터를 두른 팬에 적당한 크기로 썬 베이컨을 굽는다.
2. 껍질을 벗긴 새우를 팬에 넣고 함께 굽는다.
3. 2에 바질, 후추, 소금을 뿌린다.
4. 버터를 두른 팬에 소시지, 소고기 안심을 굽는다.
5. 소고기 안심에 바질을 뿌려 굽는다.
6. 사과, 양파, 오이 장아찌, 고추 장아찌를 잘게 다진다.
7. 마요네즈와 올리브 오일을 섞은 뒤, 다진 재료들을 넣고 섞는다.
8. 레몬즙을 뿌린다.
9. 구운 새우, 베이컨, 소시지를 잘게 썰어 넣는다.
10. 진저 시럽을 넣은 뒤, 골고루 섞어준다.
11. 훈제 닭가슴살에 버터를 발라 굽는다.
12. 소고기 안심 &gt; 소스에 버무린 재료들 &gt; 소고기 안심 순으로 올린다.
13. 닭가슴살 &gt; 소스에 버무린 재료들 &gt; 명이나물 &gt; 닭가슴살 순으로 올린다.</t>
  </si>
  <si>
    <t>냉장고를 부탁해 시즌 1, 37화</t>
  </si>
  <si>
    <t>&lt;샘킴 - 소시지 달콤하시지&gt;
● 재료
소시지, 새우, 만가닥버섯, 베이컨, 우유, 발사믹 크림, 소금, 마늘, 양파, 버터, 밀가루, 후추, 레몬즙, 대파
● 조리 방법
1. 소시지를 잘게 다진다.
2. 새우의 껍질을 벗긴 뒤 잘게 다진다.
3. 팬에 다진 소시지와 새우를 넣고 볶는다.
4. 소금과 으깬 마늘을 넣는다.
5. 다진 양파를 넣는다.
6. 만가닥버섯을 잘게 썰어 넣고 함께 볶는다.
7. 양파를 한 꺼풀 벗긴 뒤, 그대로 기름에 튀긴다.
8. 베이컨을 굽는다.
9. 버터에 밀가루를 넣어 볶다가 우유를 조금씩 부어 베샤멜 소스를 만든다.
10. 베샤멜 소스에 구운 베이컨을 다져 넣는다.
11. 10에 소금, 후추, 레몬즙을 넣는다.
12. 튀긴 양파에 볶은 재료를 넣고 돌돌 말아준다.
13. 팬에 양파롤을 올린 뒤, 발사믹 크림을 뿌려 굽는다.
14. 대파를 채썰어 기름에 튀긴다.
15. 그릇에 베샤멜 소스를 담는다.
16. 소스 위에 구운 양파롤을 얹은 뒤, 튀긴 파채를 올린다.
17. 발사믹 크림을 뿌려 완성한다.</t>
  </si>
  <si>
    <t>&lt;미카엘 - 소고기가 살아있네~&gt;
● 재료
소고기 안심, 오이 장아찌, 달걀, 쌈채소, 유자청, 발사믹 식초, 발사믹 크림,파슬리, 양파, 청양고추, 소금, 올리브 오일, 핫소스, 케첩, 머스터드, 레몬즙, 후추
● 조리 방법
1. 소고기 안심을 잘게 다진다.
2. 양파와 청양고추를 잘게 다진다.
3. 다진 안심과 채소들을 섞은 뒤 후추를 뿌린다.
4. 3에 소금, 올리브 오일, 핫소스, 케첩, 머스터드, 레몬즙을 넣고 골고루 섞는다.
5. 오이 장아찌를 잘게 다져 넣는다.
6. 육회에 달걀 노른자를 넣어 섞은 뒤, 냉동실에 넣어둔다.
7. 쌈채소를 먹기 좋은 크기로 썬다.
8. 다진 양파와 유자청을 섞는다.
9. 8에 올리브 오일, 발사믹 식초, 후추를 섞어 드레싱을 만든다.
10. 채소와 드레싱을 섞어 샐러드를 만든다.
11. 원형틀을 이용해 육회를 접시에 담고, 샐러드를 곁들인다.
12. 발사믹 크림과 파슬리를 뿌려 완성한다.</t>
  </si>
  <si>
    <t>&lt;김풍 - 족발 먹을 곤약?&gt;
● 재료
곤약, 유자청, 족발, 상추, 고춧가루, 간장, 다진 마늘
● 조리 방법
1. 곤약을 길게 썬다.
2. 길게 썬 곤약을 끓는 물에 데친다.
3. 고춧가루, 간장, 유자청, 다진 마늘을 섞어 양념장을 만든다.
4. 데친 곤약을 건져서 차가운 물로 식힌다.
5. 꼬치에 곤약과 족발을 번갈아 끼운다.
6. 족발&amp;곤약 꼬치에 양념장을 발라 굽는다.
7. 족발&amp;곤약 꼬치와 상추를 함께 낸다.</t>
  </si>
  <si>
    <t>&lt;홍석천 - 술푸자냐&gt;
● 재료
방울토마토, 미역, 크림치즈, 술떡, 에멘탈 치즈, 체다 치즈, 생모차렐라 치즈, 하몬, 김, 소금, 후추, 파르메산 치즈
● 조리 방법
1. 방울토마토를 믹서에 간다.
2. 불린 미역을 잘게 다진 뒤, 크림치즈와 섞는다.
3. 2에 소금, 후추로 간을 한다.
4. 술떡을 얇게 썬다.
5. 컵에 술떡&gt;미역&amp;크림치즈&gt;간 토마토&gt;술떡&gt;미역&amp;크림치즈&gt;에멘탈 치즈&gt;체다 치즈&gt;간 토마토&gt;미역&amp;크림치즈&gt;술떡&gt;에멘탈 치즈&gt;생모차렐라 치즈 순으로 쌓는다.
6. 컵에 랩을 씌워 전자레인지에 넣고, 치즈가 녹을 정도로 돌린다.
7. 술떡라자냐 위에 에멘탈 치즈, 김, 하몬으로 장식한다.
8. 토치로 표면을 살짝 그을린다.
9. 파르메산 치즈를 뿌려 완성한다.</t>
  </si>
  <si>
    <t>냉장고를 부탁해 시즌 1, 38화</t>
  </si>
  <si>
    <t>&lt;이찬오 - 새로운 샐러드와 수란잔&gt;
● 재료
방울토마토, 미역, 달걀, 생모차렐라 치즈, 그린 올리브, 하몬, 식초, 올리브 오일, 화이트 와인, 소금, 후추, 레몬즙, 버터, 다진 마늘
● 조리 방법
1. 방울토마토는 꼭지 부분을 썰어 손질해 놓는다.
2. 불린 미역을 적당한 크기로 썰어 끓는 물에 데친 뒤, 차가운 물에 담가둔다.
3. 끓는 물에 방울토마토를 데친다.
4. 데친 방울토마토의 껍질을 벗긴다.
5. 끓는 물에 식초를 넣은 뒤, 달걀을 깨트려 넣어 수란을 만든다.
6. 올리브 오일, 화이트 와인, 소금, 후추, 레몬즙을 섞어 드레싱을 만든다.
7. 데친 미역에 드레싱을 버무려준다.
8. 올리브 오일에 버터, 다진 마늘, 소금, 후추를 넣고 살짝 태우듯이 볶는다.
9. 생모차렐라 치즈, 방울토마토, 드레싱을 섞어 샐러드를 만든다.
10. 접시에 드레싱에 버무린 미역을 깔고, 샐러드를 올린다.
11. 샐러드 위에 그린 올리브, 다진 견과류, 하몬을 올린다.
12. 수란을 올린다.
13. 뵈르 누아제트를 뿌려 완성한다.</t>
  </si>
  <si>
    <t>&lt;샘킴 - 별미 리소토&gt;
● 재료
하몬, 차돌박이, 미역, 방울토마토, 크림치즈, 견과류, 양파, 당근, 올리브 오일, 마늘, 참기름, 파르메산 치즈, 대파, 소금, 즉석밥, 버터
● 조리 방법
1. 냄비에 손질한 양파와 당근, 올리브 오일을 넣고 볶는다.
2. 1에 물을 붓고 끓여 채소 육수를 만든다.
3. 기름을 두른 팬에 하몬, 으깬 마늘을 넣고 볶는다.
4. 차돌박이를 잘게 썰어 팬에 넣고 함께 볶는다.
5. 불린 미역을 잘게 썰어 넣고, 참기름을 더한다.
6. 볶던 재료에 채소 육수를 넣은 뒤, 블렌더에 담는다.
7. 6에 파르메산 치즈를 넣고 곱게 갈아준다.
8. 기름을 두른 팬에 하몬, 차돌박이, 대파, 소금을 넣고 볶는다.
9. 8에 다진 마늘, 즉석밥을 넣고 함께 볶아 리소토를 만든다.
10. 리소토에 채소 육수와 갈아놓은 재료들을 넣고 함께 볶는다.
11. 리소토에 파르메산 치즈를 넣어가며 볶는다.
12. 잘게 썬 미역을 채소 육수에 넣어 데친다.
13. 리소토에 버터와 다진 견과류를 넣는다.
14. 리소토에 데친 미역을 넣고 함께 볶는다.
15. 다진 방울토마토, 크림치즈, 다진 견과류를 섞어 동그랗게 뭉친다.
16. 그릇에 리소토를 담고, 15를 올려 완성한다.</t>
  </si>
  <si>
    <t>&lt;이원일 - 이 참외 비빔면&gt;
● 재료
참외, 미역, 감자라면, 달걀, 소금, 식초, 설탕, 양파, 고추, 대파, 마늘, 고추장, 고춧가루, 다진 마늘, 간장, 생강, 참기름, 깨
● 조리 방법
1. 참외를 반으로 잘라 씨를 빼낸 뒤 얇게 썬다.
2. 참외에 소금, 식초, 설탕을 넣고 살짝 절인다.
3. 불린 미역을 잘게 썰어 소금을 넣은 끓는 물에 데친다.
4. 데친 미역을 얼음물에 넣어 헹군다.
5. 감자라면의 면을 익힌 뒤, 얼음물에 넣어 헹군다.
6. 양파, 고추, 대파, 마늘을 손질한다.
7. 고추장, 고춧가루, 설탕, 식초, 다진 마늘, 간장, 생강즙, 참기름을 섞어 양념장을 만든다.
8. 달걀을 풀어 지단을 부친다.
9. 면과 미역의 물기를 짠 뒤, 손질해 놓은 채소와 섞어준다.
10. 절인 참외의 물기를 짠 뒤, 9와 함께 섞는다.
11. 양념장을 넣고 골고루 비빈 뒤, 깨를 뿌린다.
12. 그릇에 완성된 비빔면을 담는다.
13. 비빔면 위에 채 썬 지단을 올려 완성한다.</t>
  </si>
  <si>
    <t>&lt;이연복 - 넘사복&gt;
● 재료
닭가슴살, 냉동낙지, 아스파라거스, 오이, 땅콩버터, 굴소스, 두반장, 매운 냉면양념, 소면, 고추기름, 잣, 설탕, 물
● 조리 방법
1. 닭가슴살을 얇게 저민 뒤 기름에 튀긴다.
2. 낙지를 끓는 물에 데친 뒤 얼음물에 담가 식힌다.
3. 아스파라거스를 데친 뒤 얼음물에 담가 식힌다.
4. 아스파라거스를 먹기 좋은 크기로 썰고, 오이는 채 썰어 준비한다.
5. 튀긴 닭가슴살을 얇고 긴 모양으로 썬다.
6. 땅콩버터, 물, 굴소스, 두반장, 설탕, 매운 냉면양념을 섞어 소스를 만든다.
7. 닭가슴살, 채소, 낙지를 섞은 뒤 소스를 넣고 버무려 접시에 담는다.
8. 소면을 삶은 뒤 얼음물에 헹군다.
9. 물기를 뺀 소면에 고추기름, 굴소스, 매운 냉면양념을 넣고 버무린다.
10. 접시에 양념한 소면을 올린다.
11. 기름을 두른 팬에 잣을 볶는다.
12. 볶은 잣을 올려 완성한다.</t>
  </si>
  <si>
    <t>냉장고를 부탁해 시즌 1, 39화</t>
  </si>
  <si>
    <t>&lt;김풍 - 풍살기&gt;
● 재료
달걀, 식빵, 냉동 블루베리, 우유, 설탕, 박력분, 레몬즙, 소금, 물
● 조리 방법
1. 냄비에 설탕과 물을 넣고 졸여 시럽을 만든다.
2. 달걀 노른자에 박력분, 설탕을 넣고 섞는다.
3. 2에 우유, 레몬즙을 섞은 뒤 전자레인지에 넣고 돌려 커스터드 크림을 만든다.
4. 커스터드 크림이 뭉치지 않게 풀어준 다음, 다시 전자레인지에 돌리는 과정을 반복한다.
5. 달걀 흰자는 거품을 낸다.
6. 5에 시럽을 부어가며 이탈리안 머랭을 만든다.
7. 달걀에 설탕, 소금을 넣고 곱게 푼다.
8. 식빵을 달걀물에 적신 뒤, 버터를 두른 팬에 굽는다.
9. 이탈리안 머랭에 커스터드 크림을 섞어 시부스트 크림을 만든다.
10. 얼음물에 시부스트 크림이 담긴 볼을 담가 식힌다.
11. 프렌치토스트 위에 시부스트 크림을 얹는다.
12. 블루베리를 올려 완성한다.</t>
  </si>
  <si>
    <t>&lt;미카엘 - 요거닭&gt;
● 재료
애호박, 훈제 닭가슴살, 모차렐라 치즈, 그릭 요거트, 타임, 딜, 샐러드 채소, 오이, 플레인 요거트, 바질, 잣, 소금, 후추, 마늘, 레몬즙, 올리브 오일, 물
● 조리 방법
1. 애호박을 썰어 기름에 튀긴다.
2. 기름을 두른 팬에 훈제 닭가슴살을 굽는다.
3. 달걀물에 모차렐라 치즈, 후추, 소금, 그릭 요거트, 바질, 다진 청양고추를 넣고 섞는다.
4. 구운 닭가슴살에 3을 바른 뒤, 예열된 오븐에 넣어 굽는다.
5. 그릭 요거트와 잘게 썬 딜, 다진 마늘, 소금을 섞어 요거트 소스를 만든다.
6. 샐러드 채소에 올리브 오일, 레몬즙을 넣고 섞은 뒤 접시에 담는다.
7. 원형틀을 이용해 요거트 소스 &gt; 튀긴 애호박 &gt; 요거트 소스 순으로 쌓는다.
8. 잘게 썬 오이와 플레인 요거트를 섞은 뒤 소금으로 간을 한다.
9. 8에 물을 붓고 다진 딜, 다진 마늘을 섞어 타라토르를 만든다.
10. 그릇에 타라토르를 담고 잣, 다진 딜, 올리브 오일을 더한다.
11. 핸드 블렌더에 바질, 올리브 오일, 잣을 넣고 갈아 바질 페스토를 만든다.
12. 요거트 소스 위에 바질 페스토를 뿌린다.
13. 접시에 구운 닭가슴살을 올려 완성한다.</t>
  </si>
  <si>
    <t>&lt;박준우 - 가지가지 한다&gt;
● 재료
가지, 홀토마토, 앤초비, 바질, 방울토마토, 말린 토마토, 페페론치노, 고르곤졸라 치즈, 모차렐라 치즈, 포르치니 버섯, 로즈마리, 샐러드 채소, 아스파라거스, 마늘, 양파, 올리브 오일, 버터, 레몬, 소금, 후추
● 조리 방법
1. 가지를 길게 반으로 자른 뒤, 기름을 두른 팬에 굽는다.
2. 구운 가지에 칼집을 낸 뒤 다시 굽는다.
3. 냄비에 홀토마토, 마늘, 양파, 올리브 오일, 앤초비, 바질, 방울토마토를 넣고 끓인다.
4. 끓인 재료들을 믹서에 넣고 갈아 토마토 소스를 만든다.
5. 오븐팬에 구운 가지를 얹고 토마토 소스를 바른다.
6. 말린 토마토와 올리브 오일을 섞은 뒤, 핸드 블렌더로 갈아준다.
7. 6을 토마토 소스 위에 얹는다.
8. 다진 페페론치노, 고르곤졸라 치즈, 모차렐라 치즈를 가지 위에 올린다.
9. 예열된 오븐에 양념한 가지를 넣고 굽는다.
10. 버터를 두른 팬에 불린 포르치니 버섯을 볶는다.
11. 포르치니 버섯에 소금, 후추, 로즈마리를 넣어 함께 볶는다.
12. 샐러드 채소에 레몬즙, 올리브 오일, 소금, 후추를 넣는다.
13. 12에 볶은 포르치니 버섯을 넣고 버무린 뒤, 접시에 담는다.
14. 방울토마토와 아스파라거스를 팬에 굽는다.
15. 샐러드 위에 가지구이를 올린다.
16. 구운 방울토마토와 아스파라거스를 곁들인다.
17. 말린 토마토를 잘게 다져 올린다.</t>
  </si>
  <si>
    <t>&lt;샘킴 - 명란 한주먹&gt;
● 재료
유자청, 잔멸치, 명란젓, 견과류, 즉석밥, 다진 생강, 간장, 식초, 다진 마늘, 올리브 오일, 파, 설탕, 레몬, 참기름, 양파, 전분, 후추, 들기름, 후추
● 조리 방법
1. 즉석밥을 전자레인지에 넣어 데운다.
2. 다진 생강과 간장을 섞는다.
3. 간장에 유자청의 유자를 다져 넣는다.
4. 3에 식초, 다진 마늘, 올리브 오일, 다진 파, 설탕, 레몬즙을 섞어 간장소스를 만든다.
5. 마른 팬에 잔멸치와 간장을 넣어 볶는다.
6. 밥에 볶은 잔멸치를 넣고 섞는다.
7. 6에 참기름, 명란젓을 넣고 섞는다.
8. 채 썬 양파에 전분을 묻힌 뒤, 기름에 튀긴다.
9. 간장소스에 후추와 들기름을 넣는다.
10. 간장소스에 물을 넣는다.
11. 동그랗게 주먹밥을 만든 뒤, 전분을 묻혀 기름에 튀긴다.
12. 그릇에 튀긴 양파, 튀긴 주먹밥을 담는다.
13. 주먹밥 위에 다진 견과류를 뿌린 뒤, 간장소스를 두른다.
14. 채 썬 파를 올린다.
15. 올리브 오일과 후추를 뿌려 완성한다.</t>
  </si>
  <si>
    <t>냉장고를 부탁해 시즌 1, 40화</t>
  </si>
  <si>
    <t>&lt;김풍 - 다 이 김&gt;
● 재료
김, 참치액, 다진 마늘, 양파, 파, 고춧가루, 맛술, 식초, 참기름, 즉석밥
● 조리 방법
1. 김을 잘게 찢어 물에 불린다.
2. 기름을 두른 팬에 다진 마늘, 채 썬 양파를 넣고 볶는다.
3. 잘게 썬 파, 고춧가루, 맛술을 넣고 함께 볶는다.
4. 참치액, 식초, 물에 불린 김과 물을 넣고 함께 끓인다.
5. 참기름을 넣는다.
6. 그릇에 김 수프와 밥을 따로 담아낸다.</t>
  </si>
  <si>
    <t>&lt;정창욱 - 동파면&gt;
● 재료
동치미, 청양고추, 마늘, 설탕, 소금, 파스타면, 후추, 버터, 파, 조미료
● 조리 방법
1. 청양고추는 잘게 썰고, 파는 채 썬 뒤 차가운 물에 담가둔다.
2. 기름을 두른 팬에 으깬 마늘을 넣어 볶는다.
3. 동치미에 들어있던 고추, 무를 잘게 썰어 넣고 함께 볶는다.
4. 청양고추, 설탕을 넣어 함께 볶는다.
5. 끓는 물에 소금을 넣은 뒤, 파스타면을 넣어 익힌다.
6. 볶던 재료에 후추, 동치미 국물을 넣어 동치미 소스를 만든다.
7. 찬물에 담가뒀던 파를 넣는다.
8. 버터를 넣는다.
9. 팬에 익힌 면을 넣고, 동치미 소스와 섞는다.
10. 조미료를 넣는다.
11. 그릇에 파스타를 담아 완성한다.</t>
  </si>
  <si>
    <t>&lt;오세득 - 커리업&gt;
● 재료
반건조 우럭, 자두, 카레가루, 두유, 다진 생강, 파, 고춧가루, 후추, 청주, 맛술, 즉석밥, 버터
● 조리 방법
1. 반건조 우럭은 껍질과 뼈를 제거한 뒤, 먹기 좋은 크기로 썬다.
2. 자두를 전자레인지에 넣어 익힌다.
3. 기름을 두른 팬에 다진 생강, 파, 손질한 우럭을 넣고 볶는다.
4. 카레가루, 고춧가루를 넣고 함께 볶는다.
5. 후추, 청주, 맛술을 넣어 끓인다.
6. 카레에 익힌 자두를 넣는다.
7. 두유를 넣고 함께 끓인다.
8. 즉석밥을 전자레인지에 넣어 데운다.
9. 카레에 버터를 넣는다.
10. 파를 가늘게 채 썬 뒤, 찬물에 헹군다.
11. 그릇에 밥을 담고 카레를 곁들인 뒤, 채 썬 파를 올려 완성한다.</t>
  </si>
  <si>
    <t>&lt;이연복 - 복면완자&gt;
● 재료
돼지안심, 두부, 소면, 달걀, 우유
● 조리 방법
1. 돼지안심과 양파를 잘게 썬다.
2. 잘게 썬 돼지안심과 양파를 곱게 다진다.
3. 두부를 으깬다.
4. 끓는 물에 소면을 넣고 삶는다.
5. 다진 돼지안심과 양파, 으깬 두부, 전분, 소금을 섞는다.
6. 5에 달걀물을 넣어 반죽한다.
7. 완자 반죽을 동그랗게 떼어 끓는 물에 넣고 익힌다.
8. 삶은 소면을 찬물에 넣어 헹군다.
9. 물에 고추장을 푼다.
10. 9에 설탕, 우유를 넣어 물회 육수를 만든다.
11. 기름을 두른 팬에 파, 으깬 마늘, 채 썬 당근, 양파를 넣고 볶는다.
12. 그릇에 물기를 뺀 소면을 담고 얼음을 올린다.
13. 소면 위에 익힌 완자를 올린다.
14. 물회 육수를 붓는다.
15. 볶은 채소를 올려 완성한다.</t>
  </si>
  <si>
    <t>냉장고를 부탁해 시즌 1, 41화</t>
  </si>
  <si>
    <t>&lt;최현석 - 돈 워리 비 해피&gt;
● 재료
식빵, 돼지안심, 리코타 치즈, 달걀, 스모크 치즈, 표고버섯, 적양파, 얼그레이 티백, 화이트 소스, 모차렐라 슬라이스 치즈, 바질
● 조리 방법
1. 식빵을 갈아서 빵가루를 만든다.
2. 돼지안심을 적당한 크기로 썬 뒤, 블렌더로 갈아준다.
3. 간 돼지안심과 리코타 치즈를 섞는다.
4. 3에 소금, 후추를 뿌리고 섞은 뒤, 동그랗게 빚는다.
5. 동그랗게 빚은 고기에 밀가루&gt;달걀물&gt;빵가루 순으로 묻힌다.
6. 5에 스모크 치즈를 갈아 올린 뒤, 빵가루로 덮는다.
7. 버터를 두른 팬에 돈가스를 올려 굽는다.
8. 불린 표고버섯을 다진 뒤, 버터를 두른 팬에 넣고 볶는다.
9. 팬에 다진 적양파, 즉석밥을 넣는다.
10. 9에 얼그레이 티백을 우려낸 물을 넣고 끓인다.
11. 화이트 소스, 스모크 치즈, 소금, 후추를 넣고 볶는다.
12. 팬에 볶은 표고버섯을 넣고 스모크 치즈, 화이트 소스를 넣어 볶는다.
13. 돈가스 위에 12를 얹어준다.
14. 모차렐라 슬라이스 치즈를 얹는다.
15. 리소토에 파르메산 치즈를 넣는다.
16. 토치로 돈가스 위에 올린 치즈의 표면을 그을린다.
17. 치즈 위에 바질을 뿌린다.
18. 접시에 돈가스와 리소토를 올려 완성한다.</t>
  </si>
  <si>
    <t>&lt;홍석천 - 연어가 똠얌꽁냥&gt;
● 재료
연어, 똠얌 페이스트, 카옌페퍼 가루, 연어볼, 다진 레몬그라스, 파프리카, 태국고추, 연유, 적양파, 팟타이 페이스트, 필리핀 라면, 소금, 다진 생강, 파, 버터, 후추, 파
● 조리 방법
1. 연어대가리에 소금을 뿌리고 토치로 살짝 익힌다.
2. 끓는 물에 연어대가리를 넣고 삶는다.
3. 끓는 물에 똠얌 페이스트를 넣고 끓인다.
4. 3에 익힌 연어대가리, 소금을 넣고 끓인다.
5. 국물에 카옌페퍼 가루, 연어볼, 다진 레몬그라스, 파프리카를 넣는다.
6. 태국고추를 잘게 썰어 넣는다.
7. 연유를 넣는다.
8. 레몬즙을 넣는다.
9. 적당한 크기로 썬 적양파, 다진 생강, 파를 넣고 끓인다.
10. 연어살에 팟타이 페이스트를 바른 뒤, 버터를 두른 팬에 굽는다.
11. 국물에 필리핀 라면과 수프를 넣고 끓인 뒤, 후추를 뿌린다.
12. 그릇에 국물과 건더기를 담고 후추, 잘게 썬 파를 올려 완성한다.</t>
  </si>
  <si>
    <t>&lt;이원일 - 삼겹살 팟티&gt;
● 재료
당면, 통삼겹살, 샌드위치용 햄, 똠얌 페이스트, 그린 커리 페이스트, 다진 레몬그라스, 연유, 태국고추, 두부, 간장, 당근, 양파, 마늘, 파, 고추, 올리브 오일, 다진 생강, 마늘
● 조리 방법
1. 불린 당면을 적당한 길이로 썬다.
2. 간장을 넣고 끓인 물에 당면을 넣고 삶는다.
3. 통삼겹살을 필러로 얇게 썬다.
4. 샌드위치용 햄을 잘게 썬다.
5. 당근, 양파를 채 썰고 마늘은 으깬다.
6. 파와 고추를 얇게 채 썬다.
7. 기름을 두른 팬에 똠얌 페이스트, 그린 커리 페이스트, 다진 레몬그라스를 넣고 볶는다.
8. 7에 올리브 오일, 다진 생강을 넣고 볶아 양념을 만든다.
9. 다른 팬에 기름을 두르고 으깬 마늘, 양파, 얇게 썬 삼겹살을 넣고 볶는다.
10. 9에 샌드위치용 햄, 당근, 고추, 파를 넣는다.
11. 그린 커리 페이스트, 볶아둔 양념을 넣고 함께 볶는다.
12. 연유, 물을 붓고 볶는다.
13. 태국고추를 잘게 다져 넣고 볶는다.
14. 삶은 당면을 넣고 볶는다.
15. 채 썬 두부를 넣고 함께 볶는다.</t>
  </si>
  <si>
    <t>&lt;샘킴 - 돔 샤카라카&gt;
● 재료
옥돔, 달걀, 토마토, 애플망고, 대파, 양파, 후추, 당근, 마늘, 레몬즙, 올리브 오일, 소금, 올리고당
● 조리 방법
1. 끓는 물에 옥돔대가리, 파, 양파를 넣고 끓인다.
2. 1에 옥돔뼈, 통후추를 넣고 끓여 육수를 낸다.
3. 옥돔을 손질해 살만 발라낸다.
4. 달걀 흰자만 분리해 거품을 낸다.
5. 거품을 낸 달걀 흰자에 양파, 당근, 옥돔살, 토마토를 넣고 섞는다.
6. 냄비에 옥돔 육수, 5를 넣어 함께 끓인다.
7. 다진 마늘, 달걀 노른자, 레몬즙, 올리브 오일, 소금, 후추를 섞는다.
8. 7에 다진 애플망고, 올리고당을 섞어 소스를 만든다.
9. 소금, 후추 간을 한 옥돔살을 기름을 두른 팬에 굽는다.
10. 달걀 흰자와 채소, 옥돔살을 넣고 끓인 육수를 체에 밭쳐 건더기를 거른 뒤, 옥돔뼈로 낸 육수와 합쳐 다시 끓인다.
11. 그릇에 국물을 담고, 구운 옥돔살을 올린다.
12. 잘게 썬 파, 소스를 올려 완성한다.</t>
  </si>
  <si>
    <t>냉장고를 부탁해 시즌 1, 42화</t>
  </si>
  <si>
    <t>&lt;최현석 - 베스트 오브 베스튜&gt;
● 재료
돼지고기, 배추김치, 애플망고, 소불고기 양념, 표고버섯가루, 코코넛 워터, 유자맛 소주, 새우젓, 토마토, 소금, 후추, 밀가루, 깨
● 조리 방법
1. 돼지고기를 큼직하게 썰어 소금, 후추 간을 한다.
2. 돼지고기에 밀가루를 묻힌 뒤, 기름을 두른 팬에 굽는다.
3. 압력 밥솥에 배추김치 국물, 애플망고, 소불고기 양념을 넣어 끓인다.
4. 3에 표고버섯가루, 코코넛 워터를 넣어 끓인다.
5. 돼지고기를 굽던 팬에 유자맛 소주를 넣어 잡내를 날린다.
6. 구운 돼지고기를 압력솥에 넣어 익힌다.
7. 팬에 배추김치 국물, 애플망고, 다진 배추김치를 넣고 끓인다.
8. 7에 소불고기 양념, 후추를 넣고 끓여 소스를 만든다.
9. 소스에 다진 토마토, 코코넛 워터를 넣고 끓인다.
10. 익힌 돼지고기를 팬에 한 번 더 굽는다.
11. 유자맛 소주를 부어 잡내를 날린다.
12. 돼지고기에 소스를 부어 함께 끓인다.
13. 따뜻하게 데운 그릇에 스튜를 담는다.
14. 스튜에 깨를 뿌려 완성한다.</t>
  </si>
  <si>
    <t>&lt;이원일 - 화채 얼쑤&gt;
● 재료
오미자 원액, 칼라만시 원액, 코코넛 워터, 청포도, 참외, 애플망고, 복숭아, 피스타치오, 탄산수, 꿀, 설탕, 레몬즙, 옥수수 전분
● 조리 방법
1. 오미자 원액, 칼라만시 원액, 코코넛 워터, 탄산수, 꿀을 섞어 화채국물을 만든다.
2. 화채국물을 냉동실에 넣어둔다.
3. 청포도를 얇게 썰고, 참외는 필러로 얇게 벗겨낸 뒤 채 썬다.
4. 얼음물에 설탕, 레몬즙을 넣고, 손질한 과일을 담가둔다.
5. 애플망고, 복숭아도 채 썰어 얼음물에 담가둔다.
6. 옥수수 전분에 따뜻한 물을 넣고 익반죽을 한다.
7. 반죽을 쟁반 바닥에 얇게 깔리게 부은 뒤, 쟁반을 끓는 물 위에 띄운다.
8. 반죽의 표면에 물기가 없어지면 쟁반째 끓는 물 속에 넣어 완전히 익힌다.
9. 반죽이 투명해지면 쟁반을 꺼내 얼음물에 담근다.
10. 차갑게 식힌 반죽을 채 썰어 면을 만든다.
11. 그릇에 채 썬 과일들을 담는다.
12. 얼음을 갈아 그릇에 담고, 화채국물과 면을 넣는다.
13. 피스타치오를 으깬 뒤 뿌려준다.</t>
  </si>
  <si>
    <t>&lt;오세득 - 오 마이 갓토&gt;
● 재료
미니 파프리카, 갈치, 발사믹 식초, 쯔유, 낫토, 갓김치, 김, 달걀, 소금, 파스타면, 마늘, 양파, 참기름, 대파
● 조리 방법
1. 끓는 물에 소금을 넣고 파스타면을 삶는다.
2. 기름을 두른 팬에 미니 파프리카를 굽는다.
3. 갈치는 얇게 포를 뜬 뒤, 팬에 넣어 굽는다.
4. 토치로 미니 파프리카의 표면을 태운다.
5. 믹서에 발사믹 식초와 쯔유를 넣는다.
6. 미니 파프리카의 껍질을 벗긴 뒤, 믹서에 넣는다.
7. 믹서에 으깬 마늘, 다진 양파를 넣고 함께 갈아 소스를 만든다.
8. 소스에 참기름을 넣고 다시 한 번 갈아준다.
9. 삶은 파스타면을 찬물에 헹군다.
10. 파스타면과 소스, 잘게 썬 파를 함께 버무린다.
11. 접시에 양념한 파스타면을 담고 구운 갈치를 올린다.
12. 물에 씻은 갓김치와 낫토를 섞은 뒤, 갈치 위에 올린다.
13. 소스를 뿌린다.
14. 잘게 썬 파, 김을 올린다.
15. 달걀 노른자를 올린다.</t>
  </si>
  <si>
    <t>&lt;이연복 - 갈쌈만두&gt;
● 재료
갈치, 그린빈, 표고버섯, 쯔유, 밀가루, 양파, 파, 식용유
● 조리 방법
1. 밀가루에 소금, 따뜻한 물을 넣어 익반죽을 한다.
2. 내장을 제거한 갈치를 익힌다.
3. 그린빈을 잘게 다진 뒤, 물기를 제거한다.
4. 표고버섯, 양파, 파를 잘게 다진다.
5. 다진 재료들에 쯔유, 식용유를 넣고 섞는다.
6. 5에 갈치의 살만 발라 넣고 섞어 만두소를 만든다.
7. 반죽을 적당한 크기로 나눈 뒤, 밀대로 밀어 만두피를 만든다.
8. 만두피에 만두소를 넣고 빚는다.
9. 기름을 두른 팬에 만두를 넣고 굽는다.
10. 팬에 물을 붓고 뚜껑을 덮어 만두 속까지 익혀준다.</t>
  </si>
  <si>
    <t>냉장고를 부탁해 시즌 1, 43화</t>
  </si>
  <si>
    <t>&lt;홍석천 - 판타스틱 어묵&gt;
● 재료
오징어, 푸아그라 트러플 파테, 레몬&amp;소금이 들어간 고춧가루, 달걀, 명란젓, 카망베르 치즈, 캐비아, 딸기잼, 소금, 후추, 고춧가루, 깨, 버터, 파, 꿀
● 조리 방법
1. 오징어를 잘게 썰어 핸드 블렌더에 넣는다.
2. 1에 푸아그라 트러플 파테, 레몬&amp;소금이 들어간 고춧가루, 소금, 후추, 고춧가루, 깨를 넣어 간다.
3. 달걀 껍질을 반으로 가른다.
4. 반으로 가른 달걀 껍질에 어묵반죽을 담는다.
5. 어묵반죽 안에 각각 명란젓, 카망베르 치즈, 푸아그라 트러플 파테를 넣어 속을 채운다.
6. 접시에 밀가루를 깔고, 어묵반죽을 넣은 달걀 껍질을 세운 뒤 전자레인지에 넣고 돌린다.
7. 팬에 기름과 버터를 두른 뒤, 어묵반죽을 넣고 익힌다.
8. 접시에 어묵을 담고 첫 번째 어묵 위에 캐비아, 채 썬 파를 올린다.
9. 두 번째 어묵에는 푸아그라 트러플 파테, 딸기잼을 올린다.
10. 세 번째 어묵에는 트러플과 꿀, 카망베르 치즈를 올린다.</t>
  </si>
  <si>
    <t>&lt;김풍 - 분짜지용&gt;
● 재료
삼겹살, 피시소스, 메밀 라면, 고추, 양파, 다진 마늘, 레몬즙, 설탕
● 조리 방법
1. 얇게 썬 삼겹살에 고추, 양파, 다진 마늘, 레몬즙, 피시소스를 넣는다.
2. 1에 설탕을 넣고 버무린다.
3. 팬에 설탕을 얇게 깔고 녹여 캐러멜화한다.
4. 3에 양념한 삼겹살을 넣고 굽는다.
5. 볼에 피시소스, 설탕, 레몬즙, 다진 마늘, 다진 양파, 고추를 넣는다.
6. 5에 물을 부어 육수를 만든다.
7. 끓는 물에 메밀 라면을 넣고 삶는다.
8. 찬물에 헹군 면을 접시에 담는다.
9. 면에 구운 삼겹살을 곁들인다.
10. 육수를 따로 담아낸다.</t>
  </si>
  <si>
    <t>&lt;이찬오 - 양싸퀴진&gt;
● 재료
장어흑마늘즙, 삼겹살, 전복, 능이버섯, 그린빈, 트러플, 소금, 후추, 다진 생강, 설탕, 올리브 오일
● 조리 방법
1. 장어흑마늘즙을 끓인다.
2. 삼겹살에 소금, 후추 간을 하고 팬에 굽는다.
3. 장어흑마늘즙에 다진 생강, 설탕, 소금, 후추를 넣고 끓여 소스를 만든다.
4. 전복을 손질한다.
5. 끓는 물에 소금을 넣고 전복을 삶는다.
6. 팬에 그린빈과 채 썬 능이버섯을 넣고 함께 굽는다.
7. 소스에 삶은 전복을 넣고, 소스를 끼얹어가며 조린다.
8. 소스에 트러플을 잘게 다져 넣고 함께 끓인다.
9. 접시에 소스를 담고 능이버섯과 그린빈을 올린다.
10. 구운 삼겹살과 전복, 트러플을 올린다.
11. 올리브 오일을 뿌려 완성한다.</t>
  </si>
  <si>
    <t>&lt;최현석 - 텐미닛 수프&gt;
● 재료
꼬리곰탕, 알감자조림, 소시지, 크림 치즈, 망고푸딩, 말린 크랜베리, 버터, 밀가루, 양파, 후추
● 조리 방법
1. 꼬리곰탕을 체에 걸러 냄비에 넣고 끓인다.
2. 버터에 밀가루를 넣고 볶아 루를 만든다.
3. 팬에 기름을 두르고 채 썬 양파를 볶는다.
4. 꼬리곰탕에 알감자조림을 넣고 끓인다.
5. 양파를 볶던 팬에 소시지를 넣고, 후추를 뿌려 굽는다.
6. 꼬리곰탕에서 건져낸 알감자를 팬에 넣고 함께 볶는다.
7. 팬에 꼬리곰탕과 크림 치즈를 넣고 끓인다.
8. 7에 루를 넣어 농도를 조절한다.
9. 끓인 재료들을 믹서에 넣고 꼬리곰탕을 조금 부은 뒤 갈아준다.
10. 그릇에 망고푸딩을 담고 잘게 썬 크랜베리를 올린다.
11. 믹서에 간 수프를 체에 밭쳐 곱게 내린다.
12. 따뜻하게 데운 주전자에 수프를 담은 뒤, 망고푸딩과 함께 낸다.</t>
  </si>
  <si>
    <t>냉장고를 부탁해 시즌 1, 44화</t>
  </si>
  <si>
    <t>&lt;이찬오 - 10분 스테이크 맛있찬오&gt;
● 재료
소고기 안심, 햄, 홀그레인 머스터드, 알감자조림, 카망베르 치즈, 소금, 후추, 올리브 오일, 대파, 다진 마늘, 진간장, 꿀, 참기름
● 조리 방법
1. 소고기 안심에 소금, 후추 간을 한다.
2. 팬에 올리브 오일을 넉넉하게 두르고 소고기 안심, 대파, 햄을 넣고 굽는다.
3. 다진 마늘, 진간장, 꿀, 홀그레인 머스터드, 참기름을 섞어 소스를 만든다.
4. 알감자조림에 카망베르 치즈, 꿀, 소스를 넣고 섞는다.
5. 그릇에 4를 담는다.
6. 안심 스테이크 위에 구운 파, 소스를 올린다.
7. 그릇에 안심 스테이크를 담고 소스를 뿌려 완성한다.</t>
  </si>
  <si>
    <t>&lt;샘킴 - 영광의 바지락&gt;
● 재료
감자, 바지락, 햄, 우유, 전복, 빵, 올리브 오일, 통마늘, 대파, 당근, 양파, 통후추, 화이트 와인, 소금, 후추, 버터, 밀가루
● 조리 방법
1. 냄비에 올리브 오일을 두르고 통마늘, 대파, 당근, 양파, 감자, 통후추를 넣은 뒤 물을 부어 끓인다.
2. 팬에 올리브 오일을 두르고 으깬 마늘, 바지락을 넣어 볶는다.
3. 2에 화이트 와인과 채소육수를 부어 끓인다.
4. 양파, 감자, 대파를 잘게 다진다.
5. 기름을 두른 팬에 햄을 굽는다.
6. 5에 다진 재료들을 넣고 소금, 후추 간을 해서 함께 볶는다.
7. 구운 햄을 꺼낸다.
8. 채소를 볶던 팬에 바지락을 넣고 함께 볶는다.
9. 팬에 버터를 두르고 밀가루를 볶아 루를 만든다.
10. 루와 채소육수를 섞은 뒤, 채소와 바지락을 볶던 팬에 부어 함께 끓인다.
11. 10에 우유를 넣고 끓인다.
12. 마늘과 함께 볶아둔 바지락을 넣은 뒤 더 끓여준다.
13. 잘게 썬 전복을 굽는다.
14. 빵을 굽는다.
15. 그릇에 바지락 차우더를 담고 구운 전복과 빵을 올려 낸다.</t>
  </si>
  <si>
    <t>&lt;미카엘 - 파워 비어 롤&gt;
● 재료
소고기 안심, 카망베르 치즈, 말린 크랜베리, 크림 치즈, 햄, 흑맥주, 월계수잎, 알감자조림, 소금, 후추, 통마늘, 설탕, 올리브 오일, 밀가루, 버터
● 조리 방법
1. 소고기 안심을 고기망치로 두드려 얇게 편다.
2. 1에 소금, 후추로 간을 한다.
3. 얇게 펼친 소고기 안심에 카망베르 치즈, 말린 크랜베리, 크림 치즈를 넣고 만다.
4. 안심롤을 이쑤시개로 고정한 후, 기름을 두른 팬에 통마늘과 함께 굽는다.
5. 구운 통마늘을 꺼낸다.
6. 햄을 채 썰어 팬에 볶는다.
7. 팬에 설탕을 뿌린다.
8. 올리브 오일과 밀가루를 넣어 함께 볶는다.
9. 흑맥주를 붓고 끓여 소스를 만든다.
10. 소스에 월계수잎과 꿀을 넣는다.
11. 알감자조림을 전자레인지에 넣어 데운다.
12. 안심롤을 먹기 좋은 크기로 썰어 그릇에 담는다.
13. 소스에 버터를 넣고 녹인 뒤, 안심롤 위에 뿌린다.
14. 데운 알감자조림을 가니쉬로 곁들인다.</t>
  </si>
  <si>
    <t>&lt;이연복 - 새로 깐풍치킨&gt;
● 재료
프라이드 치킨, 굴소스, 밀가루, 양파, 다진 마늘, 설탕, 간장, 식초, 후추, 레몬즙, 파, 청양고추
● 조리 방법
1. 프라이드 치킨의 튀김옷 부분을 벗겨낸다.
2. 튀김옷을 벗겨낸 프라이드 치킨에 밀가루를 묻혀 다시 튀긴다.
3. 채 썬 양파와 다진 마늘을 섞는다.
4. 3에 설탕, 간장, 물, 식초, 굴소스를 넣어 깐풍소스를 만든다.
5. 깐풍소스에 후추, 레몬즙을 넣는다.
6. 파와 청양고추를 잘게 썰어 기름을 두른 팬에 볶는다.
7. 튀긴 프라이드 치킨의 기름을 뺀다.
8. 그릇에 프라이드 치킨을 담고 볶은 파, 청양고추를 올린다.
9. 프라이드 치킨 위에 깐풍소스를 올려 완성한다.</t>
  </si>
  <si>
    <t>냉장고를 부탁해 시즌 1, 45화</t>
  </si>
  <si>
    <t>&lt;이원일 - 피자 말아또&gt;
● 재료
불고기, 오레가노, 피자, 달걀, 살라미, 파, 다진 마늘, 진간장, 설탕, 참기름, 소금, 양파, 후추, 버터
● 조리 방법
1. 다진 파, 다진 마늘, 진간장, 설탕, 참기름을 섞어 양념을 만든다.
2. 불고기를 양념에 버무린 뒤, 오레가노를 넣어 섞는다.
3. 피자조각의 끝부분을 잘라내고 반을 자른 뒤, 네모난 모양으로 합친다.
4. 달걀물에 소금을 넣는다.
5. 버터를 두른 팬에 달걀지단을 부친다.
6. 달걀지단의 한쪽 면만 익힌 뒤, 위에 피자를 올린다.
7. 양파와 파를 잘게 썰어 팬에 넣고 소금, 후추 간을 해서 볶는다.
8. 7에 잘게 썬 살라미, 버터를 넣고 함께 볶는다.
9. 피자 위에 볶은 재료들을 올린다.
10. 불고기를 팬에 볶는다.
11. 볶은 불고기를 피자 위에 올린 뒤, 달걀지단으로 돌돌 말아준다.
12. 피자달걀말이를 그릴팬에 올려 굽는다.
13. 피자달걀말이를 썰어 접시에 담아낸다.</t>
  </si>
  <si>
    <t>&lt;김풍 - 후룩국&gt;
● 재료
파르팔레, 고체카레, 항정살, 라임즙, 소금, 양파, 파, 다진 마늘, 다진 생강, 식용유
● 조리 방법
1. 끓는 물에 소금을 넣은 뒤, 파르팔레(리본모양 파스타)를 넣고 삶는다.
2. 믹서기에 양파, 파, 소금, 다진 마늘, 다진 생강, 식용유, 고체카레를 넣고 간다.
3. 항정살을 적당한 크기로 썰어 팬에 넣고 볶는다.
4. 믹서에 간 재료들을 항정살과 함께 볶는다.
5. 쇠젓가락에 파를 꽂아 불에 직접 굽는다.
6. 볶던 재료에 물을 부어 함께 끓인다.
7. 6에 삶은 파르팔레를 넣고 소금으로 간을 한다.
8. 라임즙을 넣는다.
9. 그릇에 건더기와 국물을 담고 구운 파를 올려 완성한다.</t>
  </si>
  <si>
    <t>&lt;박준우 - 고새 한 그릇&gt;
● 재료
치킨스톡, 칵테일 새우, 달걀, 마늘, 파, 다진 생강, 양파, 소금, 후추, 전분, 다진 마늘, 고춧가루, 식용유
● 조리 방법
1. 냄비에 마늘, 파, 다진 생강, 양파를 넣고 볶는다.
2. 다른 냄비에 물과 치킨스톡을 넣고 끓여 육수를 낸다.
3. 볶은 채소에 육수를 넣어 함께 끓인다.
4. 칵테일 새우를 믹서에 넣고 간다.
5. 육수를 체에 걸러 맑은 육수만 받아낸다.
6. 다진 칵테일 새우에 달걀 흰자, 소금, 후추, 전분을 넣어 완자 반죽을 만든다.
7. 완자 반죽을 먹기 좋은 크기로 떼어 육수에 넣고 익힌다.
8. 육수에 칵테일 새우를 넣고 익힌다.
9. 8에 전분물을 넣어 농도를 조절한 뒤, 소금으로 간을 한다.
10. 체에 다진 마늘, 다진 생강, 고춧가루를 올린 뒤 끓인 식용유를 부어 고추기름을 낸다.
11. 국물에 달걀물을 풀어준다.
12. 그릇에 새우완자와 국물을 담고 고추기름, 잘게 썬 파를 올려 낸다.</t>
  </si>
  <si>
    <t>&lt;이연복 - 야밤엔 복쌈&gt;
● 재료
현미국수면, 채끝살, 양배추, 해선장, 쯔유, 아스파라거스, 표고버섯, 고추, 파, 마늘, 간장, 참기름, 전분
● 조리 방법
1. 기름을 두른 팬에 잘게 자른 현미국수면을 넣어 튀긴다.
2. 튀긴 면을 체에 밭쳐 기름을 뺀다.
3. 양배추의 심을 잘게 다진다.
4. 채끝살을 잘게 다진다.
5. 고추, 아스파라거스, 파, 마늘, 불린 표고버섯을 잘게 다진다.
6. 팬에 다진 파와 마늘, 채끝살을 넣은 뒤 간장을 넣어 볶는다.
7. 6에 나머지 채소, 쯔유, 해선장을 넣고 볶는다.
8. 참기름을 넣는다.
9. 물전분을 넣은 뒤 후추를 넣는다.
10. 접시에 튀긴 면을 담는다.
11. 면 위에 볶은 재료들을 얹는다.
12. 양배추 잎을 곁들여 낸다.</t>
  </si>
  <si>
    <t>냉장고를 부탁해 시즌 1, 46화</t>
  </si>
  <si>
    <t>&lt;샘킴 - 나물 버물 파스타&gt;
● 재료
토마토, 새우, 미니 파프리카, 삶은 고구마줄기, 아욱, 아스파라거스, 루꼴라, 파스타면, 소금, 올리브 오일, 화이트 와인, 다진 마늘
● 조리 방법
1. 물에 소금을 넣고 끓인다.
2. 토마토를 잘게 썬다.
3. 팬에 올리브 오일을 두른 뒤, 편으로 썬 마늘과 소금을 넣고 볶는다.
4. 3에 잘게 썬 새우살을 넣고 볶는다.
5. 미니 파프리카의 겉면을 태운다.
6. 소금을 넣고 끓인 물에 파스타면을 삶는다.
7. 볶던 재료에 화이트 와인을 넣는다.
8. 7에 면수와 잘게 썬 토마토를 넣어 볶는다.
9. 올리브 오일을 두른 팬에 다진 마늘, 삶은 고구마 줄기를 넣고 볶는다.
10. 9에 소금, 아욱을 넣고 함께 볶는다.
11. 겉면을 태운 미니 파프리카의 껍질을 벗긴다.
12. 미니 파프리카를 잘게 썬다.
13. 아스파라거스를 잘게 썰어 끓는 물에 살짝 데친다.
14. 팬에 삶은 면과 데친 아스파라거스, 볶은 나물들을 넣고 볶는다.
15. 잘게 썬 미니 파프리카를 파스타에 넣는다.
16. 파스타에 소금 간을 한다.
17. 파스타에 루꼴라를 넣어 섞는다.
18. 접시에 파스타를 담아낸다.</t>
  </si>
  <si>
    <t>&lt;미카엘 - 스윗 펌킨&gt;
● 재료
단호박, 호두, 코코넛 오일, 사과, 건포도, 라이스페이퍼, 냉동 베리, 올리브 오일, 버터, 설탕, 전분
● 조리 방법
1. 껍질을 벗긴 단호박을 강판을 이용해 채 썬다.
2. 채 썬 단호박에 올리브 오일을 넣고 볶는다.
3. 다진 호두, 코코넛 오일, 버터, 채 썬 사과, 건포도를 넣고 함께 볶는다.
4. 3에 설탕을 넣어 볶는다.
5. 따뜻한 물에 라이스페이퍼를 담가 부드럽게 만든다.
6. 라이스페이퍼에 볶은 재료를 얹고 모양을 잡아 단호박쌈을 만든다.
7. 단호박쌈 위에 설탕을 뿌린 뒤, 오븐에 넣어 굽는다.
8. 핸드 블렌더에 전분과 설탕을 넣고 갈아 슈거파우더를 만든다.
9. 단호박쌈 위에 슈거파우더를 뿌린다.
10. 각종 베리를 얹어 완성한다.</t>
  </si>
  <si>
    <t>&lt;김풍 - 해물 달라고 졸라&gt;
● 재료
새우, 가지, 양송이버섯, 고르곤졸라 치즈, 해물모듬, 사과, 토르티야, 버터, 다진 마늘, 화이트 와인, 소금, 후추
● 조리 방법
1. 버터를 전자레인지에 넣어 녹인다.
2. 새우의 머리와 껍질을 제거한다.
3. 녹인 버터의 표면에 떠오른 거품과 불순물을 걷어낸다.
4. 정제 버터(맑은 액체 부분)를 팬에 두른 뒤 다진 마늘, 새우 머리를 넣고 볶는다.
5. 새우의 향이 버터에 배면 새우 머리를 꺼낸다.
6. 팬에 가지, 양송이버섯, 새우살, 고르곤졸라 치즈를 넣고 볶는다.
7. 해물모듬을 넣고 볶는다.
8. 화이트 와인, 으깬 마늘, 소금을 넣고 볶는다.
9. 사과는 채 썰고, 토르티야는 적당한 크기로 썬다.
10. 접시에 토르티야와 채 썬 사과를 담고, 볶은 해물은 따로 담아낸다.
11. 볶은 해물에 후추를 뿌려 완성한다.</t>
  </si>
  <si>
    <t>&lt;오세득 - 낭만 시래기&gt;
● 재료
전복 내장, 시래기, 맛술, 청주, 간장, 식초, 마늘, 파, 다진 생강, 고춧가루, 식용유, 양파, 고추, 소금, 참기름
● 조리 방법
1. 전복 내장에 맛술과 청주를 넣고 데친다.
2. 믹서에 데친 전복 내장, 간장, 식초를 넣고 갈아준다.
3. 으깬 마늘, 채 썬 파, 다진 생강, 고춧가루, 식용유를 섞는다.
4. 3을 전자레인지에 넣고 돌려 고추기름을 만든다.
5. 시래기, 양파, 고추를 잘게 썬다.
6. 5에 다진 마늘을 섞은 뒤, 팬에 넣고 볶는다.
7. 가늘게 채 썬 파와 간장을 넣고 함께 볶는다.
8. 믹서에 간 전복내장소스를 체에 밭쳐 거른다.
9. 볶던 시래기에 간장과 소금을 넣는다.
10. 전복내장소스에 고추기름, 참기름을 넣고 섞는다.
11. 밥 위에 볶은 시래기를 올리고 참깨를 뿌린다
12. 시래기 덮밥과 전복내장소스를 함께 낸다.</t>
  </si>
  <si>
    <t>냉장고를 부탁해 시즌 1, 47화</t>
  </si>
  <si>
    <t>&lt;이찬오 - 낙엽 두부&gt;
● 재료
우유, 찐 고구마, 크림치즈, 두부, 채끝등심, 달걀, 소금, 후추, 올리브 오일, 파, 양파, 간장, 고춧가루, 올리고당, 참기름, 다진 마늘
● 조리 방법
1. 우유를 끓인다.
2. 찐 고구마의 껍질을 벗기고 으깬 뒤, 우유에 넣는다.
3. 2에 크림치즈를 넣고 함께 끓인다.
4. 끓이던 재료에 소금, 후추, 올리브 오일을 넣은 뒤 믹서에 넣고 간다.
5. 기름을 두른 팬에 길게 썬 두부를 굽는다.
6. 5에 잘게 썬 파와 양파를 넣는다.
7. 팬에 물을 붓고 간장, 고춧가루를 넣는다.
8. 7에 올리고당, 참기름, 다진 마늘을 넣고 조린다.
9. 기름을 두른 팬에 잘게 썬 양파와 파를 넣고 볶는다.
10. 잘게 썬 채끝 등심을 팬에 넣고 함께 볶는다.
11. 잘게 썬 고추를 넣고 후추로 간을 한다.
12. 두부를 조리던 팬에 달걀노른자를 넣어 반숙으로 익힌다.
13. 조린 두부와 볶은 채끝등심을 번갈아 가며 쌓는다.
14. 13의 위에 반숙으로 익힌 달걀노른자를 얹는다.
15. 접시에 고구마크림소스를 바르고 층층이 쌓은 두부와 채끝등심을 얹는다.
16. 두부조림소스를 뿌려 마무리한다.</t>
  </si>
  <si>
    <t>&lt;홍석천 - 쑥테이크&gt;
● 재료
크림치즈, 땅콩가루, 쑥, 잣, 표고버섯, 채끝등심, 파르메산 치즈, 마늘, 고추, 올리브 오일, 소금, 후추, 마늘, 고춧가루, 버터, 설탕
● 조리 방법
1. 볶은 땅콩가루와 크림치즈를 섞는다.
2. 쑥, 잣, 파르메산 치즈, 마늘, 고추, 올리브 오일, 소금, 후추를 함께 갈아 쑥페스토를 만든다.
3. 물에 불린 표고버섯의 기둥을 떼고, 안쪽 부분에 땅콩크림치즈를 넣어 채운다.
4. 땅콩크림치즈 위에 쑥페스토를 바른다.
5. 기름을 두른 팬에 속을 채운 표고버섯을 굽는다.
6. 다른 팬에 기름을 두르고 으깬 마늘, 고춧가루를 넣는다.
7. 6에 소금, 후추 간을 한 채끝등심을 넣고 버터를 끼얹어가며 굽는다.
8. 구운 표고버섯에 파르메산 치즈를 뿌린 뒤, 토치를 이용해 표면을 굽는다.
9. 그릇에 구운 채끝등심과 표고버섯을 담는다.
10. 쑥페스토에 설탕, 파르메산 치즈를 넣고 섞는다.
11. 쑥페스토 소스를 곁들인다.</t>
  </si>
  <si>
    <t>&lt;최현석 - 최면육회&gt;
● 재료
채끝등심, 명란젓, 크림치즈, 소면, 땅콩소스, 사과, 후추, 소금, 올리브 오일, 간장
● 조리 방법
1. 채끝등심을 고기망치로 두드려 얇게 편다.
2. 명란젓을 물에 씻은 뒤 속만 발라낸다.
3. 명란젓과 크림치즈를 섞은 뒤 후추를 뿌린다.
4. 얇게 편 채끝등심을 원형틀을 이용해 동그랗게 찍어낸다.
5. 동그란 채끝등심 위에 명란크림치즈를 올린 뒤 반으로 접어 붙인다.
6. 끓는 물에 소금을 넣고 소면을 삶는다.
7. 땅콩소스, 올리브 오일, 간장을 섞어 소스를 만든다.
8. 삶은 소면을 찬물에 헹군다.
9. 사과를 잘게 채 썬다.
10. 물기를 제거한 소면에 올리브 오일, 후추, 만들어 둔 소스를 넣고 섞는다.
11. 접시에 양념한 면과 채 썬 사과, 명란크림치즈가 들어간 채끝등심을 올린다.</t>
  </si>
  <si>
    <t>&lt;최현석 - 터치 마이 주꾸미&gt;
● 재료
주꾸미, 유자청, 완두콩 통조림, 우유, 시금치 무침, 양파장아찌, 소금, 레몬, 올리브 오일, 꿀, 후추
● 조리 방법
1. 주꾸미에 소금을 뿌리고 문질러 깨끗하게 씻는다.
2. 유자청에 레몬즙을 짜 넣는다.
3. 즙을 짜고 난 레몬을 끓는 물에 넣는다.
4. 레몬을 넣고 끓인 물에 주꾸미를 데친다.
5. 데친 주꾸미를 얼음에 넣고 식힌다.
6. 완두콩 통조림을 체에 밭쳐 물기를 빼고 냄비에 넣어 우유와 함께 끓인다.
7. 시금치 무침을 물에 헹궈 6에 넣고 함께 끓인다.
8. 끓인 우유와 완두콩, 시금치를 핸드블렌더에 넣고 갈아 퓌레를 만든다.
9. 퓌레를 체에 밭쳐 내린다.
10. 레몬즙을 넣은 유자청을 핸드블렌더로 간다.
11. 양파장아찌를 잘게 다진다.
12. 핸드블렌더로 간 유자청에 올리브 오일, 소금, 다진 양파장아찌를 넣어 드레싱을 만든다.
13. 차게 식힌 주꾸미를 적당한 크기로 썰어 꿀, 후추와 함께 버무린다.
14. 접시에 그린 퓌레를 얇게 깐다.
15. 그린 퓌레 위에 주꾸미를 올린다.
16. 주꾸미 위에 드레싱을 뿌리고 레몬껍질을 갈아 올려 완성한다.</t>
  </si>
  <si>
    <t>냉장고를 부탁해 시즌 1, 48화</t>
  </si>
  <si>
    <t>&lt;샘킴 - 리소토 먹어보라&gt;
● 재료
단호박, 블루베리즙, 강낭콩, 살치살, 체다&amp;모차렐라 치즈, 당근, 양파, 대파, 마늘, 올리브 오일, 소금, 후추, 즉석밥, 파르메산 치즈, 버터
● 조리 방법
1. 당근, 양파, 대파를 썰어 넣고 채소육수를 만든다.
2. 채소육수에 단호박과 손질한 단호박 껍질을 넣고 끓인다.
3. 팬에 블루베리즙과 설탕을 넣고 졸여 소스를 만든다.
4. 기름을 두른 팬에 다진 양파와 잘게 썬 단호박을 넣고 볶는다.
5. 팬에 채소육수를 부어 끓인다.
6. 채소육수를 불에서 내리고 불린 강낭콩을 데친다.
7. 파, 마늘을 다지고 살치살을 잘게 썬다.
8. 올리브 오일을 두른 팬에 파와 마늘을 볶는다.
9. 파, 마늘을 볶은 팬에 잘게 썬 살치살, 데친 강낭콩, 소금, 후추를 넣고 볶는다.
10. 채소육수를 부어 끓인 양파와 단호박을 핸드블렌더로 갈아 단호박 육수를 만든다.
11. 볶은 살치살과 강낭콩에 블루베리 소스를 넣고 섞는다.
12. 기름을 두른 팬에 으깬 마늘, 잘게 썬 살치살, 즉석밥을 넣고 볶는다.
13. 채소육수에 넣고 삶은 단호박을 잘게 썰어 12에 넣고 단호박 육수를 붓고 끓여 리소토를 만든다.
14. 리소토에 소금간을 하고 파르메산 치즈를 넣는다.
15. 리소토에 버터를 넣는다.
16. 파르메산 치즈를 넣어 농도를 조절한다.
17. 체다&amp;모차렐라 치즈를 넣는다.
18. 그릇에 리소토를 담는다.
19. 리소토 위에 블루베리 소스를 넣은 살치살과 강낭콩을 올려 완성한다.</t>
  </si>
  <si>
    <t>&lt;이연복 - 기세등등갈비&gt;
● 재료
등갈비, 찹쌀, 오이, 간장, 설탕, 청주, 후추, 대파, 마늘, 고춧가루, 양파, 식초, 레몬즙, 참기름, 소금
● 조리 방법
1. 등갈비에 간장, 설탕, 청주, 후추를 넣고 양념한다.
2. 대파는 적당한 크기로 썰고, 마늘은 으깨어 양념한 등갈비와 섞는다.
3. 불린 찹쌀을 체에 밭쳐 물기를 빼고 핸드블렌더로 간다.
4. 핸드블렌더로 간 찹쌀에 소금간을 한다.
5. 4에 고춧가루를 넣고 섞는다.
6. 간을 한 찹쌀에 양념한 등갈비를 넣고 버무린다.
7. 찜기에 찹쌀을 입힌 등갈비를 넣고 찐다.
8. 양파, 오이를 채 썰고 마늘은 다져서 섞는다.
9. 섞은 채소에 물, 식초, 간장, 설탕을 2:2:1:1의 비율로 섞어 소스를 만든다.
10. 소스에 레몬즙과 참기름을 더한다.
11. 10에 후추와 소금을 넣는다.
12. 양념한 채소와 등갈비를 각각 담아낸다.</t>
  </si>
  <si>
    <t>&lt;미카엘 - 등갈빈&gt;
● 재료
등갈비, 김밥용 햄, 강낭콩 통조림, 옥수수 통조림, 부추, 오이장아찌, 등갈비 양념, 올리브 오일, 후추, 간장, 소금, 고추, 마늘, 양파, 케첩, 버터, 레몬즙, 핫소스
● 조리 방법
1. 등갈비에서 살을 반 정도 분리해 손질한다.
2. 떼어낸 등갈비살에 이쑤시개를 꽂아 고정한다.
3. 등갈비에 올리브 오일, 후추, 간장, 소금으로 양념한다.
4. 양념한 등갈비를 그릴팬에 굽는다.
5. 김밥용 햄과 고추, 마늘을 팬에 넣고 함께 굽는다.
6. 강낭콩 통조림을 체에 밭쳐 물기를 뺀다.
7. 물기를 뺀 강낭콩 통조림에 옥수수 통조림을 넣는다.
8. 7에 양파, 부추, 오이장아찌를 다져 넣어 샐러드를 만든다.
9. 샐러드에 등갈비 양념, 케첩, 소금, 후추를 넣어 양념한다.
10. 양념한 샐러드에 구운 고추와 김밥용 햄을 잘게 잘라 넣고 섞는다.
11. 원형틀을 이용해 접시에 샐러드를 담는다.
12. 버터를 전자레인지에 넣고 녹인다.
13. 녹인 버터, 올리브 오일, 레몬즙을 섞어 소스를 만든다.
14. 14에에 핫소스를 넣는다.
15. 접시에 등갈비를 담고 다진 부추와 소스를 곁들인다.</t>
  </si>
  <si>
    <t>&lt;이원일 - 짱짱면&gt;
● 재료
냉이, 삼겹살, 창난젓, 탄탄면 면, 대파, 양파, 다진 마늘, 간장, 된장, 꿀, 소주, 전분, 깨
● 조리 방법
1. 대파, 양파를 잘게 썬다.
2. 냉이를 잘게 썬다.
3. 삼겹살을 잘게 썬다.
4. 창난젓을 잘게 썬다.
5. 기름을 두른 팬에 대파, 다진 마늘, 간장을 넣고 볶는다.
6. 5에 된장과 꿀을 넣고 함께 볶는다.
7. 끓는 물에 탄탄면 면을 넣고 삶는다.
8. 기름을 두른 팬에 잘게 썬 삼겹살, 다진 마늘을 넣고 볶는다.
9. 8에 소주를 넣어 볶는다.
10. 삼겹살을 볶던 팬에 다진 양파, 대파, 창난젓을 넣어 함께 볶는다.
11. 10에 볶아둔 된장을 넣고 섞는다.
12. 잘게 썬 냉이를 넣고 함께 볶는다.
13. 전분물을 넣어 농도를 조절한다.
14. 찬물에 헹군 면을 그릇에 담는다.
15. 면 위에 유니된장짜장 소스를 붓는다.
16. 깨를 뿌려 완성한다.</t>
  </si>
  <si>
    <t>냉장고를 부탁해 시즌 1, 49화</t>
  </si>
  <si>
    <t>&lt;이찬오 - 리소토 위~아래 곱창&gt;
● 재료
양념곱창, 달걀, 레몬청, 삼겹살, 사골육수, 소금, 양파, 대파, 다진 마늘, 즉석밥, 후추, 버터, 대파, 참기름
● 조리 방법
1. 삼겹살에 소금 간을 해서 굽는다.
2. 기름을 두른 팬에 양파, 대파를 잘게 썰어 넣고 볶는다.
3. 양념곱창을 물에 헹군 뒤 잘게 썬다.
4. 양파와 대파를 볶던 팬에 잘게 썬 곱창을 넣고 함께 볶는다.
5. 4에 다진 마늘을 넣는다.
6. 볶던 재료에 사골육수를 넣고 끓인다.
7. 6에 데우지 않은 즉석밥을 넣고 함께 끓인다.
8. 소금, 후추로 간을 한다.
9. 삼겹살에 후추를 뿌린 뒤 다진 마늘, 레몬청, 버터를 넣어 굽는다.
10. 버터를 두른 팬에 달걀물을 부어 스크램블 에그를 만든다.
11. 리소토에 잘게 썬 대파를 넣는다.
12. 리소토에 참기름을 넣는다.
13. 원형틀을 이용해 접시에 리소토를 담는다.
14. 리소토 위에 스크램블 에그를 올린다.
15. 스크램블 에그 위에 구운 삼겹살을 올린다.
16. 잘게 썬 대파를 올려 완성한다.</t>
  </si>
  <si>
    <t>&lt;김풍 - 풍기명란 토스트&gt;
● 재료
명란젓, 달걀, 우유, 식빵, 밀가루, 양파, 청양고추, 마늘, 소금, 마요네즈
● 조리 방법
1. 칼등을 이용해 명란젓의 속만 발라낸다.
2. 팬에 명란젓과 달걀노른자를 넣는다.
3. 2에 밀가루와 우유를 넣고, 뭉치지 않게 저어주며 끓여 명란 커스터드를 만든다.
4. 명란 커스터드에 잘게 다진 양파, 청양고추를 넣고 섞는다.
5. 편으로 썬 마늘을 기름에 튀긴다.
6. 튀긴 마늘을 건져 기름기를 뺀다.
7. 명란 커스터드에 소금으로 간을 한다.
8. 식빵을 토스트기에 넣고 굽는다.
9. 명란 커스터드에 마요네즈를 섞는다.
10. 식빵에 명란마요 커스터드, 튀긴 마늘을 올린다.</t>
  </si>
  <si>
    <t>&lt;오세득 - 창난하니?&gt;
● 재료
삼겹살, 창난젓, 탄탄면 면, 소금, 후추, 다진 마늘, 청주, 대파, 참기름
● 조리 방법
1. 삼겹살을 손질한 뒤, 얇게 썬다.
2. 얇게 썬 삼겹살에 소금, 후추 간을 해서 굽는다.
3. 대파를 적당한 크기로 썰어 삼겹살과 함께 굽는다.
4. 창난젓을 물에 살짝 헹군다.
5. 물에 헹군 창난젓을 삼겹살과 함께 볶는다.
6. 5에 다진 마늘, 청주를 넣는다.
7. 볶은 재료들에 물, 간장을 넣고 끓인다.
8. 대파의 흰 부분을 가늘게 채 썰어 물에 담가둔다.
9. 소금을 넣고 끓인 물에 탄탄면 면을 넣고 삶는다.
10. 삶은 면을 얼음물에 넣고 헹군다.
11. 국물에 참기름을 넣는다.
12. 그릇에 면을 담고 국물을 부은 뒤, 채 썬 대파를 올려 완성한다.</t>
  </si>
  <si>
    <t>&lt;홍석천 - 입에 불레리나&gt;
● 재료
전복, 채소육수 파우더, 두부, 강황가루, 낙지, 새우, 달걀, 고춧가루, 양파, 레몬, 대파, 다진 마늘, 화이트 와인, 청양고추, 핫소스, 고추냉이, 꿀, 간장
● 조리 방법
1. 물에 양파, 레몬, 대파를 넣고 끓여 채소육수를 만든다.
2. 1에 손질한 전복을 넣고 삶는다.
3. 채소육수 파우더를 넣는다.
4. 두부의 물기를 제거하고 으깬 뒤, 마른 팬에 넣고 볶는다.
5. 두부에 강황가루를 넣어 함께 볶는다.
6. 낙지와 새우를 잘게 썬다.
7. 기름을 두른 팬에 다진 마늘과 양파, 낙지, 새우를 넣고 볶는다.
8. 화이트 와인, 채소육수 파우더, 고춧가루를 넣는다.
9. 다진 청양고추, 핫소스를 넣는다.
10. 와사비를 넣어 함께 볶는다.
11. 채소육수와 꿀, 간장, 강황가루를 넣고 볶는다.
12. 달걀물을 넣어 스크램블을 만든 뒤 섞어준다.
13. 접시에 삶은 전복과 볶은 두부를 올린다.
14. 두부 위에 볶은 재료들을 올려 완성한다.</t>
  </si>
  <si>
    <t>냉장고를 부탁해 시즌 1, 50화</t>
  </si>
  <si>
    <t>&lt;오세득 - 불새닭&gt;
● 재료
닭가슴살, 새우, 복숭아잼, 월남쌈용 채소, 빵, 대파, 소금, 청양고추, 양파, 마요네즈, 간장, 설탕, 올리브 오일
● 조리 방법
1. 기름을 두른 팬에 대파를 넣고 볶는다.
2. 닭가슴살은 포를 떠서 소금으로 밑간을 한다.
3. 대파와 닭가슴살을 함께 볶는다.
4. 3에 새우를 넣고 함께 볶는다.
5. 석쇠에 청양고추를 넣고 굽는다.
6. 양파를 잘게 다진다.
7. 구운 청양고추의 탄 부분을 살짝 벗겨내고 복숭아잼과 섞은 뒤 함께 갈아준다.
8. 7에 마요네즈, 간장, 설탕을 넣고 갈아 소스를 만든다.
9. 다진 양파와 소스를 섞는다.
10. 월남쌈용 채소를 적당한 크기로 썬다.
11. 새우는 잘게 썰고, 닭가슴살은 잘게 찢어 놓는다.
12. 새우와 닭가슴살을 채소와 섞은 뒤, 소스에 버무린다.
13. 올리브 오일을 두른 팬에 빵을 굽는다.
14. 구운 빵 위에 채 썬 양파, 소스에 버무린 재료들을 올린다.
15. 채 썬 깻잎과 청양고추를 올려 완성한다.</t>
  </si>
  <si>
    <t>&lt;최현석 - 유 캔 플라이롤&gt;
● 재료
펜네, 연어, 바나나, 아보카도, 케일, 오이, 플레인 요거트, 블루베리잼, 딸기잼, 레몬, 소금, 후추, 레몬
● 조리 방법
1. 끓는 물에 소금을 넣고 펜네를 삶는다.
2. 연어를 얇게 썬다.
3. 바나나를 얇게 썰어 팬에 굽는다.
4. 아보카도는 껍질을 벗기고 잘게 썬다.
5. 김발에 비닐을 깔고 연어를 올린 뒤, 잘게 썬 아보카도를 올린다.
6. 케일과 오이를 잘게 썰어 연어 위에 올린다.
7. 구운 바나나를 올리고 후추를 뿌린 뒤, 돌돌 말아 연어롤을 만든다.
8. 연어롤을 냉동실에 넣어둔다.
9. 플레인 요거트, 블루베리잼, 딸기잼, 레몬즙을 섞어 소스를 만든다.
10. 요거트 소스를 체에 밭쳐 곱게 내린다.
11. 접시에 요거트 소스를 올린다.
12. 냉동실에 넣어뒀던 연어롤을 꺼내 먹기 좋은 크기로 썬다.
13. 삶은 펜네를 찬물에 식힌다.
14. 펜네를 얇게 썰어 연어롤 위에 올린다.</t>
  </si>
  <si>
    <t>&lt;정호영 - 연어 타다익선&gt;
● 재료
방울토마토, 두부, 아보카도, 연어, 꿀, 간장, 맛술, 청주, 설탕, 양파, 올리브 오일, 소금, 식초, 와사비, 간장
● 조리 방법
1. 냄비에 간장, 맛술, 청주, 설탕, 꿀을 넣고 끓여 데리야키 소스를 만든다.
2. 방울토마토의 꼭지를 제거하고 끓는 물에 넣어 데친다.
3. 데친 방울토마토를 얼음물에 담가 식힌다.
4. 잘게 썬 두부를 끓는 물에 넣어 데친 뒤, 얼음물에 담가 식힌다.
5. 양파를 잘게 썰어 찬물에 담가둔다.
6. 아보카도를 반으로 가르고 씨를 빼낸다.
7. 아보카도에 칼집을 넣은 뒤 팬에 올려 굽는다.
8. 올리브 오일, 소금, 식초, 꿀, 와사비, 간장을 섞어 와사비 드레싱을 만든다.
9. 연어에 쇠꼬치를 꽂은 뒤, 소금을 뿌린다.
10. 연어를 직화해 겉면만 살짝 익힌다.
11. 직화한 연어를 얼음물에 담가둔다.
12. 연어의 물기를 제거한다.
13. 두부의 물기를 제거한 뒤 와사비 드레싱과 섞는다.
14. 13에 껍질을 제거한 방울토마토를 잘게 썰어 넣는다.
15. 찬물에 담가둔 양파를 넣는다.
16. 구운 아보카도의 껍질을 벗긴 뒤 잘게 썰어 넣어 샐러드를 완성한다.
17. 연어를 얇게 썰어 접시에 담고 샐러드를 곁들인다.
18. 구운 아보카도에 데리야키 소스를 붓는다.
19. 데리야키 소스를 곁들인 아보카도를 접시에 함께 담아낸다.</t>
  </si>
  <si>
    <t>&lt;이연복 - 햄복한 밥&gt;
● 재료
즉석밥, 차돌박이, 달걀, 소시지, 통조림햄, 양파, 당근, 대파, 마늘, 간장, 전분
● 조리 방법
1. 전자레인지에 즉석밥을 넣고 돌린다.
2. 햄을 넓적하게 썰어 기름에 지진다.
3. 양파, 당근, 대파를 잘게 썬다.
4. 햄을 체에 밭쳐 기름을 뺀 뒤, 잘게 썬다.
5. 기름을 두른 팬에 달걀물, 잘게 썬 채소를 넣고 함께 볶는다.
6. 5에 즉석밥을 넣고 함께 볶는다.
7. 기름을 두른 팬에 소금을 넣은 달걀물을 넣고 넓게 부친다.
8. 볶음밥에 잘게 썬 채소와 햄을 넣어 함께 볶는다.
9. 그릇에 햄볶음밥을 담는다.
10. 햄볶음밥 위에 부친 달걀을 올린다.
11. 양파는 채 썰고 마늘과 파는 잘게 다진 뒤, 팬에 넣고 간장을 더해 볶는다.
12. 볶은 채소에 소시지와 차돌박이를 넣고 함께 볶는다.
13. 볶던 재료에 물을 넣는다.
14. 13에 간장으로 간을 한다.
15. 전분물을 넣어 농도를 조절한다.
16. 달걀 위에 볶은 재료를 부어 완성한다.</t>
  </si>
  <si>
    <t>냉장고를 부탁해 시즌 1, 51화</t>
  </si>
  <si>
    <t>&lt;김풍 - 불량식풍&gt;
● 재료
즉석밥, 달걀, 맥주, 통조림햄, 밀가루, 전분, 소금, 후추, 설탕, 식용유, 참깨, 간장, 마요네즈, 다진 마늘, 연겨자
● 조리 방법
1. 핸드블렌더에 즉석밥, 달걀, 밀가루, 전분, 맥주, 소금, 후추, 설탕을 넣고 갈아 반죽을 만든다.
2. 햄을 적당한 크기로 썬다.
3. 주둥이 부분을 잘라낸 패트병에 반죽을 담는다.
4. 햄에 나무젓가락을 꽂는다.
5. 햄에 반죽을 묻힌 뒤 기름에 튀긴다.
6. 핫도그를 건져 기름을 뺀다.
7. 한 번 튀겨낸 핫도그에 밀가루&gt;달걀&gt;참깨 순으로 튀김옷을 입힌다.
8. 튀김옷을 입힌 핫도그를 다시 한 번 기름에 튀긴다.
9. 간장, 마요네즈, 다진 마늘, 후추를 섞어 소스를 만든다.
10. 소스에 연겨자를 넣고 섞는다.
11. 소스와 핫도그를 따로 담는다.
12. 소스에 설탕을 넣고 섞는다.</t>
  </si>
  <si>
    <t>&lt;샘킴 - 3점 슛테이크&gt;
● 재료
등심, 양파, 당근, 대파, 올리브 오일, 소금, 후추, 밀가루, 파르메산 치즈, 버터
● 조리 방법
1. 손질한 양파, 당근으로 채소육수를 끓인다.
2. 석쇠에 대파를 넣고 겉면을 태우듯이 굽는다.
3. 올리브 오일을 두른 팬에 당근과 양파를 넣고 소금을 뿌려 볶는다.
4. 비닐팩에 등심을 넣고 고기망치로 두드려 얇게 편다.
5. 얇게 편 등심에 소금, 후추 간을 한 뒤 밀가루를 묻힌다.
6. 올리브 오일을 두른 팬에 밀가루를 묻힌 등심을 굽는다.
7. 채소육수의 채소만 건진다.
8. 대파의 탄 겉면을 벗겨낸다.
9. 접시에 건져낸 채소, 대파를 올리고 파르메산 치즈를 뿌려 전자레인지에 넣고 돌린다.
10. 볶던 당근과 양파에 채소육수를 넣고, 구워둔 등심을 넣어 조린다.
11. 10에 버터와 소금을 넣어 소스를 만든다.
12. 접시에 조린 채소와 소스를 담는다.
13. 채소 위에 구운 등심을 올리고 소스를 두른다.
14. 파르메산 치즈를 뿌려 구운 대파를 올리고 후추를 뿌려 완성한다.</t>
  </si>
  <si>
    <t>&lt;이찬오 - 아이스테키&gt;
● 재료
달걀, 마카다미아 아이스크림, 채끝살, 올리브 오일, 다진 마늘, 후추, 소금, 간장, 대파, 양파
● 조리 방법
1. 끓는 물에 달걀을 넣고 삶는다.
2. 냄비에 올리브 오일, 다진 마늘, 마카다미아 아이스크림을 넣고 끓여 소스를 만든다.
3. 아이스크림 소스에 후추, 소금, 간장을 넣고 끓인다.
4. 기름을 두른 팬에 잘게 썬 대파와 양파를 구운 뒤 꺼내서 기름을 제거한다.
5. 기름을 두른 팬에 채끝살, 다진 마늘을 넣고 소금, 후추 간을 해 굽는다.
6. 삶은 달걀을 건져 얼음물에 담가둔다.
7. 삶은 달걀의 노른자와 흰자를 분리해 각각 체에 밭쳐 곱게 내린다.
8. 접시에 아이스크림 소스를 담는다.
9. 채끝 스테이크 위에 곱게 내린 달걀 흰자와 노른자를 올린다.
10. 9에 잘게 썬 대파를 올린다.
11. 아이스크림 소스 위에 스테이크를 올린다.
12. 구운 대파와 양파를 곁들인다.</t>
  </si>
  <si>
    <t>&lt;김성주 - 가슴이 심쿵해&gt;
● 재료
닭가슴살, 파슬리, 애호박, 양파, 발사믹 드레싱, 후추,
소금, 올리브 오일, 설탕, 양파, 꿀, 다진 마늘, 양파
● 조리방법
1. 닭가슴살을 얇게 포를 뜬다.
2. 얇게 포를 뜬 닭가슴살에 후추, 소금, 올리브 오일로 밑간을 한다.
3. 팬에 호일을 깔고 파슬리, 설탕을 넣어 연기를 낸다.
4. 석쇠 위에 밑간을 한 닭가슴살을 올리고 뚜껑을 덮어 훈제를 한다.
5. 애호박, 양파를 썰어 팬에 볶는다.
6. 올리브 오일, 발사믹 드레싱, 꿀을 섞는다.
7. 6에 소금, 후추, 다진 마늘을 넣은 뒤 애호박, 양파를 넣고 버무려 샐러드를 만든다.
8. 접시에 훈제한 닭가슴살과 샐러드를 담아 완성한다.</t>
  </si>
  <si>
    <t>냉장고를 부탁해 시즌 1, 52화</t>
  </si>
  <si>
    <t>&lt;정형돈 - 돈달돈달 + 여보 밥 안 안치니?&gt;
● 재료
멸치볶음, 방울토마토, 식빵, 곰탕라면, 달걀, 마늘, 즉석밥,
식용유, 참기름, 식초, 맛술, 간장, 전분, 깨
● 조리방법
1. 마늘을 다진다.
2. 즉석밥을 전자레인지에 넣고 돌린다.
3. 식용유와 참기름을 두른 팬에 다진 마늘을 넣고 볶는다.
4. 지퍼백에 방울토마토를 넣고 으깬다.
5. 마늘을 볶던 팬에 으깬 방울토마토를 넣고 함께 볶는다.
6. 식빵을 썰어 마른 팬에 굽는다.
7. 볶던 재료에 식초, 맛술을 넣는다.
8. 7에 물, 간장, 곰탕라면 분말수프를 넣고 끓인다.
9. 전분, 달걀, 물을 섞는다.
10. 밥에 멸치볶음을 넣어 주먹밥을 만든다.
11. 주먹밥에 달걀전분물을 묻혀 기름에 튀긴다.
12. 토마토탕에 달걀전분물을 넣고 저어준다.
13. 그릇에 토마토 달걀탕을 부은 뒤, 구운 식빵을 올린다.
14. 튀긴 주먹밥에 깨를 묻혀 낸다.</t>
  </si>
  <si>
    <t>&lt;이원일 - 이런 돈장&gt;
● 재료
불고기용 돼지고기, 갓김치, 두부, 애호박, 부추, 배, 양파,
된장, 꿀, 다진 생강, 다진 마늘, 깨, 참기름, 후추
● 조리방법
1. 껍질을 벗긴 배를 강판에 간다.
2. 1에 간 양파, 된장, 꿀, 생강즙, 다진 마늘을 넣고 섞어 양념을 만든다.
3. 불고기용 돼지고기를 적당한 크기로 썰어 양념에 넣고 잘 버무린다.
4. 3에 깨를 넣어 섞는다.
5. 물에 헹군 갓김치에 참기름, 다진 마늘, 깨, 꿀을 넣어 무친다.
6. 깍둑썰기한 두부를 끓는 물에 넣어 데친다.
7. 기름을 두른 팬에 양념한 돼지고기를 볶는다.
8. 7에 후추를 넣는다.
9. 볶은 돼지고기를 석쇠로 옮긴다.
10. 달군 팬에 술을 넣고 불을 붙인 뒤, 볶은 돼지고기를 직화한다.
11. 팬에 남은 고기와 직화한 뒤 남은 육즙을 합친다.
12. 11에 잘게 썬 부추와 애호박을 넣고 볶아 소스를 만든다.
13. 접시에 데친 두부와 갓김치, 볶은 돼지고기를 담은 뒤 소스를 뿌린다.
14. 부추를 올려 완성한다.</t>
  </si>
  <si>
    <t>&lt;오세득 - 허세우&gt;
● 재료
감자, 우유, 북어, 새우, 라이스 페이퍼, 과일간장, 대파, 버터, 간장
● 조리방법
1. 감자를 잘게 썰어 우유, 물과 함께 냄비에 넣고 끓인다.
2. 1에 북어를 잘게 잘라 넣고 함께 끓인다.
3. 새우의 머리를 떼어낸다.
4. 손질한 새우를 반으로 가른다.
5. 종이호일 사이에 새우를 넣고 밀대로 두드려 얇게 편다.
6. 라이스 페이퍼 사이에 새우를 넣는다.
7. 기름을 두른 팬에 라이스 페이퍼를 넣고 튀긴다.
8. 새우를 끼운 라이스 페이퍼를 기름에 튀긴다.
9. 채 썬 대파를 기름에 볶아 파기름을 낸다.
10. 파기름에 새우 머리를 넣고 볶은 뒤, 체에 밭쳐 기름만 걸러낸다.
11. 우유와 함께 삶은 감자를 핸드블렌더에 넣고 버터, 간장을 넣고 갈아 매시드 포테이토를 만든다.
12. 11에 우유를 넣고 볶는다.
13. 접시에 매시드 포테이토를 담는다.
14. 13에 새우를 끼워 튀긴 라이스 페이퍼를 올린다.
15. 튀긴 라이스 페이퍼를 부순 뒤, 뿌려준다.
16. 과일간장, 새우 머리를 볶아 향을 낸 기름을 뿌린다.</t>
  </si>
  <si>
    <t>&lt;홍석천 - 단칼국수&gt;
● 재료
라유, 필리핀식 새우젓, 불고기용 돼지고기, 고춧가루, 칼국수면, 파프리카,
새송이버섯, 땅콩버터, 부추, 대파, 다진 마늘, 고춧가루, 소금, 후추, 청양고추, 레몬
● 조리방법
1. 기름을 두른 팬에 필리핀식 새우젓과 라유를 넣고 볶는다.
2. 1에 대파, 다진 마늘, 불고기용 돼지고기를 넣고 함께 볶는다.
3. 볶던 재료에 고춧가루를 뿌린다.
4. 소금을 넣은 끓는 물에 칼국수면을 넣고 삶는다.
5. 파프리카와 새송이버섯을 적당한 크기로 썰어 팬에 넣고 볶는다.
6. 5에 면수를 넣어 볶는다.
7. 땅콩버터를 넣는다.
8. 라유, 소금, 후추를 넣는다.
9. 부추, 청양고추, 레몬즙을 넣는다.
10. 삶은 칼국수면을 찬물에 헹궈 식힌다.
11. 그릇에 면을 담고 볶은 재료들을 올린 뒤, 레몬즙을 둘러 완성한다.</t>
  </si>
  <si>
    <t>&lt;미카엘 - 맛있소면&gt;
● 재료
불고기용 돼지고기, 베이컨, 새송이버섯, 소면, 방울토마토, 달걀, 부추,
파프리카, 애호박, 김치, 양파, 후추, 소금, 간장, 식초, 마늘, 설탕
● 조리방법
1. 불고기용 돼지고기와 베이컨을 잘게 썰어 기름을 두른 팬에 넣고 볶는다.
2. 1에 잘게 썬 양파, 새송이버섯을 넣고 함께 볶는다.
3. 볶던 재료에 후추를 뿌린다.
4. 끓는 물에 소금을 넣고, 소면을 삶는다.
5. 물, 간장, 소금, 식초를 섞어 국물을 만든다.
6. 5에 갈아놓은 방울토마토와 마늘을 넣은 뒤, 설탕을 더한다.
7. 달걀노른자만 분리해 지단을 부친다.
8. 달걀지단을 말아서 채 썬다.
9. 국물에 잘게 썬 부추를 넣고 섞는다.
10. 파프리카를 채 썰어 팬에 볶는다.
11. 애호박을 채 썰어 팬에 볶는다.
12. 삶은 소면을 찬물에 헹군다.
13. 그릇에 면을 담고, 달걀지단, 파프리카, 부추, 돼지고기와 베이컨을 고명으로 올린다.
14. 물에 헹군 김치와 애호박을 올린다.
15. 채 썬 양파를 올린 뒤, 국물을 부어 완성한다.</t>
  </si>
  <si>
    <t>&lt;최현석 - 갓김치치즈스마일&gt;
● 재료
달걀, 베이컨, 에멘탈 치즈, 크림 치즈, 모차렐라 치즈,
소시지, 갓김치, 생크림, 단팥, 파슬리, 소금, 후추
● 조리방법
1. 기름을 두른 팬에 달걀물을 부은 뒤, 스크램블 한다.
2. 스크램블 에그에 소금, 후추를 뿌린다.
3. 베이컨을 격자 모양으로 엮는다.
4. 베이컨 위에 스크램블 에그를 올린다.
5. 4에 에멘탈 치즈, 크림 치즈, 모차렐라 치즈를 올린다.
6. 치즈 위에 다시 한 번 스크램블 에그를 올린 뒤, 베이컨으로 여며 모양을 고정한다.
7. 기름을 두른 팬에 베이컨 치즈말이를 넣고 굽는다.
8. 버터를 두른 냄비에 소시지를 썰어 넣는다.
9. 8에 갓김치, 생크림, 단팥을 넣고 끓여 소스를 만든다.
10. 구운 베이컨 치즈말이를 전자레인지에 넣고 치즈가 녹을 때까지 돌린다.
11. 접시에 베이컨 치즈말이를 담고, 갓김치 소스를 따로 담아 낸다.
12. 파슬리를 뿌려 완성한다.</t>
  </si>
  <si>
    <t>냉장고를 부탁해 시즌 1, 53화</t>
  </si>
  <si>
    <t>&lt;김풍 - 고풍격 디저트&gt;
● 재료
블루베리즙, 복분자 원액, 달걀, 우유, 장미잼, 생크림, 설탕
● 조리방법
1. 냄비에 블루베리즙, 복분자 원액을 넣고 졸인다.
2. 냄비에 설탕과 물을 넣고 끓여 캐러멜라이징한다.
3. 볼에 달걀, 설탕, 우유를 넣고 섞어 플랑 반죽을 만든다.
4. 캐러멜라이징한 설탕을 그릇 바닥에 깔리도록 담는다.
5. 플랑 반죽을 체에 내려 그릇에 담는다.
6. 5를 전자레인지에 넣고 돌린다.
7. 생크림, 장미잼, 설탕을 섞어 크림을 만든다.
8. 접시를 뒤집어 플랑이 담긴 그릇 위에 올린 뒤, 다시 뒤집는다.
9. 접시에 블루베리 복분자 소스를 뿌린다.
10. 장미잼 크림을 곁들인다.
11. 플랑을 덮고 있던 그릇을 뺀다.</t>
  </si>
  <si>
    <t>&lt;이연복 - 배추 카르복나라&gt;
● 재료
배추, 푸실리, 베이컨, 우유, 생크림, 소금, 마늘, 대파
● 조리방법
1. 끓는 물에 배추를 넣고 데친다.
2. 물에 푸실리와 소금을 넣고 삶는다.
3. 데친 배추를 꺼내 찬물에 식힌 뒤, 먹기 좋은 크기로 썬다.
4. 팬에 올리브 오일을 두르고 마늘, 대파를 넣어 볶는다.
5. 4에 우유를 넣고 끓인다.
6. 생크림과 배추를 넣고 끓인다.
7. 삶은 푸실리를 팬에 넣은 뒤, 소금 간을 한다.
8. 올리브 오일을 두른 팬에 잘게 썬 베이컨을 볶은 뒤, 파스타에 넣고 섞는다.
9. 그릇에 파스타를 담아 완성한다.</t>
  </si>
  <si>
    <t>&lt;샘킴 - 샘(킴)표 탕수육&gt;
● 재료
표고버섯, 청경채, 양파, 당근, 대파, 맛술, 간장, 고추, 식초, 설탕, 밀가루, 전분
● 조리방법
1. 양파, 당근, 대파를 썬다.
2. 팬에 맛술, 간장, 물을 넣고 끓인다.
3. 불린 표고버섯의 기둥을 제거한다.
4. 팬에 표고버섯을 넣고 양념에 조린다.
5. 조린 표고버섯을 체에 밭쳐 버섯과 양념을 분리한다.
6. 식용유를 두른 팬에 고추, 양파, 당근, 대파를 넣고 볶는다.
7. 6에 청경채를 넣고 함께 볶는다.
8. 볶던 재료에 물을 붓고, 표고버섯 조린 양념을 넣어 소스를 만든다.
9. 소스에 식초, 설탕을 넣는다.
10. 밀가루와 전분을 섞은 뒤, 물을 넣고 저어가며 반죽한다.
11. 반죽을 묻힌 표고버섯을 기름에 튀긴다.
12. 소스에 전분물을 넣어 농도를 조절한다.
13. 그릇에 소스를 담은 뒤, 튀긴 표고버섯을 올려 완성한다.</t>
  </si>
  <si>
    <t>&lt;이찬오 - 쓰리스타 풍코스&gt;
● 재료
반건조 오징어, 베이컨, 양지 육수, 병아리콩 통조림, 우유, 들깨가루,
달걀, XO소스, 파슬리, 게살 통조림, 생크림, 화이트 트러플 오일, 고구마 말랭이,
올리브 오일, 양파, 다진 마늘, 소금, 후추, 대파, 버터, 설탕
● 조리방법
1. 불린 반건조 오징어의 껍질을 벗긴다.
2. 껍질을 벗긴 반건조 오징어에 칼집을 낸다.
3. 올리브 오일을 두른 팬에 양파, 베이컨을 넣고 볶는다.
4. 3에 반건조 오징어 다리, 다진 마늘을 넣고 함께 볶는다.
5. 4에 소금, 후추로 간을 한 뒤, 양지 육수를 넣고 끓인다.
6. 잘게 썬 대파를 팬에 넣고 함께 끓인다.
7. 믹서기에 물기를 뺀 병아리콩과 우유를 넣고 간다.
8. 7에 들깨가루를 넣는다.
9. 달군 팬에 버터를 녹인 뒤 달걀물, XO소스를 넣고 스크램블한다.
10. 스크램블 에그에 소금, 후추, 파슬리를 넣는다.
11. 게살 통조림을 체에 밭쳐 물기를 뺀다.
12. 물기를 뺀 게살에 레몬즙을 넣어 섞는다.
13. 데운 그릇에 원형틀을 이용해 스크램블 에그와 게살을 층층이 올린다.
14. 13에 올리브 오일을 둘러 에피타이저를 완성한다.
15. 병아리콩 수프에 후추, 올리브 오일, 우유, 소금을 넣고 섞는다.
16. 그릇에 병아리콩 수프를 담고, 올리브 오일과 파슬리를 뿌린다.
17. 올리브 오일을 두른 팬에 불린 반건조 오징어를 굽는다.
18. 볶던 재료에 구운 반건조 오징어를 넣고, 반건조 오징어를 굽고 남은 기름을 더한다.
19. 생크림과 설탕을 섞은 뒤, 핸드 블렌더로 갈아 샹티이 크림을 만든다.
20. 샹티이 크림에 화이트 트러플 오일을 넣고 섞는다.
21. 접시에 볶은 재료들과 반건조 오징어를 올린 뒤, 파슬리를 뿌려 메인 요리를 완성한다.
22. 그릇에 잘게 썬 고구마 말랭이를 담고, 샹티이 크림을 올려 디저트를 완성한다.</t>
  </si>
  <si>
    <t>&lt;박준우 - 미슐랭 쓰리스타는 게뿔&gt;
● 재료
오르초, 소고기, 파슬리, 홀토마토 통조림, 티카 마살라 소스, 게살 통조림,
오렌지 리큐르, 비프 스톡, 코코넛 크림, 라즈베리, 소금, 올리브 오일, 튀김가루, 후추
● 조리방법
1. 끓는 물에 소금, 올리브 오일을 넣고 오르초를 삶는다.
2. 소고기를 삼각형 모양으로 썬다.
3. 파슬리와 튀김가루를 섞은 뒤, 소고기에 묻힌다.
4. 3을 기름에 넣어 튀긴다.
5. 믹서기에 홀토마토, 티카 마살라 소스를 넣고 간다.
6. 팬에 물기를 뺀 게살, 오렌지 리큐르, 갈아놓은 소스를 넣고 끓인다.
7. 작은 냄비에 면수를 담고, 비프 스톡을 넣어 육수를 끓인다.
8. 삶은 오르초를 체에 밭쳐 물기를 빼고, 소스와 섞는다.
9. 8에 코코넛 크림, 소금, 후추를 넣는다.
10. 핸드 블렌더에 라즈베리와 육수를 넣고 간다.
11. 10에 후추를 뿌린 뒤, 체에 밭쳐 곱게 내린다.
12. 그릇에 파스타를 담고, 튀긴 소고기를 꽂는다.
13. 라즈베리 소스를 곁들이고, 파슬리를 뿌려 완성한다.</t>
  </si>
  <si>
    <t>&lt;김풍 - 로맨티스타 케이크&gt;
● 재료
파스타면, 차돌박이, 베이컨, 팽이버섯, 백김치, 달걀, 크림소스,
오징어 젓갈, 크림치즈, 새우, 소금, 다진 마늘, 후추
● 조리방법
1. 끓는 물에 소금을 넣고 파스타면을 삶는다.
2. 차돌박이를 다진다.
3. 베이컨과 팽이버섯을 적당한 크기로 썬다.
4. 백김치의 국물을 짜낸 뒤, 잘게 썬다.
5. 달걀물에 크림소스를 넣고 섞는다.
6. 두 개의 팬에 기름을 두른 뒤, 다진 마늘과 베이컨을 넣고 볶는다.
7. 팬에 차돌박이와 팽이버섯을 넣고 소금, 후추 간을 한다.
8. 파스타면을 건져 팬에 넣고 함께 볶는다.
9. 팬에 면수를 넣고, 잘게 다진 백김치를 넣는다.
10. 9에 크림소스를 섞은 달걀물을 부어 파스타 케이크의 시트를 만든다.
11. 접시를 이용해 케이크 시트를 뒤집어 익힌다.
12. 오징어 젓갈을 잘게 다진다.
13. 다진 오징어 젓갈과 크림치즈를 섞는다.
14. 접시에 구운 케이크 시트를 올린다.
15. 케이크 시트 위에 크림치즈와 섞은 오징어 젓갈을 바른다.
16. 15 위에 케이크 시트를 한 장 더 올려 파스타 케이크를 완성한다.
17. 데친 칵테일 새우로 케이크를 장식한다.</t>
  </si>
  <si>
    <t>냉장고를 부탁해 시즌 1, 54화</t>
  </si>
  <si>
    <t>&lt;이찬오 - 마이 ♥ 케이크&gt;
● 재료
인스턴트 카레, 돈코츠 라면 수프, 트러플 오일, 달걀, 크림소스, 핫케이크 가루,
브로콜리, 파프리카, 팽이버섯, 칵테일 새우, 날치알, 물, 후추, 대파, 소금
● 조리방법
1. 인스턴트 카레를 체에 걸러 건더기와 소스를 분리한다.
2. 카레소스에 돈코츠 라면 수프, 물, 트러플 오일, 후추를 넣고 끓인다.
3. 달걀, 물, 크림소스, 핫케이크 가루를 섞어 핫케이크 반죽을 만든다.
4. 브로콜리, 대파, 파프리카, 팽이버섯을 잘게 썬다.
5. 끓는 물에 칵테일 새우와 잘게 썬 채소를 데친다.
6. 기름을 두른 팬에 핫케이크 반죽을 넣고 굽는다.
7. 데친 칵테일 새우와 채소에 트러플 오일, 소금, 후추를 넣고 섞는다.
8. 구운 핫케이크를 원형틀로 눌러 동그란 모양으로 두 장을 찍어낸다.
9. 쇠꼬치를 불에 달군 뒤, 핫케이크 표면에 그림을 그린다.
10. 접시에 카레소스를 담은 뒤, 그림을 그리지 않은 핫케이크를 올린다.
11. 핫케이크 위에 양념한 칵테일 새우와 채소, 날치알을 올린다.
12. 11에 트러플 오일을 두른 뒤, 그림을 그린 핫케이크를 올린다.</t>
  </si>
  <si>
    <t>&lt;샘킴 - 크림 속에 비친 파프리카&gt;
● 재료
파프리카, 오븐구이용 삼치, 콩나물, 팽이버섯, 날치알, 크림치즈, 달걀,
마늘, 양파, 소금, 후추, 간장, 맛술, 참디름, 레몬, 올리고당, 파, 올리브 오일
● 조리방법
1. 파프리카를 직화한다.
2. 구워져있는 삼치의 가시를 제거한다.
3. 팬에 으깬 마늘과 손질한 삼치를 넣은 뒤, 살을 으깨어가며 굽는다.
4. 콩나물을 잘게 다진다.
5. 다진 콩나물과 양파를 팬에 넣고 소금, 후추를 뿌려 볶는다.
6. 5에 간장과 맛술을 넣어 볶는다.
7. 팽이버섯을 적당한 크기로 썰어 채소를 볶던 팬에 넣고 함께 볶는다.
8. 즉석밥에 구운 삼치와 날치알을 넣는다.
9. 8에 참기름, 볶던 채소를 넣고 섞는다.
10. 팬에 남은 구운 삼치에 화이트 와인을 넣고 볶는다.
11. 핸드블렌더에 구운 삼치와 물을 넣고 간다.
12. 갈아낸 삼치에 크림치즈와 물을 넣고 끓여 삼치 크림소스를 만든다.
13. 12에 레몬즙, 올리고당을 넣는다.
14. 접시에 삼치 크림소스를 담는다.
15. 구운 파프리카의 탄 부분을 벗겨낸다.
16. 길게 펼친 파프리카에 양념한 밥을 넣고 돌돌 만 뒤, 소스 위에 올린다.
17. 잘게 썬 파를 올리고, 올리브 오일을 뿌린다.
18. 끓는 물에 달걀을 넣어 수란을 만든 뒤, 파프리카 위에 올린다.
19. 후추를 뿌려 완성한다.</t>
  </si>
  <si>
    <t>&lt;이원일 - 사장님 라이스 버거~&gt;
● 재료
차돌박이, 장조림, 양상추, 트러플 오일, 체다 치즈, 레몬, 즉석밥,
물, 꿀, 파, 다진 마늘, 후추, 깨, 소금, 마요네즈, 된장, 참기름, 레몬
● 조리방법
1. 즉석밥을 전자레인지에 넣고 돌린다.
2. 차돌박이를 적당한 크기로 썬다.
3. 장조림 국물, 물, 꿀을 섞어 불고기 양념을 만든다.
4. 불고기 양념에 다진 파, 다진 마늘, 후추를 넣는다.
5. 차돌박이에 불고기 양념을 넣어 버무린다.
6. 팬에 양념한 차돌박이를 넣고 볶는다.
7. 즉석밥에 깨와 소금을 넣고 섞어 밑간을 한다.
8. 비닐팩에 밥을 넣은 뒤, 바닥을 제거한 종이그릇 안에 넣고 꾹꾹 눌러 모양을 잡는다.
9. 기름을 두른 팬에 모양을 잡은 밥을 굽는다.
10. 양상추를 채 썰어 차가운 물에 담가둔다.
11. 마요네즈, 된장, 트러플 오일, 참기름, 레몬즙, 꿀을 섞어 된장 아이올리를 만든다.
12. 양상추에 된장 아이올리를 넣고 버무린다.
13. 구운 밥 위에 차돌박이 불고기와 체다 치즈를 올린 뒤, 토치로 치즈를 녹인다.
14. 녹인 체다 치즈 위에 구운 밥을 올린다.
15. 된장 아이올리에 버무린 양상추를 곁들여 낸다.</t>
  </si>
  <si>
    <t>&lt;최현석 - 이탈리안 특급 파스타&gt;
● 재료
파스타면, 새송이버섯, 우설, 우유, 양파, 소금, 다진 마늘, 화이트 와인,
후추, 레몬, 토마토 소스, 설탕, 올리브 오일
● 조리방법
1. 양파를 잘게 다져 냄비에 넣고 볶는다.
2. 끓는 물에 소금을 넣은 뒤, 파스타면을 넣고 삶는다.
3. 길게 찢은 새송이버섯, 다진 마늘을 팬에 넣고 볶는다.
4. 우설을 얇게 썬 뒤, 3에 넣고 볶는다.
5. 팬에 화이트 와인을 부어 플람베한다.
6. 볶던 재료에 소금, 후추로 간을 한다.
7. 냄비에 우유와 레몬즙을 넣고 끓인다.
8. 볶던 양파에 토마토 소스, 후추를 넣고 끓인다.
9. 레몬즙을 넣고 끓인 우유를 면보에 걸러 물기를 빼 리코타 치즈를 만든다.
10. 우설을 볶던 팬에 토마토 소스를 넣는다.
11. 10에 파스타면을 넣는다.
12. 파스타에 올리브 오일, 설탕을 넣는다.
13. 접시에 파스타를 담은 뒤, 리코타 치즈를 올린다.
14. 토치로 리코타 치즈의 겉면을 살짝 그을린다.
15. 올리브 오일을 둘러 완성한다.</t>
  </si>
  <si>
    <t>냉장고를 부탁해 시즌 1, 55화</t>
  </si>
  <si>
    <t>&lt;오세득 - 당근 체인지업&gt;
● 재료
고기 안심, 누룽지, 소금, 양파, 후추, 레드와인, 꿀, 연겨자, 당근, 버터
● 조리방법
1. 소고기 안심에 소금을 뿌려 밑간을 한다.
2. 양파를 반으로 자른 뒤, 가운데 심 부분만 빼내어 팬에 굽는다.
3. 남은 양파와 소고기 안심을 채 썰어 기름을 두른 팬에 볶는다.
4. 3에 통후추를 으깨어 넣는다.
5. 소고기 안심과 양파를 볶던 팬에 레드와인을 넣는다.
6. 5에 꿀, 연겨자를 넣어 소스를 만든다.
7. 단면을 구운 양파를 접시에 담은 뒤, 전자레인지에 넣고 익힌다.
8. 당근을 얇게 썬다.
9. 팬에 얇게 썬 당근, 버터, 불린 누룽지를 넣고 볶는다.
10. 9에 물을 부어 끓이면서 소금으로 간을 한다.
11. 10을 핸드블렌더에 넣고 간 뒤, 체에 걸러 퓌레를 만든다.
12. 기름을 두른 팬에 소금, 후추 간을 한 소고기 안심을 굽는다.
13. 전자레인지에서 익힌 양파를 꺼내 한 겹씩 분리한다.
14. 원형틀을 이용해 접시에 당근 퓌레를 담는다.
15. 소고기 안심 스테이크를 먹기 좋은 크기로 썬다.
16. 당근 퓌레 위에 썰어놓은 스테이크를 올린 뒤, 양파로 장식한다.
17. 소스를 체에 밭쳐 건더기를 걸러낸다.
18. 접시에 소스를 두르고 후추를 뿌려 완성한다.</t>
  </si>
  <si>
    <t>&lt;홍석천 - 입이 떡~갈비&gt;
● 재료
매실고추장, 양파장아찌, 고추장아찌, 베트남 고추, 소고기, 새송이버섯, 사과, 밤, 다진 마늘,
다진 생강, 맛술, 참기름, 개, 꿀, 설탕, 양파, 대파, 고추, 참기름, 전분, 버터, 올리브 오일, 레몬
● 조리방법
1. 볼에 매실고추장, 다진 마늘, 생강즙, 양파장아찌와 장아찌 국물을 함께 넣는다.
2. 1에 다진 고추장아찌, 맛술, 참기름, 깨, 꿀, 설탕, 다진 베트남 고추를 섞는다.
3. 핸드블렌더에 잘게 썬 소고기와 양념을 넣고 간다.
4. 3에 다진 양파, 대파, 고추, 참기름, 전분을 넣어 치댄다.
5. 새송이버섯을 도톰하게 편으로 썬 뒤, 직사각형 모양으로 썬다.
6. 직사각형으로 썬 새송이버섯을 양념한 고기로 감싼다.
7. 6과 편으로 썬 새송이버섯을 팬에 넣고 굽는다.
8. 떡갈비에 버터를 끼얹어가며 굽는다.
9. 올리브 오일, 레몬즙을 섞은 뒤 채 썬 사과에 버무린다.
10. 접시에 떡갈비를 얹는다.
11. 떡갈비 위에 구운 새송이버섯을 올린다.
12. 양념한 채 썬 사과, 얇게 썬 밤을 올려 완성한다.</t>
  </si>
  <si>
    <t>&lt;정호영 - 콩나물 팍팍 무쳤돔&gt;
● 재료
옥돔, 낙지, 콩나물, 청양고추, 간장, 달걀, 청주, 소금, 양파, 대파, 청양고추,
고춧가루, 고추장, 간장, 후추, 설탕, 다진 마늘, 다진 생강, 즉석밥, 밀가루
● 조리방법
1. 옥돔의 뼈를 발라낸 뒤, 살을 손질한다.
2. 손질한 옥돔살에 칼집을 내고 적당한 크기로 썬다.
3. 2에 청주를 부어 비린내를 잡는다.
4. 손질한 낙지를 소금으로 비벼 씻은 뒤, 적당한 크기로 썬다.
5. 끓는 물에 소금을 넣고 콩나물을 삶는다.
6. 양파, 대파, 청양고추를 잘게 썬다.
7. 대파의 흰 부분을 채 썰어 찬물에 담가둔다.
8. 데친 콩나물을 찬물로 식힌다.
9. 낙지를 데친 뒤, 얼음물에 담가둔다.
10. 고춧가루(3), 고추장(1), 간장(2), 소금, 후추를 섞어 양념장을 만든다.
11. 양념장에 설탕(2), 청주, 다진 마늘, 다진 생강을 넣고 섞는다.
12. 즉석밥을 전자레인지에 넣고 돌린다.
13. 기름을 두른 팬에 손질한 채소, 데친 콩나물과 낙지를 넣은 뒤 양념장과 함께 볶는다.
14. 달걀 노른자, 얼음물, 밀가루를 섞어 튀김옷을 만든다.
15. 튀김옷을 입힌 옥돔을 기름에 튀긴다.
16. 튀긴 옥돔을 건져 기름기를 뺀다.
17. 기름에 날달걀을 넣어 튀긴다.
18. 접시에 즉석밥을 담는다.
19. 옥돔 튀김과 낙지 콩나물찜을 올린다.
20. 날달걀 튀김을 얹어 완성한다.</t>
  </si>
  <si>
    <t>&lt;샘킴 - 토마토 쓴다고 놀리지 말아요&gt;
● 재료
게, 대구살, 잣, 파르메산 치즈, 올리브, 케이퍼, 선드라이 토마토,
마늘, 당근, 양파, 전분, 올리브 오일
● 조리방법
1. 냄비에 올리브 오일을 두른 뒤, 손질한 채소와 물을 넣고 끓여 채소 육수를 만든다.
2. 1에 게딱지를 넣고 함께 끓인다.
3. 팬에 잣을 넣고 볶는다.
4. 물기를 제거한 대구살을 핸드블렌더에 넣고 간다.
5. 4에 볶은 잣, 전분, 파르메산 치즈를 넣고 함께 간다.
6. 5에 물을 넣은 뒤 동그랗게 뭉친다.
7. 올리브 오일을 두른 팬에 올리브, 케이퍼, 마늘을 잘게 다져 넣고 볶는다.
8. 7에 게와 육수를 넣고 함께 볶는다.
9. 잘게 썬 선드라이 토마토와 올리브 오일을 넣고 함께 볶는다.
10. 올리브 오일을 두른 팬에 뭉친 대구살을 부친다.
11. 대구살 완자를 육수에 넣고 살짝 익힌 뒤, 팬에 넣고 마저 익힌다.
12. 팬에서 게를 건져낸다.
13. 그릇에 국물과 대구살 완자를 담는다.
14. 13 위에 부친 대구살을 다져 올린다.</t>
  </si>
  <si>
    <t>냉장고를 부탁해 시즌 1, 56화</t>
  </si>
  <si>
    <t>&lt;오세득 - 밖으로 나가버리곤약&gt;
● 재료
불고기용 소고기, 카레가루, 돈가스 소스, 배즙, 배, 표고버섯,
애호박, 실곤약, 트러플 꿀, 아스파라거스, 소금, 후추, 레드와인
● 조리방법
1. 불고기용 소고기를 칼로 두드려 부드럽게 만든 뒤, 후추와 소금으로 밑간한다.
2. 고기의 질긴 부분을 제거하고 적당한 크기로 썬다.
3. 기름을 두른 압력솥에 손질한 채소와 고기를 넣고 볶는다.
4. 3에 카레가루를 넣고 볶는다.
5. 팬에 레드와인을 졸인다.
6. 볶던 재료에 졸인 와인과 돈가스 소스를 넣는다.
7. 6에 배즙을 넣는다.
8. 적당한 크기로 썬 배를 압력솥에 넣는다.
9. 압력솥의 뚜껑을 닫고 익힌다.
10. 표고버섯은 편으로 썰고, 애호박은 얇게 채 썬다.
11. 기름을 두른 팬에 표고버섯, 애호박, 후추를 넣고 볶는다.
12. 11에 물기를 뺀 실곤약과 간장을 넣고 볶은 뒤 접시에 담는다.
13. 익힌 재료에 버터와 트러플 꿀을 넣는다.
14. 소금을 넣은 끓는 물에 적당한 크기로 썬 아스파라거스를 데친다.
15. 실곤약 볶음 위에 익힌 고기와 채소를 올린다.
16. 졸인 국물을 부어 완성한다.</t>
  </si>
  <si>
    <t>&lt;미카엘 - 안심하그라탱&gt;
● 재료
닭안심살, 생모차렐라 치즈, 흑토마토, 모차렐라 치즈, 토마토,
상추, 올리브, 데친 아스파라거스, 소금, 후추, 올리브 오일
● 조리방법
1. 소금, 후추로 밑간을 한 닭안심살을 두드려 부드럽게 만든다.
2. 닭안심살에 올리브 오일을 뿌린 뒤, 그릴팬에 굽는다.
3. 생모차렐라 치즈와 흑토마토를 같은 두께로 썬다.
4. 그라탱 접시에 생모차렐라 치즈, 구운 닭안심살, 흑토마토를 겹겹이 놓는다.
5. 모차렐라 치즈를 갈아 올리고, 소금으로 간을 한다.
6. 5를 예열된 오븐에 넣고 굽는다.
7. 토마토를 돌려 깎아 껍질로 장미꽃 모양을 만든다.
8. 상추를 잘게 썬다.
9. 올리브로 토끼 모양을 만든다.
10. 올리브를 잘게 썬다.
11. 오븐에서 꺼낸 그라탱 위에 상추, 올리브로 만든 토끼, 토마토로 만든 꽃을 얹는다.
12. 잘게 썬 올리브와 데친 아스파라거스를 올려 완성한다.</t>
  </si>
  <si>
    <t>&lt;이찬오 - 홍시 밭의 거위&gt;
● 재료
푸아그라 통조림, 홍삼정과, 상추, 허니 아몬드, 홍시, 트러플 오일,
트러플 꿀, 트러플 소금, 아스파라거스, 소금, 후추
● 조리방법
1. 홍시는 껍질을 벗기고 심과 씨를 발라낸다.
2. 홍시를 핸드블렌더에 넣고 곱게 간다.
3. 2를 체에 밭쳐 곱게 내린 뒤 소금, 후추로 간을 한다.
4. 찜기에 홍삼정과를 넣고 찐다.
5. 끓는 물에 소금을 넣고 아스파라거스를 데친다.
6. 데친 아스파라거스를 적당한 크기로 썬다.
7. 볼에 트러플 꿀, 트러플 오일, 후추, 데친 아스파라거스를 넣고 섞는다.
8. 허니 아몬드를 잘게 부순다.
9. 푸아그라 통조림을 적당한 크기로 썬 다음 트러플 소금을 뿌린다.
10. 원형틀을 이용해 상추를 동그란 모양으로 찍어낸다.
11. 찐 홍삼절편에 트러플 오일과 트러플 소금을 뿌린다.
12. 접시에 홍시 소스를 얇게 펼친다.
13. 홍시 소스 위에 푸아그라, 홍삼정과, 아스파라거스를 올린다.
14. 13 위에 동그랗게 손질한 상추를 올리고, 잘게 부순 허니 아몬드를 뿌려 완성한다.</t>
  </si>
  <si>
    <t>&lt;이연복 - 장어 팔복채&gt;
● 재료
전복, 오징어, 새우, 장어, 브로콜리, 파프리카, 표고버섯, 배추, 장어구이용 소스,
두반장, 대파, 마늘, 고추, 다진 생강, 고춧가루, 전분, 간장, 청주
● 조리방법
1. 끓는 물에 전복을 데친다.
2. 오징어에 칼집을 내고 적당한 크기로 썬다.
3. 새우는 머리와 껍질을 제거한 뒤, 등에 칼집을 낸다.
4. 데친 전복에 칼집을 낸 뒤, 잘게 썬다.
5. 장어에 칼집을 내고 적당한 크기로 썬다.
6. 기름에 대파, 고춧가루, 다진 생강을 넣고 끓인다.
7. 6을 체에 걸러 고추기름만 받아낸다.
8. 브로콜리, 파프리카, 표고버섯, 배추를 적당한 크기로 썬다.
9. 끓는 물에 청주를 넣은 뒤, 손질한 해산물과 채소를 넣고 데친다.
10. 대파, 마늘, 다진 생강, 고추를 손질한다.
11. 팬에 고추기름을 두르고 대파, 고추, 다진 마늘과 생강을 넣고 볶는다.
12. 데친 해산물과 채소를 체에 밭쳐 물기를 뺀 뒤, 팬에 넣어 함께 볶는다.
13. 12에 간장, 장어구이용 소스, 두반장을 넣고 볶는다.
14. 데친 전복을 넣고 함께 볶는다.
15. 전분물을 넣어 농도를 맞춘다.</t>
  </si>
  <si>
    <t>냉장고를 부탁해 시즌 1, 57화</t>
  </si>
  <si>
    <t>&lt;최현석 - 트러플 메이커&gt;
● 재료
달걀, 화이트 트러플 페이스트, 곡물빵, 나초 치즈, 화이트 트러플, 버터, 식초
● 조리방법
1. 볼에 달걀을 푼 뒤, 체에 밭쳐 곱게 내린다.
2. 팬에 달걀물을 붓고 젓가락으로 살살 휘젓는다.
3. 아랫면만 익힌 달걀을 팬을 기울여 한 쪽에 몰아놓고, 반대편 바닥을 두드리며 반달모양으로 만든다.
4. 달걀 사이에 화이트 트러플 페이스트를 넣어 감싸 오믈렛을 만든다.
5. 곡물빵을 석쇠에 넣고 직화로 굽는다.
6. 곡물빵에 올리브 오일을 뿌리고 다시 직화로 굽는다.
7. 버터를 중탕으로 녹여 정제버터를 만든다.
8. 볼에 달걀 노른자, 나초 치즈를 넣고 섞으며 중탕한다.
9. 8에 정제버터를 조금씩 넣어가며 섞어 홀랜다이즈 소스를 만든다.
10. 홀랜다이즈 소스에 식초를 넣고 섞는다.
11. 접시에 구운 곡물빵을 담고 오믈렛을 올린다.
12. 오믈렛 위에 홀랜다이즈 소스를 얹는다.
13. 화이트 트러플을 갈아 올려 완성한다.</t>
  </si>
  <si>
    <t>&lt;김풍 - 자연풍 주의보&gt;
● 재료
파프리카, 새우, 들기름, 우유, 들깨가루, 아보카도, 파르메산 치즈, 소금, 후추, 버터, 화이트와인
● 조리방법
1. 파프리카를 직화한다.
2. 새우의 머리와 껍질을 제거한다.
3. 들기름을 두른 냄비에 새우 머리를 볶은 뒤, 우유를 부어 끓인다.
4. 3에 들깨가루를 넣어 들깨소스를 만든다.
5. 들깨소스에 소금으로 간을 한다.
6. 버터를 두른 팬에 잘게 썬 새우를 넣어 볶는다.
7. 6에 소금, 후추로 간을 한 뒤 화이트 와인을 넣는다.
8. 아보카도는 반으로 갈라 씨를 빼고, 껍질을 벗긴다.
9. 새우를 볶던 팬에 잘게 썬 아보카도를 넣고 함께 볶는다.
10. 9에 파르메산 치즈를 갈아 넣는다.
11. 토치로 파프리카의 겉면을 완전히 태운다.
12. 파프리카의 탄 부분을 깨끗이 씻어내고 씨를 빼낸다.
13. 파프리카 속에 치즈를 넣어 볶은 새우와 아보카도를 채워 넣는다.
14. 끓인 들깨소스를 체에 밭쳐 곱게 내린다.
15. 그릇에 들깨소스를 붓고 속을 채운 파프리카를 담아 완성한다.</t>
  </si>
  <si>
    <t>&lt;정호영 - 마성의 해물면&gt;
● 재료
마, 오징어, 새우, 달걀, 성게알, 전복, 애호박, 트러플 오일, 전분, 간장, 소금
● 조리방법
1. 마는 껍질을 벗겨 손질한다.
2. 오징어와 새우를 적당한 크기로 썬다.
3. 믹서기에 오징어, 새우, 마를 넣는다.
4. 3에 달걀 흰자, 성게알, 전분, 간장을 넣고 갈아 반죽을 만든다.
5. 전복의 내장을 떼어내고 적당한 크기로 썬다.
6. 마와 애호박을 채 썬다.
7. 손질한 전복, 마, 애호박을 끓는 물에 데친 뒤 얼음물에 담가둔다.
8. 비닐팩에 갈아놓은 반죽을 넣는다.
9. 비닐팩 모서리를 잘라 작게 구멍을 낸다.
10. 끓는 물을 저어 회오리를 만든 뒤, 반죽을 짜 넣는다.
11. 익은 해물면을 건져낸 뒤, 얼음물에 담가둔다.
12. 성게알, 트러플 오일, 소금, 간장을 섞어 성게알 소스를 만든다.
13. 성게알 소스를 체에 밭쳐 곱게 내린다.
14. 볼에 데친 전복과 마, 애호박, 해물면을 담은 뒤 성게알 소스를 넣고 버무린다.
15. 성게알 소스에 버무린 해물면과 전복, 채소를 접시에 담는다.
16. 성게알을 올려 완성한다.</t>
  </si>
  <si>
    <t>&lt;샘킴 - 라자냐는 나자냐&gt;
● 재료
라자냐, 파프리카, 삶은 호박고지, 느타리버섯, 브로콜리, 가지, 닭다리살,
파르메산 치즈, 화이트 와인 식초, 토마토 소스, 슬라이스 치즈, 소금, 양파,
후추, 버터, 밀가루, 설탕, 올리브 오일
● 조리방법
1. 끓는 물에 소금을 넣은 뒤, 라자냐를 넣고 삶는다.
2. 파프리카, 삶은 호박고지, 느타리버섯, 브로콜리, 양파, 가지를 잘게 썬다.
3. 닭다리살을 잘게 썬다.
4. 기름을 두른 팬에 으깬 마늘과 닭다리살을 넣고 볶는다.
5. 4에 소금, 후추로 간을 한 뒤 손질한 채소들을 넣고 함께 볶는다.
6. 팬에 버터와 밀가루를 넣고 볶아 루를 만든다.
7. 루에 우유와 파르메산 치즈를 갈아 넣어 베샤멜 소스를 만든다.
8. 볼에 화이트 와인 식초, 토마토 소스, 설탕, 소금, 올리브 오일을 넣고 섞는다.
9. 8에 볶은 재료들을 넣고, 파르메산 치즈를 갈아 넣는다.
10. 오븐용 그릇에 라자냐 &gt; 베샤멜 소스 &gt; 토마토 소스에 버무린 재료들 순으로 켜켜이 쌓는다.
11. 10에 슬라이스 치즈를 올리고 베샤멜 소스를 뿌린다.
12. 파르메산 치즈를 갈아 올린 뒤, 예열한 오븐에 넣어 익힌다.
13. 오븐에서 라자냐를 꺼낸 뒤, 토치로 표면을 마저 익힌다.</t>
  </si>
  <si>
    <t>냉장고를 부탁해 시즌 1, 58화</t>
  </si>
  <si>
    <t>&lt;김풍 - 사랑햄&gt;
● 재료
달걀, 슬라이스 치즈, 통조림 햄, 사과, 사과주스, 설탕, 버터, 밀가루, 우유, 빵가루
● 조리방법
1. 사과의 껍질을 깎은 뒤, 잘게 썬다.
2. 잘게 썬 사과를 냄비에 넣는다.
3. 사과를 넣은 냄비에 사과주스와 설탕을 넣고 조린다.
4. 3에 버터를 넣는다.
5. 냄비에 통조림 햄을 으깨어 넣고 함께 조린다.
6. 볼에 달걀, 밀가루, 설탕을 넣고 섞는다.
7. 6에 우유를 넣고 섞어 크레페 반죽을 만든다.
8. 달군 팬에 크레페 반죽을 부어 얇게 부친다.
9. 달걀프라이를 만들어 크레페 위에 올린다.
10. 9에 조린 사과와 햄, 슬라이스 치즈를 올린다.
11. 크레페를 접어 재료들을 감싼다.
12. 재료를 감싼 크레페에 달걀물 &gt; 빵가루 순으로 튀김옷을 입힌다.
13. 튀김옷을 입힌 크레페를 기름에 넣고 튀긴다.
14. 튀겨낸 크레페를 접시에 담아낸다.</t>
  </si>
  <si>
    <t>&lt;이연복 - 가지 싸움에 새우등 터진다&gt;
● 재료
가지, 칵테일 새우, 소고기, 달걀, 파프리카, 밀가루, 감자 전분,
생강즙, 옥수수 전분, 마늘, 대파, 파프리카, 간장, 식초, 설탕
● 조리방법
1. 가지를 편으로 썬다.
2. 편으로 썬 가지에 밀가루를 묻힌다.
3. 칵테일 새우의 꼬리를 제거한 뒤, 살을 으깬다.
4. 적당한 크기로 썬 소고기와 으깬 새우살을 함께 다진다.
5. 4에 감자 전분, 달걀물, 생강즙을 넣고 치댄다.
6. 밀가루를 묻힌 가지 사이에 소고기&amp;새우 반죽을 넣는다.
7. 감자 전분, 옥수수 전분, 달걀물, 물을 섞어 튀김옷을 만든다.
8. 소고기&amp;새우 반죽을 넣은 가지에 튀김옷을 입힌다.
9. 8을 기름에 넣고 튀긴다.
10. 볼에 마늘, 대파, 파프리카를 잘게 다져 넣는다.
11. 10에 간장, 식초, 물, 설탕(1:1:1:1)을 넣고 섞어 소스를 만든다.
12. 접시에 가지 튀김을 담고 소스를 뿌려 완성한다.</t>
  </si>
  <si>
    <t>&lt;이찬오 - 대게 맛있는 따로 덮밥&gt;
● 재료
양파, 삶은 호박고지, 대파, 삶은 고사리, 맛간장, 표고버섯, 고추, 대게살, 삶은 문어,
참기름, 삶은 시래기, 다진 마늘, 맛술, 올리고당, 후추, 즉석밥, 달걀, 참기름, 소금, 깨
● 조리방법
1. 기름을 두른 팬에 잘게 썬 양파를 넣고 볶는다.
2. 1에 삶은 호박고지를 넣고 함께 볶는다.
3. 잘게 썬 대파와 삶은 고사리, 다진 마늘을 팬에 넣고 함께 볶는다.
4. 채소를 볶던 팬에 물과 맛간장을 넣어 끓인다.
5. 4에 맛술과 올리고당을 넣어 함께 끓인다.
6. 표고버섯과 고추를 썰어 팬에 넣은 뒤, 후추를 뿌린다.
7. 즉석밥을 전자레인지에 넣고 돌린다.
8. 잘게 썬 대파를 얼음물에 담가둔다.
9. 대게살과 삶은 문어의 물기를 제거한다.
10. 물기를 제거한 대게살과 삶은 문어를 기름에 튀긴다.
11. 채소를 넣어 끓인 덮밥 소스에 참기름을 넣는다.
12. 11에 달걀물을 풀어 넣는다.
13. 볼에 잘게 다진 삶은 시래기, 밥, 참기름을 넣고 섞는다.
14. 13에 소금으로 간을 한 뒤, 잘 섞어준다.
15. 원형틀을 이용해 그릇에 시래기밥을 담고 깨를 뿌린다.
16. 다른 접시에 원형틀을 이용해 덮밥 소스를 담는다.
17. 덮밥 소스 위에 튀긴 문어와 대게살, 채 썬 파를 올려 완성한다.</t>
  </si>
  <si>
    <t>&lt;미카엘 - 삼치렐라&gt;
● 재료
삼치, 호두, 달걀, 브로콜리, 마늘, 파프리카, 토마토, 바질 페스토, 수제 요거트,
실파, 소금, 후추, 레몬, 밀가루, 버터, 올리브 오일, 청양고추, 마요네즈
● 조리방법
1. 삼치의 가시를 제거하고 껍질을 벗긴다.
2. 삼치에 소금, 후추, 레몬즙으로 밑간을 한다.
3. 호두를 잘게 다진다.
4. 밑간을 한 삼치에 밀가루&gt;달걀물&gt;다진 호두 순으로 튀김옷을 입힌다.
5. 튀김옷을 입힌 삼치를 기름에 넣고 튀긴다.
6. 버터를 두른 팬에 브로콜리를 넣고 굽는다.
7. 6에 편으로 썬 마늘, 물, 소금, 후추를 넣는다.
8. 파프리카는 윗부분을 잘라내고 씨를 빼낸다.
9. 다진 토마토와 마늘, 바질 페스토, 올리브 오일, 청양고추를 섞어 샐러드를 만든다.
10. 토마토 샐러드에 소금 간을 한 뒤, 파프리카 속에 담는다.
11. 튀긴 삼치의 기름기를 제거한다.
12. 접시에 토마토 샐러드, 익힌 브로콜리, 튀긴 삼치를 담는다.
13. 수제 요거트에 다진 실파, 소금, 다진 마늘, 마요네즈를 섞어 소스를 만든다.
14. 접시에 요거트 소스를 올려 완성한다.</t>
  </si>
  <si>
    <t>냉장고를 부탁해 시즌 1, 59화</t>
  </si>
  <si>
    <t>&lt;오세득 - 개천에서 용 났새우&gt;
● 재료
브로콜리, 북어채, 새우, 다진 청양고추, 대파, 마늘, 라면, 올리브 오일
● 조리방법
1. 브로콜리를 적당한 크기로 썰어 소금을 넣은 끓는 물에 데친다.
2. 데친 브로콜리를 그릴팬에 굽는다.
3. 북어채에 기름을 두른 뒤, 전자레인지에 돌려 바삭하게 만든다.
4. 끓는 물에 라면을 삶는다.
5. 팬에 올리브 오일을 넉넉히 두른다.
6. 올리브 오일을 두른 팬에 두껍게 썬 마늘과 파를 넣고 볶아 향을 낸다.
7. 6에 새우와 다진 청양고추를 넣고 볶는다.
8. 양파를 잘게 다져 팬에 넣고 함께 볶는다.
9. 그릇에 구운 브로콜리를 담는다.
10. 삶은 면을 체에 밭쳐 물기를 뺀다.
11. 면에 재료들의 향이 밴 기름을 넣고 버무린다.
12. 면을 그릇에 담는다.
13. 면 위에 볶은 재료들을 올린다.
14. 바삭해진 북어채를 핸드블렌더에 넣고 간다.
15. 곱게 간 북어채를 요리 위에 뿌려 완성한다.</t>
  </si>
  <si>
    <t>&lt;최현석 - 부드럽끼&gt;
● 재료
감자, 우유, 꼬리곰탕, 리코타 치즈, 카망베르 치즈, 달걀, 양파, 소금, 후추, 밀가루
● 조리방법
1. 감자를 반으로 썰어 접시에 담는다.
2. 물에 적신 키친타올로 감자를 덮은 뒤, 전자레인지에 넣고 익힌다.
3. 냄비에 우유를 넣은 뒤, 꼬리곰탕을 체에 걸러 넣는다.
4. 3에 리코타 치즈, 카망베르 치즈를 넣고 끓여 크림소스를 만든다.
5. 크림소스에 소금, 후추를 넣어 간을 한다.
6. 크림소스를 핸드블렌더로 곱게 간 뒤, 다시 끓인다.
7. 팬에 버터를 두르고 잘게 썬 양파를 볶는다.
8. 양파를 볶던 팬에 크림소스를 부어 끓인다.
9. 익힌 감자의 껍질을 벗긴다.
10. 볼에 감자를 넣고 으깬 뒤, 얼음물 위에 얹어 식힌다.
11. 식힌 감자에 밀가루를 조금씩 넣으며 뇨키 반죽을 만든다.
12. 뇨키 반죽에 달걀노른자를 섞은 뒤, 길게 늘인다.
13. 뇨키 반죽을 적당한 크기로 썬 뒤, 포크로 눌러 홈을 만든다.
14. 끓는 물에 뇨키를 삶는다.
15. 크림소스에 삶은 뇨키를 넣어 끓인다.
16. 완성된 뇨키를 접시에 담아낸다.</t>
  </si>
  <si>
    <t>&lt;이원일 - 유아식망고땡!&gt;
● 재료
우유, 망고, 호두, 잣, 대추, 당근, 즉석밥, 꿀, 소금
● 조리방법
1. 프라이팬을 냉동실에 넣어 차갑게 만든다.
2. 즉석밥을 전자레인지에 넣고 돌린다.
3. 팬에 우유와 꿀을 넣고 끓여 연유처럼 만든다.
4. 3에 당근을 잘게 썰어 넣는다.
5. 망고를 곱게 간 뒤, 팬에 넣고 끓여 망고소스를 만든다.
6. 끓인 우유&amp;꿀에 밥을 넣고, 소금으로 간한다.
7. 6에 망고소스를 넣고 섞어 망고약밥을 만든다.
8. 호두를 잘게 다진다.
9. 다진 호두를 체에 밭쳐 곱게 내린 뒤, 망고약밥과 섞는다.
10. 차갑게 만든 프라이팬에 망고약밥을 넣고 얇게 편다.
11. 10을 다시 냉동실에 넣어 식힌다.
12. 대추와 잣을 잘게 다진다.
13. 냉동실에서 차게 식힌 망고약밥을 꺼낸다.
14. 접시에 망고소스를 담는다.
15. 숟가락으로 망고약밥의 모양을 잡은 뒤, 접시에 담는다.
16. 다진 잣과 대추를 곁들여 낸다.</t>
  </si>
  <si>
    <t>&lt;이연복 - 요기조기 탕수&gt;
● 재료
조기, 표고버섯채, 청양고추, 감자전분, 양파, 당근, 파, 간장, 후추, 식초, 꿀
● 조리방법
1. 조기를 손질한다.
2. 조기 양쪽에 깊이 칼집을 낸다..
3. 칼집을 낸 조기에 감자전분을 묻힌다.
4. 조기 꼬리를 잡고 끓인 기름에 담근 뒤, 국자로 기름을 끼얹는다.
5. 조기의 모양이 잡히면 기름에 넣고 튀긴다.
6. 양파, 당근, 파, 청양고추를 채 썬다.
7. 팬에 채 썬 재료들과 간장, 후추, 물, 식초, 꿀, 불린 표고버섯채를 넣고 끓여 탕수소스를 만든다.
8. 전분과 물을 섞어 전분물을 만든다.
9. 튀긴 조기를 건져 기름을 빼고, 접시에 올린다.
10. 탕수소스에 전분물을 넣어 농도를 조절한다.
11. 튀긴 조기 위에 탕수소스를 끼얹어 완성한다.</t>
  </si>
  <si>
    <t>냉장고를 부탁해 시즌 1, 60화</t>
  </si>
  <si>
    <t>&lt;미카엘 - 뒤집었닭&gt;
● 재료
닭날개, 반숙란, 삶은 양배추, 총각김치, 올리브, 느타리버섯 볶음,
맥주, 파슬리, 소금, 고춧가루, 후추, 식초
● 조리방법
1. 반숙란의 노른자만 분리한다.
2. 핸드블렌더에 반숙란 노른자, 느타리버섯 볶음, 올리브, 소금, 고춧가루, 후추를 넣고 간다.
3. 닭날개 한 쪽에 칼집을 내 뼈와 살을 분리한 뒤, 살을 뒤집는다.
4. 뒤집은 닭날개 살 안에 핸드블렌더로 간 재료를 넣고 이쑤시개로 봉한다.
5. 재료를 채운 닭날개에 소금, 후추로 간을 하고, 기름을 두른 그릴팬에 굽는다.
6. 삶은 양배추를 채 썬다.
7. 볼에 채 썬 양배추를 담고, 총각김치 무를 갈아 넣는다.
8. 7에 다진 총각김치 무청과 올리브오일, 식초를 넣고 버무려 김치 코울슬러를 만든다.
9. 접시에 김치 코울슬러를 담는다.
10. 그릴팬에 굽던 닭날개에 맥주를 붓고 끓여 속까지 익힌다.
11. 닭날개를 고정한 이쑤시개를 뺀다.
12. 닭날개 뼈에 호일을 감싸고, 접시에 담는다.
13. 파슬리 가루를 뿌려 완성한다.</t>
  </si>
  <si>
    <t>&lt;홍석천 - 명란 대파주이소&gt;
● 재료
채끝등심, 삶은 양배추, 명란, 청양고추, 올리브, 표고버섯채,
참기름, 참깨, 다진 마늘, 파, 소금, 후추, 고춧가루, 마늘
● 조리방법
1. 청양고추를 잘게 다진다.
2. 볼에 명란, 참깨, 다진 마늘, 다진 청양고추, 참기름을 넣고 섞는다.
3. 양념한 명란을 삶은 양배추 위에 놓고 돌돌 만다.
4. 양배추 명란 말이를 비닐팩에 담아 냉동실에 넣는다.
5. 대파를 얇게 썬다.
6. 팬에 올리브 오일을 넉넉히 두르고 얇게 썬 대파와 다진 청양고추를 넣고 파기름을 낸다.
7. 끓인 파기름을 체에 밭쳐 기름만 걸러낸다.
8. 채끝등심을 길게 썰고 소금, 후추, 고춧가루로 밑간을 한다.
9. 팬에 파기름을 두르고 밑간 한 채끝등심을 굽는다.
10. 대파를 갈라 심을 빼낸 후, 구운 채끝등심을 안에 넣어 감싼다.
11. 구운 채끝등심을 넣은 대파를 실로 묶어 고정한다.
12. 마른 팬에 11을 굽는다.
13. 냉동실에 넣어둔 양배추 명란 말이를 꺼내 적당한 크기로 썬다.
14. 불린 표고버섯채와 편으로 썬 마늘을 팬에 굽는다.
15. 채끝등심을 넣은 대파말이가 익으면 실을 제거하고 그릇에 담는다.
16. 양배추 명란 말이와 구운 표고버섯채를 곁들인다.
17. 올리브 오일과 후추를 뿌려 완성한다.</t>
  </si>
  <si>
    <t>&lt;최현석 - 채끝과 당근&gt;
● 재료
채끝등심, 삶은 양배추, 느타리버섯 볶음, 당근, 찹쌀가루,
파슬리, 소금, 설탕, 후추, 레몬, 버터, 레드와인, 꿀
● 조리방법
1. 당근은 얇게 썬다.
2. 끓는 물에 얇게 썬 당근과 소금을 넣고 삶는다.
3. 2에 레몬즙을 넣는다.
4. 삶은 당근을 체에 밭쳐 물기를 뺀다.
5. 핸드블렌더에 삶은 당근과 버터를 넣고 갈아 퓌레를 만든다.
6. 당근 퓌레를 냄비에 담아 끓인다.
7. 삶은 양배추를 채 썰어 당근 퓌레에 넣는다.
8. 양배추를 넣은 당근 퓌레에 설탕과 레몬껍질을 갈아 넣는다.
9. 채끝등심을 비닐팩에 넣고 고기망치로 두드려 얇게 편다.
10. 얇게 편 채끝등심에 소금, 후추로 밑간을 한다.
11. 밑간을 한 채끝등심에 찹쌀가루를 뿌린다.
12. 양배추를 넣은 당근 퓌레에 소금으로 간을 한다.
13. 기름을 두른 팬에 찹쌀가루를 입힌 채끝등심을 굽는다.
14. 팬 한 쪽에 느타리버섯 볶음을 굽는다.
15. 고기와 느타리버섯 볶음을 굽던 팬에 레드와인을 붓고 끓인다.
16. 15에 꿀과 버터를 넣어 레드와인 소스를 만든다.
17. 팬에 파슬리 가루를 뿌린다.
18. 접시에 양배추를 넣은 당근 퓌레를 담는다.
19. 레드와인 소스에 조린 채끝등심과 느타리버섯 볶음을 접시에 담아 완성한다.</t>
  </si>
  <si>
    <t>&lt;샘킴 - 위풍닭닭&gt;
● 재료
호두, 땅콩, 포트와인, 말린 대추, 생닭, 사과, 양파, 당근, 대파,
설탕, 고춧가루, 소금, 후추, 버터, 꿀
● 조리방법
1. 끓는 물에 호두와 땅콩을 데친다.
2. 볼에 설탕과 고춧가루를 넣고 섞는다.
3. 2에 데친 견과류를 넣고 섞는다.
4. 오븐용 팬에 양념한 견과류를 담아 예열된 오븐에 굽는다.
5. 견과류를 데친 물에 양파, 당근, 대파를 넣고 끓여 채소육수를 만든다.
6. 오븐에 구운 견과류를 핸드블렌더에 간다.
7. 기름을 두른 팬에 양파를 굽고, 소금, 후추로 간한다.
8. 오븐용 팬에 구운 양파를 담고, 간 견과류를 얹는다.
9. 팬에 포트와인을 붓고, 잘게 썬 말린 대추를 넣고 끓여 소스를 만든다.
10. 견과류를 얹은 구운 양파 위에 포트와인 소스를 뿌리고 오븐에 굽는다.
11. 생닭의 닭다리살만 발라낸다.
12. 기름을 두른 팬에 닭다리살을 굽고, 소금과 후추로 간한다.
13. 팬 한 쪽에 적당한 크기로 썬 대파의 흰 부분을 굽는다.
14. 포트와인 소스에 채소육수를 넣는다.
15. 포트와인 소스에 잘게 썬 사과, 버터, 꿀을 넣고 조린다.
16. 접시에 견과류를 올린 구운 양파와 구운 대파를 올린다.
17. 접시에 구운 닭다리살을 얹고, 포트와인 소스를 곁들여 완성한다.</t>
  </si>
  <si>
    <t>냉장고를 부탁해 시즌 1, 61화</t>
  </si>
  <si>
    <t>&lt;정호영 - 미트볼그레&gt;
● 재료
돼지고기, 소고기, 달걀, 사과, 파프리카, 호두, 잣, 포트와인, 꿀,
양파, 대파, 고추, 다진 생강, 소금, 간장, 청주, 후추, 맛술, 설탕
● 조리방법
1. 양파와 대파를 잘게 썬다.
2. 돼지고기와 소고기를 적당한 크기로 썬다.
3. 핸드블렌더에 돼지고기, 소고기, 달걀을 넣고 간다.
4. 볼에 믹서에 간 고기, 다진 생강, 잘게 썬 양파와 대파, 소금, 간장을 넣는다.
5. 청주와 달걀을 넣는다.
6. 볼에 있는 재료들에 전분을 넣고 치대 미트볼 반죽을 만든다.
7. 미트볼 반죽에 후추를 넣는다.
8. 동그랗게 뽑아낸 미트볼 반죽을 숟가락으로 하나씩 떼어 기름에 튀긴다.
9. 사과, 파프리카, 고추, 대파의 흰 부분을 잘게 썬다.
10. 호두와 잣도 잘게 썬 재료들과 함께 준비한다.
11. 팬에 포트와인, 맛술, 꿀, 설탕을 넣고 졸여 소스를 만든다.
12. 튀긴 미트볼을 건져 기름기를 뺀다.
13. 포트와인 소스에 튀긴 미트볼, 잘게 썬 채소와 견과류를 넣고 섞는다.
14. 13에 전분물을 넣는다.
15. 미트볼과 소스를 그릇에 담아낸다.</t>
  </si>
  <si>
    <t>&lt;김풍 - 장풍덮밥&gt;
● 재료
돼지고기, 새우살, 파프리카, 인스턴트 카레, 달걀, 대파, 마늘,
고추, 파프리카, 고춧가루, 맛술, 간장, 된장, 식초, 즉석밥
● 조리방법
1. 돼지고기와 대파를 적당한 크기로 썬다.
2. 마늘을 다진다.
3. 고추를 잘게 썬다.
4. 기름을 두른 냄비에 돼지고기를 볶는다.
5. 볶던 돼지고기에 다진 마늘, 고추, 대파, 고춧가루를 넣고 함께 볶는다.
6. 볶던 재료에 맛술, 간장, 된장을 넣는다.
7. 볶은 재료에 물을 넣고 끓여 덮밥 소스를 만든다.
8. 새우살을 적당한 크기로 썰어 덮밥 소스에 넣고 함께 끓인다.
9. 파프리카를 적당한 크기로 썰어 덮밥 소스에 넣고 함께 끓인다.
10. 즉석밥을 전자레인지에 넣고 돌린다.
11. 덮밥 소스에 카레가루를 넣고 끓인다.
12. 덮밥 소스에 식초를 넣는다.
13. 기름을 두른 팬에 달걀프라이를 만들다가 물을 넣고 뚜껑을 닫아 윗부분까지 익힌다.
14. 덮밥 소스에 전분물을 넣는다.
15. 그릇에 즉석밥을 담고 덮밥 소스를 올린다.
16. 달걀프라이를 올려 완성한다.</t>
  </si>
  <si>
    <t>&lt;오세득 - 돼.새.김&gt;
● 재료
조미김, 돼지고기, 생강대추청, 달걀, 새우살, 대파, 맛술, 간장, 전분, 고춧가루, 버터, 즉석밥
● 조리방법
1. 믹서기에 조미김과 뜨거운 물을 넣고 간다.
2. 믹서에 간 조미김을 냄비에 넣고 끓인다.
3. 2에 맛술을 넣고 끓여 김소스를 만든다.
4. 돼지고기를 잘게 썬다.
5. 핸드블렌더에 잘게 썬 돼지고기와 생강대추청을 넣는다.
6. 생강대추청의 생강을 꺼내 칼로 으깬다.
7. 핸드블렌더에 으깬 생강과 간장, 전분, 달걀 흰자를 넣고 갈아 반죽을 만든다.
8. 대파를 잘게 다진다.
9. 새우살을 으깬다.
10. 새우살과 다진 대파, 핸드블렌더로 간 돼지고기 반죽을 섞는다.
11. 완자반죽을 동그랗게 떼어 김소스에 넣고 익힌다.
12. 대파의 흰 부분을 가늘게 채 썰어 찬물에 담가둔다.
13. 김소스를 팬에 덜어 참기름과 설탕으로 양념한다.
14. 13에 익힌 완자를 넣고, 간장을 넣어 조린다.
15. 즉석밥과 완자를 다른 그릇에 담아낸다.
16. 팬에 남은 김소스에 버터와 전분물을 넣는다.
17. 완자 위에 김소스를 얹고, 채 썬 대파를 올린다.
18. 체에 밭쳐 곱게 내린 고춧가루를 올려 완성한다.</t>
  </si>
  <si>
    <t>&lt;이원일 - 아! 추로스~&gt;
● 재료
우유, 블루베리즙, 블루베리, 달걀, 버터, 소금, 설탕, 레몬즙, 밀가루
● 조리방법
1. 냄비에 물, 우유, 버터를 넣고 끓인다.
2. 1에 소금으로 간을 한다.
3. 냄비 속 재료에 설탕을 더해 함께 끓인다.
4. 다른 냄비에 블루베리즙과 블루베리, 설탕, 소금, 레몬즙을 넣고 끓여 블루베리 소스를 만든다.
5. 냄비 속 재료들이 끓으면 밀가루를 넣어가며 익반죽한다.
6. 얼음물 위에 볼을 놓고 반죽을 넣어 식힌다.
7. 식힌 반죽에 달걀물을 넣고 섞는다.
8. 마요네즈 통 윗부분과 끝부분을 자른 비닐팩을 연결해 짤주머니를 만든다.
9. 짤주머니 안에 반죽을 넣는다.
10. 끓는 기름에 반죽을 적당한 길이로 잘라 넣어가며 튀긴다.
11. 튀긴 추로스를 건져 기름기를 제거한다.
12. 블루베리 소스를 그릇에 담아낸다.
13. 기름기를 뺀 추로스를 설탕에 버무린다.
14. 접시에 추로스와 블루베리 소스를 담아낸다.</t>
  </si>
  <si>
    <t>냉장고를 부탁해 시즌 1, 62화</t>
  </si>
  <si>
    <t>&lt;이찬오 - 퍼펙타르트&gt;
● 재료
블루베리, 블루베리즙, 해시 브라운 포테이토, 사과, 모차렐라 치즈, 딸기, 땅콩, 설탕
● 조리방법
1. 냄비에 블루베리, 블루베리즙, 설탕을 넣고 끓여 블루베리소스를 만든다.
2. 기름을 끓여 해시 브라운 포테이토를 튀긴다.
3. 사과를 얇게 슬라이스 한다.
4. 슬라이스 한 사과의 물기를 제거하고 그릇에 넓게 편다.
5. 슬라이스 한 사과를 전자레인지에 넣고 수분을 날려 사과칩을 만든다.
6. 튀긴 해시 브라운 포테이토를 건져 기름기를 제거한다.
7. 그릇에 설탕을 얇게 깐 후, 해시 브라운 포테이토를 얹고 위에도 설탕을 뿌린다.
8. 전자레인지에서 사과칩을 꺼낸다.
9. 모차렐라 치즈를 볼에 담아 전자레인지에 넣고 녹인다.
10. 딸기를 먹기 좋은 크기로 썰어 설탕에 버무린다.
11. 10에 잘게 다진 땅콩을 섞는다.
12. 랩을 깔고 녹인 모차렐라 치즈를 넓게 편다.
13. 넓게 편 모차렐라 치즈 위에 설탕에 버무린 딸기와 땅콩을 올리고 돌돌 만다.
14. 돌돌 만 딸기 치즈말이를 적당한 크기로 썬다.
15. 블루베리 소스를 체에 밭쳐 내린 후, 접시에 담는다.
16. 설탕을 입힌 해시 브라운 포테이토 위에 딸기 치즈말이를 올린다.
17. 블루베리 소스의 블루베리를 올린다.
18. 블루베리 소스를 담은 접시 위에 플레이팅 한다.
19. 사과칩을 위에 올려 완성한다.</t>
  </si>
  <si>
    <t>&lt;이연복 - 한잔비어떡&gt;
● 재료
훈제 닭가슴살, 대파, 밀가루, 소금, 참기름, 버터
● 조리방법
1. 훈제 닭가슴살을 얇게 포 뜬다.
2. 얇게 포 뜬 훈제 닭가슴살을 잘게 다진다.
3. 대파를 잘게 썬다.
4. 밀가루, 소금, 미지근한 물로 반죽을 만든다.
5. 밀가루 반죽을 밀대로 밀어 넓게 편다.
6. 넓게 편 반죽에 참기름을 바른다.
7. 반죽에 소금으로 간을 한다.
8. 반죽 위에 잘게 썬 닭가슴살과 대파를 골고루 얹는다.
9. 재료를 넣은 반죽을 돌돌 만다.
10. 돌돌 말아 길어진 반죽을 동그랗게 다시 한 번 말아준다.
11. 동그랗게 만 반죽을 밀대로 밀어 편다.
12. 기름을 두른 팬에 반죽을 넣고 튀긴다.
13. 반죽을 튀긴 기름을 조금 따라내고 버터를 넣는다.
14. 다 익으면 먹기 좋게 잘라 그릇에 담아낸다.</t>
  </si>
  <si>
    <t>&lt;오세득 - 닭고치&gt;
● 재료
해시 브라운 포테이토, 훈제 닭가슴살, 데리야키 소스, 시럽용 올리고당,
슬라이스 치즈, 모차렐라 치즈, 대파, 양파, 청양고추, 고추장, 설탕, 고춧가루
● 조리방법
1. 기름을 두른 팬에 해시 브라운 포테이토를 튀긴다.
2. 대파와 양파를 잘게 썬다.
3. 훈제 닭가슴살을 칼 단면으로 내리쳐 결대로 찢는다.
4. 볼에 고추장, 데리야키 소스, 시럽용 올리고당, 설탕, 고춧가루를 넣어 고추장 양념을 만든다.
5. 기름을 두른 팬에 잘게 썬 대파와 양파를 볶다가, 고추장 앙념을 넣어 함께 볶는다.
6. 5에 물을 넣는다.
7. 결대로 찢은 훈제 닭가슴살을 손으로 더 잘게 찢어 팬에 넣고 볶는다.
8. 청양고추를 잘게 썰어 볶던 재료들에 넣고 함께 볶는다.
9. 튀긴 해시 브라운 포테이토를 그릇에 담는다.
10. 해시 브라운 포테이토 위에 고추장 양념으로 볶은 닭가슴살과 채소를 올린다.
11. 10 위에 슬라이스 치즈, 모차렐라 치즈, 고추장 양념을 순서대로 얹는다.
12. 그릇을 전자레인지에 넣고 치즈가 녹을 때까지 익힌다.</t>
  </si>
  <si>
    <t>&lt;최현석 - 긴밤지새우콩&gt;
● 재료
새우, 감자, 완두콩, 인스턴트 사골곰탕, 고르곤졸라 치즈,
돼지고기, 쯔유, 양파, 버터, 소금, 후추, 밀가루
● 조리방법
1. 새우는 머리를 제거하고 껍질을 벗긴다.
2. 감자는 얇게 썰고, 양파는 채 썬다.
3. 냄비에 버터와 얇게 썬 감자, 채 썬 양파와 완두콩을 넣고 볶는다.
4. 재료를 볶고 있는 냄비에 소금과 후추를 넣는다.
5. 볶던 재료에 인스턴트 사골곰탕을 넣고 끓인다.
6. 5에 고르곤졸라 치즈를 넣는다.
7. 팬에 버터와 밀가루를 볶아 루를 만든다.
8. 끓이던 재료에 루를 넣어 끓인다.
9. 돼지고기의 지방만 분리해 새우살과 함께 후추, 소금으로 간한다.
10. 핸드블렌더로 새우와 돼지고기 지방을 갈아 완자 반죽을 만든다.
11. 완자 반죽을 적당한 크기로 동그랗게 떼어내 끓는 물에 삶는다.
12. 완자를 삶는 물에 쯔유를 넣는다.
13. 끓이던 재료를 믹서기에 곱게 간다.
14. 갈아낸 재료를 체에 밭쳐 거르고, 다시 끓인다.
15. 다 익은 완자를 그릇에 담는다.
16. 완자를 담은 그릇에 완두콩 스프를 담아 완성한다.</t>
  </si>
  <si>
    <t>냉장고를 부탁해 시즌 1, 63화</t>
  </si>
  <si>
    <t>&lt;샘킴 - 살빠질톰얌&gt;
● 재료
새우, 감자, 베트남 고추, 톰얌 페이스트, 액상조미료,
토마토, 달걀, 당근, 양파, 대파, 마늘, 소금, 후추
● 조리방법
1. 새우는 머리를 제거하고 껍질을 벗긴다.
2. 채소육수를 만든다.
3. 채소육수에 새우머리와 껍질을 넣어 함께 끓인다.
4. 당근과 감자를 잘게 썬다.
5. 양파를 잘게 다지고 마늘은 편으로 썬다.
6. 새우를 적당한 크기로 썬다.
7. 기름을 두른 팬에 새우, 마늘을 넣고 볶는다.
8. 베트남 고추를 잘게 썰어 팬에 넣고 소금으로 간한다.
9. 잘게 썬 당근과 감자를 팬에 넣고 함께 볶는다.
10. 볶던 재료에 톰얌 페이스트를 넣고 볶는다.
11. 10에 새우채소육수를 넣고 끓인다.
12. 액상조미료를 넣는다.
13. 기름을 두른 그릴팬에 토마토, 새우살을 굽다가 소금, 후추로 간한다.
14. 끓는 물을 저어 회오리를 만들고 달걀을 넣어 수란을 만든다.
15. 그릇에 톰얌 수프를 담는다.
16. 대파의 흰 부분을 잘라 그릴팬에 굽는다.
17. 톰얌 수프 위에 구운 토마토, 새우살, 대파를 얹는다.
18. 17 위에 수란을 올리고, 잘게 썬 대파를 얹어 마무리 한다.</t>
  </si>
  <si>
    <t>&lt;미카엘 - 한잔하새우&gt;
● 재료
자숙새우살, 올리브, 할라페뇨, 식빵, 조미김, 낙지젓, 멸치볶음, 칠리소스,
머스터드소스, 향쑥리큐어, 알배추, 양파, 레몬, 마요네즈, 소금, 후추, 올리브오일
● 조리방법
1. 자숙새우살을 잘게 다져 두 개의 볼에 나눠 담는다.
2. 한 쪽 볼에 향쑥리큐어를 넣는다.
3. 2에 칠리소스를 넣는다.
4. 양파를 잘게 썰어 양 쪽 볼에 담는다.
5. 올리브와 할라페뇨를 잘게 썰어 양 쪽 볼에 담는다.
6. 낙지젓을 잘게 다져 양 쪽 볼에 담는다.
7. 식빵을 토스터기에 넣고 굽는다.
8. 소스를 넣지 않은 재료에 머스터드소스, 마요네즈, 소금, 후추, 올리브 오일을 넣고 섞는다.
9. 두 개의 칵테일 잔에 잘게 썬 알배추를 넣는다.
10. 한 개의 잔에 머스터드소스&amp;마요네즈에 버무린 재료를 넣는다.
11. 조미김을 잘라서 재료에 꽂아 장식한다.
12. 구운 식빵을 적당한 크기로 잘라 재료에 꽂고, 멸치볶음을 얹어 장식한다.
13. 칠리소스로 양념한 재료에 후추를 넣는다.
14. 13에 잘게 자른 토마토와 레몬즙을 넣는다.
15. 알배추를 깐 칵테일 잔에 칠리소스로 양념한 재료를 넣고 구운 식빵으로 장식한다.
16. 레몬과 올리브로 장식해 완성한다.</t>
  </si>
  <si>
    <t>&lt;김풍 - 뱅뱅뱅볶음&gt;
● 재료
알배추, 골뱅이 통조림, 들깨가루, 인스턴트 사골곰탕, 양파, 다진 마늘,
청양고추, 고춧가루, 간장, 설탕, 참기름, 맛술, 식용유, 들기름
● 조리방법
1. 양파를 채 썬다.
2. 채 썬 양파를 얼음물에 담가둔다.
3. 볼에 고춧가루, 간장, 설탕, 참기름, 맛술을 섞어 양념을 만든다.
4. 얼음물에 담가뒀던 양파를 건져 양념에 버무린다.
5. 식용유와 들기름을 두른 팬에 다진 마늘을 넣고 볶는다.
6. 알배추와 청양고추를 썬다.
7. 볶던 다진 마늘에 잘게 썬 청양고추를 넣고 볶다가 간장으로 간한다.
8. 물기를 뺀 골뱅이 통조림을 적당한 크기로 썰어 팬에 넣고 함께 볶는다.
9. 잘게 썬 알배추와 들깨가루를 골뱅이를 볶던 팬에 넣고 함께 볶는다.
10. 접시에 양념에 버무린 양파를 담는다.
11. 골뱅이와 알배추를 볶던 팬에 인스턴트 사골곰탕을 넣는다.
12. 접시에 골뱅이 알배추 볶음을 담아 완성한다.</t>
  </si>
  <si>
    <t>&lt;이찬오 - 소풍가는 닭&gt;
● 재료
감자, 양배추, 데친 브로콜리, 닭안심살, 시금치, 허니버터 브레드, 보코치니 치즈,
달걀, 명이나물 장아찌, 크림소스, 버터, 다진 마늘, 다진 파, 소금, 후추, 밀가루
● 조리방법
1. 감자는 껍질을 벗기고 얇게 썬다.
2. 소금을 넣은 끓는 물에 얇게 썬 감자를 넣고 삶는다.
3. 양배추를 채 썬다.
4. 기름을 두른 팬에 채 썬 양배추와 다진 파, 데친 브로콜리를 넣고 볶는다.
5. 볶던 재료에 닭안심살을 넣고 소금과 후추로 간한다.
6. 5에 시금치를 넣고 함께 볶는다.
7. 허니버터 브레드를 잘게 썰어 믹서기에 간다.
8. 보코치니 치즈의 물기를 뺀다.
9. 물기를 뺀 보코치니 치즈를 적당한 크기로 자른다.
10. 보코치니 치즈에 밀가루&gt;달걀물&gt;밀가루&gt;달걀물&gt;빵가루 순으로 튀김옷을 입혀 튀긴다.
11. 튀긴 치즈의 기름을 빼고, 소금 후추로 간한다.
12. 넓게 편 명이나물 장아찌에 익힌 닭안심살을 넣고 돌돌 말아 적당한 크기로 썬다.
13. 삶은 감자를 건져 체에 밭쳐 으깬다.
14. 으깬 감자에 버터, 소금 후추를 넣고 섞는다.
15. 냄비에 크림소스와 물, 다진 마늘, 명이나물 장아찌국물, 후추를 넣어 명이크림소스를 만든다.
16. 접시에 으깬 감자를 올리고, 그 위에 볶은 채소를 올린다.
17. 16위에 명이크림 소스를 올린다.
18. 명이나물 닭안심말이와 튀긴 치즈를 번갈아 올리고 완성한다.</t>
  </si>
  <si>
    <t>냉장고를 부탁해 시즌 1, 64화</t>
  </si>
  <si>
    <t>&lt;정호영 - 함박웃음치~즈&gt;
● 재료
동치미, 미니 파프리카, 오이, 치마살, 달걀, 슬라이스 치즈, 냉동된 밥,
멸치볶음, 버터,맛술, 간장, 설탕, 식초, 소금, 후추, 전분, 깨, 청주
● 조리방법
1. 냄비에 물, 맛술, 간장, 설탕을 2:1:1:1 비율로 넣고, 청주를 더해 불고기 양념을 끓인다.
2. 볼에 설탕, 물, 식초를 1:1:1 비율로 넣고 섞어 초절임소스를 만든다.
3. 동치미와 미니 파프리카를 적당한 크기로 썬다.
4. 오이의 양면에 칼집을 촘촘하게 낸다.
5. 칼집을 낸 오이에 소금을 뿌린다.
6. 칼집 낸 오이, 적당한 크기로 썬 동치미, 미니 파프리카를 초절임소스에 넣고 절인다.
7. 믹서에 치마살과 달걀을 넣고 간다.
8. 7에 소금, 후추 간을 한다.
9. 양파를 잘게 썰어 다진 고기에 넣는다.
10. 9에 전분을 넣고 치대어 햄버그 스테이크 반죽을 만든다.
11. 슬라이스 치즈에 버터를 넣어 감싼다.
12. 패티 반죽에 사이에 버터를 감싼 치즈를 넣고 동그랗게 뭉친다.
13. 기름을 두른 팬에 패티를 넣고 굽는다.
14. 패티를 굽는 팬에 청주를 붓고 뚜껑을 닫아 패티 속까지 익힌다.
15. 익힌 패티에 불고기 양념을 붓고 끼얹어가며 조린다.
16. 전자레인지에 냉동된 밥을 넣고 돌린다.
17. 초절임한 오이를 적당한 크기로 썬다.
18. 접시에 초절임한 오이, 동치미, 미니 파프리카를 올린다.
19. 멸치볶음과 깨, 데운 밥을 섞고 뭉쳐서 주먹밥을 만들어 접시에 올린다.
20. 접시에 햄버그 스테이크를 올리고 조린 양념을 뿌려 마무리한다.</t>
  </si>
  <si>
    <t>&lt;이연복 - 육해공 연볶이&gt;
● 재료
닭날개, 가래떡, 통조림 햄, 애호박, 수제비 반죽, 콩나물, 문어숙회,
모차렐라 치즈, 고추장, 고형카레, 대파, 마늘, 고춧가루, 설탕, 간장, 청주
● 조리방법
1. 대파와 마늘을 적당한 크기로 썬다.
2. 냄비에 적당하게 썬 대파와 마늘, 닭날개, 고춧가루, 물을 넣고 끓인다.
3. 가래떡을 적당한 크기로 썬다.
4. 끓이던 재료에 적당한 크기로 썬 가래떡과 고추장을 넣는다.
5. 4에 고형카레를 넣는다.
6. 통조림 햄을 얇게 썰어 기름을 두른 팬에 굽는다.
7. 애호박을 적당한 크기로 썰어 떡볶이에 넣는다.
8. 수제비 반죽을 적당한 크기로 떼어 떡볶이에 넣는다.
9. 떡볶이에 콩나물과 설탕을 넣는다.
10. 떡볶이에 간장과 문어숙회를 넣는다.
11. 떡볶이에 설탕과 청주를 넣는다.
12. 구운 통조림 햄을 적당한 크기로 썰어 떡볶이에 넣고 끓인다.
13. 모차렐라 치즈를 넣는다.
14. 대파를 잘게 썬다.
15. 완성된 떡볶이를 그릇에 담고 잘게 썬 대파를 올려 마무리한다.</t>
  </si>
  <si>
    <t>&lt;김풍 - 너는 힙합! 나는 햄팝!&gt;
● 재료
통조림 햄, 땅콩버터, 설탕, 밀가루, 전분
● 조리방법
1. 팬에 설탕과 물을 붓고 끓여 졸인다.
2. 볼에 얼음, 물, 밀가루를 넣는다.
3. 2에 전분을 더해 튀김옷을 만든다.
4. 통조림 햄을 깍둑썰기 한다.
5. 깍둑썰기 한 통조림 햄에 튀김옷을 입혀 기름에 튀긴다.
6. 튀긴 통조림 햄을 건져 기름기를 뺀다.
7. 졸인 설탕에 땅콩버터를 넣고 섞는다.
8. 7에 튀긴 햄을 넣고 버무린다.
9. 그릇에 담아낸다.</t>
  </si>
  <si>
    <t>&lt;홍석천 - 쌈삼한 리소토&gt;
● 재료
얼린 밥, 삼계탕, 꽃게맛 과자, 치즈맛 과자, 묵은지, 무김치, 파르메산 치즈분말,
깨, 양파, 청양고추, 다진 마늘, 소금, 후추, 고춧가루, 버터
● 조리방법
1. 기름을 두른 팬에 잘게 썬 양파와 다진 마늘, 얼린 밥을 넣고 볶는다.
2. 삼계탕을 체에 밭쳐 건더기와 국물을 분리한다.
3. 삼계탕 건더기의 국물을 완전히 짜낸 후 잘게 다진다.
4. 밥을 볶던 팬에 삼계탕 국물을 붓고 끓여 리소토를 만든다.
5. 리소토에 소금, 후추로 간한다.
6. 믹서기에 꽃게맛 과자와 치즈맛 과자, 고춧가루를 넣고 간다.
7. 잘게 다진 삼계탕 건더기를 동그랗게 뭉친 뒤 밀가루&gt;달걀물&gt;과자가루를 입혀 기름에 튀긴다.
8. 청양고추와 묵은지, 무김치를 잘게 썬다.
9. 팬에 잘게 썬 김치를 넣고, 깨, 버터, 고춧가루, 삼계탕 국물을 넣고 볶는다.
10. 튀긴 삼계볼을 건져 기름기를 뺀다.
11. 마른 팬에 리소토를 옮겨 담고 파르메산 치즈분말을 넣고 볶는다.
12. 그릇에 리소토를 담고 튀긴 삼계볼을 올린다.
13. 12 위에 볶은 김치를 올린다.
14. 깨와 잘게 썬 청양고추를 얹어 마무리한다.</t>
  </si>
  <si>
    <t>냉장고를 부탁해 시즌 1, 65화</t>
  </si>
  <si>
    <t>&lt;최현석 - 쌈닭 파스타&gt;
● 재료
갈비탕, 파스타면, 매운 양념숯불치킨, 유자소주,
차르메산 치즈분말, 당근, 양파, 마늘, 후추, 소금
● 조리방법
1. 기름을 두른 냄비에 적당한 크기로 썬 당근과 양파를 넣고 볶는다.
2. 갈비탕을 체에 밭쳐 국물만 걸러낸다.
3. 걸러낸 갈비탕 국물을 채소가 담긴 냄비에 넣고 끓여 육수를 낸다.
4. 끓는 물에 소금을 넣고, 파스타 면을 삶는다.
5. 마늘을 잘게 다진다.
6. 기름을 두른 팬에 다진 마늘과 매운 양념숯불치킨을 넣고 함께 볶는다.
7. 볶던 치킨에 후추, 유자소주, 채소갈비탕육수를 넣고 끓여 치킨갈비탕소스를 만든다.
8. 익은 파스타면을 건져 치킨갈비탕소스에 넣고 볶는다.
9. 파스타에 소금으로 간을 한다.
10. 파스타에 파르메산 치즈분말을 뿌리고 섞는다.
11. 그릇에 파스타를 담아 완성한다.</t>
  </si>
  <si>
    <t>&lt;샘킴 - 소울 푸드의 고참&gt;
● 재료
스위트콘 통조림, 고추참치 통조림, 토마토 소스, 당근, 양파, 마늘, 설탕,
마요네즈, 버터, 레몬, 올리브오일, 소금, 후추, 맛술, 간장, 전분, 즉석밥
● 조리방법
1. 냄비에 적당한 크기로 썬 당근, 설탕, 물을 넣고 끓여 당근육수를 만든다.
2. 스위트콘 통조림을 체에 밭쳐 물기를 뺀다.
3. 물기를 뺀 스위트콘과 버터를 팬에 넣고 볶는다.
4. 3에 당근육수를 넣고 끓인다.
5. 즉석밥을 전자레인지에 데운다.
6. 마늘을 편으로 썰어 기름에 튀긴다.
7. 볼에 고추참치 통조림과 마요네즈를 넣는다.
8. 다른 볼에 토마토 소스와 레몬즙을 넣고 섞는다.
9. 9에 올리브오일, 후추, 소금을 넣고 섞어 소스를 만든다.
10. 전자레인지에서 즉석밥을 꺼내 고추참치, 마요네즈와 함께 버무린다.
11. 버무린 밥에 소금, 후추로 간한다.
12. 당근육수와 함께 끓인 스위트콘을 핸드블렌더로 간다.
13. 기름에 튀긴 마늘을 건져낸다.
14. 기름에 튀긴 마늘을 잘게 다진다.
15. 고추참치에 버무린 밥에 잘게 다진 튀긴 마늘을 넣고 섞는다.
16. 랩을 펼쳐 양념한 밥을 넣고 동그랗게 말아 기름을 두른 팬에 굽는다.
17. 다른 팬에 맛술과 간장을 넣어 간장소스를 끓인다.
18. 구운 주먹밥에 버터와 간장소스를 넣고 조린다.
19. 채 썬 양파에 전분을 묻혀 기름에 튀긴다.
20. 튀긴 양파를 레몬즙과 섞은 토마토 소스에 넣고 무친다.
21. 그릇에 곱게 간 스위트콘을 담은 뒤, 구운 주먹밥을 올린다.
22. 소스에 무친 튀긴 양파를 얹어 마무리한다.</t>
  </si>
  <si>
    <t>&lt;미카엘 - 옥수스웨그 팬케이크&gt;
● 재료
인스턴트 체다치즈 수프, 파르메산 치즈분말, 매운 양념숯불치킨, 스위트콘 통조림,
오이피클, 고추참치 통조림, 토마토 소스, 달걀, 양파, 청양고추, 밀가루, 소금, 후추, 레몬
● 조리방법
1. 냄비에 물, 인스턴트 체다치즈 수프, 파르메산 치즈분말을 넣고 끓인다.
2. 매운 양념숯불치킨을 잘게 썰어 수프에 넣고 끓인다.
3. 스위트콘 통조림을 체에 밭쳐 물기를 뺀다.
4. 볼에 물기를 뺀 스위트콘과 달걀을 넣는다.
5. 4에 양파와 오이피클을 잘게 썰어 넣은 뒤 소금 후추로 간한다.
6. 청양고추를 잘게 썰어 넣는다.
7. 볼에 담긴 각종 재료를 핸드블렌더로 간다.
8. 핸드블렌더로 간 재료들에 밀가루를 넣고 팬케이크 반죽을 만든다.
9. 기름을 두른 팬에 팬케이크 반죽을 넓게 펴고 굽는다.
10. 팬케이크에 후추를 뿌려 간한다.
11. 고추참치 통조림을 체에 밭쳐 기름기를 뺀다.
12. 볼에 고추참치, 잘게 썬 양파, 소금, 후추, 잘게 썬 피클, 토마토 소스를 넣고 섞는다.
13. 양념한 고추참치를 접시에 담는다.
14. 스위트콘 팬케이크를 적당한 크기로 썰어 접시에 담고, 치킨치즈수프를 올린다.
15. 레몬슬라이스를 얹어 마무리한다.</t>
  </si>
  <si>
    <t>&lt;이연복 - 등심빵빵&gt;
● 재료
등심, 식빵, 매실맛 후리카케, 석류알, 달걀, 버터, 다진 생강, 전분, 케첩, 양파, 레몬
● 조리방법
1. 식빵의 테두리를 잘라내고 4등분한다.
2. 다른 식빵은 테두리를 잘라내고 잘게 썬다.
3. 등심을 적당한 크기로 썬다.
4. 믹서기에 달걀, 버터, 적당한 크기로 썬 등심, 생강즙을 넣고 간다.
5. 4에 전분, 매실맛 후리카케를 넣고 섞어 완자 반죽을 만든다.
6. 완자 반죽을 동그랗게 빚어 식빵 사이에 넣는다.
7. 완자를 끼운 식빵을 기름에 튀긴다.
8. 완자 반죽을 동그랗게 빚어 잘게 썬 식빵을 묻힌 뒤, 기름에 튀긴다.
9. 볼에 케첩, 잘게 다진 양파, 레몬즙을 넣는다.
10. 9에 석류즙을 더해 소스를 만든다.
11. 튀겨진 등심 식빵 튀김을 적당한 크기로 썰어 접시에 담는다.
12. 소스를 따로 담아낸다.</t>
  </si>
  <si>
    <t>냉장고를 부탁해 시즌 1, 66화</t>
  </si>
  <si>
    <t>&lt;미카엘 - 달콤하게 튀겼지우&gt;
● 재료
사과, 브리 치즈, 블루베리, 스파클링 사과주스, 믹스너츠, 과일맛 맥주, 설탕, 달걀, 밀가루
● 조리방법
1. 사과는 껍질째 썰고 원형틀을 이용해 도넛 모양으로 만든다.
2. 브리 치즈는 동그랗게 썰고 원형틀을 이용해 도넛 모양으로 만든다.
3. 팬에 블루베리, 과일맛 맥주, 설탕을 넣고 졸여 블루베리 소스를 만든다.
4. 볼에 달걀, 설탕, 밀가루, 스파클링 사과주스를 넣고 섞어 튀김옷을 만든다.
5. 사과에 튀김옷을 입혀 기름에 튀긴다.
6. 튀긴 사과를 건져 기름기를 뺀다.
7. 핸드블렌더에 호두와 아몬드를 넣고 간다.
8. 갈아낸 호두와 아몬드를 반죽에 섞는다.
9. 브리 치즈에 호두와 아몬드를 섞은 튀김옷을 입혀 기름에 튀긴다.
10. 소스볼에 블루베리 소스를 담는다.
11. 튀긴 브리 치즈를 건져 기름기를 뺀다.
12. 접시에 사과 튀김과 브리 치즈 튀김을 올리고, 블루베리 소스를 얹어 완성한다.</t>
  </si>
  <si>
    <t>&lt;최현석 - 여심전복&gt;
● 재료
전복, 올리브, 케이퍼, 하몬, 석류알, 영양부추, 망고맛 젤리, 배추, 올리브오일, 소금, 레몬
● 조리방법
1. 전복을 손질한다.
2. 손질한 전복을 끓는 물에 삶는다.
3. 올리브의 씨를 발라낸다.
4. 핸드블렌더에 올리브, 케이퍼, 하몬, 올리브오일을 넣고 갈아 소스를 만든다.
5. 배추를 잘게 썬다.
6. 삶은 전복을 건져 적당한 크기로 썬다.
7. 전복 껍데기에 잘게 썬 배추를 깔고, 데친 전복을 올린다.
8. 데친 전복 위에 소스를 얹는다.
9. 핸드블렌더로 소금과 석류알을 함께 간다.
10. 9을 소금에 넣고 섞어 석류소금을 만든다.
11. 접시에 석류소금을 올리고, 레몬껍질을 갈아서 뿌린다.
12. 11 위에 소스를 얹은 전복을 올린다.
13. 전복 위에 영양부추와 망고맛 젤리를 올려 완성한다.</t>
  </si>
  <si>
    <t>&lt;이찬오 - 여식공략&gt;
● 재료
배추, 영양부추, 콜라비, 반건조 문어다리, 게맛살, 믹스너츠, 크림치즈, 아스파라거스,
두릅, 올리브, 아보카도, 발사믹 식초, 하몬, 올리브오일, 후추, 레몬, 소금
● 조리방법
1. 배추, 영양부추, 콜라비를 잘게 썰어 볼에 담는다.
2. 1에 반건조 문어다리, 게맛살도 잘게 썰어 넣는다.
3. 잘게 썬 재료에 올리브오일, 후추를 넣고 섞어 샐러드를 만든다.
4. 샐러드에 레몬즙을 뿌린다.
5. 핸드블렌더에 믹스너츠를 넣고 간다.
6. 크림치즈를 작게 잘라 간 믹스너츠를 입힌다.
7. 아스파라거스와 두릅을 손질해 소금을 넣은 끓는 물에 데친다.
8. 데친 아스파라거스와 두릅을 체에 밭쳐 물기를 뺀다.
9. 올리브를 적당한 크기로 썬다.
10. 믹서기에 아보카도, 물을 넣고 간 뒤 체에 밭쳐 내린다.
11. 아보카도 소스에 소금, 후추, 레몬즙을 넣는다.
12. 접시에 아보카도 소스를 깔고, 샐러드를 올린다.
13. 발사믹 식초에 올리브오일을 섞는다.
14. 물기를 뺀 아스파라거스와 두릅에 발사믹오일을 넣고 섞는다.
15. 샐러드 위에 양념한 아스파라거스와 두릅, 믹스너츠를 묻힌 크림치즈를 얹는다.
16. 하몬을 돌돌 말아 적당한 크기로 썬다.
17. 발사믹오일을 뿌리고 적당한 크기로 썬 하몬과 올리브를 얹어 완성한다.</t>
  </si>
  <si>
    <t>&lt;김풍 - 최후의 소보로&gt;
● 재료
식빵, 잣, 우유, 달걀, 파인애플&amp;망고잼, 밀가루, 설탕, 버터, 소금
● 조리방법
1. 식빵을 토스트기에 넣고 굽는다.
2. 핸드블렌더로 잣을 곱게 간다.
3. 볼에 잣가루, 밀가루, 설탕, 버터, 달걀노른자를 넣고 치대어 소보로 반죽을 만든다.
4. 팬에 소보로 반죽을 넣고 굽는다.
5. 구운 식빵의 한 면에 파인애플&amp;망고 잼을 바르고, 소보로 반죽 위에 얹는다.
6. 볼에 달걀, 밀가루, 설탕을 넣고 잘 섞어 튀김옷을 만든다.
7. 튀김옷에 우유와 소금을 넣고 섞는다.
8. 식빵을 적당한 크기로 잘라 튀김옷을 입혀 기름에 튀긴다.
9. 튀긴 식빵을 건져 기름기를 빼고, 설탕을 입힌다.
10. 접시에 소보로 반죽과 함께 구운 식빵과 튀긴 식빵을 함께 담아낸다.</t>
  </si>
  <si>
    <t>냉장고를 부탁해 시즌 1, 67화</t>
  </si>
  <si>
    <t>&lt;정호영 - 봉주르마끼&gt;
● 재료
베이컨, 게맛살, 사과, 우유, 식빵, 달걀, 양파, 당근, 마요네즈, 버터, 설탕, 밀가루, 소금, 맛술
● 조리방법
1. 식빵의 테두리를 잘라낸다.
2. 테두리를 잘라낸 식빵을 밀대로 밀어 얇게 만든다.
3. 잘라낸 식빵 테두리를 기름에 튀긴 뒤, 기름기를 빼고 설탕을 입힌다.
4. 사과, 양파, 당근을 채 썬다.
5. 기름을 두른 팬에 채 썬 양파와 당근을 볶는다.
6. 같은 팬에 베이컨을 굽는다.
7. 게맛살을 잘게 찢은 후, 마요네즈를 넣어 무친다.
8. 달걀노른자를 풀어, 밀대로 얇게 민 식빵에 바른다.
9. 달걀노른자를 바른 식빵에 양념한 게맛살, 구운 베이컨,
볶은 채소와 채 썬 사과를 넣고 말아 롤을 만든다.
10. 전자레인지로 버터를 녹인다.
11. 볼에 달걀, 설탕, 밀가루, 소금, 맛술, 우유를 넣는다.
12. 11에 녹인 버터를 넣어가며 잘 섞어 달걀물을 만든다.
13. 사각팬에 달걀물을 붓고 식빵롤을 얹어 돌돌 만다.
14. 달걀물을 계속 부어가며 식빵롤에 달걀옷을 여러 겹으로 입힌다.
15. 달걀말이롤을 적당한 크기로 썬다.
16. 접시에 달걀말이롤을 담고, 식빵튀김을 곁들여 낸다.</t>
  </si>
  <si>
    <t>&lt;샘킴 - 어무이라이스&gt;
● 재료
베이컨, 차돌박이, 달걀, 마늘, 대파, 당근, 양파, 소금, 후추, 맛술,
간장, 식초, 전분, 고춧가루, 설탕, 올리브오일, 깨, 즉석밥
● 조리방법
1. 마늘, 대파, 당근, 양파를 잘게 썬다.
2. 전자레인지에 즉석밥을 데운다.
3. 기름을 두른 팬에 차돌박이를 굽는다.
4. 구운 차돌박이를 덜어내고 난 기름에 잘게 썬 채소를 볶다가 소금 후추로 간한다.
5. 볶던 채소에 데운 즉석밥을 넣고 볶는다.
6. 볶음밥에 구운 차돌박이를 잘게 썰어 넣고 함께 볶는다.
7. 팬에 맛술과 간장을 넣고 끓여 간장양념을 만든다.
8. 다른 팬에 기름을 두르고, 잘게 썬 베이컨을 볶는다.
9. 마늘을 다져 베이컨을 볶던 팬에 넣고 함께 볶는다.
10. 볶던 재료에 식초를 넣는다.
11. 10에 간장양념을 넣고 끓여 오므라이스 소스를 만든다.
12. 전분물을 만들어 오므라이스 소스에 넣는다.
13. 대파를 가늘게 채 썬다.
14. 볼에 채 썬 파를 넣고, 식초, 간장, 고춧가루, 설탕, 올리브오일을 넣고 양념한다.
15. 달걀을 풀어 기름을 두른 팬에 붓고 지단을 부친다.
16. 지단 한 쪽에 볶음밥을 올리고 반으로 접는다.
17. 접시에 오므라이스를 옮겨 담는다.
18. 오므라이스 위에 양념한 파채와 소스를 담고 깨를 뿌려 마무리한다.</t>
  </si>
  <si>
    <t>&lt;오세득 - 돼새찌개&gt;
● 재료
삼겹살, 새우젓, 목이버섯, 양파, 대파, 청양고추, 마늘, 다진 마늘, 고춧가루, 간장, 즉석밥
● 조리방법
1. 양파와 대파를 적당한 크기로 썬다.
2. 기름을 두른 팬에 양파를 먼저 볶다가, 대파를 넣고 함께 볶는다.
3. 삼겹살을 적당한 크기로 썰어 팬에 넣고 함께 볶는다.
4. 3에 다진 마늘을 넣는다.
5. 볶던 재료에 물을 넣고 끓인다.
6. 찌개가 끓으면 불순물을 걷어내며 계속해서 끓인다.
7. 불린 목이버섯을 적당한 크기로 썰어, 찌개에 넣고 함께 끓인다.
8. 찌개에 새우젓과 간장을 넣어 간한다.
9. 청양고추와 마늘을 잘게 썬다.
10. 냄비에 식용유, 잘게 썬 청양고추와 마늘, 고춧가루를 넣고 끓여 고추기름을 낸다.
11. 전자레인지에 즉석밥을 데운다.
12. 즉석밥을 밥그릇에 담는다.
13. 그릇에 찌개를 옮겨 담고, 고추기름을 얹어 낸다.</t>
  </si>
  <si>
    <t>&lt;최현석 - 못 먹어도 고! 등어&gt;
● 재료
고등어, 명란젓, 방울토마토, 코코넛 밀크, 우유, 양파,
화이트와인, 밀가루, 후추, 올리브오일, 소금, 버터
● 조리방법
1. 고등어의 껍질을 제거한다.
2. 양파를 적당한 크기로 썰어 기름을 두른 팬에 볶는다.
3. 껍질을 벗긴 고등어에 밀가루를 묻힌다.
4. 다른 팬에 기름을 두른 뒤, 밀가루를 묻힌 고등어를 굽고 후추를 뿌린다.
5. 굽던 고등어에 화이트와인을 뿌린다.
6. 방울토마토를 잘게 썬다.
7. 알루미늄 포일에 올리브오일을 뿌리고, 볶은 양파와 잘게 썬 방울토마토를 얹는다.
8. 7에 팬에서 초벌구이한 고등어를 올리고 소금을 뿌린다.
9. 고등어 위에 잘게 썬 방울토마토를 다시 얹고, 후추를 뿌린다.
10. 포일을 덮기 전 올리브오일을 뿌리고, 반으로 접은 뒤 테두리를 봉한다.
11. 올리브오일을 뿌린 오븐용 그릇에 각종 재료가 담긴 포일을 올리고, 예열된 오븐에서 익힌다.
12. 명란젓의 물기를 제거한다.
13. 냄비에 버터, 밀가루, 우유, 코코넛 밀크, 소금, 후추, 명란젓을 넣고 끓여 명란크림소스를 만든다.
14. 오븐에서 재료가 담긴 포일을 꺼내 접시에 올린다.
15. 소스볼에 명란크림소스를 따로 담아낸다.</t>
  </si>
  <si>
    <t>냉장고를 부탁해 시즌 1, 68화</t>
  </si>
  <si>
    <t>&lt;김풍 - 맛있을 고양&gt;
● 재료
고등어, 고형카레, 우유, 달걀, 맥주, 밀가루, 전분, 라면스프, 맛술, 버터, 밀가루, 레몬
● 조리방법
1. 양파는 밑둥을 잘라내고, 칼집을 여러 개 낸 뒤 손으로 벌려 꽃모양을 만든다.
2. 볼에 밀가루, 전분, 라면스프를 넣고 섞어 튀김가루를 만든다.
3. 꽃모양으로 만든 양파에 튀김가루를 골고루 묻힌다.
4. 볼에 달걀을 푼 뒤, 맥주를 넣고 섞는다.
5. 튀김가루를 묻힌 양파에 맥주를 넣은 달걀물을 묻히고, 다시 튀김가루를 입힌다.
6. 5를 기름에 튀긴다.
7. 고등어를 적당한 크기로 썰어 끓는 물에 익힌다.
8. 고등어를 익히는 냄비에 맛술을 넣는다.
9. 믹서기에 고형카레, 익힌 고등어, 우유를 넣고 간다.
10. 팬에 버터와 밀가루를 넣고 볶아 루를 만든다.
11. 루에 믹서기에 간 재료들과 소금을 넣고 끓여 고등어소스를 만든다.
12. 고등어소스에 레몬즙을 넣는다.
13. 접시에 고등어소스를 뿌려 데커레이션 한다.
14. 튀긴 양파를 건져 접시에 올린다.
15. 소스볼에 고등어소스를 따로 담아낸다.</t>
  </si>
  <si>
    <t>&lt;미카엘 - 싹쓸이 팬&gt;
● 재료
방울토마토, 페타 치즈, 달걀, 양파, 풋고추, 후추
● 조리방법
1. 방울토마토의 꼭지를 떼어낸다.
2. 양파를 채 썬다.
3. 풋고추는 꼭지와 씨를 제거하고 잘게 썬다.
4. 기름을 두른 팬에 채 썬 양파와 잘게 썬 풋고추를 볶는다.
5. 방울토마토를 적당한 크기로 썰어 팬에 넣고 함께 볶는다.
6. 볶던 재료에 페타 치즈를 손으로 으깨어 넣는다.
7. 6에 달걀을 넣고 잘 섞는다.
8. 후추를 뿌려 마무리 한다.</t>
  </si>
  <si>
    <t>&lt;이찬오 - 설레기 없수&gt;
● 재료
고형카레, 훈제 닭가슴살, 코코넛 밀크, 말린 바나나,
아이스 망고바, 아이스 파인애플바, 육포, 버터, 소금, 후추
● 조리방법
1. 종이포일 가운데에 고형카레를 으깨어 바른다.
2. 훈제 닭가슴살을 슬라이스 해서 고형카레 위에 얹는다.
3. 종이포일 테두리를 따라 버터를 바른다.
4. 종이포일을 반으로 접은 후, 테두리를 따라 돌돌 만다.
5. 재료를 넣은 종이포일 안에 코코넛 밀크를 붓고 완전히 봉한다.
6. 종이포일이 깔린 팬 위에 재료를 넣고 봉한 종이포일을 넣은 뒤, 뚜껑을 닫고 익힌다.
7. 말린 바나나를 잘게 썬다.
8. 아이스 망고바와 아이스 파인애플바, 육포를 잘게 썰어 섞고 소금, 후추로 간한다.
9. 접시에 잘게 썬 말린 바나나를 올리고, 그 위에 간을 한 망고, 파인애플, 육포를 얹는다.
10. 종이포일 안에 넣고 익힌 닭가슴살 슬라이스와 소스를 접시에 담는다.
11. 양념한 망고, 파인애플, 육포를 한 번 더 올려 마무리 한다.</t>
  </si>
  <si>
    <t>&lt;이연복 - 쌈싸시지&gt;
● 재료
어육소시지, 소고기 등심, 매실맛 술, 땅콩버터, 달걀, 청양고추,
양파, 당근, 대파, 마늘, 밀가루, 소금, 식용유, 전분, 간장, 후추
● 조리방법
1. 볼에 밀가루, 소금, 뜨거운 물, 식용유를 넣고 치대 익반죽한다.
2. 반죽을 길게 밀어준 뒤, 적당한 크기로 떼어낸다.
3. 적당한 크기로 떼어낸 반죽을 밀대로 밀어 얇고 동그랗게 펴서 피를 만든다.
4. 찜기에 넓게 편 피를 찐다.
5. 소고기 등심을 채 썬다.
6. 볼에 채 썬 등심, 전분, 달걀물을 넣고 섞는다.
7. 6을 넉넉한 기름에 튀기듯이 볶는다.
8. 청양고추는 잘게 썰고, 양파, 당근을 채 썬다.
9. 볶은 등심은 체에 밭쳐 기름을 빼고, 등심을 볶았던 팬에 채 썬 청양고추를 볶는다.
10. 대파를 적당한 크기로 썬다.
11. 팬에 적당한 크기로 썬 대파, 채 썬 양파, 당근을 넣고 함께 볶는다.
12. 볶던 채소에 간장을 넣고 볶은 등심을 넣어 함께 볶는다.
13. 기름을 두른 팬에 다진 마늘과 다진 대파를 넣고 볶는다.
14. 13에 매실맛 술, 땅콩버터, 간장을 넣고 끓여 땅콩소스를 만든다.
15. 볶던 등심&amp;채소와 땅콩소스에 액상 조미료를 넣는다.
16. 볶던 등심&amp;채소에 후추를 넣는다.
17. 어육소시지를 채 썬다
18. 찜기에 찐 피와 등심&amp;채소볶음을 접시에 따로 담고, 땅콩소스도 소스볼에 담아낸다.
19. 등심&amp;채소볶음 위에 채 썬 어육소시지를 올려 마무리한다.</t>
  </si>
  <si>
    <t>냉장고를 부탁해 시즌 1, 69화</t>
  </si>
  <si>
    <t>&lt;샘킴 - 살몬의 지혜&gt;
● 재료
연어 통조림, 훈제닭가슴살소시지, 베이컨, 크루아상, 사과맛 음용식초,
아로니아액, 달걀, 양파, 대파, 소금, 후추, 마요네즈, 전분
● 조리방법
1. 연어 통조림의 기름기를 뺀다.
2. 양파를 잘게 다진다.
3. 훈제닭가슴살소시지를 잘게 다진다.
4. 잘게 다진 양파와 훈제닭가슴살소시지를 각각 기름을 두른 팬에 볶는다.
5. 연어 통조림이 담긴 볼에 볶은 재료를 담고 소금, 후추로 간을 한다.
6. 볼에 담긴 재료에 마요네즈와 달걀을 넣고 섞는다.
7. 핸드블랜더로 크루아상을 갈아 빵가루를 만든다.
8. 양념한 연어 통조림을 동그랗게 빚어 빵가루를 묻힌 뒤, 기름에 튀긴다.
9. 튀긴 연어볼을 베이컨으로 만 뒤, 꼬치를 꽂아 고정하고 기름을 두른 팬에 굽는다.
10. 양파를 동그랗게 썰어 기름을 두른 팬에 올리고 소금, 후추를 뿌려 굽는다.
11. 구운 양파를 접시에 올린다.
12. 양파 위에 베이컨 연어볼 말이를 얹는다.
13. 냄비에 사과맛 음용식초를 넣고 끓여 졸인 후, 아로니아액을 넣고 섞는다.
14. 베이컨 연어 말이 위에 사과아로니아소스를 뿌린다.
15. 대파의 흰 부분을 채 썰어 전분을 묻힌 뒤, 기름에 튀긴다.
16. 연어 말이 위에 파채튀김을 올려 마무리한다.</t>
  </si>
  <si>
    <t>&lt;이원일 - 알콜달콤&gt;
● 재료
복숭아맛 술, 딸기맛 술, 레몬맛 술, 크루아상, 딸기 초콜릿 과자, 달걀, 설탕, 레몬, 버터
● 조리방법
1. 달걀은 노른자만 분리해 두 개의 볼에 나눠 담는다.
2. 팬에 복숭아맛 술과 딸기맛 술을 넣고 끓여 졸인다.
3. 달걀노른자가 담긴 두 개의 볼에 설탕을 넣고 거품기로 섞는다.
4. 두 개의 볼에 각각 복숭아맛 술과 레몬맛 술을 넣고 섞는다.
5. 두 개의 볼을 끓는 물 위에서 저어가며 중탕해 크림 상태로 만든다.
6. 레몬맛 술을 넣은 소스에 레몬즙을 넣는다.
7. 크루아상을 반으로 잘라 토스트기에 굽는다.
8. 버터를 두른 팬에 토스트한 크루아상을 다시 한 번 굽는다.
9. 졸인 복숭아&amp;딸기맛 술을 볼에 담고, 구운 크루아상을 찢어 넣어 적신다.
10. 졸인 술에 적신 크루아상을 컵에 담는다.
11. 10에 복숭아맛 술로 만든 소스를 얹는다.
12. 다른 컵에 구운 크루아상을 담고, 레몬맛 술로 만든 소스를 얹는다.
13. 레몬맛 소스 위에 레몬 껍질을 갈아서 올린다.
14. 복숭아맛 소스 위에 딸기 초콜릿을 갈아서 올린다.</t>
  </si>
  <si>
    <t>&lt;정호영 - 우동 노 미&gt;
● 재료
콜라, 불고기용 소고기, 인스턴트 우동, 달걀, 양파, 대파, 당근, 청양고추, 맛술, 간장, 설탕
● 조리방법
1. 불고기용 소고기에 콜라를 부어 재운다.
2. 양파는 굵게 채 썰고, 대파는 칼집을 낸 후 적당한 크기로 썬다.
3. 기름을 두른 팬에 썰어둔 양파와 대파를 굽는다.
4. 냄비에 콜라, 맛술, 간장, 설탕을 2:2:1:1 비율로 넣고 끓여서 전골 양념을 만든다.
5. 냄비에 인스턴트 우동을 끓인다.
6. 인스턴트 우동의 유부를 건져 양념을 씻어내고 적당한 크기로 썬다.
7. 우동면이 익으면 건져내 양념을 씻어낸다.
8. 콜라에 재워둔 불고기용 소고기를 석쇠에 넣고 굽는다.
9. 8의 윗면을 토치로 함께 굽는다.
10. 팬에 구운 불고기와 전골 양념을 넣고 끓인다.
11. 10에 당근과 청양고추를 썰어 넣고 함께 끓인다.
12. 달걀노른자를 분리해 따로 담아낸다.
13. 구운 양파와 대파를 전골용 냄비에 깔고, 양념과 함께 끓인 불고기를 담아 다시 한 번 끓인다.
14. 마지막으로 적당한 크기로 썬 유부와 우동면을 올려 완성한다.</t>
  </si>
  <si>
    <t>&lt;이연복 - 천하젤면&gt;
● 재료
돼지목살, 애호박, 아스파라거스, 샐러리, 굴소스, 밀가루, 옥수수전분, 감자전분,
소금, 양파, 당근, 대파, 마늘, 고춧가루, 청양고추, 간장, 맛술, 참기름
● 조리방법
1. 볼에 밀가루, 옥수수전분, 감자전분, 물 (2:3:5:10) 을 넣고, 소금을 넣어 반죽을 만든다.
2. 넓은 접시에 반죽을 붓고 찜기에 찐다.
3. 돼지목살, 양파, 당근, 애호박, 아스파라거스, 샐러리를 손질한다.
4. 기름을 두른 팬에 적당한 크기로 썬 대파와 다진 마늘, 고춧가루,
잘게 썬 청양고추, 채 썬 돼지목살을 넣고 볶는다.
5. 볶던 재료에 간장으로 간한다.
6. 매콤하게 볶은 재료에 손질한 채소, 굴소스, 맛술, 참기름을 넣고 볶는다.
7. 찜기에 찐 반죽을 찬물에 담가 식힌다.
8. 차게 식힌 반죽을 접고 채 썰어 면을 만든다.
9. 볶던 재료에 면을 넣고 함께 볶는다.
10. 접시에 볶음면을 담고, 대파 흰 부분을 채 썰어 올려 마무리한다.</t>
  </si>
  <si>
    <t>냉장고를 부탁해 시즌 1, 70화</t>
  </si>
  <si>
    <t>&lt;최현석 - 젤 맛있돔&gt;
● 재료
코코넛워터, 방울토마토, 사과주스, 방울양배추, 라임, 달래, 인스턴트 새우딤섬,
아보카도, 판 젤라틴, 간장, 마요네즈, 후추, 소금, 올리브오일
● 조리방법
1. 냄비에 코코넛워터, 사과주스, 간장을 넣고 끓여 소스를 만든다.
2. 물에 불려둔 젤라틴의 물기를 짜낸 뒤, 사과간장소스에 넣고 녹인다.
3. 젤라틴을 넣고 녹인 사과간장소스를 냉동실에 차게 식혀둔 그릇에 나눠 담는다.
4. 사과간장소스를 담은 접시를 하나는 얼음물 위에, 하나는 냉동실에 두고 굳혀 젤리 형태로 만든다.
5. 인스턴트 새우딤섬을 찜기에 넣고 찐다.
6. 달래를 썰어 물에 담가둔다.
7. 찐 새우딤섬을 적당한 크기로 썰어, 냉동실에서 식힌다.
8. 끓는 물에 달래와 방울양배추 잎을 데친다.
9. 데친 방울양배추 잎을 얼음물에 담가둔다.
10. 방울토마토를 잘게 썬다.
11. 아보카도의 껍질을 벗겨내고 얇게 썬다.
12. 차게 식힌 새우 딤섬의 피를 벗기고 소만 볼에 담는다.
13. 새우딤섬소와 데친 달래, 마요네즈, 후추를 한데 버무린다.
14. 원형틀을 이용해 접시에 잘게 썬 방울토마토와 양념한 새우딤섬소를 올린다.
15. 양념한 새우딤섬소 위에 얇게 썬 아보카도를 올리고, 소금을 뿌린다.
16. 얼음물에 담가 식힌 방울양배추 잎을 올리브오일과 후추에 버무린다.
17. 접시에 담긴 재료들 위에 차게 굳힌 사과간장젤리를 돔처럼 덮는다.
18. 젤리 위에 양념한 방울양배추 잎을 올리고, 라임껍질을 갈아 올려 마무리한다.</t>
  </si>
  <si>
    <t>&lt;홍석천 - 컵있슈&gt;
● 재료
달걀, 우유, 두유, 파르메산 치즈, 핫초코 분말, 열대과일 통조림, 파인애플 병조림,
망고, 소프트 아이스크림, 젤리, 체리, 버터, 설탕, 밀가루
● 조리방법
1. 냄비에 버터를 녹인다.
2. 다른 냄비에 우유, 설탕을 넣고 끓인다.
3. 버터를 넣은 냄비와, 우유를 넣은 냄비에 각각 소금을 넣는다.
4. 버터가 녹으면 밀가루를 넣고 저어 루를 만든다.
5. 루에 설탕을 넣어 끓인 우유를 넣고 섞는다.
6. 5에 달걀노른자를 넣고 섞어 베샤멜 소스를 만든다.
7. 베샤멜 소스에 두유와 파르메산 치즈를 넣는다.
8. 완성된 베샤멜 소스를 반으로 나눠담고, 한 쪽에는 핫초코 분말을 넣는다.
9. 컵에 열대과일 통조림을 담는다.
10. 파인애플과 망고를 적당한 크기로 썰어 컵에 담는다.
11. 컵에 담긴 과일들 위에, 베샤멜 소스와 초코 베샤멜 소스를 반씩 올린다.
12. 소프트 아이스크림을 컵 위에 올린다.
13. 각종 젤리와 체리로 장식해 마무리한다.</t>
  </si>
  <si>
    <t>&lt;정호영 - 버블버블버블밥!&gt;
● 재료
삶은 옥수수, 아스파라거스, 파인애플, 인스턴트 깍두기 볶음밥, 달걀,
방울토마토, 파르메산 치즈, 양파, 청양고추, 케첩, 설탕, 밀가루, 버터
● 조리방법
1. 삶은 옥수수의 알갱이를 분리한다.
2. 아스파라거스를 잘게 썰어 옥수수 알갱이와 함께 볼에 담아둔다.
3. 아스파라거스, 양파, 파인애플, 옥수수 알갱이, 청양고추를 잘게 썬다.
4. 기름을 두른 팬에 잘게 썬 채소들과 인스턴트 깍두기 볶음밥, 케첩, 설탕을 넣고 볶는다.
5. 달걀의 노른자와 흰자를 분리한다.
6. 기름을 두른 팬에 달걀 노른자물을 부어 지단을 만든다.
7. 노른자로 만든 지단에 동그랗게 구멍을 뚫는다.
8. 지단에 낸 동그란 구멍에 달걀 흰자물을 붓고 익힌다.
9. 잘게 썬 아스파라거스와 옥수수 알갱이에 밀가루와 물을 넣고 섞어 동그랗게 뭉친 뒤 튀긴다.
10. 달걀 지단 위에 채소를 넣고 볶은 깍두기볶음밥을 올리고 돌돌 만다.
11. 볶음밥을 넣고 만 지단을 한 입 크기로 썰어 접시에 담는다.
12. 방울토마토의 꼭지 부분을 썰어내고 끓는 물에 살짝 데친다.
13. 데친 방울토마토의 껍질을 벗겨 접시에 올린다.
14. 옥수수아스파라거스 튀김을 건져 기름기를 빼고, 버터를 두른 팬에 살짝 볶은 뒤 접시에 올린다.
15. 튀김 위에 파르메산 치즈를 갈아 올려 마무리한다.</t>
  </si>
  <si>
    <t>&lt;샘킴 - 어머님이 샘이니&gt;
● 재료
감자, 양송이버섯, 대하, 크림치즈, 달걀, 샐러드 채소, 발사믹 드레싱,
청포도, 소금, 레몬, 후추, 버터, 올리브오일
● 조리방법
1. 감자를 얇게 슬라이스 한다.
2. 끓는 물에 소금을 넣고, 슬라이스 한 감자를 삶는다.
3. 양송이버섯은 기둥을 제거하고 적당한 크기로 썬다.
4. 대하는 머리와 꼬리를 떼어내고, 껍질을 벗겨 살만 발라낸다.
5. 크림치즈에 레몬즙과 후추를 넣어 레몬크림치즈를 만든다.
6. 기름을 두른 팬에 손질한 양송이버섯, 대하, 소금, 버터를 넣고 익힌다.
7. 볶은 재료에 감자 삶은 물을 넣고 핸드블렌더에 간다.
8. 믹서기로 간 재료에 레몬크림치즈와 후추를 넣고 섞은 뒤, 체에 밭쳐 물기를 뺀다.
9. 슬라이스해서 삶은 감자를 기름을 두른 팬에 펼치고 소금, 후추로 간을 해서 굽는다.
10. 달걀을 삶는다.
11. 샐러드 채소를 잘게 다진다.
12. 볼에 올리브오일, 발사믹 드레싱, 소금, 후추, 잘게 다진 샐러드 채소, 적당한 크기로 썬
청포도, 레몬즙을 넣고 섞어 샐러드를 만든다.
13. 접시에 구운 슬라이스감자를 올린다.
14. 13 위에 레몬크림치즈로 양념한 대하와 버섯을 올리고 샐러드를 만든다.
15. 삶은 달걀을 반으로 잘라 위에 얹는다.
16. 후추와 올리브오일을 뿌려 완성한다.</t>
  </si>
  <si>
    <t>냉장고를 부탁해 시즌 1, 71화</t>
  </si>
  <si>
    <t>&lt;오세득 - 버섯닭&gt;
● 재료
파프리카, 새송이버섯, 데친 콩나물, 닭가슴살 치킨, 굴소스, 조미료
양파, 대파, 청양고추, 고춧가루, 다진 마늘, 즉석밥, 간장, 소금, 후추, 참기름, 깨
● 조리방법
1. 파프리카는 꼭지와 씨를 제거하고 채 썬다.
2. 새송이버섯은 채 썰고, 양파는 적당한 크기로 썰어둔다.
3. 냄비에 기름을 두르고 고춧가루, 다진 마늘과 파를 넣어 볶아 양념을 만든다.
4. 전자레인지에 즉석밥을 데운다.
5. 데친 콩나물을 체에 밭친 뒤, 뜨거운 물로 헹구고 물기를 뺀다.
6. 먼저 볶아둔 양념에 채 썬 파프리카, 새송이버섯, 양파를 넣고 볶다가 간장으로 간한다.
7. 닭가슴살 치킨을 적당한 크기로 썰어 채소와 함께 볶다가 소금, 후추로 간한다.
8. 7에 물을 넣는다.
9. 볶은 재료에 굴소스와 데친 콩나물, 참기름을 넣고 함께 볶는다.
10. 대파의 흰 부분과 청양고추를 잘게 썰어 넣고 함께 볶는다.
11. 데운 즉석밥을 밥그릇에 담아낸다.
12. 볶은 재료에 조미료를 넣는다.
13. 치킨채소볶음을 그릇에 담는다.
14. 13 위에 깨와 참기름을 뿌려 완성한다.</t>
  </si>
  <si>
    <t>&lt;김풍 - 기절초(코)풍&gt;
● 재료
우유, 달걀, 크림치즈, 핫초코 분말, 슬라이스 치즈, 딸기, 청포도, 설탕, 버터, 밀가루
● 조리방법
1. 냄비에 우유, 설탕, 버터를 넣고 데운다.
2. 1에 밀가루를 넣고 섞어 익반죽을 한다.
3. 반죽에 달걀을 넣고 섞는다.
4. 반죽을 적당한 크기로 떼어 마른 팬에 동그랗게 편다.
5. 반죽이 잠길 정도로 식용유를 넉넉히 붓고 튀겨 도우를 만든다.
6. 냄비에 버터와 밀가루를 넣고 루를 만든다.
7. 루에 우유를 넣고 끓인다.
8. 7에 크림치즈와 핫초코 분말을 넣고 초코치즈소스를 만든다..
9. 초코치즈소스에 설탕을 넣고 섞는다.
10. 냄비에 버터와 밀가루를 볶아 루를 만든 뒤, 우유, 슬라이스 치즈, 설탕을 넣고 치즈소스를 만든다.
11. 접시에 튀긴 도우를 깔고, 초코치즈소스를 두른다.
12. 딸기와 청포도를 썰어 초코피자 위에 얹는다.
13. 11 위에 치즈소스를 올린다.
14. 피자를 먹기 좋게 잘라 완성한다.</t>
  </si>
  <si>
    <t>&lt;이찬오 - 부티 귀티 싼티&gt;
● 재료
미트볼, 토마토소스, 감자, 애호박, 달걀, 피망, 슬라이스 치즈,
당근, 양파, 설탕, 후추, 소금, 전분, 밀가루
● 조리방법
1. 기름을 두른 팬에 미트볼을 넣고 익힌다.
2. 미트볼을 익힌 기름을 따라내고 토마토소스와 물을 넣는다.
3. 2에 설탕, 후추, 소금을 넣어 간한다.
4. 껍질을 벗긴 감자와 당근을 얇게 슬라이스 한다.
5. 저민 감자와 당근, 양파를 채 썬다.
6. 비닐팩에 채 썬 채소를 넣고 전분, 밀가루, 후추를 넣어 튀김옷을 입힌다.
7. 튀김옷을 입힌 채소를 조금씩 덜어 기름을 두른 팬에 튀긴다.
8. 다른 팬에 기름을 두른 뒤, 적당한 크기로 썬 애호박과 달걀을 넣고 익힌다.
9. 채소 튀김과 달걀 프라이를 꺼내 기름을 뺀다.
10. 피망을 적당한 크기로 잘라 기름을 두른 팬에 익힌다.
11. 그릇에 토마토소스를 담고, 미트볼&gt;슬라이스 치즈&gt;채소 튀김 순서로 쌓은 뒤 볶은 피망과 애호박을 올린다.
12. 미트볼과 슬라이스 치즈를 한 층 더 쌓는다.
13. 12위에 달걀 프라이와 채소 튀김을 올려 완성한다.</t>
  </si>
  <si>
    <t>&lt;김풍 - 만두가 머랭?&gt;
● 재료
달걀, 게맛살, 인스턴트 소고기무국, 대파, 후추, 전분
● 조리방법
1. 냄비에 인스턴트 소고기무국을 끓인다.
2. 달걀의 흰자와 노른자를 분리한다.
3. 게맛살은 두드려서 결대로 찢고, 달걀노른자와 섞는다.
4. 거품기로 달걀흰자를 쳐서 머랭을 만든다.
5. 머랭 안에 달걀노른자에 버무린 게맛살을 넣어 감싼다.
6. 기름에 게맛살을 넣은 머랭을 넣고, 기름을 끼얹어가며 튀긴다.
7. 인스턴트 소고기무국에 후추를 넣는다.
8. 후추를 넣은 인스턴트 소고기무국에 튀긴 머랭을 넣고 조린다.
9. 8에 전분물을 넣는다.
10. 그릇에 머랭튀김과 국물을 담는다.
11. 대파를 잘게 썰어 올려 마무리한다.</t>
  </si>
  <si>
    <t>냉장고를 부탁해 시즌 1, 72화</t>
  </si>
  <si>
    <t>&lt;오세득 - 계이득&gt;
● 재료
달걀, 찜갈비용 소고기, 알배추, 인스턴트 사골곰탕, 마늘, 대파,
소금, 간장, 설탕, 밀가루, 참기름, 전분, 후추
● 조리방법
1. 끓는 물에 달걀과 소금을 넣고 삶는다.
2. 찜갈비용 소고기는 뼈를 발라내고 적당한 크기로 썬다.
3. 핸드블랜더에 적당한 크기로 썬 소고기를 넣고 간다.
4. 갈아낸 소고기에 강판에 간 마늘과 대파를 넣고 섞는다.
5. 볼에 간장, 설탕을 섞어 양념을 만든다.
6. 간 마늘과 대파를 넣은 소고기에 밀가루, 간장설탕양념을 넣고 섞는다.
7. 반숙으로 삶은 달걀을 얼음물에 담가둔다.
8. 얼음물에 담가둔 달걀의 껍데기를 벗기고 물기를 제거한 후, 밀가루를 묻힌다.
9. 양념한 소고기로 밀가루를 묻힌 달걀을 감싼다.
10. 기름을 넉넉하게 두른 팬에 소고기로 감싼 달걀을 넣고, 기름을 끼얹어가며 익힌다.
11. 대파와 알배추를 잘게 썬다.
12. 기름을 두른 팬에 잘게 썬 대파와 알배추를 넣고, 간장, 인스턴트 사골곰탕, 참기름을 넣어 졸인다.
13. 12에 전분물, 후추을 넣는다.
14. 소고기달걀튀김을 건져 반으로 자른다.
15. 접시에 반으로 자른 소고기달걀튀김을 올리고, 사골곰탕에 졸인 채소를 얹는다.
16. 소금, 후추를 뿌려 마무리한다.</t>
  </si>
  <si>
    <t>&lt;이연복 - 김흥국&gt;
● 재료
인스턴트 사골곰탕, 인스턴트 설렁탕, 찜갈비용 소고기, 대하, 달걀, 알배추,
굴소스, 우동면, 대파, 마늘, 양파, 청양고추, 간장, 청주, 굴소스, 전분
● 조리방법
1. 냄비에 인스턴트 사골곰탕과 인스턴트 설렁탕을 넣고 끓인다.
2. 대파, 마늘, 양파, 알배추를 적당한 크기로 썬다.
3. 찜갈비용 소고기의 뼈를 발라내고, 발라낸 살을 적당한 크기로 썬다.
4. 대하는 껍질을 벗기고 포 뜨듯이 썬다.
5. 볼에 소고기살과 대하, 달걀물을 넣고 잘 섞은 뒤, 기름에 튀기듯 볶는다.
6. 볶은 재료를 체에 밭쳐 기름기을 뺀다.
7. 팬에 손질한 채소와 간장, 볶은 소고기와 대하를 넣고 볶는다.
8. 볶던 재료에 청주와 굴소스를 넣고 볶는다.
9. 끓는 물에 우동면을 삶는다.
10. 우동면을 끓이는 물에 청양고추를 잘게 썰어 넣어 향을 낸다.
11. 볶던 재료에 전분물을 넣는다.
12. 삶은 우동면을 건져 찬물에 헹구고, 그릇에 담는다.
13. 12 위에 볶은 재료들을 얹고, 끓인 사골곰탕&amp;설렁탕을 넣는다.
14. 대파의 흰 부분을 잘게 썰어 올려 완성한다.</t>
  </si>
  <si>
    <t>&lt;정호영♥안정환 - 앗싸~ 호랑나베!&gt;
● 재료
찜갈비용 소고기, 무, 알배추, 대하, 달걀, 마른 멸치, 대파,
마늘, 양파, 전분, 맛술, 간장, 다진 마늘, 소금
● 조리방법
1. 무는 껍질을 벗겨 적당한 크기로 썬다.
2. 대파와 알배추를 적당한 크기로 썬다.
3. 끓는 물에 마른 멸치를 넣고 육수를 낸다.
4. 압력솥에 물, 으깬 마늘, 적당한 크기로 자른 무와 양파를 넣고 끓인다.
5. 찜갈비용 소고기를 손질해 채소육수에 넣고 함께 끓인다.
6. 껍질을 벗긴 대하를 핸드블렌더로 간다.
7. 기름을 두른 팬에 손질한 무, 대파, 알배추를 넣고 볶는다.
8. 볶던 채소에 멸치육수를 넣고 끓인다.
9. 갈아놓은 대하살에 전분과 달걀물을 넣고 치대어 새우완자 반죽을 만든다.
10. 새우완자 반죽을 적당한 크기로 떼어 채소를 넣은 멸치육수에 넣는다.
11. 10에 소고기채소육수를 넣고 끓인다.
12. 익은 소고기살을 건져 국물에 넣고 함께 끓인다.
13. 맛술, 간장, 다진 마늘, 소금을 넣어 간을 한다.
14. 완성된 요리를 그릇에 담아낸다.</t>
  </si>
  <si>
    <t>&lt;최현석 - 오필승 파에야&gt;
● 재료
바지락, 모시조개, 굴, 낙지, 대하, 새우살, 문어, 전복, 강황가루, 토마토주스,
그린올리브, 블랙올리브, 마늘, 소금, 후추, 화이트와인, 즉석밥, 올리브오일
● 조리방법
1. 바지락을 씻어 냄비에 넣고 끓인다.
2. 모시조개도 씻어서 바지락이 담긴 냄비에 함께 넣고 끓인다.
3. 굴, 낙지, 대하, 새우살을 손질한다.
4. 문어를 끓는 물에 데친다.
5. 전복을 손질해 적당한 크기로 자른다.
6. 데친 문어를 적당한 크기로 썬다.
7. 끓인 바지락과 모시조개를 체에 밭쳐 육수를 따로 담아낸다.
8. 걸러낸 조개육수에 강황가루를 넣고 섞는다.
9. 기름을 두른 팬에 잘게 다진 마늘과 손질한 각종 해산물을 넣고 볶다가 소금, 후추로 간한다.
10. 해산물을 볶는 팬에 화이트와인을 넣는다.
11. 볶은 해산물에 즉석밥, 강황가루를 넣은 조개육수, 토마토주스를 넣고 볶는다.
12. 익힌 바지락과 모시조개의 살을 발라낸다.
13. 파에야 팬을 오븐에서 데운다.
14. 데운 파에야 팬에 파에야을 담고, 조갯살을 넣어 함께 익힌다.
15. 파에야에 올리브오일을 두른 뒤, 오븐에 넣어 익힌다.
16. 그린올리브와 블랙올리브를 적당한 크기로 썬다.
17. 오븐에서 익힌 파에야를 꺼내, 적당한 크기로 썬 그린&amp;블랙 올리브를 얹는다.
18. 17을 다시 오븐에 넣어 익힌다.
19. 익힌 파에야를 팬 채로 낸다.</t>
  </si>
  <si>
    <t>냉장고를 부탁해 시즌 1, 73화</t>
  </si>
  <si>
    <t>&lt;샘킴 - 레알 만두리드&gt;
● 재료
살치살, 돼지고기, 달걀, 파프리카, 그린올리브, 블랙올리브, 우유,
토마토주스, 달래, 플레인요거트, 양파, 마늘, 소금, 후추, 밀가루, 올리브오일
● 조리방법
1. 살치살과 돼지고기를 적당한 크기로 썰어 핸드블랜더로 간다.
2. 양파, 파프리카, 마늘, 블랙올리브를 잘게 썬다.
3. 기름을 두른 팬에 잘게 썬 재료들을 넣고, 소금, 후추로 간한다.
4. 3에 핸드블렌더로 간 고기와 토마토 주스를 넣고 볶아 소를 만든다.
5. 볶은 소를 체에 밭쳐 기름을 빼며 식힌다.
6. 파프리카를 직화한다.
7. 핸드블랜더에 밀가루, 소금, 올리브오일, 달걀, 우유를 넣고 반죽을 만든다.
8. 직화한 파프리카는 물에 씻어 태운 부분을 벗겨 낸다.
9. 핸드블랜더에 익힌 파프리카, 블랙올리브, 올리브오일, 후추, 토마토주스를 넣고 갈아 소스를 만든다.
10. 반죽을 넓게 편다.
11. 넓게 편 반죽을 원형틀을 이용해 동그랗게 찍어낸다.
12. 동그랗게 찍어낸 반죽에 소를 넣고 달걀물을 묻혀 싼 후, 테두리에 모양을 낸다.
13. 빚은 만두를 기름에 튀긴 후, 표면에 달걀노른자를 묻혀 오븐에 굽는다.
14. 그릇에 소스를 담고, 잘게 썬 그린올리브를 얹는다.
15. 구운 만두를 올린다.
16. 달래를 잘게 썰어 올린다.
17. 플레인요거트를 뿌려 마무리 한다.</t>
  </si>
  <si>
    <t>&lt;미카엘 - 아따~ 조기찜 맛있다잉!&gt;
● 재료
조기, 설탕에 잰 마늘, 달래무침, 매실액, 청고추, 홍고추, 콜리플라워, 방울양배추, 파프리카,
아스파라거스, 달래, 태국간장, 간장, 참기름, 깨, 대파, 즉석밥, 청주, 소금, 후추, 레몬,
마늘, 올리브오일, 식초
● 조리방법
1. 조기의 비늘을 벗겨내 손질한다.
2. 손질한 조기에 청주, 소금, 후추, 레몬즙을 뿌려 비린내를 제거한다.
3. 비린내를 제거한 조기에 양면으로 칼집을 낸다.
4. 칼집을 낸 조기를 찜기에 넣고 찐다.
5. 콜리플라워는 기둥을 잘라내고 적당한 크기로 손질한다.
6. 방울양배추, 레몬, 아스파라거스, 파프리카를 적당한 크기로 썬다.
7. 손질한 채소를 찜기에 넣고 찐다.
8. 마른 그릴팬에 칼집을 낸 고추를 굽는다.
9. 볼에 마늘, 올리브오일, 소금, 식초를 넣고 섞어 양념장을 만든다.
10. 달래를 잘게 썰어 양념장에 넣고 섞는다.
11. 구운 고추를 양념장에 넣고 버무린다.
12. 볼에 간장, 참기름, 태국간장, 깨, 잘게 썬 대파, 설탕에 잰 마늘, 매실액을 넣고 섞어 간장양념장을 만든다.
13. 찜기에 찐 파프리카, 방울양배추, 아스파라거스, 조기를 접시에 담는다.
14. 달래와 찜기에 찐 콜리플라워도 접시에 담는다.
15. 조기 위에 간장양념장을 얹는다.
16. 작은 접시에 달래양념장에 버무린 구운 고추와 달래무침을 각각 담아낸다.
17. 전자레인지에 돌린 즉석밥을 밥그릇에 담고 잘게 썬 대파를 올려 마무리한다.</t>
  </si>
  <si>
    <t>&lt;이찬오 - 민어는 축구선수를 좋아해&gt;
● 재료
반건조민어, 낙지, 묵은지, 사골국, 파래무침, 새우젓, 인스턴트 곤드레나물밥, 냉이,
달래무침, 설탕에 잰 마늘, 대파, 고춧가루, 설탕, 버터, 올리브오일, 참기름
● 조리방법
1. 팬에 사골국, 묵은지, 어슷하게 썬 대파를 넣고 끓인다.
2. 1에 고춧가루, 설탕을 넣고 끓인다.
3. 적당한 크기로 손질한 낙지를 묵은지를 끓이던 팬에 넣고 함께 끓여 묵은지 소스를 만든다.
4. 낙지를 넣은 묵은지 소스에 새우젓으로 간한다.
5. 반건조민어를 손질해 적당한 크기로 썬다
6. 기름을 두른 팬에 반건조민어를 굽는다.
7. 민어를 굽는 팬에 설탕에 잰 마늘과 버터를 넣어 함께 익힌다.
8. 7에 달래무침을 넣고, 민어에 양념을 끼얹어가며 조린다.
9. 냉이를 적당한 크기로 손질해 함께 조린다.
10. 인스턴트 곤드레나물밥을 전자레인지에 익히고, 파래무침과 올리브오일을 넣어 섞는다.
11. 그릇에 묵은지 소스를 담는다.
12. 묵은지 소스 위에 조린 반건조민어를 올린다.
13. 냉이를 참기름에 버무린 뒤, 민어 위에 올려 마무리한다.</t>
  </si>
  <si>
    <t>&lt;미카엘 - 다 털었Show!&gt;
● 재료
참치 통조림, 달걀, 식빵, 양상추, 채 썬 양파, 파프리카, 호두 드레싱, 멸치볶음, 마카다미아,
금귤, 딸기, 바나나맛 우유, 마누카 꿀, 양파, 소금, 전분, 후추, 버터, 올리브오일, 레몬즙,
● 조리방법
1. 소금을 넣은 끓는 물에 달걀을 삶는다.
2. 냄비에 바나나맛 우유를 넣고 끓인다.
3. 핸드블렌더에 기름을 뺀 참치 통조림과, 채 썬 양파를 넣는다.
4. 3에 후추를 넣고 갈아 참치반죽을 만든다.
5. 볼에 바나나맛 우유와 전분을 넣고 섞는다.
6. 바나나맛 우유를 끓이는 냄비에 전분과 섞은 바나나맛 우유를 넣고 잘 섞어 푸딩을 만든다.
7. 냉동실에서 차게 식힌 그릇에 바나나맛 푸딩을 담고, 다시 냉동실에 넣어 식힌다.
8. 식빵을 적당한 크기로 썰고 소금과 후추를 뿌린다.
9. 기름을 두른 팬에 버터를 넣고 적당한 크기로 썬 식빵을 굽는다.
10. 양상추와 파프리카를 손질해 각각 볼에 담는다.
11. 손질한 파프리카에 호두드레싱을 넣고 버무린다.
12. 삶은 달걀의 껍데기를 벗기고 반으로 자른다.
13. 삶은 달걀의 노른자만 분리해, 참치반죽에 넣고 버무린다.
14. 참치반죽을 완자모양으로 동그랗게 뭉쳐서 흰자 위에 올리고 접시에 담는다.
15. 핸드블렌더에 남은 참치반죽과 올리브오일, 레몬즙을 넣고 갈아 참치드레싱을 만든다.
16. 손질해둔 양상추에 참치드레싱을 넣고 버무려 접시에 올린다.
17. 16 위에 호두드레싱으로 버무린 파프리카를 얹고, 멸치볶음을 곁들인다.
18. 샐러드에 마카다미아와 적당하게 썬 금귤을 올린다.
19. 구운 식빵을 얹는다.
20. 냉동실에서 식힌 바나나맛 푸딩 위에 딸기를 썰어 올린다.
21. 마카다미아를 으깨 바나나맛 푸딩에 곁들인다.
22. 바나나맛 푸딩에 마누카 꿀을 뿌려 마무리한다.</t>
  </si>
  <si>
    <t>냉장고를 부탁해 시즌 1, 74화</t>
  </si>
  <si>
    <t>&lt;오세득 - 떡.고.치&gt;
● 재료
참치 통조림, 야채참치 통조림, 떡볶이 떡, 식빵, 달걀, 파프리카, 마늘, 대파,
소금, 후추, 마요네즈, 고추장, 물엿, 맛술, 고춧가루, 간장, 청주, 참기름, 깨
● 조리방법
1. 참치 통조림과 야채참치 통조림의 기름을 뺀다.
2. 떡볶이 떡을 적당한 크기로 썰어 뜨거운 물에 불린다.
3. 식빵은 테두리를 잘라내고, 적당한 크기로 썰어 핸드블렌더에 넣고 갈아 빵가루를 만든다.
4. 볼에 기름을 뺀 참치, 불린 떡볶이 떡, 달걀, 소금, 후추를 넣는다.
5. 4에 빵가루와 마요네즈를 넣고 치대 참치 패티 반죽을 만든다..
6. 참치 패티 반죽을 적당한 크기로 떼어내 기름에 튀긴다.
7. 마늘을 강판에 간다.
8. 볼에 간 마늘과 고추장, 물엿, 맛술, 고춧가루, 간장을 섞어 양념을 만든다.
9. 고추와 파프리카의 씨를 발라내고, 적당한 크기로 썬다.
10. 기름을 두른 팬에 손질한 채소를 볶다가 양념과 청주를 넣고 함께 볶는다.
11. 참치 패티를 익히는 팬에 으깬 마늘과 대파 흰 부분을 넣어 향을 낸다.
12. 매콤하게 볶은 채소에 익힌 참치 패티와 참기름을 넣고 한 번 더 볶는다.
13. 접시에 참치 패티를 담고, 볶은 채소를 올린 뒤 깨를 뿌려 마무리 한다.</t>
  </si>
  <si>
    <t>&lt;최현석 - 파니니 안파니&gt;
● 재료
뜯어먹는 식빵, 장조림 통조림, 맛밤, 금귤, 참치 통조림,
양상추, 당근, 양파, 밀가루, 소금, 후추, 마요네즈,
● 조리방법
1. 당근과 양파는 채 썰고, 금귤은 씨를 빼고 얇게 썬다.
2. 볼에 손질한 재료들과 장조림 통조림, 으깬 맛밤, 물과 밀가루를 넣고 반죽한다.
3. 반죽에 소금과 후추로 간을 한다.
4. 반죽을 적당한 크기로 덜어 기름에 튀긴다.
5. 튀김을 건져 기름기를 뺀다.
6. 뜯어먹는 식빵을 반으로 잘라 속을 파낸다.
7. 속을 파낸 식빵에 마요네즈를 바르고, 장조림&amp;채소튀김을 넣은 뒤 다른 식빵으로 덮어 파니니를 만든다.
8. 마른 그릴팬에 파니니를 올리고 모양을 내며 굽는다.
9. 양파를 잘게 썰고, 참치 통조림의 기름을 뺀다.
10. 볼에 잘게 썬 양파, 참치, 마요네즈를 넣고 섞어 참치 샐러드를 만든다.
11. 속을 파낸 식빵을 밀대로 얇게 민다.
12. 얇게 편 식빵에 잘게 썬 양상추와 참치샐러드를 넣고 돌돌 만다.
13. 구운 파니니를 적당한 크기로 잘라 도시락에 담는다.
14. 참치 샐러드를 넣은 식빵말이를 유산지로 감싸 도시락에 담는다.</t>
  </si>
  <si>
    <t>&lt;이찬오 - 검사외조&gt;
● 재료
달걀, 식빵, 슈크림빵, 장조림 통조림, 멸치볶음, 딸기, 마카롱,
마카다미아, 핫소스, 바나나맛 우유, 버터, 케첩
● 조리방법
1. 팬에 버터와 기름을 두른다.
2. 달걀물을 만든다.
3. 장조림 통조림을 체에 밭쳐 건더기만 걸러낸 뒤, 고기를 잘게 찢는다.
4. 버터와 기름을 두른 팬에 달걀물과 장조림, 멸치볶음을 넣고 스크램블을 만든다.
5. 식빵의 테두리를 잘라내고 밀대로 얇게 민다.
6. 얇게 민 식빵에 장조림과 멸치볶음을 넣은 스크램블을 넣고 돌돌 만다.
7. 버터를 두른 팬에 스크램블식빵말이를 굽는다.
8. 슈크림빵의 슈크림만 덜어내 유산지컵에 담는다.
9. 꼭지를 잘라낸 딸기를 슈크림 위에 올린 뒤, 마카다미아를 곁들인다.
10. 케첩과 핫소스를 섞은 뒤, 소스통에 담는다.
11. 구운 식빵말이를 도시락에 담고, 마카롱을 곁들인다.
12. 바나나맛 우유를 함께 낸다.</t>
  </si>
  <si>
    <t>&lt;이연복 - 샤부의 샐러드&gt;
● 재료
솜땀 파우더, 가쓰오간장, 매운 참깨소스, 명란젓, 샤부샤부용 소고기, 애호박,
스노우크랩, 상추, 삶은 죽순, 성게알 통조림, 달걀, 레몬, 양파, 고추, 전분
● 조리방법
1. 솜땀 파우더를 따뜻한 물에 갠다.
2. 솜땀소스에 가쓰오간장, 매운 참깨소스, 명란젓을 넣는다.
3. 2에 레몬즙을 넣고 섞는다.
4. 샤부샤부용 소고기의 핏물을 빼고 전분에 무친다.
5. 전분을 입힌 샤부샤부용 소고기에 달걀물을 넣고 섞은 뒤, 기름에 튀기듯 볶는다.
6. 볶은 고기를 체에 밭쳐 기름기를 뺀다.
7. 애호박을 채 썰어 끓는 물에 데친다.
8. 스노우크랩의 다리살을 발라낸다.
9. 볼에 전분, 물, 식용유를 넣고 섞어 반죽을 만든 뒤, 스노우크랩에 입혀 기름에 튀긴다.
10. 양파를 채 썬다.
11. 채 썬 양파를 그릇에 넓게 편다.
12. 데친 애호박을 체에 밭쳐 물기를 빼고 차게 식혀 양파채 위에 올린다.
13. 적당히 썬 상추와 얇게 찢어낸 삶은 죽순을 올린다.
14. 샐러드 위에 성게알 통조림과 볶은 소고기를 올린다.
15. 소고기 위에 성게알 통조림을 다시 한 번 얹는다.
16. 스노우크랩 튀김을 접시에 담아낸다.
17. 고추를 잘게 썰어 솜땀소스에 섞는다.
18. 샐러드 위에 솜땀소스를 얹고, 스노우크랩 튀김을 따로 낸다.</t>
  </si>
  <si>
    <t>냉장고를 부탁해 시즌 1, 75화</t>
  </si>
  <si>
    <t>&lt;샘킴 - 연어를 찾아~ 사바&gt;
● 재료
애호박, 연어머리, 팟타이소스, 건새우, 달걀, 양파, 대파, 마늘, 레몬, 소금, 후추, 밀가루
● 조리방법
1. 양파, 대파, 애호박을 잘게 썬다.
2. 기름을 두른 팬에 마늘과 잘게 썬 채소들을 넣고 소금, 후추를 넣어 볶는다.
3. 연어머리의 살만 발라내어 다진다.
4. 볶던 채소에 연어머릿살, 팟타이소스를 넣고 볶는다.
5. 마른 팬에 건새우를 넣고 볶는다.
6. 물이 담긴 냄비에 소금을 넣고 끓인다.
7. 핸드블랜더에 밀가루, 달걀을 넣고 돌려 면 반죽을 만든다.
8. 대파를 얇게 채 썰어 기름에 튀긴다.
9. 튀긴 대파와 볶던 재료들을 함께 볶는다.
10. 핸드블랜더에 볶은 건새우를 간다.
11. 면 반죽을 길게 밀어 적당한 크기로 썬다.
12. 적당히 썬 반죽을 손가락으로 눌러, 파스타면을 만든다.
13. 소금을 넣은 끓는 물에 면을 넣고 삶는다.
14. 삶은 면을 볶던 재료에 넣고 함께 볶는다.
15. 완성된 파스타를 그릇에 담는다.
16. 파스타 위에 간 건새우를 얹는다.
17. 대파 흰 부분을 잘게 썰어 올린다.
18. 적당한 크기로 썬 레몬을 곁들여 마무리 한다.</t>
  </si>
  <si>
    <t>&lt;홍석천 - 사와디캡 누들&gt;
● 재료
솜땀 파우더, 매실액, 건새우, 페페론치노, 우메보시, 바나나, 꾸지뽕, 흑설탕, 토마토소스, 삼겹살,
커피가루, 비빔라면, 상추, 오렌지, 블루베리, 해바라기씨, 레몬, 대파, 고추, 양파,마늘, 된장
● 조리방법
1. 볼에 솜땀 파우더, 물, 레몬즙, 매실액을 넣고 잘 섞는다.
2. 핸드블랜더에 건새우와 페페론치노, 우메보시, 바나나, 꾸지뽕을 넣는다.
3. 2에 마늘, 흑설탕, 토마토소스를 더해 간다.
4. 솜땀 소스에 간 재료들을 넣고 섞는다.
5. 끓는 물에 된장을 푼다.
6. 삼겹살은 적당한 크기로 썰고, 마늘은 으깬다.
7. 된장을 푼 끓는 물에 으깬 마늘, 커피가루를 넣고 썰어둔 삼겹살을 넣어 삶는다.
8. 끓는 물에 비빔라면의 면을 넣고 삶는다.
9. 대파 흰 부분, 고추, 상추, 양파를 적당한 크기로 썬다.
10. 삶은 삼겹살을 건져 적당한 크기로 썬다.
11. 마른 팬에 썰어둔 삶은 삼겹살과 잘게 썬 마늘을 넣고 볶는다.
12. 삶은 면을 체에 밭쳐 물을 빼내고, 얼음물에 헹군다.
13. 볼에 면과 적당한 크기로 썬 오렌지, 블루베리, 해바라기씨, 손질한 채소와
삶은 삼겹살, 솜땀소스를 넣고 버무린다.
14. 완성된 비빔면을 접시에 담아낸다.</t>
  </si>
  <si>
    <t>&lt;김풍 - 두부딥두부딥&gt;
● 재료
연두부, 삼겹살, 가쓰오간장, 건새우, 대파, 마늘, 고추, 소금, 식초, 고춧가루, 전분
● 조리방법
1. 삼겹살을 적당한 크기로 썬다.
2. 적당히 썬 삼겹살을 냄비에 넣고, 기름을 두른다.
3. 대파를 적당한 크기로 썰어 팬에 넣고 삼겹살과 함께 볶는다.
4. 마늘을 으깨 팬에 넣고 함께 볶는다.
5. 고추를 적당한 크기로 썰어 팬에 넣는다.
6. 볶던 재료에 가쓰오간장을 넣는다.
7. 볶은 재료에 물을 붓고, 건새우, 소금, 식초를 넣고 끓여 육수를 만든다.
8. 팬에 기름을 넉넉히 두르고 대파, 고춧가루를 넣고 끓여 고추기름을 만든다.
9. 도마에 물을 넉넉히 바른다.
10. 연두부를 가늘게 채 썬다.
11. 육수를 끓인 재료들을 체에 밭쳐 건더기를 걸러내고, 육수만 다시 끓인다.
12. 육수에 전분물을 넣어 농도를 조절한다.
13. 12를 그릇에 담는다.
14. 국물에 가늘게 채 썬 연두부와 고추기름을 넣어 마무리한다.</t>
  </si>
  <si>
    <t>&lt;이연복 - 효도르&gt;
● 재료
동태, 대합살, 두부, 애호박, 무, 표고버섯, 홍고추, 달걀, 오코노미야키소스,
삼발소스, 당근, 소금, 다진 생강, 식초, 청양고추
● 조리방법
1. 무, 당근, 애호박을 얇게 슬라이스 한다.
2. 얇게 슬라이스한 채소를 볼에 담고 소금에 절인다.
3. 대합살을 씻어 손질한다.
4. 핸드블렌더에 대합살, 동태포, 두부, 생강즙, 달걀 노른자를 넣고 간다.
5. 불린 표고버섯은 기둥을 잘라내고, 잘게 다진다.
6. 잘게 다진 표고버섯에 믹서기로 간 재료들을 넣고 잘 섞는다.
7. 6을 스푼에 담고, 찜기에 찐다.
8. 소금에 절인 채소들을 물로 헹구고, 가늘게 채 썬다.
9. 채 썬 재료들을 볼에 담는다.
10. 홍고추의 씨를 빼내고, 가늘게 채 썬다.
11. 채 썬 홍고추도 채소와 함께 볼에 담고, 오코노미야키소스, 식초, 삼발소스를 넣어 버무린다.
12. 스푼에 찐 해산물찜을 접시에 옮겨 담는다.
13. 해산물찜 위에 양념에 버무린 채소를 올린다.
14. 청양고추를 썰어서 스푼마다 하나씩 올려 완성한다.</t>
  </si>
  <si>
    <t>냉장고를 부탁해 시즌 1, 76화</t>
  </si>
  <si>
    <t>&lt;정호영 - 아브라카부라무시&gt;
● 재료
대구살, 무, 목이버섯, 달걀, 표고버섯, 피망, 북어포, 청주,
소금, 대파, 소금, 맛술, 간장, 전분, 레몬
● 조리방법
1. 대구살을 썰어 접시에 담고, 청주와 소금을 뿌려 찜기에 찐다.
2. 달걀 흰자를 분리해 머랭을 친다.
3. 무는 껍질을 벗겨낸 뒤 적당한 크기로 썰어 물과 함께 믹서기에 넣고 간다.
4. 믹서기로 간 무를 김발에 밭쳐 건더기만 걸러낸다.
5. 표고버섯은 채 썰어 끓는 물에 데친다.
6. 찐 대구살을 꺼내 식힌다.
7. 불린 목이버섯을 적당한 크기로 썬다.
8. 피망과 파프리카를 얇게 채 썰어 끓는 물에 데친다.
9. 그릇에 찐 대구살, 데친 표고버섯, 목이버섯을 넣는다.
10. 머랭에 간 무를 넣고 섞는다.
11. 대구살 위에 무와 함께 섞은 머랭을 얹는다.
12. 그릇에 구멍을 뚫은 포일을 씌워 찜기에 찐다.
13. 냄비에 북어포, 적당한 크기로 썬 무와 대파를 넣고 육수를 낸다.
14. 육수에 소금, 맛술, 간장을 넣고 끓인다.
15. 육수에 청주를 넣는다.
16. 팬에 북어육수를 덜어 청주와 전분물을 넣고 끓여 소스를 만든다.
17. 레몬을 얇게 채 썬다.
18. 그릇째 쪄낸 대구찜을 꺼내 채 썬 피망과 파프리카를 올린다.
19. 19 위에 북어소스를 얹는다.
20. 채 썬 레몬을 얹어 완성한다.</t>
  </si>
  <si>
    <t>&lt;샘킴 - 이 만두는 모닝?&gt;
● 재료
농어, 샐러리, 표고버섯, 크림치즈, 달걀, 파프리카, 양파,
당근, 대파, 마늘, 화이트와인, 밀가루, 소금
● 조리방법
1. 양파, 당근, 대파를 손질한다.
2. 기름을 두른 냄비에 손질한 채소를 넣는다.
3. 2에 손질한 샐러리와 통마늘을 넣고 볶는다.
4. 농어의 뼈와 껍질을 분리해 볶던 채소와 함께 볶는다.
5. 볶던 재료에 뜨거운 물을 붓고 끓여 농어육수를 낸다.
6. 양파, 표고버섯을 잘게 썰어 기름을 두른 팬에 볶는다.
7. 농어살을 적당한 크기로 썰어 팬에 넣고 함께 볶는다.
8. 볶던 재료에 화이트와인을 넣는다.
9. 볼에 볶은 재료를 덜어내고, 크림치즈를 섞어 만두소를 만든다.
10. 핸드블렌더에 밀가루, 달걀을 넣고 돌려 만두피 반죽을 만든다.
11. 반죽을 얇게 밀어 원형틀로 찍어내 만두피를 만든다.
12. 만두피 안에 만두소를 넣고 달걀물을 묻혀 만두모양을 만든다.
13. 팬에 볶은 재료에 농어육수, 소금을 넣고 끓여 수프를 만든다.
14. 끓는 물에 만두를 넣고 삶는다.
15. 파프리카를 잘게 썰어, 썰어둔 양파, 표고버섯과 함께 볶다가 크림치즈를 넣고 섞는다.
16. 대파 흰 부분을 잘게 썬다.
17. 그릇에 크림치즈와 섞은 볶은 채소들을 올리고, 농어 수프를 담는다.
18. 삶은 만두를 농어수프에 넣는다.
19. 만두를 건져내 그릇에 담고, 잘게 썬 대파 흰 부분을 올려 마무리한다.</t>
  </si>
  <si>
    <t>&lt;미카엘 - 사랑하지롤♡&gt;
● 재료
훈제연어, 애호박, 브로콜리, 크림치즈, 달걀, 케이퍼, 머스터드,
소금, 후추, 식초, 올리브오일, 밀가루
● 조리방법
1. 애호박을 길게 슬라이스 한다.
2. 볼에 크림치즈, 소금, 후추, 케이퍼를 넣고 섞어 소스를 만든다.
3. 끓는 물에 브로콜리와 소금을 넣고 데친 뒤, 잘게 썬다.
4. 크림치즈 소스에 잘게 썬 브로콜리를 넣고 섞는다.
5. 길게 슬라이스 한 애호박 위에 브로콜리를 넣은 크림치즈 소스와 훈제연어를 올리고 돌돌 만다.
6. 애호박말이를 꼬치로 고정하고, 기름을 두른 팬에 굽는다.
7. 팬에 물을 끓이다가 식초를 넣고, 달걀을 넣어 수란을 만든다.
8. 수란을 건져 물기를 제거하고 접시에 담는다.
9. 구운 애호박말이의 꼬치를 제거하고 접시에 담는다.
10. 볼에 달걀노른자와 머스터드소스를 넣고 섞는다.
11. 팬에 올리브오일, 밀가루를 넣고 끓이다가 달걀머스터드소스를 넣어 섞는다.
12. 소스에 후추를 뿌린다.
13. 수란과 애호박말이 위에 달걀머스터드 소스를 뿌리고, 후추를 뿌린다.
14. 훈제연어를 장미꽃 모양으로 말아 데커레이션한다.</t>
  </si>
  <si>
    <t>&lt;최현석 - 샐러드 바이블&gt;
● 재료
아랍염소치즈, 생모차렐라치즈, 딸기, 청포도, 방울토마토, 레몬, 이탈리안 파슬리, 루콜라, 바질,
휘핑크림, 마누카 꿀, 트러플 페스토, 발사믹크림, 올리브오일, 홍차잼, 전분, 퓨어 올리브오일,
양파, 마늘, 소금
● 조리방법
1. 냄비에 레몬즙과 마누카 꿀을 넣고 끓인다.
2. 1에 전분물, 퓨어 올리브오일을 넣고 섞어 레몬꿀소스를 만든다.
3. 레몬꿀소스를 두 개의 볼에 나눠 담고, 한 곳에 트러플 페스토를 넣고 섞어 트러플소스를 만든다.
4. 볼에 발사믹크림, 퓨어 올리브오일, 잘게 다진 양파를 넣고 섞어 발사믹소스를 만든다.
5. 냄비에 휘핑크림을 넣고 끓인 뒤, 냄비 채 얼음물에 식힌다.
6. 방울토마토, 딸기, 청포도를 썬다.
7. 마늘을 잘게 다져 볼에 넣는다.
8. 다진 마늘에 잘게 다진 이탈리안 파슬리를 더한다.
9. 8에 퓨어 올리브오일, 올리브오일, 소금을 넣고 섞어 올리브오일소스를 만든다.
10. 생모차렐라 치즈를 적당한 크기로 손질한다.
11. 적당한 크기로 자른 생모차렐라 치즈를 식힌 휘핑크림에 넣는다.
12. 아랍염소치즈를 손질한다
13. 볼에 휘핑크림, 홍차잼을 넣고 거품기로 저어 홍차크림소스을 만든다.
14. 다섯 개의 접시에 크림을 묻힌 생모차렐라 치즈와 아랍염소치즈를 각각 담는다.
15. 크림을 묻힌 생모차렐라 치즈에 올리브오일소스를 얹는다.
16. 크림을 묻힌 생모차렐라 치즈에 발사믹소스와 잘게 썬 딸기를 얹는다.
17. 아랍염소치즈 위에 홍차크림소스를 얹고, 얇게 썬 청포도를 올린다.
18. 올리브오일소스를 얹은 모차렐라치즈 위에 얇게 썬 방울토마토를 얹는다.
19. 크림을 묻힌 생모차렐라 치즈에 레몬꿀소스를 얹고, 바질을 잘라 올린다.
20. 아랍염소치즈 위에 트러플소스를 얹는다.
21. 올리브오일소스 치즈 위에 루콜라를 곁들인다.</t>
  </si>
  <si>
    <t>냉장고를 부탁해 시즌 1, 77화</t>
  </si>
  <si>
    <t>&lt;김풍 - 풍미풍미풍미 업&gt;
● 재료
글루텐프리 파스타면, 인스턴트 카레가루, 삼겹살, 등심 햄, 스위트콘 통조림, 휘핑크림, 바질,
통후추, 치킨스톡, 마늘, 다진 마늘, 양파, 버터, 후추, 고춧가루, 간장
● 조리방법
1. 삼겹살을 적당한 크기로 썬다.
2. 등심 햄을 채 썬다.
3. 마늘을 다진다.
4. 양파를 채 썬다.
5. 기름을 두른 팬에 다진 마늘, 채 썬 양파, 버터, 손질한 삼겹살과 등심 햄, 후추, 고춧가루를 넣는다.
6. 5에 간장을 넣고 볶는다.
7. 볶은 재료에 인스턴트 카레가루를 넣고, 물을 부어 끓인다.
8. 끓는 물에 글루텐프리 파스타면을 삶는다.
9. 스위트콘 통조림을 체에 밭쳐 물기를 빼내고, 믹서기에 넣는다.
10. 스위트콘을 넣은 믹서기에 휘핑크림, 후추를 넣고 간다.
11. 끓이던 카레소스에 치킨스톡을 넣는다.
12. 삶은 글루텐프리 파스타면을 건져 찬물로 헹궈내고, 그릇에 담는다.
13. 글루텐프리 파스타면 위에 카레소스를 올린다.
14. 믹서기에 간 크림옥수수소스를 지퍼백에 넣고 모서리를 잘라 카레면 위에 짜낸다.
15. 14 위에 바질을 다져 올려 마무리한다.</t>
  </si>
  <si>
    <t>&lt;오세득 - 채끝 인 더 대파&gt;
● 재료
채끝등심, 이탈리안 파슬리, 트러플 페스토, 발사믹크림, 휘핑크림, 우유,
올리브오일, 마누카 꿀, 양파, 대파, 버터, 즉석밥, 통후추, 소금, 후추, 마늘
● 조리방법
1. 채끝등심을 잘게 썰어 기름을 두른 팬에 넣는다.
2. 양파를 채 썰어 채끝등심과 함께 볶는다.
3. 다른 팬에 잘게 썬 대파와 버터를 넣고 볶는다.
4. 양쪽 팬에 우유를 넣고, 채끝등심을 볶던 팬에는 휘핑크림도 함께 넣는다.
5. 전자레인지에 즉석밥을 돌린다.
6. 핸드블렌더에 우유와 함께 끓인 볶은 대파를 넣고 간다.
7. 6에 적당량의 밥과, 트러플 페스토를 넣고 갈아 대파퓌레를 만든다.
8. 접시에 대파퓌레를 담는다.
9. 종이포일로 통후추를 감싼 뒤, 냄비로 두드려 부순다.
10. 우유&amp;크림에 졸이던 채끝등심에 통후추가루를 넣는다.
11. 10에 소금으로 간을 한다.
12. 끓인 재료를 체에 밭쳐 소스만 남긴 뒤, 발사믹크림과 올리브오일을 넣고 섞는다.
13. 소스에 버터를 넣고 섞은 뒤, 마른 팬에 붓고 끓인다.
14. 채끝등심의 양면에 소금, 후추를 뿌린다.
15. 기름을 두른 팬에 채끝등심을 넣고, 버터와 통마늘을 넣어 굽는다.
16. 구운 채끝등심 스테이크를 꺼내 레스팅한다.
17. 레스팅한 채끝등심 스테이크를 적당한 크기로 잘라 접시에 올린다.
18. 스테이크 위에 이탈리안 파슬리를 올린다.
19. 접시에 후추소스를 얹고, 스테이크에 소금, 후추를 뿌린다.
20. 후추소스에 마누카 꿀을 넣어 마무리한다.</t>
  </si>
  <si>
    <t>&lt;이찬오 - 퐁네프의 연어들&gt;
● 재료
연어, 새우, 레드향, 석류알, 손질한 딸기, 아랍염소치즈, 루콜라, 이탈리안 파슬리,
올리브오일, 휘핑크림, 우유, 레몬, 소금, 후추, 설탕, 다진 마늘, 대파,
● 조리방법
1. 레드향의 껍질을 잘라내고, 과육만 적당한 크기로 썬다.
2. 접시에 손질한 레드향, 잘게 뜯은 아랍염소치즈, 루콜라를 담아 샐러드를 만든다.
3. 면보에 석류알을 넣고 즙을 낸 후, 올리브오일, 소금, 후추를 섞어 드레싱을 만든다.
4. 샐러드 위에 석류드레싱을 뿌려 애피타이저를 완성한다.
5. 손질된 딸기를 믹서기에 넣고 간 후, 체에 밭쳐 내린다.
6. 볼에 휘핑크림, 설탕을 넣고 거품기로 쳐서 크림을 만든다.
7. 그릇에 곱게 간 딸기를 담고, 크림을 올린다.
8. 7위에 이탈리안 파슬리와 올리브오일을 올려 디저트를 완성한다.
9. 대파 흰 부분을 잘게 썰어, 기름을 두른 팬에 볶다가 소금, 다진 마늘, 설탕을 넣는다.
10. 대파를 볶는 팬에 .휘핑크림과 우유를 넣고 끓인다.
11. 대파를 끓이는 팬에 소금, 후추로 간한다.
12. 이탈리안 파슬리를 잘게 썰어 대파를 끓이던 팬에 넣고 함께 끓인다.
13. 껍질을 벗긴 새우등에 칼집을 내 일자로 편다.
14. 기름을 두른 팬에 손질한 새우를 넣고, 스푼으로 눌러 익힌다.
15. 연어를 얇게 포 뜬다.
16. 포 뜬 연어에 구운 새우를 넣고 돌돌 만다.
17. 새우연어말이를 기름을 두른 팬에 굽는다.
18. 끓인 대파크림소스를 체에 밭쳐 건더기만 걸러내 다시 팬에 볶는다.
19. 대파크림소스와, 새우연어말이에 레몬껍질을 갈아 넣는다.
20. 대파크림소스에 레몬즙을 넣고, 그릇에 담는다.
21. 대파크림소스 위에 새우연어말이를 올린다.
22. 새우연어말이 위에 이탈리안 파슬리 잎을 올려 완성한다.</t>
  </si>
  <si>
    <t>&lt;샘킴 - 아뵤~카도&gt;
● 재료
연어, 토마토, 블루베리, 케이퍼, 홀그레인 머스터드, 랠리시 소스, 아보카도,
마늘, 당근, 양파, 대파, 통후추, 후추, 레몬, 소금, 설탕, 올리브오일, 밀가루
● 조리방법
1. 끓는 물에 토마토, 마늘, 당근, 양파, 대파, 통후추, 레몬, 소금을 넣어 채소육수를 낸다.
2. 연어의 껍질을 벗겨내고 채소육수에 연어살을 넣어 데친다.
3. 핸드블렌더로 블루베리를 갈아 체에 밭쳐 즙만 내린 후,
팬에 옮기고 레몬즙, 설탕을 더해 끓여 블루베리 소스를 만든다.
4. 끓인 블루베리 소스를 식힌다.
5. 양파, 케이퍼를 잘게 다진다.
6. 볼에 잘게 다진 양파와 케이퍼, 홀그레인 머스터드, 올리브오일, 소금을 넣고 섞는다.
7. 6에 랠리시 소스, 잘게 다진 토마토, 후추를 넣고 섞어 케이퍼 소스를 완성한다.
8. 볼에 밀가루, 소금, 물을 넣고 반죽을 만든다.
9. 아보카도를 적당한 크기로 잘라 반죽을 입힌다.
10. 반죽을 입힌 아보카도를 기름에 튀긴다.
11. 아보카도 튀김을 건져 기름을 뺀다.
12. 연어껍질을 기름에 튀긴 뒤, 건져서 기름을 뺀다.
13. 접시에 케이퍼 소스를 깔고, 아보카도 튀김을 올린다.
14. 아보카도 튀김 위에 데친 연어를 올린다.
15. 튀긴 연어껍질을 잘게 썰어 데친 연어 위에 올리고, 케이퍼 소스를 한 번 더 뿌린다.
16. 블루베리 소스를 뿌려 완성한다.</t>
  </si>
  <si>
    <t>냉장고를 부탁해 시즌 1, 78화</t>
  </si>
  <si>
    <t>&lt;김풍 - 불량만쥬&gt;
● 재료
바나나, 테프, 찹쌀가루, 베이킹파우더, 우유, 베이컨, 땅콩버터, 휘핑크림,
부추, 달걀, 양파, 밀가루, 소금, 설탕, 버터, 후추, 식초
● 조리방법
1. 볼에 달걀, 밀가루, 찹쌀가루, 베이킹파우더, 소금, 설탕을 넣고 섞는다.
2. 전자레인지에 버터를 넣고 녹인다.
3. 반죽에 우유를 넣고 섞는다.
4. 3에 녹인 버터와 테프를 넣고 섞어 반죽을 만든다.
5. 기름을 두른 팬에 채 썬 양파, 적당한 크기로 썬 베이컨, 후추, 소금, 식초를 넣고 볶는다.
6. 끓는 기름에 반죽을 넣고 튀겨 빵을 만든다.
7. 바나나를 적당한 크기로 잘라 반죽을 입힌 뒤, 기름에 튀긴다.
8. 튀긴 빵과 바나나튀김을 건져 기름을 빼낸다.
9. 볼에 땅콩버터, 설탕, 휘핑크림을 넣고 섞어 소스를 만든다.
10. 부추를 적당한 크기로 잘라 볶던 재료에 넣고 함께 볶는다.
11. 땅콩버터크림소스를 소스볼에 담는다.
12. 접시에 빵, 바나나튀김, 소스볼을 올린다.
13. 튀긴 빵 사이에 볶은 재료들을 넣고 샌드위치를 만들어 완성한다.</t>
  </si>
  <si>
    <t>&lt;이연복 - 탄복면&gt;
● 재료
새우, 오징어, 땅콩버터, 두반장, 참깨드레싱, 굴소스, 오이, 대파, 밀가루, 소금, 고춧가루
● 조리방법
1. 볼에 밀가루, 소금, 물을 넣고 치대어 면 반죽을 한다.
2. 면 반죽을 덮어 휴지한다.
3. 휴지한 면 반죽을 밀대로 얇게 민다.
4. 얇게 민 면 반죽을 접고 칼로 썰어 면을 만든다.
5. 만든 면을 삶은 후에 찬물에서 식힌다.
6. 기름이 담긴 냄비에 대파와 고춧가루를 넣고 끓여 고추기름을 만든다.
7. 끓는 물에 새우와 오징어를 넣고 익힌다.
8. 익힌 오징어를 채 썬다.
9. 익힌 새우의 껍데기를 발라내고, 포를 뜬다.
10. 볼에 땅콩버터, 뜨거운 물, 두반장, 참깨드레싱, 굴소스를 넣고 섞어 매콤한 땅콩소스를 만든다.
11. 면의 물기를 짜고, 매콤한 땅콩소스, 채 썬 오징어와 함께 버무린다.
12. 고추기름을 체에 밭쳐 기름만 내린 후 면과 함께 버무린다.
13. 버무린 면을 접시에 담는다.
14. 포 뜬 새우를 면 위에 올린다.
15. 오이를 채 썰어 면 위에 올려 완성한다.</t>
  </si>
  <si>
    <t>&lt;홍석천 - 녹아내리면&gt;
● 재료
녹차맛 생초콜릿, 달걀, 파프리카, 토마토소스, 바질페스토, 잣,
낫토, 모차렐라 치즈, 청양고추, 밀가루, 소금
● 조리방법
1. 녹차맛 생초콜릿을 전자레인지에 돌려 녹인다.
2. 볼에 밀가루, 소금, 달걀, 물을 넣고 섞어 반죽을 한다.
3. 녹인 녹차맛 생초콜릿을 면 반죽에 넣고 섞는다.
4. 반죽을 찜기에 붓고, 구멍을 통해 면을 내려 끓는 물에 바로 익힌다.
5. 익힌 면을 체에 밭쳐 건져내고, 얼음물에서 식힌다.
6. 파프리카를 직화한다.
7. 얼음물에 식힌 면의 물기를 제거한다.
8. 그라탱 그릇에 면&gt;토마토소스&gt;면 순서로 담는다.
9. 직화한 파프리카의 탄 부분을 벗기고, 씨를 발라낸 후 믹서기로 간다.
10. 곱게 간 파프리카를 그라탱 그릇에 올린다.
11. 그라탱 그릇에 면&gt;바질페스토 순으로 한층 더 쌓는다.
12. 잣을 잘게 다져 그라탱 그릇에 올린다.
13. 12 위에 낫토를 올리고, 모차렐라 치즈를 깐다.
14. 그라탱 그릇에 랩을 덮고, 전자레인지에서 치즈가 녹을 때까지 익힌다.
15. 청양고추를 잘게 다진다.
16. 전자레인지에서 치즈를 녹인 그릇을 꺼내 토치로 표면을 익히고 잘게 썬 청양고추를 뿌린다.</t>
  </si>
  <si>
    <t>&lt;최현석 - 포켓몽&gt;
● 재료
닭가슴살, 자몽청, 애호박, 슬라이스치즈, 모차렐라치즈, 크림파스타소스,
오렌지주스, 우유, 당근, 레몬, 소금, 버터, 후추, 레드와인
● 조리방법
1. 냄비에 오렌지주스를 끓인다.
2. 애호박과 당근을 동그란 모양으로 파낸다.
3. 동그랗게 손질한 채소를 오렌지주스에 넣고 조린다.
4. 오렌지주스에 조리던 재료에 소금과 버터를 넣는다.
5. 닭가슴살을 두드려 얇게 편다.
6. 얇게 편 닭가슴살에 소금, 후추를 뿌린다.
7. 슬라이스 치즈, 모차렐라 치즈, 버터를 얇게 편 닭가슴살 안에 넣고 감싼다.
8. 기름을 두른 팬에 치즈를 넣고 감싼 닭가슴살을 굽는다.
9. 구운 닭가슴살을 전자레인지에 넣고 속까지 익힌다.
10. 믹서기에 자몽청, 레몬즙, 레드와인을 넣고 곱게 간다.
11. 갈아낸 재료를 체에 밭쳐 건더기를 걸러내고, 팬에 끓인다.
12. 끓이던 재료에 소금, 설탕, 크림파스타소스를 섞는다.
13. 12에 우유, 버터를 넣고 졸여 소스를 만든다.
14. 접시에 소스를 넓게 깐다.
15. 소스 위에 오렌지주스에 조린 애호박과 당근을 올린다.
16. 익힌 닭가슴살을 접시 중앙에 올리고 소스로 덮어 마무리한다.</t>
  </si>
  <si>
    <t>냉장고를 부탁해 시즌 1, 79화</t>
  </si>
  <si>
    <t>&lt;오세득 - 무적 카레레인저&gt;
● 재료
인스턴트 카레, 연어, 망고, 브로콜리, 사과맛 음용식초, 우유, 크림파스타소스,
미역, 대파, 양파, 다진 생강, 즉석밥, 후추, 소금, 참기름, 간장, 버터, 고춧가루
● 조리방법
1. 기름을 47도로 데운다.
2. 연어를 적당한 크기로 손질해 데운 기름에 넣고 익힌다.
3. 대파 흰부분과 양파를 잘게 다진다.
4. 기름을 두른 팬에 다진 생강, 다진 대파, 다진 양파, 인스턴트 카레,
우유를 넣고 끓여 카레소스를 만든다.
5. 불린 미역을 잘게 다진다.
6. 다른 팬에 기름을 두르고, 다진 양파와 잘게 썬 미역, 크림파스타소스, 우유를 넣고 끓인다.
7. 미역크림소스에 즉석밥, 후추, 소금, 참기름, 간장, 버터를 넣고 볶아 리소토를 만든다.
8. 익힌 연어를 건져 기름기를 뺀다.
9. 카레소스에 망고, 사과맛 음용식초를 넣는다.
10. 연어 위에 소금을 뿌리고, 브로콜리 윗부분만 칼로 긁어내 뿌린다.
11. 접시에 미역리소토를 담고, 카레소스를 두른다.
12. 11 위에 연어를 올리고, 고춧가루를 체에 밭쳐 뿌려 완성한다.</t>
  </si>
  <si>
    <t>&lt;미카엘 - 민들레 만들래&gt;
● 재료
민들레, 닭가슴살, 달걀, 모차렐라 치즈, 애호박, 오이,
토마토, 레몬, 후추, 소금, 밀가루, 올리브오일
● 조리방법
1. 민들레를 잘게 썬다.
2. 볼에 잘게 썬 민들레와 달걀, 모차렐라 치즈, 레몬즙을 넣는다.
3. 2에 후추, 소금, 잘게 썬 애호박, 밀가루를 넣고 섞어 민들레 반죽을 만든다.
4. 넓은 접시에 밀가루를 깔고, 달걀물을 만든다.
5. 닭가슴살에 깊게 칼집을 내서 펼친다.
6. 펼친 닭가슴살 안에 모차렐라 치즈를 넣고 여민 뒤
밀가루&gt;달걀물&gt;밀가루&gt;달걀물 순으로 튀김옷을 입힌다.
7. 튀김옷을 입힌 닭가슴살을 기름에 넣고 튀긴다.
8. 민들레 반죽을 적당한 크기로 빚어 밀가루를 묻힌 뒤 튀긴다.
9. 볼에 손질한 민들레를 담고, 레몬즙, 소금, 후추, 올리브오일을 넣고 버무려 민들레샐러드를 만든다.
10. 오이를 얇게 슬라이스 해 민들레샐러드를 돌돌 만다.
11. 오이를 채 썬다.
12. 토마토를 슬라이스 해 접시에 담는다.
13. 채 썬 오이에 레몬즙을 뿌린다.
14. 민들레튀김, 닭가슴살튀김의 기름을 뺀다.
15. 토마토 슬라이스 위에 민들레튀김을 얹고, 오이채를 올린다.
16. 닭가슴살튀김과 오이민들레말이를 차례로 접시에 담는다.
17. 레몬을 곁들여 완성한다.</t>
  </si>
  <si>
    <t>&lt;이찬오 - 자반 방아를 돌려라&gt;
● 재료
자반고등어, 방아잎, 애호박, 파인애플, 오징어, 톰얌페이스트,
오이, 대게육수, 레몬, 고추, 양파, 다진 마늘, 올리브오일, 후추
● 조리방법
1. 자반고등어를 손질한다.
2. 손질한 고등어의 등부분에 올리브오일, 후추를 뿌리고 방아잎을 덮는다.
3. 기름을 두른 팬에 방아잎을 덮은 자반고등어의 등부분부터 굽는다.
4. 자반고등어의 한 쪽이 익으면 뒤집고, 레몬껍질을 갈아 넣는다.
5. 고추를 잘게 썰어 자반고등어와 함께 익힌다.
6. 양파를 잘게 썬 뒤, 기름을 두른 팬에 넣고 볶는다.
7. 애호박을 잘게 썰어 양파를 볶는 팬에 넣고 다진 마늘을 더해 함께 볶는다.
8. 파인애플을 잘게 썰어 팬에 넣고 함께 볶는다.
9. 오징어를 잘게 썰어 팬에 넣고 함께 볶다가 후추를 뿌린다.
10. 끓는 물에 톰얌페이스트를 넣고 풀어 톰얌소스를 만든다.
11. 볶던 재료에 톰얌소스, 간 레몬껍질, 잘게 썬 방아잎을 넣어 함께 볶는다.
12. 굽던 자반고등어에 레몬즙을 뿌린다.
13. 그릇에 볶은 재료를 담는다.
14. 오이를 잘게 채 썰어 레몬즙과 후추에 버무린다.
15. 볶은 재료 위에 오이채무침과 방아잎을 덮어 구운 자반고등어를 올려 완성한다.</t>
  </si>
  <si>
    <t>&lt;이연복 - 다말았씨유&gt;
● 재료
핫바, 인스턴트 불닭 볶음밥, 스트링 치즈, 사과, 명이나물 장아찌, 참깨&amp;흑임자 드레싱,
스위트칠리소스, 밀가루, 소금, 대파, 양파, 달걀, 케첩, 참기름
● 조리방법
1. 볼에 밀가루, 소금, 뜨거운 물을 넣고 익반죽을 만든다.
2. 물에 적신 행주로 익반죽을 덮어 숙성시킨다.
3. 기름을 두른 팬에 잘게 썬 대파, 양파를 넣는다.
4. 3에 잘게 썬 핫바, 달걀, 인스턴트 불닭 볶음밥을 넣고 볶는다.
5. 볶음밥에 케첩으로 간을 한다
6. 숙성시킨 반죽을 치대고, 적당한 크기로 두 덩이를 떼어내 납작하게 누른다.
7. 두 개의 반죽에 참기름을 바르고 겹친 뒤, 밀대로 얇게 민다.
8. 마른 팬에 춘빙 반죽을 넣고 굽는다.
9. 스트링치즈를 길게 이등분 한다.
10. 구운 춘빙을 바닥에 강하게 내려쳐 두 장으로 분리한다.
11. 춘빙 위에 스트링 치즈와 각종 재료와 함께 볶은 인스턴트 볶음밥을 넣고 돌돌 만다.
12. 재료를 넣어 만 춘빙을 넉넉한 기름에 튀긴다.
13. 볼에 채 썬 양파와 사과, 잘게 다진 명이나물 장아찌, 참깨&amp;흑임자 드레싱,
스위트칠리소스를 넣고 버무린다.
14. 튀긴 춘빙을 적당한 크기로 썬다.
15. 접시에 춘빙을 담고, 명이사과샐러드를 곁들인다.</t>
  </si>
  <si>
    <t>냉장고를 부탁해 시즌 1, 80화</t>
  </si>
  <si>
    <t>&lt;오세득 - 닭.된.겨&gt;
● 재료
훈제닭가슴살, 간장, 대파, 고추, 마늘, 된장, 달걀, 연겨자, 설탕, 레몬, 깨
● 조리방법
1. 물에 간장을 풀고, 길게 칼집 낸 대파를 넣어 삶는다.
2. 고추와 마늘을 으깬다.
3. 기름을 두른 팬에 으깬 고추와 마늘, 된장을 넣고 볶는다.
4. 볼에 달걀노른자, 간장을 넣는다.
5. 매콤하게 볶은 된장을 물에 풀고, 체에 밭쳐 국물만 볼에 넣는다.
6. 볼에 연겨자를 넣는다.
7. 물이 끓는 냄비 위에 소스 재료를 넣은 볼을 올리고, 설탕과 레몬즙을 넣는다.
8. 끓는 물 위에서 소스를 저어 된장홀랜다이즈 소스를 만든다.
9. 데친 대파를 얼음물에 넣고 식힌다.
10. 훈제닭가슴살을 두드린 후, 결대로 잘게 찢는다.
11. 된장홀랜다이즈 소스에 레몬껍질을 갈아 넣는다.
12. 볼에 잘게 찢은 닭가슴살과 적당한 크기로 썬 데친 대파, 된장홀랜다이즈 소스를 넣고 버무린다.
13. 버무린 재료를 그릇에 담고, 깨를 뿌려 마무리한다.</t>
  </si>
  <si>
    <t>&lt;김풍 - 애플리케이크&gt;
● 재료
사과, 건빵, 버터쿠키, 맛밤, 우유, 설탕, 밀가루, 달걀
● 조리방법
1. 사과는 껍질을 깎고, 적당한 크기로 썬다.
2. 믹서기에 사과, 설탕, 밀가루, 물을 넣고 간다.
3. 2를 볼에 담고 전자레인지에 넣어 졸인다.
4. 볼에 달걀흰자와 설탕을 넣고 머랭을 친다.
5. 건빵을 지퍼백에 담고 두드려서 으깬다.
6. 5에 버터쿠키를 넣고 함께 으깬다.
7. 으깬 과자를 핸드블렌더로 한 번 더 간다.
8. 곱게 간 과자와 머랭을 볼에 담고 섞어 반죽을 만든다.
9. 반죽을 컵에 담고, 전자레인지에 넣어 익혀 빵처럼 만든다.
10. 믹서기에 맛밤, 설탕, 우유, 밀가루를 넣고 간다.
11. 10을 컵에 담고 전자레인지에 넣어 졸인다.
12. 빵 위에 졸인 사과를 올려 완성한다.</t>
  </si>
  <si>
    <t>&lt;이찬오 - 본능족으로&gt;
● 재료
족발, 감자샐러드, 매운맛 감자칩, 건빵, 사과, 스트링 치즈, 해바라기씨,
갈릭디핑소스, 스위트칠리소스, 레몬, 후추, 소금, 올리브오일
● 조리방법
1. 사과를 채 썰어 볼에 담는다.
2. 스트링 치즈를 길게 찢어 채 썬 사과와 함께 담는다.
3. 2에 해바라기씨, 갈아낸 레몬껍질, 레몬즙, 후추, 소금,
올리브 오일을 넣고 버무려 샐러드를 만든다.
4. 지퍼백에 매운맛 감자칩과 건빵을 담고 두드려 으깬다.
5. 으깬 과자를 접시에 넓게 깐다.
6. 볼에 감자샐러드를 담는다.
7. 족발을 잘게 썰어 감자샐러드와 섞는다.
8. 족발을 넣은 감자샐러드에 레몬 껍질을 갈아 넣고 섞은 뒤, 적당한 크기로 빚는다.
9. 동그랗게 빚은 족발감자샐러드에 으깬 과자를 입히고, 해바라기씨를 올려 고로케모양을 낸다.
10. 갈릭디핑소스, 스위트칠리소스, 후추, 소금을 섞어 소스를 만든다.
11. 그릇에 사과치즈샐러드를 담고, 족발감자고로케를 올린다.
12. 소스를 따로 담아낸다.</t>
  </si>
  <si>
    <t>&lt;샘킴 - 오빤 채소스타일&gt;
● 재료
느타리버섯, 팽이버섯, 애호박, 냉동 완두콩, 닭안심살, 깻잎, 토마토, 양상추, 오렌지,
라이스페이퍼, 복분자 데리야키 소스, 오리엔탈 드레싱, 아몬드 슬라이스, 마늘, 양파, 당근,
레몬, 소금, 후추, 올리브오일, 간장, 참기름, 식초, 설탕
● 조리방법
1. 기름을 두른 팬에 다진 마늘과 느타리버섯, 팽이버섯을 찢어 넣는다.
2. 양파, 애호박, 당근을 채 썰어 팬에 넣는다.
3. 채소에 소금, 후추로 간을 해서 볶는다.
4. 볶은 채소에 복분자 데리야키 소스, 레몬즙을 넣는다.
5. 볶은 채소를 볼에 담아 한 김 식힌다.
6. 끓는 물에 소금을 넣고, 냉동 완두콩을 데친다.
7. 데친 완두콩의 물기를 뺀다.
8. 당근, 양파를 잘게 썰어 팬에 담는다.
9. 닭안심살을 적당한 크기로 자른 뒤, 당근, 양파와 함께 볶는다.
10. 9에 데친 완두콩을 넣고 함께 볶는다.
11. 볶던 재료에 올리브오일, 뜨거운 물, 소금, 후추를 넣는다.
12. 뜨거운 물에 적신 라이스페이퍼에 한 김 식혀둔 채소와
채 썬 깻잎을 올리고 돌돌 말아 스프링롤을 만든다.
13. 토마토를 슬라이스해 접시에 담는다.
14. 13에 양상추를 채 썰어 올린다.
15. 볼에 잘게 다진 마늘, 간장, 참기름, 식초, 설탕, 올리브오일,
오리엔탈 드레싱, 잘게 썬 토마토를 넣고 섞어 소스를 만든다.
16. 토마토 슬라이스 위에 소스를 뿌린다.
17. 양상추 위에 스프링롤을 얹는다.
18. 마른 팬에 아몬드 슬라이스를 볶는다.
19. 볶은 재료를 곁들인다.
20. 적당한 크기로 썬 오렌지를 올린다.
21. 볶은 아몬드 슬라이스를 잘게 다져 뿌리고, 소스를 뿌려 마무리한다.</t>
  </si>
  <si>
    <t>냉장고를 부탁해 시즌 1, 81화</t>
  </si>
  <si>
    <t>&lt;정호영 - 아임 소바&gt;
● 재료
메밀생면, 메밀소스, 무, 밴댕이, 건새우, 다시마, 토마토, 닭안심살, 콜라비, 양상추,
애호박, 참깨&amp;흑임자소스, 양파, 레몬, 맛술, 간장, 설탕, 식초, 깨, 와사비
● 조리방법
1. 냄비에 무, 밴댕이, 건새우, 다시마를 넣고 끓여 육수를 낸다.
2. 토마토의 꼭지를 잘라내고, 칼집을 낸다.
3. 끓는 물에 칼집 낸 토마토를 데치고, 닭안심살을 함께 넣어 삶는다.
4. 데친 토마토를 건져 껍질을 벗겨내고 얼음물에 담가 식힌다.
5. 식혀둔 토마토를 슬라이스 해 시판 메밀소스에 담가 냉동실에 보관한다.
6. 콜라비를 가늘게 채 썰어 얼음물에 담가둔다.
7. 양상추를 잘게 채 썰어 콜라비와 함께 얼음물에 담가둔다.
8. 애호박을 얇게 돌려 깎는다.
9. 얇게 돌려 깎은 애호박을 면처럼 가늘게 채 썬다.
10. 채 썬 애호박면을 데친 뒤, 얼음물에 식힌다.
11. 양파를 채 썬다.
12. 삶은 닭안심살을 꺼내 얼음물에 식힌다.
13. 끓는 물에 메밀생면을 삶는다.
14. 닭안심살을 적당한 크기로 찢어 채 썬 양파와 함께 볼에 담고
참깨&amp;흑임자소스에 버무려 차게 식힌다.
15. 삶은 메밀면을 찬물에 헹구고, 냉동실에 보관한다.
16. 냄비에 육수, 맛술, 간장, 설탕을 넣고 끓여 소바 국물을 만든다.
17. 소바 국물을 얼음물 위에서 식히며, 식초와 레몬즙을 넣는다.
18. 그릇에 메밀면, 애호박면, 채 썬 콜라비&amp;양상추, 소스에 절인 토마토를 담는다.
19. 레몬껍질을 채 썰어 올린다.
20. 마지막으로 소바 국물을 넣고 깨, 와사비를 곁들여 완성한다.</t>
  </si>
  <si>
    <t>&lt;최현석 - 바나나를 튀기면 반하나?&gt;
● 재료
바나나, 탄산수, 오리엔탈 드레싱, 밀가루, 전분, 올리브오일, 레몬
● 조리방법
1. 밀가루(1컵), 전분(1ts), 탄산수(2컵)을 섞어 튀김반죽을 만든다.
2. 튀김 반죽을 조금 높은 곳에서 180도의 기름에 붓고 14초간 튀긴다.
3. 튀긴 텐카스를 건져내 기름기를 뺀다.
4. 오리엔탈 드레싱과 올리브오일을 4:1 비율로 섞어 소스를 만든다.
5. 소스에 레몬껍질을 갈아 넣는다.
6. 바나나의 끝부분을 잘라내고, 2cm 정도 두께로 썰어 밀가루와 전분을 묻힌다.
7. 밀가루와 전분을 묻힌 바나나에 튀김반죽 &gt; 텐카스 순으로 튀김옷을 입힌다.
8. 튀김옷을 입힌 바나나를 180도의 기름에 50초 가량 튀긴다.
9. 바나나튀김을 접시에 담고, 소스를 따로 낸다.</t>
  </si>
  <si>
    <t>&lt;미카엘 - 렌틸콩그레츄레이션&gt;
● 재료
렌틸콩, 베이컨, 토마토, 파프리카, 대파, 당근, 마늘, 고추, 소금, 후추, 식초
● 조리방법
1. 불린 렌틸콩을 삶는다. (한 가족 분량 약 1~2컵)
2. 마른 팬에 베이컨을 굽는다.
3. 대파(7cm), 당근(반 개), 빨간색 파프리카(한 개)를 잘게 썬다.
4. 렌틸콩을 삶는 물에 소금(1Ts)을 넣는다.
5. 토마토에 십(十)자로 칼집을 내고 렌틸콩을 삶는 물에 데친다.
6. 바싹 구운 베이컨을 건져내 기름기를 뺀다.
7. 베이컨을 구운 기름을 조금만 남기고 버린다.
8. 베이컨을 구웠던 팬에 잘게 다진 채소를 넣어 2-3분 정도 볶는다.
9. 데친 토마토의 껍질을 벗긴다.
10. 볶던 채소에 렌틸콩 삶은 물을 1국자 넣는다.
11. 10에 마늘 두 쪽을 잘게 다져 넣는다.
12. 렌틸콩을 삶던 냄비에서 국물을 덜어내고, 볶은 채소를 넣는다.
13. 핸드블렌더로 렌틸콩과 채소를 곱게 갈아 수프를 만든다.
14. 데쳐서 껍질을 벗긴 토마토를 적당한 크기로 썰어 수프에 넣는다.
15. 기름기를 뺀 베이컨을 잘게 썬다.
16. 핸드블렌더로 곱게 간 렌틸콩 수프에 소금, 후추로 간 한다.
17. 고추(한 개)와 마늘(한 쪽)을 잘게 다져 볼에 담고, 식초(5Ts)를 붓는다.
18. 렌틸콩 수프를 그릇에 담는다.
19. 수프 위에 잘게 썬 베이컨을 올린다.
20. 렌틸콩 수프와 마늘&amp;고추 식초를 함께 곁들여낸다.</t>
  </si>
  <si>
    <t>&lt;이연복 - 오늘도전&gt;
● 재료
반건조오징어, 햄 통조림, 아스파라거스, 소면, 망고,
체리, 달걀, 대파, 레몬, 밀가루, 전분, 소금, 마요네즈
● 조리방법
1. 볼에 밀가루, 전분, 달걀, 소금, 물을 넣고 반죽을 만든다.
2. 반건조오징어를 잘게 썰어 반죽에 넣는다.
3. 대파, 햄 통조림, 아스파라거스를 잘게 썰어 반죽에 넣고 섞는다.
4. 기름을 두른 팬에 반죽을 넓게 펴서 부친다.
5. 소면을 잘게 부숴 기름에 튀긴 후 건져내 기름기를 뺀다.
6. 망고는 과육만 적당한 크기로 썬다.
7. 체리의 꼭지를 떼고, 씨를 발라낸 후 망고 과육과 함께 핸드블렌더로 간다.
8. 곱게 간 망고&amp;체리에 마요네즈, 레몬즙을 넣고 섞어 과일소스를 만든다.
9. 전을 부치는 팬에 버터를 넣는다.
10. 전을 적당한 크기로 썰어 접시에 담는다.
11. 전 위에 과일소스를 올리고, 튀긴 소면을 뿌려 완성한다.</t>
  </si>
  <si>
    <t>냉장고를 부탁해 시즌 1, 82화</t>
  </si>
  <si>
    <t>&lt;김풍 - 풍볶이 말았소면&gt;
● 재료
베이컨, 소면, 햄 통조림, 청경채, 양파, 대파,
다진 마늘, 고추장, 고춧가루, 간장, 물엿, 설탕, 전분
● 조리방법
1. 양파, 대파 흰 부분, 베이컨을 적당한 크기로 손질한다.
2. 기름을 두른 팬에 베이컨을 넣고 볶는다.
3. 끓는 물에 소면을 삶는다.
4. 볶던 베이컨에 다진 마늘, 고추장을 넣고 볶는다.
5. 4에 고춧가루, 간장을 넣고 볶는다.
6. 볶은 양념에 손질한 양파와 대파, 물을 넣고 끓여 떡볶이 양념을 만든다.
7. 재료에 물엿, 설탕을 넣고 섞어 소스를 만든다.
8. 삶은 소면을 체에 밭쳐 물에 헹군다.
9. 기름을 두른 팬에 삶은 소면을 넓게 깔고 부친다.
10. 햄 통조림을 적당한 크기로 썰어 삶은 소면으로 돌돌 만다.
11. 10에 전분을 묻히고 기름에 튀긴다.
12. 소스에 청경채를 넣는다.
13. 소스에 전분물을 넣어 농도를 잡는다.
14. 기름에 부친 소면의 기름기를 제거하고, 접시에 담는다.
15. 14 위에 튀긴 햄소면볼을 올리고, 소스를 얹어 마무리한다.</t>
  </si>
  <si>
    <t>&lt;오세득 - 오닭후면&gt;
● 재료
곰탕라면, 짬뽕라면, 베이컨, 반건조오징어, 닭가슴살 통조림,
청경채, 조미김, 달걀, 대파, 청양고추, 식초, 간장, 소금
● 조리방법
1. 끓는 물에 식초를 넣고 달걀을 삶는다.
2. 베이컨을 적당한 크기로 썰어 냄비에 넣는다.
3. 대파 흰 부분을 적당한 크기로 썰어 베이컨과 함께 볶는다.
4. 반건조오징어를 채 썰어 냄비에 넣고 함께 볶는다.
5. 4에 뜨거운 물, 곰탕라면 스프를 넣고 끓인다.
6. 끓이던 재료에 간장, 닭가슴살 통조림을 넣고 함께 끓인다.
7. 청양고추를 잘게 썰어 국물에 넣고 끓인다.
8. 짬뽕라면의 면을 삶는다.
9. 끓인 국물에서 베이컨만 건져낸다.
10. 대파 흰 부분을 잘게 썬다.
11. 청경채를 적당한 크기로 손질한다.
12. 끓는 물에 소금을 넣고 손질한 청경채를 데친다.
13. 삶은 달걀의 껍데기를 벗기고 얼음물에 넣어 식힌다.
14. 삶은 면을 얼음물에 헹군다.
15. 씻은 면을 살짝 데친다.
16. 면을 그릇에 담는다.
17. 면에 라면국물을 붓는다.
18. 반숙달걀과 데친 청경채를 올린다.
19. 조미김을 곁들여 마무리한다.</t>
  </si>
  <si>
    <t>&lt;정호영 - 짬뽕의 순정&gt;
● 재료
짬뽕라면, 양배추, 청경채, 베이컨, 소시지, 어묵, 고다치즈, 골뱅이 통조림,
우유, 달걀, 마늘, 양파, 청양고추, 대파, 소금, 식초, 고춧가루, 간장, 후추
● 조리방법
1. 끓는 물에 소금, 식초를 넣고 달걀을 삶는다.
2. 마늘을 슬라이스 한다.
3. 양파를 채 썬다.
4. 양배추를 채 썬다.
5. 청경채, 청양고추, 대파, 베이컨, 소시지를 적당한 크기로 썬다.
6. 어묵, 고다치즈를 적당한 크기로 썬다.
7. 골뱅이 통조림을 체에 밭쳐 건더기만 걸러낸다.
8. 짬뽕라면의 면을 삶는다.
9. 기름을 두른 팬에 손질한 재료와 고춧가루, 간장, 청양고추, 짬뽕라면 스프를 넣고 볶는다.
10. 볶던 재료에 우유를 넣고 끓여 국물을 만든다.
11. 국물에 후추, 골뱅이, 소금을 넣고 끓인다.
12. 끓이던 국물에 짬뽕라면의 건더기스프와 소금을 넣는다.
13. 12에 고다치즈를 넣고 섞어 크림짬뽕국물을 만든다.
14. 삶은 면을 얼음물에 넣고 식힌다.
15. 삶은 달걀의 껍데기를 벗겨내고 반으로 자른다.
16. 그릇에 면을 담는다.
17. 면 위에 크림짬뽕국물을 담는다.
18. 반숙달걀을 올려 마무리한다.</t>
  </si>
  <si>
    <t>&lt;샘킴 - 터미네미트볼&gt;
● 재료
소고기 등심, 애호박, 감자, 우유, 카망베르 치즈, 발사믹 드레싱, 빵가루,
양파, 레몬, 소금, 후추, 밀가루, 화이트와인, 올리브오일, 버터
● 조리방법
1. 끓는 물에 채칼로 얇게 저민 감자를 넣고 익힌다.
2. 애호박을 채칼로 길고 얇게 저민다.
3. 양파를 잘게 썰어 기름을 두른 팬에 넣고 소금, 후추를 뿌려 볶는다.
4. 익힌 감자를 건져 우유에 넣고 끓인다.
5. 소고기 등심을 적당한 크기로 썰어 핸드블랜더에 넣고 곱게 간다.
6. 곱게 간 소고기 등심에 익힌 양파를 넣고 소금, 후추로 간 해 미트볼 반죽을 만든다.
7. 미트볼을 만들어 밀가루에 묻힌 뒤, 기름을 두른 팬에 굽는다.
8. 기름을 두른 그릴팬에 애호박을 올리고 소금, 후추를 뿌려 굽는다.
9. 구운 미트볼을 조금 남겨두고 건져낸다.
10. 팬에 남은 미트볼에 화이트와인을 넣고 볶는다.
11. 볶은 미트볼에 잘게 양파를 더해 함께 볶는다.
12. 끓인 우유와 감자를 핸드블랜더로 곱게 간다.
13. 볶은 미트볼과 양파에 곱게 간 감자와 우유를 부어 끓이다가 구운 미트볼을 넣는다.
14. 13에 카망베르치즈를 넣는다.
15. 마른 팬에 빵가루, 올리브오일, 버터를 넣고 볶는다.
16. 접시에 구운 애호박을 올린다.
17. 볼에 발사믹 드레싱, 올리브오일, 레몬즙을 넣어 발사믹소스를 만든다.
18. 접시에 졸인 미트볼을 소스를 함께 얹는다.
19. 마지막으로 발사믹소스와 볶은 빵가루를 올려 마무리한다.</t>
  </si>
  <si>
    <t>냉장고를 부탁해 시즌 1, 83화</t>
  </si>
  <si>
    <t>&lt;최현석 - 트랜스두부&gt;
● 재료
두부, 오이, 다진 소고기 등심, 굴소스, 스위트 칠리소스,
당근, 양파, 대파, 마늘, 레몬, 소금, 전분
● 조리방법
1. 두부는 적당한 크기로 썰어 볼에 담아둔다.
2. 오이를 길게 잘라 씨를 발라낸 뒤, 얇게 썬다.
3. 얇게 썬 오이에 소금을 뿌려 절여둔다.
4. 당근, 양파, 대파를 잘게 썬다.
5. 마늘을 으깬다.
6. 적당한 크기로 썬 두부에 전분을 묻혀 튀긴다.
7. 튀긴 두부의 기름기를 뺀다.
8. 기름을 두른 팬에 으깬 마늘, 다진 소고기 등심을 넣고 볶는다.
9. 볶던 재료에 손질한 채소, 굴소스, 스위트 칠리소스를 넣고 볶는다.
10. 9에 물을 넣고 끓여 소스를 만든다.
11. 끓인 소스에 전분물을 넣는다.
12. 기름기를 뺀 두부를 다시 한 번 기름에 넣고 튀긴다.
13. 튀긴 두부를 건져 기름기를 뺀다.
14. 기름기를 뺀 두부튀김을 소스에 넣고 볶는다.
15. 볶은 두부탕수를 그릇에 담는다.
16. 레몬껍질을 잘게 썰어 두부탕수 위에 올린다.
17. 소금에 절인 오이의 물기를 짜고 두부탕수 위에 뿌려 마무리한다.</t>
  </si>
  <si>
    <t>&lt;이찬오 - 오트밀 맛있삼&gt;
● 재료
오트밀, 삼겹살, 우유, 건포도, 연유, 견과류, 고추마늘장아찌, 곶감, 레몬, 소금, 후추, 맛술, 깨
● 조리방법
1. 우유를 끓인다.
2. 오트밀을 끓는 물에 데친 후, 우유에 넣고 끓인다.
3. 오트밀을 끓이는 우유에 건포도, 소금, 후추, 연유를 넣고 끓여 오트밀 수프를 만든다.
4. 마른 팬에 삼겹살을 굽는다.
5. 구운 삼겹살의 기름을 뺀다.
6. 각종 견과류를 지퍼백에 담고, 잘게 부순 뒤 넓은 접시에 깐다.
7. 고추마늘장아찌에서 마늘쫑만 잘게 썬 뒤, 부순 견과류, 깨와 함께 섞어 토핑을 만든다.
8. 곶감을 적당한 크기로 썬다.
9. 볼에 고추마늘장아찌의 국물만 덜어낸 뒤, 맛술을 넣고 섞어 소스를 만든다.
10. 구운 삼겹살을 적당한 크기로 잘라 소스에 골고루 묻힌다.
11. 10에 토핑을 골고루 묻힌다.
12. 그릇에 오트밀수프를 담고, 손질한 곶감&gt;토핑을 묻힌 삼겹살을 차례로 올린다.
13. 마지막으로 레몬껍질을 갈아 올려 완성한다.</t>
  </si>
  <si>
    <t>&lt;미카엘 - 미카옐로&gt;
● 재료
감자, 당근, 애호박, 다진 돼지고기, 달걀, 사골국, 우유, 즉석밥,
양파, 레몬, 청양고추, 대파, 버터, 소금, 후추, 밀가루
● 조리방법
1. 감자는 씻어서 껍질을 벗긴다.
2. 껍질을 벗긴 감자와 당근, 애호박을 적당한 크기로 썬다.
3. 소금을 넣은 끓는 물에, 손질한 감자와 당근을 넣고 끓인다.
4. 다진 돼지고기에 소금과 후추를 뿌린다.
5. 4에 달걀노른자, 즉석밥을 넣고 미트볼 반죽을 만든다.
6. 반죽에 밀가루를 묻혀가며 미트볼을 만든다.
7. 감자와 당근을 넣고 끓이던 물에 미트볼을 넣고 끓인다.
8. 사골국을 체에 밭쳐 건더기를 걸러내고 국물만 남긴다.
9. 미트볼과 채소를 끓이던 냄비에 걸러낸 사골국물을 넣고 함께 끓인다.
10. 미트볼국에 잘게 썬 양파와 손질한 애호박을 넣는다.
11. 달걀의 노른자만 분리한다.
12. 달걀노른자에 레몬즙, 우유를 넣고 핸드블랜더로 섞는다.
13. 12에 후추로 간을 하고, 미트볼국의 국물을 조금씩 넣어가며 핸드블랜더로 섞는다.
14. 끓이던 국을 저어가며 국물을 넣고 섞은 달걀노른자를 넣는다.
15. 소스 종지에 소금, 레몬, 잘게 썬 청양고추를 각각 담는다.
16. 미트볼국에 버터를 넣는다.
17. 대파를 잘게 썬다.
18. 그릇에 미트볼국을 담고, 잘게 썬 대파를 올려 완성한다.</t>
  </si>
  <si>
    <t>&lt;미카엘 - 하트비트&gt;
● 재료
돼지염통, 돼지간, 방울토마토, 양파, 고추, 레몬, 대파,
마늘, 달걀, 소금, 후추, 밀가루, 레드와인
● 조리방법
1. 기름을 두른 팬에 채 썬 양파를 넣는다.
2. 돼지염통을 잘게 썰어 양파가 담긴 팬에 넣는다.
3. 고추는 씨를 빼고 적당한 크기로 썰어 팬에 넣고 다른 재료들과 함께 볶다가 소금, 후추로 간한다.
4. 돼지간을 적당한 크기로 썰고, 레몬즙을 뿌린다.
5. 달걀물을 푼다.
6. 돼지간에 밀가루&gt;달걀물 순서로 튀김옷을 입혀 기름에 튀긴다.
7. 볶던 재료에 레드와인을 넣는다.
8. 핸드블랜더로 방울토마토를 간다.
9. 곱게 간 방울토마토를 재료를 볶던 팬에 넣고 함께 볶는다.
10. 볶던 재료에 고춧가루를 넣는다.
11. 튀긴 간을 건져 기름을 빼낸다.
12. 마늘과 대파를 얇게 썰어 마늘은 볶던 재료에 넣는다.
13. 레몬을 슬라이스 해 모양을 낸다.
14. 접시에 볶은 재료를 담고, 튀긴 간, 레몬, 얇게 썬 대파, 레몬즙을 곁들여 완성한다.</t>
  </si>
  <si>
    <t>냉장고를 부탁해 시즌 1, 84화</t>
  </si>
  <si>
    <t>&lt;김풍 - 내장풍 냉채&gt;
● 재료
돼지염통, 돼지허파, 오이, 상추, 대파, 마늘, 맛술, 고춧가루,
다진 생강, 맛술, 간장, 설탕, 식초, 밀가루, 전분, 소금, 식용유
● 조리방법
1. 끓는 물에 돼지염통, 돼지허파, 맛술을 넣고 삶는다.
2. 기름이 담긴 냄비에 대파 흰 부분을 적당한 크기로 잘라 넣고 파기름을 낸다.
3. 마늘을 다진다.
4. 파기름에 고춧가루, 다진 생강을 넣고 끓여 고추기름을 만든다.
5. 볼에 다진 마늘을 담고, 맛술, 간장, 설탕, 식초를 1:1:1:1 비율로 넣어 냉채소스를 만든다.
6. 비닐팩에 오이를 넣고 두드려 으깬다.
7. 볼에 밀가루, 전분, 소금, 물을 넣고 섞어 반죽을 만든다.
8. 반죽에 식용유를 넣는다.
9. 마른 팬에 반죽을 얇게 둘러 굽는다.
10. 삶은 염통과 허파를 건져내 물로 헹구고, 적당한 크기로 썬다.
11. 접시에 손질한 염통과 허파를 올리고, 으깬 오이를 얹는다.
12. 키친타월을 깐 체에 끓인 고추기름을 부어 곱게 걸러낸다.
13. 접시에 담긴 재료 위에 적당한 크기로 썬 상추를 올리고 냉채소스를 끼얹는다.
14. 고추기름을 뿌려 마무리한다.
15. 얇게 구운 반죽을 따로 곁들여 낸다.</t>
  </si>
  <si>
    <t>&lt;최현석 - 염통이 바샤샤샤~&gt;
● 재료
돼지염통, 새우맛 후리카게, 양파, 대파, 즉석밥, 간장, 맛술, 설탕, 청주, 밀가루, 전분, 참기름
● 조리방법
1. 양파를 슬라이스 한 뒤, 석쇠에 올려 직화한다.
2. 냄비에 간장, 맛술, 설탕, 청주를 넣고 끓여 간장소스를 만든다.
3. 구운 양파를 간장소스에 넣고 졸인다.
4. 볼에 밀가루, 전분을 넣고 섞어 튀김가루를 만든다.
5. 튀김가루를 다른 볼에 덜어낸 뒤, 물을 넣고 섞어 튀김반죽을 만든다.
6. 파를 얇게 썰어 튀김가루에 묻힌 뒤, 기름에 튀긴다.
7. 돼지염통을 적당한 두께로 썰어 튀김가루를 묻힌다.
8. 튀김반죽을 기름에 튀겨 텐카스를 만든다.
9. 튀김가루를 입힌 돼지염통에 한 번 더 반죽을 입힌 뒤 기름에 넣고, 텐카스가 묻어나도록 튀긴다.
10. 즉석밥을 전자레인지에 넣고 돌린다.
11. 볼에 새우맛 후리카게, 밥, 참기름을 넣고 섞는다.
12. 그릇에 양념한 밥을 담고, 파 튀김, 염통 튀김을 얹는다.
13. 간장소스를 뿌려 마무리한다.</t>
  </si>
  <si>
    <t>&lt;정호영 - 초밥 베이베&gt;
● 재료
불고기용 소고기, 닭가슴살 소시지, 열무김치, 멸치볶음, 청포도, 김
즉석밥, 식초, 소금, 설탕, 맛술, 청주, 간장, 밀가루, 들기름, 케첩
● 조리방법
1. 즉석밥을 전자레인지에 넣고 돌린다.
2. 식초, 소금, 설탕을 3:1:2 비율로 넣고 섞어 단촛물을 만든다.
3. 밥에 단촛물을 넣고 비벼 양념밥을 만든다.
4. 냄비에 맛술, 청주, 간장, 설탕을 넣고 끓여 간장소스를 만든다.
5. 김, 청포도, 닭가슴살 소시지를 적당한 크기로 썬다.
6. 볼에 밀가루, 물을 넣고 섞어 튀김반죽을 만든다.
7. 손질한 닭가슴살 소시지에 튀김반죽을 묻혀 튀긴다.
8. 튀긴 닭가슴살 소시지를 건져내 기름을 뺀다.
9. 마른팬에 불고기용 소고기를 펼치고 설탕을 뿌린 뒤, 토치로 직화한다.
10. 손에 물을 묻히고 양념밥을 적당한 크기로 뭉친 뒤 직화한 소고기를 올린다.
11. 양념밥 위에 닭가슴살 소시지 튀김을 올린 뒤 김으로 말아준다.
12. 닭가슴살 소시지 튀김 위에 손질한 청포도를 올린다.
13. 멸치볶음과 잘게 다진 열무김치, 들기름을 섞는다.
14. 양념밥을 적당한 크기로 뭉쳐 김으로 말아준 뒤, 위에 양념한 멸치김치를 올린다.
15. 닭가슴살 소시지 초밥에 케첩을 올린다.
16. 소고기 초밥과 닭가슴살 소시지 초밥에 간장소스를 발라 완성한다.</t>
  </si>
  <si>
    <t>&lt;샘킴 - 크레이지 크레페&gt;
● 재료
우유, 두유, 고구마 아이스크림, 오렌지, 바나나, 달걀, 버터, 밀가루, 설탕
● 조리방법
1. 팬에 버터를 녹인다.
2. 밀가루를 체에 밭쳐 곱게 친다.
3. 핸드블랜더에 우유, 설탕, 달걀, 체 친 밀가루를 넣는다.
4. 3에 녹인 버터를 넣고 갈아 크레페 반죽을 만든다.
5. 냄비에 버터, 밀가루, 두유, 고구마 아이스크림을 넣고 졸여 고구마소스를 만든다.
6. 마른 팬에 오렌지즙을 넣는다.
7. 오렌지즙에 설탕, 오렌지 과육과 오렌지 껍질을 갈아 넣고 끓여 오렌지소스를 만든다.
8. 적당한 크기로 썬 바나나 위에 설탕을 뿌린 뒤, 토치로 직화한다.
9. 직화한 바나나 위에 오렌지 껍질을 갈아서 뿌린다.
10. 버터를 녹인 팬에 반죽을 넣고 크레페를 굽는다.
11. 접시에 고구마소스를 넓게 깐다.
12. 크레페를 적당한 크기로 잘라 고구마소스 위에 얹는다.
13. 크레페 위에 오렌지소스를 올린다.
14. 오렌지소스 위에 직화한 바나나를 올리고 오렌지 껍질을 갈아서 뿌려 완성한다.</t>
  </si>
  <si>
    <t>냉장고를 부탁해 시즌 1, 85화</t>
  </si>
  <si>
    <t>&lt;이원일 - 술이 깰랑말랑 몽블랑&gt;
● 재료
견과류, 맛밤, 커피우유, 식빵, 청포도, 적포도, 녹차아이스크림, 밀가루, 설탕, 버터, 전분, 소금
● 조리방법
1. 접시를 냉동실에 보관한다.
2. 볼에 체 친 밀가루, 설탕, 버터를 넣는다.
3. 핸드블랜더로 견과류를 곱게 간다.
4. 밀가루, 설탕, 버터가 담긴 볼에 곱게 간 견과류를 넣고 섞어 크럼 반죽을 만든다.
5. 오븐용 그릇에 반죽을 깔고 오븐에 굽는다.
6. 핸드블랜더에 설탕, 전분을 넣고 갈아 슈거파우더를 만든다.
7. 믹서기에 얼음을 간다.
8. 간 얼음에 소금을 넣고 섞은 뒤, 냉동실에 보관한다.
9. 오븐에서 구운 크럼을 냉동실에 보관한다.
10. 믹서기에 맛밤, 커피우유를 넣고 갈아 밤페이스트를 만든다.
11. 밤페이스트를 체에 밭쳐 내린다.
12. 밤페이스트를 비닐팩에 담고, 끝을 잘라 짤주머니를 만든 뒤 냉동실에 보관한다.
13. 식빵을 토스트한다.
14. 그릇에 소금얼음을 담고, 그 위에 접시를 올린다.
15. 접시에 크럼과 적당한 크기로 썬 청포도, 적포도를 올린다.
16. 접시에 녹차 아이스크림을 담는다.
17. 토스트를 찢어 녹차 아이스크림에 곁들인다.
18. 녹차 아이스크림 위에 밤페이스트를 올린다.
19. 슈거파우더를 뿌려 완성한다.</t>
  </si>
  <si>
    <t>&lt;이연복 - 복차오루는 쌈&gt;
● 재료
돼지고기 등심, 건표고버섯채, 깍두기, 두반장, 중국식 다진 고추소스, 굴소스, 두부피,
중국 찹쌀떡, 흰목이버섯, 고수, 전분, 달걀, 대파, 당근, 양파, 고추, 마늘, 고춧가루, 간장, 설탕
● 조리방법
1. 잡채용 돼지고기 등심에 전분, 달걀물을 넣고 버무린다.
2. 전분과 달걀물에 버무린 돼지고기 등심을 넉넉한 기름에 튀기듯이 볶는다.
3. 볶아낸 등심을 체에 밭쳐 기름기를 뺀다.
4. 대파 흰 부분을 채 썰어 찬물에 담가둔다.
5. 대파, 당근, 양파, 고추, 불린 표고버섯채, 마늘을 잘게 다진다.
6. 깍두기를 얇게 썬다.
7. 팬에 등심을 볶았던 기름을 두르고, 손질한 채소와 고춧가루를 넣고 볶는다.
8. 볶은 재료에 두반장, 중국식 다진 고추소스를 넣고 볶는다.
9. 7에 간장, 설탕, 굴소스를 넣고 볶아 소스를 만든다.
10. 두부피를 적당한 크기로 잘라, 뜨거운 물에 넣고 불린다.
11. 중국 찹쌀떡을 끓는 물에 데친다.
12. 소스에 볶은 돼지고기 등심을 넣고 섞는다.
13. 12에 얇게 썬 깍두기를 넣는다.
14. 그릇에 불려놓은 흰목이버섯을 깔고, 소스에 볶은 돼지고기 등심을 올린다.
15. 찬물에 담가뒀던 파채와 적당한 크기로 썬 고수를 올린다.
16. 불린 두부피를 접시에 따로 담아낸다.
17. 데친 중국 찹쌀떡을 그릇에 담고 설탕을 뿌려낸다.</t>
  </si>
  <si>
    <t>&lt;오세득 - 일거양두&gt;
● 재료
양고기, 굴소스, 건표고버섯채, 건두부, 흰목이버섯, 목이버섯, 라조장,
자차이, 고수, 설탕, 간장, 다진 마늘, 청주, 대파, 양파, 고추
● 조리방법
1. 핸드블랜더에 설탕, 굴소스, 간장, 다진 마늘, 청주를 넣고 갈아 불고기 양념을 만든다.
2. 볼에 양고기를 담고, 적당한 크기로 썬 대파, 불고기 양념을 넣고 버무린다.
3. 냄비에 양념한 양고기, 손질한 양파와 불려둔 건두부, 표고버섯채, 흰목이버섯, 목이버섯을 넣는다.
4. 표고버섯 불린 물을 냄비에 붓고 끓인다.
5. 끓이던 전골에 간장으로 간을 한다.
6. 믹서기에 라조장, 자차이, 물을 넣고 간다.
7. 6을 볼에 담고, 물, 라조장, 다진 마늘, 설탕을 넣고 섞어 소스를 만든다.
8. 적당한 크기로 썬 고수와 잘게 썬 고추, 자차이소스를 종지에 각각 담아낸다.
9. 완성된 전골과 세 개의 종지를 따로 낸다.</t>
  </si>
  <si>
    <t>&lt;오세득 - 나 혼자 먹게 낫토&gt;
● 재료
닭다리, 검은콩 낫토, 청양고추, 쪽파, 파프리카, 무, 소금, 마늘, 식용유,
고춧가루, 양파, 간장, 식초, 레몬, 설탕, 청주, 와사비, 마요네즈, 참기름, 즉석밥
● 조리방법
1. 닭다리의 뼈를 발라내고 살만 넓게 편 뒤, 칼집을 낸다.
2. 칼집 낸 닭다리살 양면에 소금을 뿌리고 기름을 두른 팬에서 굽는다.
3. 청양고추를 손으로 두드린 뒤, 닭다리살을 굽는 팬에 넣고 함께 굽는다.
4. 볼에 으깬 마늘, 식용유, 고춧가루를 넣고 랩을 씌운 뒤, 전자레인지에 돌려 고추기름을 만든다.
5. 쪽파와 양파를 잘게 썰어 볼에 담는다.
6. 강판에 무를 갈아 즙을 짜내고 건더기만 볼에 담는다.
7. 다른 볼에 간장, 식초, 레몬즙, 설탕을 넣고 간장소스를 만든다.
8. 팬에 청주를 끓인다.
9. 끓인 청주를 간장소스에 넣고 섞는다.
10. 잘게 썬 채소에 간장소스, 와사비, 마요네즈를 넣고 섞어 소스를 만든다.
11. 볼에 검은콩 낫토와 낫토소스를 넣고 섞는다.
12. 낫토에 만들어둔 소스와 참기름을 넣고 다시 한 번 섞는다.
13. 즉석밥을 전자레인지에 돌린다.
14. 닭가슴살을 굽는 팬의 뚜껑을 닫고 속까지 익힌다.
15. 전자레인지에 돌린 고추기름을 체에 밭쳐 거른다.
16. 쪽파, 파프리카를 채 썬다.
17. 기름을 두른 팬에 채 썬 쪽파와 파프리카, 간장소스를 넣고 볶는다.
18. 그릇에 밥을 담는다.
19. 구운 닭다리살을 적당한 크기로 썬다.
20. 밥 위에 구운 닭다리살, 양념한 낫토, 볶은 채소를 올리고 고추기름을 뿌려 완성한다.</t>
  </si>
  <si>
    <t>냉장고를 부탁해 시즌 1, 86화</t>
  </si>
  <si>
    <t>&lt;정호영 - 닭날두&gt;
● 재료
닭날개, 닭가슴살, 삼겹살, 손질한 양파, 손질한 적양파, 손질한 쪽파, 손질한 건표고버섯,
모차렐라 치즈, 가지, 방울토마토, 파프리카, 토마토소스, 달걀, 소금, 밀가루, 후추, 설탕, 고추
● 조리방법
1. 닭날개에 칼집을 내고, 뼈를 발라낸다.
2. 닭가슴살을 적당한 크기로 썬다.
3. 삼겹살을 적당한 크기로 썬다.
4. 핸드블랜더에 닭가슴살, 불린 표고버섯, 채 썬 양파, 채 썬 적양파, 삼겹살을 넣고 간다.
5. 곱게 간 재료에 달걀, 소금, 잘게 썬 쪽파를 넣고 만두소를 만든다.
6. 뼈를 발라낸 닭날개 안에 만두소와 모차렐라 치즈를 채워 넣는다.
7. 볼에 밀가루와 물을 넣고 섞어 튀김옷을 만든다.
8. 닭날개만두에 밀가루를 묻힌 뒤, 튀김옷을 입혀 기름에 튀긴다.
9. 가지, 방울토마토, 파프리카를 적당한 크기로 썬다.
10. 기름을 두른 팬에 채 썬 적양파와 가지, 방울토마토, 파프리카를 넣고 볶는다.
11. 볶던 재료에 불린 표고버섯, 소금, 후추, 토마토소스, 설탕을 넣고 볶아 소스를 만든다.
12. 고추를 잘게 썰어 소스에 넣고 함께 볶는다.
13. 튀긴 닭날개만두를 소스에 넣어 졸인다.
14. 소스에 졸인 닭날개만두를 먹기 좋게 잘라 접시에 담아낸다.</t>
  </si>
  <si>
    <t>&lt;홍석천 - 쉑쉑 파스타&gt;
● 재료
파스타면, 게살, 삶은 소라살, 새우살, 문어, 낙지, 라이스페이퍼, 게맛살, 양배추, 적양파, 깻잎,
파프리카, 타르타르소스, 땅콩버터, 매운 굴소스, 견과류, 소금, 레몬, 고추, 마늘, 양파, 후추
● 조리방법
1. 끓는 물에 소금을 넣고 파스타면을 삶는다.
2. 게맛살을 가늘게 찢는다.
3. 양배추, 적양파, 깻잎, 파프리카를 채 썬다.
4. 볼에 가늘게 찢은 게맛살, 채 썬 채소, 타르타르소스, 레몬즙, 소금을 넣고 섞어 샐러드를 만든다.
5. 끓는 물에 게살을 데쳐 샐러드에 넣는다.
6. 물에 적신 라이스페이퍼에 샐러드를 넣고 돌돌 만다.
7. 핸드블랜더에 땅콩버터, 매운 굴소스, 견과류, 파스타 삶은 물을 넣고 간다.
8. 7에 고추를 넣고 다시 갈아 소스를 만든다.
9. 삶은 소라살을 적당한 크기로 손질한다.
10. 볼에 손질한 소라살, 새우살, 손질한 문어를 넣는다.
11. 삶은 파스타면을 건져 물기를 뺀다.
12. 기름을 두른 팬에 으깬 마늘, 잘게 썬 양파, 손질한 해산물을 넣고 볶는다.
13. 볶던 재료에 소스를 넣고 볶는다.
14. 삶은 파스타면을 팬에 넣고 재료들과 함께 볶다가 소금, 후추로 간한다.
15. 해산물 파스타에 파스타 삶은 물과 버터를 넣는다.
16. 낙지를 적당한 크기로 손질해 파스타에 넣고 함께 볶는다.
17. 접시에 완성된 파스타를 담는다.
18. 파스타 위에 라이스페이퍼롤을 올려 완성한다.</t>
  </si>
  <si>
    <t>&lt;미카엘 - 바로빵&gt;
● 재료
수제 요거트, 훈제연어, 토마토, 양상추, 적양파, 쪽파, 버터,
밀가루, 소금, 달걀, 마요네즈, 다진 마늘, 레몬, 후추, 고춧가루
● 조리방법
1. 버터를 전자레인지에 넣고 돌려 녹인다.
2. 볼에 밀가루, 달걀, 수제 요거트, 소금, 녹인 버터를 넣고 반죽한다.
3. 반죽을 밀대로 얇게 민 후, 원형으로 자른다.
4. 마른 팬에 반죽을 굽는다.
5. 볼에 수제 요거트, 마요네즈, 다진 마늘을 넣고 섞어 요거트소스를 만든다.
6. 토마토를 반으로 자르고 꼭지를 제거한다.
7. 토마토와 양상추를 채 썬다.
8. 채 썬 양상추에 레몬즙을 뿌린다.
9. 적양파를 채 썰어 후추와 고춧가루로 양념한다.
10. 훈제연어를 적당한 크기로 썬다.
11. 쪽파를 적당한 크기로 썬다.
12. 접시에 구운 빵을 올리고 요거트소스&gt;훈제연어&gt;손질한 채소 순으로 담은 후, 반으로 접는다.
13. 종이호일로 먹기 좋게 감싸 완성한다.</t>
  </si>
  <si>
    <t>&lt;이연복 - 카우복이&gt;
● 재료
소갈비, 감자, 브로콜리, 콜리플라워, 애호박, 고추, 누룽지, 핫소스, 굴소스,
보리굴비살, 양파, 마늘, 대파, 전분, 간장, 달걀, 고춧가루, 설탕, 참기름
● 조리방법
1. 감자, 브로콜리를 적당한 크기로 썰어 끓는 물에 넣고 데친다.
2. 데친 감자와 브로콜리를 건져낸 후, 체에 밭쳐 물기를 뺀다.
3. 콜리플라워, 양파, 애호박, 고추를 적당한 크기로 썬다.
4. 마늘을 편으로 썬다.
5. 대파 흰 부분을 어슷 썬다.
6. 누룽지를 기름에 튀긴다.
7. 소갈비의 살을 발라내 손질한다.
8. 살을 발라낸 갈비에 전분, 간장, 달걀물을 넣고 버무린다.
9. 버무린 갈비를 넉넉한 기름에 튀기듯이 볶는다.
10. 튀긴 누룽지를 건져내, 체에 밭쳐 기름기를 뺀다.
11. 볶던 갈비에 보리굴비살을 넣고 함께 볶는다.
12. 볶은 갈비와 보리굴비살을 체에 밭쳐 기름기를 뺀다.
13. 기름을 두른 팬에 손질한 마늘과 대파를 볶다가, 고춧가루를 넣고 볶는다.
14. 볶던 재료에 손질한 채소들을 함께 넣고 볶는다.
15. 간장, 핫소스, 굴소스, 설탕을 넣고 볶는다.
16. 볶던 재료에 기름기를 뺀 갈비와 보리굴비살, 참기름을 넣고 함께 볶는다.
17. 볶던 재료에 전분물을 넣어 농도를 조절한다.
18. 접시에 튀긴 누룽지를 깔고, 볶은 재료를 올려 완성한다.</t>
  </si>
  <si>
    <t>냉장고를 부탁해 시즌 1, 87화</t>
  </si>
  <si>
    <t>&lt;샘킴 - 오! 가닉~ 고등어&gt;
● 재료
고등어, 토마토, 강낭콩 통조림, 가지, 감자, 애호박, 베이컨, 발사믹크림,
토마토소스, 보리굴비살, 양파, 당근, 대파, 레몬, 후추, 마요네즈, 밀가루
● 조리방법
1. 채소육수를 낸다.
2. 채소육수에 토마토를 으깨어 넣고 함께 끓인다.
3. 강낭콩 통조림을 체에 밭쳐 물기를 뺀다.
4. 가지는 껍질을 벗기고 적당한 크기로 썬다.
5. 감자, 애호박, 양파를 적당한 크기로 썬다.
6. 베이컨을 잘게 썰어 마른 팬에서 볶는다.
7. 볶은 베이컨을 다른 팬에 덜어내고, 손질한 채소, 강낭콩을 함께 볶는다.
8. 볶던 재료에 후추를 뿌리고, 베이컨 기름을 넉넉하게 부어 볶는다.
9. 껍질을 벗겨낸 통감자를 원형틀로 찍어낸다.
10. 볶은 베이컨을 볼에 담고, 잘게 썬 보리굴비살과 레몬즙, 마요네즈,
발사믹크림, 토마토소스를 넣고 섞어 보리굴비소스를 만든다.
11. 팬에서 볶던 재료에 채소육수, 토마토소스를 넣고 졸여 강낭콩소스를 만든다.
12. 손질한 감자, 애호박, 양파에 밀가루를 묻혀 기름에 튀긴다.
13. 기름을 두른 팬에 고등어를 굽는다.
14. 원형틀로 찍어낸 감자를 얇게 슬라이스 한 뒤, 겹쳐 굽는다.
15. 튀긴 채소를 건져, 기름기를 빼고 보리굴비소스에 섞는다.
16. 졸인 강낭콩소스를 그릇에 담는다.
17. 강낭콩소스 위에 채소와 섞은 보리굴비소스를 얹는다.
18. 구운 고등어에 레몬즙을 뿌린다.
19. 소스 위에 구운 고등어를 담고, 구운 감자를 올린 후 후추를 뿌려 완성한다.</t>
  </si>
  <si>
    <t>&lt;이상민 - 홀롤서기&gt;
● 재료
감자, 누룽지, 명란젓, 고추장아찌, 김밥용 김, 바닐라 아이스크림,
아보카도, 즉석밥, 다진 마늘, 참기름, 후추, 고추냉이, 간장
● 조리방법
1. 즉석밥을 전자레인지에 돌린다.
2. 감자는 껍질을 벗기고, 채칼로 가늘게 채 썬다.
3. 채 썬 감자는 물에 헹군 뒤, 체에 밭쳐 물기를 뺀다.
4. 기름이 담긴 팬에 누룽지를 튀긴다.
5. 팬에 기름을 두르고, 다진 마늘과 채 썬 감자를 볶는다.
6. 볼에 밥과 명란젓을 담는다.
7. 6에 잘게 썬 고추장아찌와 참기름을 넣고 섞는다.
8. 튀긴 누룽지를 건져 기름기를 빼고, 곱게 빻는다.
9. 곱게 빻은 튀긴 누룽지를 양념한 밥에 넣고 섞는다.
10. 누룽지를 넣어 섞은 양념한 밥을 김밥용 김에 넓게 펴서 깐다.
11. 감자볶음에 후추를 넣고 섞는다.
12. 얇게 편 밥 위에 감자볶음을 얹는다.
13. 재료를 넣은 롤을 돌돌 만다.
14. 마른 팬에 바닐라 아이스크림을 넣고 녹여 바닐라소스를 만든다.
15. 그릇 가운데에 곱게 빻은 튀긴 누룽지를 담는다.
16. 롤을 적당한 크기로 썰어 그릇에 올린다.
17. 튀긴 누룽지 위에 바닐라소스를 얹는다.
18. 아보카도는 껍질과 씨를 제거하고 얇게 썬다.
19. 그릇에 얇게 썬 아보카도와 고추냉이, 간장을 올려 마무리한다.</t>
  </si>
  <si>
    <t>&lt;김풍 - 눈물회밥&gt;
● 재료
불고기용 소고기, 상추, 로메인상추, 쑥갓, 사과, 참외, 양파, 마늘,
고추장, 된장, 맛술, 고춧가루, 설탕, 식초, 참기름, 깨, 물, 얼음, 즉석밥
● 조리방법
1. 믹서기에 양파, 고추장, 된장, 맛술, 고춧가루, 설탕, 식초를 넣고 간다.
2. 1에 통마늘, 물을 넣고 갈아 물회육수를 만든다.
3. 물회육수에 얼음을 넣고 간다.
4. 상추, 로메인상추, 쑥갓을 적당한 크기로 썬다.
5. 사과는 껍질을 벗겨내고 얇게 썬다.
6. 참외는 껍질을 벗겨내고 반으로 잘라 씨를 빼내고, 얇게 썬다.
7. 불고기용 소고기를 끓는 물에 데친다.
8. 데친 불고기용 소고기를 찬물에서 헹군 뒤, 체에 밭쳐 물기를 뺀다.
9. 즉석밥을 전자레인지에 돌린다.
10. 그릇에 손질한 채소를 담는다.
11. 채소 위에 데친 불고기용 소고기를 얹는다.
12. 얇게 썬 사과와 참외를 올린다.
13. 물회육수에 참기름을 넣어 섞은 뒤, 각종 재료 위에 붓는다.
14. 불고기 물회 위에 얼음을 얹는다.
15. 밥을 따로 담아낸다.
16. 불고기 물회 위에 깨를 뿌려 마무리한다.</t>
  </si>
  <si>
    <t>&lt;이원일 - 후덜덜이 김밥&gt;
● 재료
베이컨, 통조림 햄, 꽃등심, 갈릭소스, 라임, 케이퍼, 치포틀레 핫소스, 고수, 연어,
카옌페퍼, 체다치즈, 모차렐라치즈, 김밥김, 즉석밥, 통마늘, 소금, 후추, 마요네즈, 버터, 깨, 참기름
● 조리방법
1. 전자레인지에 즉석밥을 넣고 돌린다.
2. 마른 팬에 베이컨을 굽는다.
3. 통조림 햄을 길게 썰어 베이컨과 함께 굽는다.
4. 꽃등심에 소금, 후추를 뿌리고 마른 팬에 굽는다.
5. 통마늘을 으깨서 등심을 굽던 팬에 넣는다.
6. 연어를 잘게 썰어 볼에 담고 갈릭소스, 라임즙, 소금, 마요네즈, 후추를 넣고 섞는다.
7. 전자레인지에 돌린 즉석밥을 볼에 담는다.
8. 굽던 꽃등심과 밥에 버터를 넣는다.
9. 버터밥에 소금, 으깬 깨, 참기름을 넣어 양념한다.
10. 케이퍼를 기름에 튀긴다.
11. 볼에 고수를 넣고 치포틀레 핫소스, 라임즙, 소금, 마요네즈를 넣고 섞는다.
12. 구운 꽃등심을 길게 썬다.
13. 김밥김 위에 양념한 밥 &gt; 꽃등심 &gt; 통조림 햄 &gt; 베이컨을 넣고 말아 고기 김밥을 만든다.
14. 김밥김 위에 양념한 밥 &gt; 양념한 고수 &gt; 양념한 연어 &gt; 케이퍼 튀김을 넣고 말이 연어 김밥을 만든다.
15. 김밥김 위에 양념한 밥 &gt; 체다치즈 &gt; 모차렐라치즈 &gt; 카옌페퍼 &gt; 고기김밥 &gt; 연어 김밥을 넣고 돌돌 만다.
16. 김밥에 참기름을 바르고, 깨를 뿌린다.
17. 김밥을 먹기 좋은 크기로 썬다.
18. 김밥을 접시에 담고, 위에 깨를 뿌려 마무리한다.</t>
  </si>
  <si>
    <t>냉장고를 부탁해 시즌 1, 88화</t>
  </si>
  <si>
    <t>&lt;오세득 - 칼로이스&gt;
● 재료
토르티야, 베이컨, 통조림 햄, 훈제닭가슴살, 아보카도, 고수, 커민, 초콜릿 잼, 딸기잼, 땅콩버터,
카옌페퍼, 치포틀레 핫소스, 모차렐라 치즈, 콜라, 양파, 마요네즈, 소금, 후추
● 조리방법
1. 베이컨을 적당한 크기로 썰어 마른 팬에서 굽는다.
2. 통조림 햄을 적당한 크기로 썰어 베이컨과 함께 굽는다.
3. 양파를 잘게 다져 볼에 담고 마요네즈와 섞는다.
4. 3에 아보카도의 과육만 발라내 함께 담는다.
5. 양파, 마요네즈, 아보카도가 담긴 볼에 소금, 후추, 치포틀레 핫소스를 넣는다.
6. 훈제닭가슴살을 비닐팩에 넣고 두드린 후 결대로 찢는다.
7. 양념한 아보카도에 훈제닭가슴살과 적당한 크기로 썬 고수를 넣고 섞어 과카몰레를 만든다.
8. 마른 팬에 커민을 볶는다.
9. 볶은 커민을 빻아서 과카몰레에 넣는다.
10. 마른 팬에 토르티야를 굽는다.
11. 구운 토르티야에 초콜릿 잼을 바르고, 구운 베이컨과 통조림 햄을 잘게 썰어 올린다.
12. 11 위에 모차렐라 치즈, 딸기잼을 얹는다.
13. 다른 토르티야에 딸기잼을 바르고, 뚜껑처럼 덮는다.
14. 토르티야 샌드 위에 과카몰레를 올리고, 소금, 치포틀레 핫소스, 카옌페퍼, 모차렐라 치즈를 얹는다.
15. 다른 토르티야에 땅콩버터, 초콜릿 잼을 바르고, 뚜껑처럼 덮는다.
16. 토르티야 샌드를 먹기 좋게 잘라 접시에 담는다.
17. 콜라를 곁들여 낸다.</t>
  </si>
  <si>
    <t>&lt;이연복 - 중복냉면&gt;
● 재료
쯔유, 땅콩버터, 배, 로메인상추, 훈제닭가슴살, 레몬, 당근,
양파, 달걀, 레몬, 밀가루, 소금, 설탕, 연겨자
● 조리방법
1. 당근, 양파를 채 썬다.
2. 달걀을 풀어 소금으로 간하고, 지단을 부친다.
3. 지단을 채 썰고, 로메인상추를 잘게 썬다.
4. 배는 껍질을 벗기고 채 썬다.
5. 볼에 밀가루, 소금, 물을 넣고 반죽한다.
6. 반죽을 밀대로 얇게 밀고, 가늘게 채 썰어 면을 만든다.
7. 끓는 물에 면을 삶는다.
8. 얼음을 믹서기에 넣고 곱게 간다.
9. 볼에 곱게 간 얼음과 물, 쯔유, 레몬즙, 설탕을 넣고 섞어 냉면 국물을 만든다.
10. 볼에 땅콩버터, 뜨거운 물, 소금, 연겨자를 넣고 섞어 땅콩겨자소스를 만든다.
11. 삶은 면을 건져내 얼음물에서 식힌다.
12. 훈제닭가슴살을 채 썬다.
13. 그릇에 면을 담고, 채 썬 재료들을 올린다.
14. 냉면 국물을 담아내고, 땅콩소스를 곁들여 완성한다.</t>
  </si>
  <si>
    <t>&lt;김풍 - 풍양냉면&gt;
● 재료
메밀면, 인스턴트 곰탕, 배, 살치살, 달걀, 양파, 식초, 소금, 설탕, 조미료
● 조리방법
1. 끓는 물에 식초, 달걀, 소금을 넣고 삶는다.
2. 인스턴트 곰탕을 면보로 걸러 국물만 냄비에 넣고 끓인다.
3. 양파를 적당한 크기로 썰어 곰탕에 넣고 끓인다.
4. 끓이던 곰탕에 조미료를 넣는다.
5. 조미료를 넣은 곰탕에 설탕과 식초를 넣고 함께 끓여 냉면 국물을 만든다.
6. 살치살을 얇게 포 뜬 뒤, 곰탕에 넣고 익힌다.
7. 끓는 물에 메밀면을 넣고 삶는다.
8. 냉면 국물에 물을 부어가며 간을 맞춘다.
9. 그릇에 얼음을 담는다.
10. 익힌 살치살을 건져내 식힌다.
11. 끓인 국물을 면보에 내려 국물만 얼음과 섞는다.
12. 삶은 달걀을 찬물에 식힌다.
13. 삶은 메밀면을 체에 밭치고, 얼음물에 헹궈 식힌다.
14. 삶은 달걀의 껍데기를 벗긴다.
15. 냉면 국물에 삶은 메밀면을 넣고, 살치살을 올린다.
16. 삶은 달걀을 곁들인다.
17. 배를 곁들여 완성한다.</t>
  </si>
  <si>
    <t>&lt;최현석 - 고기밀라노~&gt;
● 재료
소고기 등심, 비엔나소시지, 베이컨용 삼겹살, 천도복숭아, 흑토마토, 양상추,
발사믹글레이즈, 파슬리가루, 레몬, 양파, 화이트와인, 소금, 후추, 밀가루, 올리브오일, 설탕, 버터
● 조리방법
1. 소고기 등심을 고기망치로 두드려 얇게 편다.
2. 비엔나소시지를 핸드블렌더에 넣고 간다.
3. 곱게 간 비엔나소시지를 얇게 편 소고기 등심 위에 얹는다.
4. 비엔나소시지를 얹은 소고기 등심을 다시 고기망치로 두드린다.
5. 베이컨용 삼겹살을 등심위에 올리고 소금, 후추를 뿌린 뒤 고기망치로 두드린다.
6. 고기망치로 두드린 얇게 편 고기에 밀가루를 묻힌다.
7. 볼에 발사믹글레이즈, 레몬즙, 올리브오일을 넣고 섞어 샐러드드레싱을 만든다.
8. 다진 양파와 잘게 썬 천도복숭아를 샐러드드레싱에 섞는다.
9. 양상추와 흑토마토를 적당한 크기로 썰어 접시에 담는다.
10. 기름을 두른 팬에 살팀보카를 굽는다.
11. 살팀보카에 화이트와인, 설탕, 버터를 넣고 계속해서 저어주며 조린다.
12. 소스에 파슬리가루를 뿌린다.
13. 접시에 살팀보카를 올리고, 위에 소스를 끼얹는다.
14. 양상추와 흑토마토 위에 샐러드드레싱을 얹어 마무리한다.</t>
  </si>
  <si>
    <t>냉장고를 부탁해 시즌 1, 89화</t>
  </si>
  <si>
    <t>&lt;샘킴 - 볼로네제는 처음이제?&gt;
● 재료
파스타면, 국거리용 소고기, 소고기 등심, 베이컨용 삼겹살, 애호박, 흑토마토, 양상추, 당귀,
토마토소스, 파슬리가루, 굴소스, 마늘, 양파, 대파, 고추, 레몬, 화이트와인, 소금, 후추,
올리브오일
● 조리방법
1. 기름을 두른 팬에 으깬 통마늘과 국거리용 소고기를 넣고 볶는다.
2. 애호박을 채칼로 얇게 슬라이스 한다.
3. 기름을 두른 그릴팬에 손질한 양파, 대파, 애호박, 고추를 넣고 굽는다.
4. 볶던 소고기에 화이트와인, 물을 넣고 끓인다.
5. 끓는 물에 소금을 넣고, 파스타면을 삶는다.
6. 핸드블렌더에 적당한 크기로 썬 소고기 등심, 베이컨용 삼겹살을 넣고 곱게 간다.
7. 기름을 두른 팬에 슬라이스 마늘을 굽다가, 곱게 간 고기를 넣어 함께 볶는다.
8. 볶던 고기와 굽던 채소에 소금간을 한다.
9. 볶던 고기에 후추를 뿌린다.
10. 소고기를 끓이던 팬에 토마토소스를 넣어 파스타소스를 만든다.
11. 채소를 굽던 그릴팬에 당귀와 양상추를 넣고 함께 굽는다.
12. 볶던 고기에 화이트와인을 넣는다.
13. 볶던 고기와 파스타소스에 파슬리가루를 넣는다.
14. 볶던 고기에 적당한 크기로 썬 흑토마토를 넣는다.
15. 볼에 파슬리가루, 레몬즙, 굴소스, 올리브오일을 넣고 섞어 샐러드드레싱을 만든다.
16. 접시에 구운 채소를 담고, 샐러드드레싱을 뿌린다.
17. 적당한 크기로 썬 흑토마토를 곁들인다.
18. 익힌 파스타면을 건져 볶은 고기, 파스타 소스와 함께 볶는다.
19. 접시에 면을 담고, 파스타소스를 얹는다.
20. 파스타 위에 파슬리가루를 뿌려 마무리한다.</t>
  </si>
  <si>
    <t>&lt;미카엘 - 웃음꼬치 피었습니다&gt;
● 재료
훈제오리, 베이컨용 삼겹살, 소고기 등심, 비엔나소시지, 진미채 무침, 홀스래디시 소스, 모과청
흑토마토, 크림치즈, 파슬리가루, 상추, 오이, 마늘, 양파, 레몬, 소금, 후추, 올리브오일, 식초
● 조리방법
1. 소고기 등심을 적당한 크기로 썬 뒤, 고기망치로 두드려 얇게 편다.
2. 얇게 편 소고기 등심에 소금, 후추로 간을 하고, 홀스래디시 소스를 바른다.
3. 양념한 소고기 등심을 베이컨용 삼겹살 위에 놓고 돌돌 만다.
4. 흑토마토를 적당한 크기로 썬다.
5. 꼬치에 삼겹살로 만 소고기 등심과 흑토마토를 번갈아 끼운 뒤 기름을 두른 그릴팬에서 굽는다.
6. 비엔나소시지에 칼집을 넣고, 크림치즈를 끼운 뒤, 베이컨용 삼겹살로 돌돌 만다.
7. 6을 꼬치에 끼운 뒤 기름을 두른 그릴팬에서 굽는다.
8. 훈제오리와 모과청을 함께 베이컨용 삼겹살로 돌돌 말아 꼬치에 끼운 뒤 기름을 두른 그릴팬에서 굽는다.
9. 볼에 크림치즈, 후추, 파슬리가루, 다진 마늘과 흑토마토 속을 넣고 섞는다.
10. 속을 파낸 흑토마토에 양념한 크림치즈를 채워 넣는다.
11. 볼에 적당한 크기로 썬 상추와 올리브오일, 식초를 넣는다.
12. 오이는 껍질을 벗겨내고 얇게 썰어 볼에 함께 담는다.
13. 양념한 채소에 진미채 무침을 함께 넣고 섞어 샐러드를 만든다.
14. 양파를 반으로 썰어 접시에 올리고, 양파에 세 가지 꼬치를 꽂아 플레이팅 한다.
15. 꼬치에 샐러드와 크림치즈를 채운 흑토마토를 곁들인다.
16. 레몬즙을 뿌려 마무리한다.</t>
  </si>
  <si>
    <t>&lt;정호영 - 연장전&gt;
● 재료
콩비지, 훈제오리, 찌개용 돼지고기, 애호박, 건표고버섯채, 해물다시팩, 굴소스
양파, 대파, 마늘, 청양고추, 달걀, 전분, 밀가루, 간장, 마요네즈, 후추, 소금, 청주, 참기름
● 조리방법
1. 양파와 대파 흰 부분을 적당한 크기로 썰어 핸드블랜더에 넣는다.
2. 대파 흰 부분, 마늘, 양파, 애호박을 손질한다.
3. 불린 표고버섯채는 물기를 짜내 손질한 채소와 함께 둔다.
4. 불린 표고버섯채, 적당한 크기로 썬 찌개용 돼지고기와 훈제오리, 달걀을 핸드블랜더에 넣고 간다.
5. 간 재료에 콩비지를 더해 다시 한 번 갈아 반죽을 만든다.
6. 반죽에 전분, 간장, 밀가루를 넣고 섞는다.
7. 반죽을 적당한 크기로 떼어 기름을 두른 팬에 굽는다.
8. 종지에 마요네즈, 간장, 후추, 잘게 다진 청양고추를 넣어 소스를 만든다.
9. 끓는 물에 해물다시팩을 넣고 끓여 육수를 낸다.
10. 기름을 두른 팬에 손질한 채소를 넣고 볶다가, 해물육수,
간장, 소금, 청주, 굴소스를 넣고 끓여 난자완스 소스를 만든다.
11. 구운 콩비지전을 건져 기름기를 빼고, 그릇에 담는다.
12. 난자완스 소스에 전분물과 참기름을 넣고 잘 섞는다.
13. 구운 콩비지전과 마요네즈 소스, 난자완스 소스를 따로 담아낸다.</t>
  </si>
  <si>
    <t>&lt;최현석 - 발라버린닭&gt;
● 재료
닭, 수박, 구이용 모듬 버섯, 통마늘, 홀그레인 머스터드,
마늘, 고추, 적양파, 레몬, 올리브오일, 소금, 후추,
● 조리방법
1. 닭의 살을 발라낸다.
2. 살을 발라낸 닭고기를 비닐로 덮고, 고기망치로 두드려 얇게 편다.
3. 얇게 편 닭고기에 으깬 마늘과 고추를 올리고 비닐로 덮은 뒤, 다시 한 번 고기망치로 두드린다.
4. 수박을 먹기 좋은 크기로 자른다.
5. 적양파를 슬라이스 한다.
6. 숯불 그릴에 올리브오일을 바른다.
7. 손질한 채소와 과일에 올리브오일을 발라 그릴 위에서 굽는다.
8. 그릴 위에 굽는 채소와 과일에 소금, 후추로 간을 한다.
9. 숯불 그릴에 올리브오일을 바르고, 닭고기에도 올리브오일을 발라 굽는다.
10. 닭고기에 소금, 후추로 간 한다.
11. 버섯에 올리브오일을 발라 굽는다.
12. 구운 버섯과 대파를 접시에 담는다.
13. 구운 적양파에 올리브오일, 레몬즙, 후추를 넣고 버무린다.
14. 구운 수박과 닭고기를 접시에 담고, 양념한 적양파를 올린다.
15. 홀그레인 머스터드를 곁들여 완성한다.</t>
  </si>
  <si>
    <t>냉장고를 부탁해 시즌 1, 90화</t>
  </si>
  <si>
    <t>&lt;오세득 - 포크볼&gt;
● 재료
삼겹살, 골뱅이 통조림, 홀그레인 머스터드, 양파, 대파, 고추, 레몬,
다진 마늘, 소금, 후추, 설탕, 간장, 참기름, 고춧가루, 식초, 올리브오일
● 조리방법
1. 양파를 반으로 잘라 한 겹씩 분리한다.
2. 삼겹살에 소금, 후추로 밑간을 하고, 대파를 문질러 파향을 입힌다.
3. 밑간한 삼겹살을 적당한 크기로 썰고, 한 겹씩 벗겨낸 양파로 감싼 뒤 꼬치로 고정한다.
4. 숯불 안에 고기를 채운 양파를 넣고 익힌다.
5. 양파, 대파 흰 부분, 고추를 가늘게 채 썬다.
6. 설탕, 간장, 참기름, 고춧가루, 다진 마늘, 식초를 3:3:3:1:1:8 비율로 섞어 양념장을 만든다.
7. 양파를 잘게 다진다.
8. 잘게 다진 양파에 홀그레인 머스터드, 레몬즙, 다진 마늘,
후추, 올리브오일, 간장을 섞어 고기 소스를 만든다.
9. 골뱅이 통조림을 적당한 크기로 썬다.
10. 채 썬 채소와 손질한 골뱅이에 양념장을 넣고 무친다.
11. 골뱅이무침을 접시에 담는다.
12. 양파 속에서 익히던 고기를 꺼내 석쇠에 올려 다시 한 번 익힌다.
13. 고기 소스를 종지에 담아낸다.
14. 접시에 구운 고기를 담아 완성한다.</t>
  </si>
  <si>
    <t>&lt;홍석천 - 긴급사테! 수박주의보!&gt;
● 재료
닭가슴살, 카레가루, 코코넛워터, 아몬드두유, 굴소스, 유자청, 수박, 고르곤졸라 치즈,
땅콩버터, 고추, 적양파, 레몬, 설탕, 후추, 조미료, 올리브오일, 간장, 깨
● 조리방법
1. 닭가슴살에 칼집을 내고, 적당한 크기로 썬다.
2. 볼에 카레가루, 코코넛워터, 아몬드두유, 굴소스, 조미료를 넣고 섞어 양념을 만든다.
3. 양념에 손질한 닭가슴살을 넣고 버무린다.
4. 3에 유자청, 설탕, 다진 고추, 후추를 넣고 섞는다.
5. 양념에 버무린 닭가슴살을 꼬치에 끼운 뒤, 기름을 두른 팬에서 굽는다.
6. 꼬치를 굽던 팬에 코코넛워터를 붓고, 뚜껑을 덮어 속까지 익힌다.
7. 적양파를 채 썬다.
8. 채 썬 적양파에 올리브오일과 레몬즙, 설탕을 넣고 버무린다.
9. 수박을 삼각형 모양으로 썰어 접시에 올린다.
10. 수박을 깍둑썰기해 양념에 버무린 적양파와 함께 섞어 수박샐러드를 만든다.
11. 썰어둔 수박 위에 수박샐러드를 얹고, 고르곤졸라 치즈를 적당한 크기로 떼어 그 위에 올린다.
12. 볼에 간장, 깨, 조미료, 땅콩버터, 유자청을 넣고 섞어 소스를 만든다.
13. 닭가슴살 꼬치를 접시에 담는다.
14. 소스를 따로 담아 곁들여낸다.</t>
  </si>
  <si>
    <t>&lt;김풍 - 불타는 등심폭탄&gt;
● 재료
소고기 등심, 굴소스, 레드와인, 콜라, 오렌지, 수박,
파인애플 통조림, 보드카, 다진 마늘, 소금, 통후추
● 조리방법
1. 소고기 등심을 적당한 크기로 썬다.
2. 적당한 크기로 썬 등심을 볼에 담고, 소금을 밑간을 한다.
3. 비닐팩에 통후추를 넣고, 으깬다.
4. 밑간을 한 등심에 으깬 통후추, 다진 마늘, 굴소스를 넣고 버무려 양념한다.
5. 종이포일을 물에 적시고, 양념한 등심을 감싼다.
6. 물에 적신 종이포일에 싼 양념한 등심을 알루미늄포일로 다시 한 번 감싼다.
7. 포일 채로 불 위에 얹고 굽는다.
8. 볼에 레드와인과 콜라를 1:1 비율로 넣어 칼리모초 칵테일을 만든다.
9. 칼리모초에 오렌지즙을 넣는다.
10. 수박을 깍둑썰기로 썰어, 칼리모초에 넣는다.
11. 칼리모초에 파인애플 통조림 국물을 넣는다.
12. 칼리모초에 적당한 크기로 썬 파인애플 과육과 얼음을 넣는다.
13. 컵에 칼리모초를 담는다.
14. 마른 냄비에 포일 째 구운 양념한 등심과 보드카를 담고, 불을 붙여 낸다.</t>
  </si>
  <si>
    <t>&lt;이연복 - 조전박살&gt;
● 재료
조기, 전복, 바지락, 딸기잼, 샐러리, 대파, 고추, 레몬, 다진 마늘,
전분, 설탕, 후추, 소금, 간장, 맛술, 참기름, 화이트와인
● 조리방법
1. 조기는 내장을 빼내고 손질한다.
2. 조기에 칼집을 낸다.
3. 끓는 물에 전복을 데친다.
4. 칼집을 낸 조기에 전분을 묻힌다.
5. 전분을 묻힌 조기를 기름에 튀긴다.
6. 고추와 대파를 잘게 썬다.
7. 기름을 두른 팬에 잘게 썬 고추와 대파, 바지락, 화이트와인, 설탕, 후추를 넣고 볶는다.
8. 볼에 딸기잼, 잘게 썬 샐러리, 소금, 레몬즙을 넣고 섞어 딸기잼소스를 만든다.
9. 대파 흰 부분을 잘게 썬다.
10. 잘게 썬 대파에 다진 마늘, 간장, 설탕, 맛술, 참기름을 넣어 간장소스를 만든다.
11. 데친 전복을 찬물에 식히고 살을 발라낸다.
12. 전복에 칼집을 내고, 먹기 좋게 반으로 썬 뒤 전복 껍데기에 올린다.
13. 튀긴 조기를 건져내고 접시에 담는다.
14. 볶던 바지락에 전분물을 넣고 다시 볶아낸 뒤, 접시에 담는다.
15. 조기 튀김 위에 딸기잼소스를 끼얹는다.
16. 데친 전복을 접시에 담고, 간장소스를 얹어낸다.</t>
  </si>
  <si>
    <t>냉장고를 부탁해 시즌 1, 91화</t>
  </si>
  <si>
    <t>&lt;정호영 - 도미 살을 바를래&gt;
● 재료
도미, 배추, 바지락, 고추냉이, 대파, 레몬, 된장, 맛술, 간장, 소금
● 조리방법
1. 도미의 뼈와 살을 분리한다.
2. 분리한 도미살의 가운데 뼈를 발라내고 등 부분과 배 부분으로 나눈다.
3. 도미 등 부분의 절반만 껍질을 벗긴다.
4. 도미뱃살은 껍질에 칼집을 낸다.
5. 도미를 손질하고 남은 자투리 부분을 끓는 물에 넣고 육수를 우린다.
6. 도미 육수에 적당한 크기로 썬 배춧잎과 된장, 맛술, 간장, 바지락, 어슷 썬 대파를 넣고 끓인다.
7. 껍질에 칼집을 낸 도미뱃살에 뜨거운 물을 끼얹어 껍질부분만 익힌다.
8. 껍질을 익힌 도미뱃살을 얼음물에 넣어 식힌다.
9. 껍질을 벗기지 않은 도미 등에 꼬치를 끼우고 소금으로 간한다.
10. 그릴에 대파를 굽는다.
11. 꼬치에 끼운 도미 등을 그릴에 닿지 않게 고정하고 껍질 쪽부터 굽는다.
12. 껍질을 벗긴 도미 등에 남은 비늘을 제거한다.
13. 그릴에 굽던 도미를 팬에서 다시 굽는다.
14. 비늘을 제거한 도미 등을 회 뜬다.
15. 껍질만 익힌 도미뱃살을 회 뜬다.
16. 도미구이를 접시에 담고, 구운 대파와 레몬을 곁들인다.
17. 접시에 도미 회를 담고, 고추냉이를 곁들인다.
18. 껍질만 익힌 도미뱃살을 된장국에 넣어 살짝 익힌다.
19. 도미된장국을 그릇에 담아낸다.</t>
  </si>
  <si>
    <t xml:space="preserve">&lt;샘킴 - 우아한 프랑스튜&gt;
● 재료
도미, 가리비, 바지락, 모시조개, 토마토, 새우, 올리브오일, 화이트와인, 대파, 레몬, 소금, 후추
● 조리방법
1. 냄비에 으깬 통마늘과 올리브오일을 넣고 익힌다.
2. 도미의 뼈와 살을 분리한다.
3. 도미살 가운데의 뼈를 발라내고, 적당한 크기로 썬다.
4. 가리비의 살을 발라낸다.
5. 마늘을 익히던 냄비에 바지락과 모시조개를 넣고 볶는다.
6. 5에 화이트와인을 넣고 뚜껑을 닫아 익힌다.
7. 토마토를 적당한 크기로 썰어 냄비에 넣고, 물을 부어 끓인다.
8. 볼에 올리브오일, 대파 흰 부분, 슬라이스한 토마토, 소금, 후추를 넣고 버무린다.
9. 8을 그릴에 굽는다.
10. 볼에 레몬즙, 잘게 썬 마늘, 올리브오일, 소금, 후추,
잘게 썬 토마토를 넣고 섞어 토마토레몬소스를 만든다.
11. 끓이던 스튜에 레몬즙을 넣는다.
12. 손질한 도미에 소금으로 간하고, 껍질 부분에 칼집을 낸다.
13. 기름을 두른 팬에 손질한 도미를 구운 후, 접시에 담아낸다.
14. 기름을 두른 팬에 새우를 구우며 후추로 간 한다.
15. 팬에 가리비를 함께 굽는다.
16. 익힌 모시조개를 접시에 담고, 구운 대파를 곁들인다.
17. 스튜 국물을 접시에 담는다.
18. 구운 가리비와 새우, 도미, 토마토를 접시에 담는다.
19. 대파를 잘게 썰어 뿌리고, 토마토레몬소스를 곁들여 마무리한다.
</t>
  </si>
  <si>
    <t>&lt;미카엘 - 나랑 너랑 게랑&gt;
● 재료
게, 바지락, 새우, 파프리카, 샐러리, 토마토, 배추,
당근, 대파, 마늘, 후추, 소금, 버터, 화이트와인, 올리브오일, 식초
● 조리방법
1. 그릴에 파프리카를 올리고, 포일로 덮어 직화한다.
2. 게의 다리를 뜯어낸다.
3. 게의 몸통 부분을 끓는 물에 넣고 익힌다.
4. 포일을 넓게 펼치고 샐러리, 통마늘, 통후추, 소금, 버터를 올린다.
5. 관절을 제거한 게 다리를 포일 위에 올린다.
6. 포일 안에 바지락과 새우살, 화이트와인을 넣고 밀봉한다.
7. 포일에 밀봉한 해산물을 그릴 위에서 익힌다.
8. 적당한 크기로 썬 당근과 샐러리, 대파를 게 몸통을 익히던 냄비에 넣는다.
9. 토마토를 잘게 썰어 냄비에 넣고 함께 끓인다.
10. 익힌 게 몸통을 꺼내 살과 껍데기를 분리한다.
11. 접시에 배춧잎을 깔고, 깨끗하게 씻은 게 등 껍데기를 그릇처럼 올린다.
12. 볼에 잘게 썬 마늘, 올리브오일, 소금, 식초를 넣고 섞어 드레싱을 만든다.
13. 직화한 파프리카를 흐르는 물에 씻어 탄 껍질을 벗겨내고, 적당한 크기로 썬다.
14. 손질한 구운 파프리카를 마늘드레싱에 넣고 섞어 파프리카 샐러드를 만든다.
15. 파프리카를 넓게 썰어, 접시에 데커레이션 한다.
16. 포일에 넣고 익힌 해산물을 꺼내, 육수만 접시에 따라낸다.
17. 익힌 새우살과 바지락살만 골라 접시에 담는다.
18. 해산물 육수와 새우살, 바지락살을 게 등 껍데기에 담는다.
19. 배춧잎 위에 파프리카 샐러드를 담는다.
20. 익힌 게 다리의 살과 집게다리, 새우살을 게 등 껍데기에 담는다.
21. 익힌 게 집게다리와 새우살을 얹는다.
22. 잘게 썬 구운 파프리카를 해산물에 곁들인다.
23. 대파를 잘게 썰어 위에 뿌려낸다.</t>
  </si>
  <si>
    <t>&lt;샘킴 - 소스 하나면 돼&gt;
● 재료
삶은 강낭콩, 파프리카, 애호박, 그린 올리브, 데친 관자, 데친 소라,
천도복숭아, 고등어, 고수,마늘, 레몬, 소금, 올리브오일, 후추
● 조리방법
1. 끓는 물에 소금, 삶은 강낭콩을 넣고 데친다.
2. 파프리카와 애호박을 적당한 크기로 썰어 올리브오일에 버무린다.
3. 올리브오일에 버무린 채소를 그릴팬에 굽는다.
4. 마늘을 잘게 다져, 올리브오일이 남은 볼에 담는다.
5. 4에 그린 올리브를 잘게 썰어 넣는다.
6. 잘게 썬 마늘과 그린 올리브에 레몬즙을 넣어 올리브소스를 만든다.
7. 데친 관자와 데친 소라를 적당한 크기로 썬다.
8. 천도복숭아를 슬라이스해 그릴팬에 굽는다.
9. 구운 파프리카를 잘게 다져 올리브 소스에 넣는다.
10. 올리브소스에 올리브오일을 더해가며 잘 저어준 뒤, 후추와 소금으로 간 한다.
11. 올리브소스에 데친 관자와 소라, 데친 강낭콩을 넣고 잘 섞는다.
12. 기름을 두른 팬에 고등어를 올리고 소금, 후추로 간을 해 굽는다.
13. 올리브소스에 버무린 강낭콩을 접시에 담는다.
14. 그릴팬에 구운 애호박을 적당한 크기로 썰어 접시에 담는다.
15. 올리브소스에 버무린 관자와 소라를 곁들인다.
16. 핸드블랜더에 고수와 올리브오일을 넣고 곱게 간다.
17. 16에 레몬즙을 넣고, 접시에 담는다.
18. 구운 천도복숭아와 고등어를 올린다.
19. 레몬즙과 후추를 뿌려 마무리한다.</t>
  </si>
  <si>
    <t>냉장고를 부탁해 시즌 1, 92화</t>
  </si>
  <si>
    <t>&lt;유창준 - 전병 말아요~&gt;
● 재료
오이, 적양배추, 오이지, 고기육수, 잣, 소면, 당근, 밀가루, 소금, 깨
● 조리방법
1. 볼에 밀가루, 소금, 물을 넣고 섞는다.
2. 밀가루 반죽을 체에 밭쳐 곱게 걸러 전병 반죽을 만든다.
3. 당근을 가늘게 채 썬다.
4. 오이껍질을 얇게 돌려 깍은 후, 채 썬다.
5. 적양배추를 채 썬다.
6. 오이지를 적당한 크기로 썰고, 물에 담가 소금기를 뺀다.
7. 볼에 고기육수, 잣, 깨, 물을 넣는다.
8. 7을 믹서기에 넣는다.
9. 기름을 두른 팬에 전병 반죽을 붓고 전병을 부친다.
10. 소면을 삶는다.
11. 부친 전병을 꺼내 식힌다.
12. 기름을 두른 팬에 채 썬 당근을 소금 간을 해서 볶는다.
13. 채 썬 오이, 채 썬 적양배추도 소금으로 간 하며 볶는다.
14. 전병에 볶은 채소들을 올리고 돌돌 만다.
15. 믹서기에 넣은 잣, 깨, 고기육수를 곱게 갈아 소스를 만든다.
16. 삶은 소면을 건져 찬물에 헹군다.
17. 믹서기로 간 소스를 체에 밭쳐 곱게 거른다.
18. 채소전병을 적당한 크기로 썬다.
19. 그릇에 소면을 담고, 채소전병, 오이지를 올린다.
20. 19에 소스를 부어 마무리한다.</t>
  </si>
  <si>
    <t>&lt;최현석 - 톰얌킹&gt;
● 재료
찌개용 게, 생강, 천도복숭아, 토마토소스, 사테소스, 새우, 데친 관자, 데친 소라, 포토벨로 버섯,
참타리 버섯, 프릭키누, 크러시드 칠리, 토마토주스, 베트남 매운 간장, 아몬드우유, 피시소스,
데친 관자, 데친 소라, 고수, 레몬, 소금
● 조리방법
1. 뜨거운 물에 찌개용 게를 넣은 뒤, 레몬껍질을 갈아 넣고 끓여 게 육수를 낸다.
2. 생강을 으깨서 게 육수에 넣고 끓인다.
3. 끓이던 재료에 얇게 썬 천도복숭아와 토마토소스, 사테소스를 넣고 톰얌 국물을 끓인다.
4. 새우, 데친 관자, 데친 소라를 손질한다.
5. 포토벨로 버섯과 참타리 버섯을 적당한 크기로 썬다.
6. 프릭키누를 잘게 썬다.
7. 기름을 두른 냄비에 잘게 썬 프릭키누와 크러시드 칠리를 넣고 볶다가, 톰얌 국물을 넣고 볶는다.
8. 냄비에 손질한 새우, 톰얌 국물, 토마토주스를 넣고 끓이다가 손질한 버섯을 넣는다.
9. 톰얌 국물을 면보에 걸러 국물만 남긴다.
10. 볶던 재료에 걸러낸 톰얌 국물을 붓고, 베트남 매운 간장을 넣어 끓인다.
11. 톰얌쿵에 아몬드우유와 소금을 넣는다.
12. 톰얌쿵에 레몬즙, 피시소스, 데친 관자와 소라를 넣는다.
13. 그릇에 톰얌쿵을 담은 뒤, 고수를 올려 마무리한다.</t>
  </si>
  <si>
    <t>&lt;이원일 - 톰얌의 고수&gt;
● 재료
창난젓, 소주, 황태포, 해물다시팩, 베이컨, 사테소스, 베트남 매운 간장, 프릭키누, 애호박,
찌개용 게, 새우, 포토벨로 버섯, 데친 소라, 데친 관자, 된장, 고수,
다진 마늘, 다진 생강, 레몬, 마늘, 양파, 대파, 즉석밥
● 조리방법
1. 기름을 두른 팬에 다진 마늘과 창난젓을 볶는다.
2. 볶은 다진 마늘과 창난젓에 소주를 넣고 함께 볶는다.
3. 2에 황태포와 해물다시팩을 넣고 뜨거운 물을 부어 끓여 육수를 낸다.
4. 즉석밥에 레몬껍질과 생강즙을 넣고 전자레인지에 돌린다.
5. 마늘은 으깨고, 양파는 채 썬다.
6. 대파 흰 부분을 반으로 가른 후, 적당한 크기로 썬다.
7. 베이컨을 잘게 썰어 마른 팬에 볶는다.
8. 베이컨을 볶던 팬에 손질한 채소들과 사테소스를 넣는다.
9. 볶던 재료에 레몬껍질과 베트남 매운 간장, 프릭키누를 넣는다.
10. 9에 손질한 애호박과 찌개용 게, 새우, 포토벨로 버섯, 레몬즙을 넣고 볶는다.
11. 볶은 재료에 육수를 넣고 톰얌쿵을 끓인다.
12. 톰얌쿵에 육수를 낸 황태포를 건져 넣는다.
13. 데친 소라를 적당한 크기로 썰어 관자와 함께 톰얌쿵에 넣고 끓인다.
14. 톰얌쿵에 레몬즙과 된장을 넣고 끓인다.
15. 고수를 잘게 썰어 톰얌쿵에 넣고 끓인다.
16. 그릇에 톰얌쿵을 담고, 레몬을 올린다.
17. 레몬생강밥을 그릇에 담아 따로 낸다.</t>
  </si>
  <si>
    <t>&lt;김풍 - 바쥐락펴락&gt;
● 재료
바지락, 달걀, 라면스프, 전분, 마요네즈, 레몬
● 조리방법
1. 끓는 물이 담긴 냄비에 바지락을 넣고 뚜껑을 덮어 익힌다.
2. 볼에 전분, 라면스프를 넣고 섞어 튀김옷을 만든다.
3. 익힌 바지락을 체에 밭쳐 거른 뒤, 찬물에 헹군다.
4. 익힌 바지락의 살만 발라내 튀김옷을 입힌다.
5. 튀김옷을 입힌 바지락을 기름에 넣고 튀긴다.
6. 튀긴 바지락을 건져 기름기를 뺀다.
7. 기름기를 뺀 바지락튀김을 다시 한 번 튀긴다.
8. 바지락튀김을 건져내 기름기를 뺀다.
9. 볼에 마요네즈, 달걀노른자를 넣고 저어 마요네즈 소스를 만든다.
10. 바지락튀김을 그릇에 담는다.
11. 마요네즈 소스를 소스볼에 담고, 레몬즙을 뿌려 마무리한다.</t>
  </si>
  <si>
    <t>냉장고를 부탁해 시즌 1, 93화</t>
  </si>
  <si>
    <t>&lt;오세득 - 일탈 닭돼지락&gt;
● 재료
바지락, 프라이드치킨, 삼겹살, 콩나물, 김가루, 대파,
마늘, 청양고추, 레몬, 다진 생강, 청주, 간장, 즉석밥
● 조리방법
1. 냄비에 바지락, 청주, 뜨거운 물을 넣고 끓인다.
2. 대파 흰부분의 가운데 심을 제거하고 적당한 크기로 썰어 기름을 두른 냄비에 담는다.
3. 삼겹살을 가늘게 채 썰어 대파와 함께 볶는다.
4. 통마늘과 다진 생강을 냄비에 넣고 함께 볶는다.
5. 프라이드치킨의 튀김옷을 벗겨내고 치킨 살을 두드려 편 뒤, 잘게 찢어 볶던 재료에 넣는다.
6. 볶던 재료에 바지락 육수를 넣고 끓인다.
7. 익힌 바지락을 비닐팩에 넣고 흔들어 살만 발라낸다.
8. 발라낸 바지락살을 끓이던 국에 넣는다.
9. 즉석밥을 전자레인지에 넣고 돌린다.
10. 국에 간장으로 간을 한다.
11. 간을 한 국에 콩나물과 바지락 껍데기를 넣고 끓인다.
12. 그릇에 김가루와 즉석밥을 각각 담아낸다.
13. 그릇에 완성된 국을 담고, 청양고추와 레몬을 썰어 올려 마무리한다.</t>
  </si>
  <si>
    <t>&lt;미카엘 - 에그머니나&gt;
● 재료
달걀, 고추참치, 바지락, 우유, 양파, 마늘, 대파, 화이트와인, 소금, 버터, 고춧가루, 후추
● 조리방법
1. 팬에 물, 바지락, 소금, 화이트와인을 넣고 뚜껑을 덮어 익힌다.
2. 끓는 물 위에 볼을 올리고, 버터를 넣어 녹인다.
3. 다른 볼에 달걀, 소금, 우유를 넣고 섞는다.
4. 버터를 녹인 볼에 달걀물을 붓고 저어가며 스크램블을 만든다.
5. 고추참치를 체에 밭쳐 기름기를 뺀다.
6. 핸드블렌더에 기름기를 뺀 고추참치, 적당한 크기로 썬 양파와
마늘, 버터를 넣고 곱게 갈아 스프레드를 만든다.
7. 접시에 원형틀을 놓고 참치스프레드 &gt; 달걀 스크램블
&gt; 참치스프레드 &gt; 달걀 스크램블 순으로 쌓는다.
8. 7 위에 럭비공 모양으로 만든 참치스프레드를 올린다.
9. 올리브오일을 두른 팬에 버터를 녹이다가, 고춧가루를 섞어 소스를 만든다.
10. 익힌 바지락을 접시에 올린다.
11. 바지락 위에 소스를 뿌린다.
12. 대파를 잘게 썰어 얹고, 후추를 뿌려 마무리한다.</t>
  </si>
  <si>
    <t>&lt;정호영 - 달걀의 대시&gt;
● 재료
달걀, 바지락, 김가루, 마늘, 대파, 청주, 맛술, 간장, 소금, 전분, 설탕
● 조리방법
1. 팬에 으깬 마늘을 넣고 기름을 두른 뒤, 바지락을 넣는다.
2. 바지락을 넣은 팬에 청주, 뜨거운 물, 맛술, 간장, 소금을 넣고 끓인다.
3. 볼에 달걀, 전분, 설탕을 넣고 섞는다.
4. 기름이 끓는 냄비 위에 두 개의 체를 겹쳐 밭치고, 달걀물을 내려 면처럼 튀긴다.
5. 튀긴 달걀면을 건져내 체에 밭친 뒤, 뜨거운 물로 기름기를 뺀다.
6. 익힌 바지락을 체에 밭쳐 거르고, 살만 빼내 뚝배기에 담는다.
7. 바지락살을 넣은 뚝배기에 바지락육수를 붓고 끓인다.
8. 달걀면을 물에 헹군 뒤, 뚝배기에 넣고 끓인다.
9. 대파 흰 부분을 어슷 썰어 달걀면 위에 올리고, 김가루를 뿌려 마무리한다.</t>
  </si>
  <si>
    <t>&lt;최현석 - 데워먹고 대어 낚는 낚시요리&gt;
● 재료
돼지고기, 소 안심, 새우젓, 건새우, 멸치, 무, 둥근 애호박, 표고버섯, 아로니아액,
햄 통조림, 참치 통조림, 전복, 떡갈비, 데친 얼갈이, 달걀, 두부,
양파, 대파, 소금, 후추, 설탕, 참기름, 밀가루, 전분
● 조리방법
1. 끓는 물에 새우젓, 건새우, 멸치를 넣고 끓인다.
2. 1에 무를 적당한 크기로 썰어 함께 끓여 육수를 낸다.
3. 둥근 애호박을 얇게 썰어 전골냄비에 담는다.
4. 돼지고기를 적당한 크기로 썰어 볼에 담고, 소금, 후추로 간 한 뒤 전골냄비에 담는다.
5. 소 안심을 적당한 크기로 썰어 볼에 담은 뒤, 아로니아액,
후추, 설탕, 참기름으로 양념해 전골냄비에 담는다.
6. 표고버섯, 햄 통조림을 적당한 크기로 썰어 전골냄비에 담는다.
7. 재료가 담긴 전골냄비에 육수를 넣는다.
8. 양파를 다진 뒤 참치 통조림과 함께 핸드블렌더로 간다.
9. 8을 전처럼 빚어 달걀흰자&gt;밀가루&gt;달걀물을 입히고 기름을 두른 팬에 굽는다.
10. 전복을 손질해 적당한 크기로 썬 뒤 전골냄비에 담는다.
11. 각종 재료가 잠길 만큼 육수를 붓고 끓인다.
12. 떡갈비를 적당한 크기로 뭉쳐 전분을 묻힌다.
13. 전분을 묻힌 떡갈비를 끓인 육수에 넣고 익힌다.
14. 데친 얼갈이의 물기를 짜낸 뒤, 적당한 크기로 썰어 전골냄비에 담는다.
15. 육수에서 익힌 떡갈비를 건져 전골냄비에 담는다.
16. 파를 적당한 크기로 썰어 전골냄비에 넣는다.
17. 끓이던 전골에 참치전과 후추를 넣어 마무리한다.</t>
  </si>
  <si>
    <t>냉장고를 부탁해 시즌 1, 94화</t>
  </si>
  <si>
    <t>&lt;김풍 - 낚았찌개&gt;
● 재료
토마토, 카레가루, 돼지고기, 건새우, 김, 둥근 애호박,
대파, 다진 마늘, 고추장, 고춧가루, 간장, 즉석밥
● 조리방법
1. 토마토를 잘게 썬다.
2. 잘게 썬 토마토를 비닐팩에 담는다.
3. 2에 고추장, 카레가루를 넣고 주물러 잘 섞는다.
4. 대파 흰 부분을 적당한 크기로 썰어 기름을 두른 팬에 넣는다.
5. 돼지고기를 적당한 크기로 썰어 팬에 담고, 다진 마늘, 고춧가루, 간장을 넣어 볶는다.
6. 팬에 볶던 재료에 고추장, 카레가루와 버무린 토마토를 넣고 끓인다.
7. 6에 건새우를 넣는다.
8. 즉석밥을 전자레인지에 돌린다.
9. 끓이던 재료에 물을 더해 끓인다.
10. 김을 잘게 찢어 넣는다.
11. 둥근 애호박을 적당한 크기로 썰어 넣는다.
12. 끓이던 재료에 달걀을 넣는다.
13. 즉석밥을 그릇에 담는다.</t>
  </si>
  <si>
    <t>&lt;샘킴 - 할아버지 최고닭!&gt;
● 재료
닭다리, 새우, 가지, 감자, 미니 파프리카, 케이퍼,
레몬, 양파, 마늘, 대파, 소금, 후추, 버터, 밀가루
● 조리방법
1. 닭다리의 살과 뼈를 분리한다.
2. 냄비에 닭다리 뼈와 뜨거운 물을 넣고 끓여 육수를 낸다.
3. 기름을 두른 팬에 닭다리살을 구우며 소금, 후추로 간 한다.
4. 가지, 감자를 적당한 크기로 썰어 기름을 두른 그릴팬에 굽는다.
5. 미니 파프리카도 반으로 썰어 그릴 팬에 굽는다.
6. 그릴팬에서 굽는 채소에 소금, 후추로 간 한다.
7. 팬에 버터와 밀가루를 넣고 볶아 루를 만든 뒤 볼에 담아 둔다.
8. 레몬 껍질만 갈아 볼에 담아둔다.
9. 다른 볼에 레몬즙, 케이퍼 국물을 담아둔다.
10. 케이퍼, 양파, 마늘을 각각 잘게 다진다.
11. 기름을 두른 팬에 껍질을 벗긴 새우를 굽는다.
12. 굽던 새우에 다진 마늘, 소금, 후추, 다진 양파와 케이퍼, 닭육수,
레몬즙&amp;케이퍼국물, 루, 버터, 곱게 간 레몬 껍질을 넣고 함께 익힌다.
13. 접시에 구운 감자&gt; 가지&gt; 파프리카&gt; 닭다리살을 순서대로 올린다.
14. 익힌 새우와 소스를 접시에 담는다.
15. 얇게 썬 대파 흰 부분을 뿌려 마무리한다.</t>
  </si>
  <si>
    <t>&lt;정호영 - 그랜드파더 젠틀롤&gt;
● 재료
채끝살, 토마토, 사과, 미니 파프리카, 삶은 숙주나물, 감자, 우엉, 잣,
버터, 전분, 레드와인, 간장, 설탕, 맛술
● 조리방법
1. 토마토에 칼집을 내고 끓는 물에 데친다.
2. 사과, 미니 파프리카를 채 썬다.
3. 감자의 껍질을 벗겨낸 후 채칼로 얇게 썬 뒤, 가늘게 채 썰어 볼에 담아둔다.
4. 데친 토마토를 건져 얼음물에 담가 식히고, 껍질을 벗긴다.
5. 데친 토마토의 꼭지와 씨 부분을 발라내고, 과육 부분만 적당한 크기로 썬다.
6. 채끝살을 얇게 포 떠서 펼친다.
7. 펼친 채끝살에 칼집을 넣어 부드럽게 만든다.
8. 채끝살 위에 삶은 숙주나물, 채 썬 사과와 파프리카, 데친 토마토를 올리고 돌돌 만다.
9. 팬에 버터와 채끝롤을 넣고 버터를 끼얹어가며 굽는다.
10. 우엉을 연필 깎듯 돌려가며 가늘게 썬 뒤, 감자채와 함께 볼에 담는다.
11. 감자&amp;우엉채에 전분을 넣고 섞는다.
12. 두 개의 체 사이에 전분을 묻힌 감자&amp;우엉채를 담아 바구니 모양으로 고정한 뒤, 기름에 튀긴다.
13. 감자&amp;우엉채 튀김의 체를 빼내고 앞뒤로 골고루 튀긴다.
14. 레드와인, 간장, 설탕, 맛술을 섞어 소스를 만든다.
15. 구운 롤스테이크에 소스를 넣고 조린다.
16. 데친 토마토의 꼭지를 잘라내고, 적당한 크기로 썰어 접시에 담는다.
17. 바구니 모양의 감자&amp;우엉채 튀김을 접시에 올린다.
18. 롤스테이크를 먹기 좋은 크기로 썰어 감자&amp;우엉채 튀김 안에 담고, 소스를 뿌린다.
19. 롤스테이크 위에 잣을 뿌려 마무리한다.</t>
  </si>
  <si>
    <t>&lt;이연복 - 제비 몰러 나간 알&gt;
● 재료
새우살, 옥돔, 골뱅이 통조림, 제비집, 파파야, 복숭아, 사과, 오이, 굴소스, 달걀,
양파, 레몬, 당근, 청양고추, 다진 생강, 버터, 전분, 간장, 식초, 설탕
● 조리방법
1. 옥돔을 손질해 살만 발라낸다.
2. 새우살을 칼 단면으로 내리쳐 으깬다.
3. 옥돔살과 새우살을 함께 다진다.
4. 골뱅이를 잘게 썬 뒤, 다진 옥돔살, 새우살과 함께 볼에 담아둔다.
5. 볼에 담긴 해산물에 생강즙과 녹인 버터를 넣는다.
6. 5에 전분과 달걀물을 넣고 치대 반죽을 만든다.
7. 반죽을 동그랗게 떼어 찜기에 넣고 찐다.
8. 사과, 복숭아, 양파를 잘게 다진다.
9. 냄비에 물을 넣고 끓이다가 레몬즙을 넣는다.
10. 9에 설탕을 넣고, 잘게 다진 사과, 복숭아, 양파를 넣고 졸인다.
11. 파파야, 오이, 양파, 당근을 가늘게 채 썬다.
12. 채 썬 파파야와 채소들을 그릇에 담는다.
13. 쪄낸 완자를 그릇에 담고 제비집을 얹는다.
14. 볼에 간장, 식초, 설탕, 잘게 다진 청양고추, 레몬즙, 굴소스를 넣고 섞어 샐러드드레싱을 만든다.
15. 샐러드에 드레싱을 뿌린다.
16. 조린 과일에 전분물을 넣어 농도를 조절한다.
17. 제비집 완자찜 위에 과일소스를 부어 완성한다.</t>
  </si>
  <si>
    <t>냉장고를 부탁해 시즌 1, 95화</t>
  </si>
  <si>
    <t>&lt;한상훈 - 타임 투 새우굿&gt;
● 재료
칵테일새우, 불고기용 소고기, 모차렐라 치즈, 블랙올리브, 할라피뇨,
자두, 굴소스, 대파, 양파, 마늘, 후추, 밀가루, 화이트와인
● 조리방법
1. 양파와 마늘을 잘게 썬다.
2. 기름을 두른 팬에 손질한 양파와 마늘을 넣고 볶는다.
3. 불고기용 소고기에 후추를 뿌리고 키친타월을 이용해 물기를 뺀다.
4. 볶은 양파와 마늘을 볼에 담고 불고기용 소고기와 함께 섞는다.
5. 소고기 안에 모차렐라 치즈를 넣고 뭉쳐 볼을 만든다.
6. 소고기볼에 칵테일새우를 꽂는다.
7. 기름을 두른 팬에 소고기새우볼을 넣고 뚜껑을 덮어 익힌다.
8. 블랙올리브, 할라피뇨를 적당한 크기로 썰어 볼에 담아둔다.
9. 자두, 양파를 적당한 크기로 썰어 블랙올리브, 할라피뇨와 함께 기름을 두른 팬에 볶는다.
10. 재료를 볶는 팬에 굴소스, 후추를 넣어 양념한 뒤 접시에 담는다.
11. 소고기새우볼을 굽던 팬에 화이트와인을 붓고 뚜껑을 덮어 속까지 익힌다.
12. 소고기새우볼 위에 모차렐라치즈를 올리고 뚜껑을 덮어 익힌다.
13. 대파 흰 부분을 가늘게 채 썰어 밀가루를 묻힌 뒤, 기름에 튀긴다.
14. 파채튀김을 건져내 기름기를 뺀다.
15. 자두채소볶음 위에 소고기새우볼을 올린다.
16. 접시에 소고기새우볼을 익힌 와인소스를 뿌린 뒤, 파채튀김을 얹어 마무리한다.</t>
  </si>
  <si>
    <t>&lt;미카엘 - 묵은지 뚝배기&gt;
● 재료
묵은지, 소고기, 베이컨, 감자, 표고버섯, 애호박, 알프레도소스, 양배추,
달걀, 양파, 당근, 대파, 레몬, 후추, 고춧가루
● 조리방법
1. 묵은지, 소고기, 베이컨을 잘게 썰고, 양파는 가늘게 채 썬다.
2. 마른 팬에 소고기, 베이컨, 양파를 넣고 볶는다.
3. 볶던 재료에 후추, 잘게 썬 묵은지를 넣고 함께 볶는다.
4. 당근을 가늘게 채 썰어 팬에 넣고 함께 볶는다.
5. 감자, 불린 표고버섯을 가늘게 채 썰어 함께 볶는다.
6. 애호박을 가늘게 채 썰어 팬에 넣고 다른 재료들과 볶다가
뜨거운 물을 부어 김치보르시를 끓인다.
7. 김치보르시에 소금과 후추로 간 한다.
8. 볼에 레몬즙, 알프레도소스를 넣고 섞어 소스를 만든다.
9. 소스에 달걀노른자를 넣고 섞는다.
10. 10에 후추, 고춧가루를 넣고 섞는다.
11. 양배추를 채 썰어 김치보르시에 넣고 끓인다.
12. 소스에 김치보르시 국물만 넣고 섞는다.
13. 12를 김치보르시에 붓고 끓인다.
14. 김치보르시를 뚝배기에 옮겨 담고 끓이다가 잘게 썬 대파를 올려 마무리한다.</t>
  </si>
  <si>
    <t>&lt;오세득 - 부자 나초&gt;
● 재료
김치, 나초, 떡갈비, 토마토소스, 피치망고잼, 스테이크소스, 고형카레, 핫소스, 유부초밥용 유부,
모차렐라치즈, 슬라이스 체다치즈, 블랙올리브, 양파, 대파, 청양고추, 즉석밥, 후추, 화이트와인
● 조리방법
1. 양파를 잘게 썬다.
2. 김치를 잘게 썰고 국물을 짜낸다.
3. 기름을 두른 팬에 잘게 썬 양파와 김치를 볶는다.
4. 떡갈비를 잘게 다져 팬에 넣고 후추, 화이트와인을 더해 볶는다.
5. 냄비에 토마토소스, 피치망고잼, 스테이크소스, 고형카레를 넣고 소스를 끓인다.
6. 소스에 뜨거운 물을 붓고 끓이다 볶은 재료에 부어 김치토마토소스를 만든다.
7. 김치토마토소스에 핫소스를 넣는다.
8. 대파, 청양고추를 잘게 썬다.
9. 전자레인지에 즉석밥을 돌린다.
10. 얼음물 위에 스테인레스 볼을 올리고, 밥을 담아 식힌다.
11. 식힌 밥에 볶은 김치토마토소스을 넣고 섞는다.
12. 유부 안에 양념한 밥을 채워 넣고 김치유부초밥을 만든다.
13. 오븐용 그릇에 나초를 넓게 깐다.
14. 나초 위에 김치토마토소스, 모차렐라 치즈, 슬라이스 체다치즈를 올린다.
15. 예열한 오븐에 소스를 얹은 나초를 넣고 치즈가 녹을 때까지 익힌다.
16. 오븐에서 익힌 나초를 꺼내 위에 잘게 썬 대파와 청양고추, 블랙올리브를 올려 완성한다.</t>
  </si>
  <si>
    <t>&lt;미카엘 - 튀튀빵빵&gt;
● 재료
이스트, 코코넛오일, 사과, 자두, 오렌지, 연유, 꿀, 밀가루, 소금, 설탕
● 조리방법
1. 밀가루를 체에 친다.
2. 체 친 밀가루에 소금과 설탕을 넣는다.
3. 2에 이스트를 넣고, 뜨거운 물을 부어가며 반죽한 후 충분히 발효시킨다.
4. 사과와 자두, 오렌지를 손질해 플레이팅한다.
5. 냄비에 기름을 끓이다가, 코코넛오일을 넣어 함께 끓인다.
6. 발효시킨 반죽을 적당한 양으로 떼어 기름에 튀긴다.
7. 튀긴 빵을 건져 기름을 뺀다.
8. 과일이 담긴 접시 위에 튀긴 빵을 올리고 연유를 뿌린다.
9. 소스용 접시에 연유와 꿀을 따로 낸다.</t>
  </si>
  <si>
    <t>냉장고를 부탁해 시즌 1, 96화</t>
  </si>
  <si>
    <t>&lt;박리혜 - 두밥두밥 두부두밥♬&gt;
● 재료
두부, 아보카도, 불고기용 소고기, 적양파, 애호박, 표고버섯, 배, 김밥용 우엉,
매실액, 매운 수제양념장, 마늘, 청주, 맛술, 간장, 전분, 밀가루, 즉석밥, 설탕
● 조리방법
1. 두부를 적당한 두께로 썰어 키친타올로 감싸 물기를 제거한다.
2. 아보카도는 씨를 빼고, 껍질을 벗긴다.
3. 불고기용 소고기를 적당한 크기로 썰어 볼에 담아둔다.
4. 마늘을 잘게 다진다.
5. 손질한 불고기용 소고기에 청주, 맛술, 간장, 다진 마늘, 채 썬 적양파를 넣고 버무린다.
6. 비닐팩에 전분, 밀가루를 넣고 섞는다.
7. 두부 사이에 밥을 끼워 샌드를 만들고, 섞어둔 밀가루&amp;전분을 묻힌다.
8. 튀김옷을 입힌 두부샌드를 기름에 튀긴다.
9. 손질한 아보카도를 적당한 두께로 썰어 사이에 밥을 넣어 샌드를 만든 뒤,
섞어둔 밀가루&amp;전분을 묻혀 기름에 튀긴다.
10. 애호박과 표고버섯을 적당한 크기로 썰어 기름을 두른 팬에 볶는다.
11. 배의 껍질을 깎고, 적당한 크기로 썰어 믹서기에 담는다.
12. 믹서기에 김밥용 우엉을 넣고 배와 함께 갈아 소스를 만든다.
13. 볶은 애호박과 표고버섯을 볼에 담아둔다.
14. 마른 팬에 양념한 불고기를 볶는다.
15. 믹서로 간 소스를 체에 밭쳐 내린다.
16. 볶던 불고기에 소스, 전분물, 뜨거운 물, 간장, 설탕, 매실액을 넣는다.
17. 불고기를 볶은 팬에 볶아뒀던 채소를 넣고 다시 한 번 볶는다.
18. 두부샌드와 아보카도샌드를 적당한 크기로 썰어 접시에 담는다.
19. 18 위에 불고기를 얹는다.
20. 매운 수제양념장을 곁들여 낸다.</t>
  </si>
  <si>
    <t>&lt;샘킴 - 소주 한 잔 참치마&gt;
● 재료
참치 통조림, 아보카도, 적양파, 라임, 떡볶이 떡,
청양고추, 마늘, 대파, 간장, 고춧가루, 식초, 설탕, 밀가루, 전분, 소금, 깨
● 조리방법
1. 마른 팬에 참치 통조림을 넣고 볶는다.
2. 청양고추의 씨를 뺀다.
3. 씨를 뺀 청양고추와 마늘을 잘게 다져 팬에 넣고 참치와 함께 볶는다.
4. 볶던 재료에 간장, 고춧가루, 물을 넣고 끓인다.
5. 떡볶이 떡, 대파를 적당한 크기로 썰어 팬에 넣고 다른 재료들과 함께 조린다.
6. 볼에 간장, 식초, 라임즙, 다진 마늘, 설탕, 다진 대파를 넣고 섞어 소스를 만든다.
7. 적양파를 가늘게 채 썰어 밀가루와 전분에 묻힌다.
8. 청양고추를 길게 썬 뒤, 밀가루와 전분에 묻힌다.
9. 튀김옷을 입힌 적양파와 청양고추를 기름에 튀긴다.
10. 기름을 끓이던 팬에 고춧가루를 넣고 끓인 뒤, 체에 밭쳐 걸러 고추기름을 만든다.
11. 그릇에 조린 참치를 담는다.
12. 아보카도를 얇게 썰어 참치 위에 올리고 소금, 잘게 썬 청양고추, 고추기름을 뿌린다.
13. 적양파튀김과 청양고추튀김을 건져 기름을 뺀 뒤, 그릇에 담고 소스를 뿌린다.
14. 대파를 가늘게 채 썰어 올린 뒤, 깨를 뿌려 마무리한다.</t>
  </si>
  <si>
    <t>&lt;김풍 - 두부세요~ 나야♬&gt;
● 재료
두부, 불고기용 소고기, 표고버섯, 떡볶이 떡, 굴소스, 새우젓, 부추, 적양파,
태국고추, 마늘, 대파, 청양고추, 고춧가루, 맛술, 식초, 소금, 후추
● 조리방법
1. 마늘은 으깬 뒤 잘게 다진다.
2. 대파 흰 부분, 청양고추를 적당한 크기로 썬다.
3. 마른 팬에 으깬 마늘, 적당한 크기로 썬 대파와 청양고추를 볶는다.
4. 적양파를 잘게 썰어 팬에 넣고 함께 볶는다.
5. 채소를 볶던 팬에 기름을 넉넉히 두르고 고춧가루를 넣어 볶는다.
6. 표고버섯을 잘게 썰어 팬에 넣는다.
7. 불고기용 소고기를 잘게 다져 팬에 넣고 다른 재료들과 함께 볶는다.
8. 새우젓을 으깬 뒤 볶던 재료에 넣어 간한다.
9. 볶던 재료에 굴소스와 맛술을 넣는다.
10. 볶은 재료에 뜨거운 물을 부어 끓인다.
11. 11에 식초, 잘게 찢은 태국고추를 넣는다.
12. 떡볶이 떡을 잘게 썰어 팬에 넣고 함께 끓인다.
13. 두부를 깍둑썰기한 뒤, 팬에 넣고 다른 재료들과 함께 끓인다.
14. 굴소스와 소금으로 간 한다.
15. 부추를 적당한 크기로 썰어 팬에 넣고 끓인다.
16. 후추를 뿌려 마무리 한 뒤, 완성된 요리를 그릇에 담아낸다.</t>
  </si>
  <si>
    <t>&lt;이연복 - 가위로 오리면&gt;
● 재료
훈제오리살, 적양파, 아스파라거스, 표고버섯, 연근, 귤, 돼지갈비양념,
밀가루, 소금, 마늘, 대파, 후추, 맛술
● 조리방법
1. 볼에 밀가루, 소금, 물을 넣고 치대어 면 반죽을 만든다.
2. 다른 볼로 반죽을 덮어놓고 숙성시킨다.
3. 적양파를 가늘게 채 썬다.
4. 기름을 두른 팬에 슬라이스 된 훈제오리살을 넣고 지진다.
5. 마늘을 으깨고, 대파 흰 부분을 적당한 크기로 썰어 함께 볼에 담아둔다.
6. 아스파라거스와 표고버섯을 적당한 크기로 썰어 채 썬 적양파와 함께 섞어둔다.
7. 연근의 껍질을 벗겨내고 적당한 크기로 썰어 채소들과 함께 둔다.
8. 지진 훈제오리살을 체에 밭쳐 기름기를 뺀다.
9. 오리를 지졌던 팬에 으깬 마늘과 손질한 대파를 넣고 볶는다.
10. 손질한 채소들도 함께 넣고 볶는다.
11. 숙성시킨 면 반죽을, 적당한 크기로 잘라 끓는 물에 넣고 삶는다.
12. 볶던 채소에 간장, 돼지갈비 양념, 귤즙, 소금, 후추, 맛술을 넣는다.
13. 삶은 가위면을 체에 밭치고 찬물에 헹궈 식힌다.
14. 식힌 가위면을 볶던 채소에 넣고 함께 볶는다.
15. 볶은 면과 채소에 지진 훈제오리살을 넣고 함께 볶는다.
16. 완성된 요리를 그릇에 담아 마무리한다.</t>
  </si>
  <si>
    <t>냉장고를 부탁해 시즌 1, 97화</t>
  </si>
  <si>
    <t>&lt;최현석 - 오늘부터 오리는♬&gt;
● 재료
오리고기, 아스파라거스, 적양파, 복숭아, 귤, 소금,
후추, 올리브오일, 레드와인, 레몬, 버터, 밀가루
● 조리방법
1. 아스파라거스를 적당한 크기로 잘라, 소금을 뿌린 뜨거운 물에 넣고 살짝 데친다.
2. 적양파를 가늘게 채 썬다.
3. 마른 팬에 채 썬 적양파를 넣고 볶는다.
4. 오리고기의 껍질과 살을 분리해 절반의 오리살을 핸드블렌더로 갈아 볼에 담아둔다.
5. 남은 절반의 오리살을 칼로 잘게 다진다.
6. 간 오리살과 다진 오리살을 섞어 패티반죽을 만든다..
7. 패티반죽을 적당한 크기로 뭉쳐 패티를 만들고, 소금, 후추,
올리브오일을 뿌린 뒤 골고루 발라준다.
8. 기름을 두른 그릴팬에 오리패티를 굽는다.
9. 8에 소금, 후추로 간 한다.
10. 데친 아스파라거스를 그릴팬 한 쪽에서 굽는다.
11. 복숭아를 적당한 크기로 잘라 껍질을 벗기고 그릴팬에 굽는다.
12. 볶던 적양파에 레드와인, 물, 소금을 넣고 볶아 어니언 페이스트를 만든다.
13. 접시에 구운 아스파라거스를 담고, 어니언 페이스트를 올린다.
14. 귤을 반으로 썰어 즙만 짜낸다.
15. 냄비에 귤즙, 레몬즙, 소금, 버터를 넣고 귤소스를 만든다.
16. 귤소스를 넓은 팬에 옮겨 담고, 버터, 밀가루를 넣어 졸인다.
17. 어니언 페이스트 위에 구운 오리패티를 올리고 구운 복숭아를 얹는다.
18. 귤소스를 뿌려 마무리한다.</t>
  </si>
  <si>
    <t>&lt;오세득 - 고등어가 놀라유&gt;
● 재료
고등어, 매운 고춧가루, 아이스군고구마, 청주, 다진 생강, 고추, 대파,
간장, 맛술, 양파, 즉석밥, 설탕, 물엿, 카놀라유
● 조리방법
1. 무쇠냄비에 카놀라유를 끓인다.
2. 고등어의 잔가시를 제거한다.
3. 고등어 등부분에 칼집을 내고 청주, 생강즙에 담가둔다.
4. 강판에 마늘을 갈아 볼에 담고, 다진 생강, 다진 고추, 적당한 크기로 썬 대파 흰 부분을 섞는다.
5. 4에 간장, 맛술, 뜨거운 물을 넣고 양념장을 만든다.
6. 고등어를 내열접시에 옮겨 담고, 양념장, 매운 고춧가루를 뿌린 뒤 그릇 채로 찜기에 넣는다.
7. 양파를 잘게 썰어 고등어를 담은 내열접시에 올리고 찜기 뚜껑을 닫은 후 찐다.
8. 즉석밥을 전자레인지에 돌린다.
9. 아이스군고구마를 적당한 크기로 자른 뒤, 기름을 두른 팬에 익힌다.
10. 익힌 군고구마를 체에 밭쳐 기름기를 뺀다.
11. 군고구마를 익혔던 팬에 설탕, 물엿을 넣고 끓여 맛탕소스를 만든다.
12. 익힌 군고구마를 맛탕소스에 넣고 섞는다.
13. 접시에 고구마 맛탕을 담아낸다.
14. 그릇에 밥을 담는다.
15. 고등어 찜 위에 끓인 카놀라유를 뿌린다.
16. 고등어 찜의 기름기를 걷어내고 마무리한다.</t>
  </si>
  <si>
    <t>&lt;정호영 - 고등어 하나만 허락해주소서♬&gt;
● 재료
고등어, 감자, 명란젓, 옥수수 통조림, 아스파라거스, 청주, 맛술,
설탕, 소금, 버터, 깨, 참기름, 마요네즈, 다진 생강, 즉석밥
● 조리방법
1. 고등어를 청주에 담가 비린내를 제거하고, 잔가시를 제거한다.
2. 고등어 등 부분에 칼집을 낸다.
3. 마른 팬에 고등어를 살 부분부터 익힌다.
4. 고등어를 익히는 팬에 물, 청주, 맛술, 설탕, 생강즙을 넣어 끓이다 거품을 걷어낸다.
5. 고등어를 익히는 팬에 간장을 넣고 고등어에 양념을 끼얹어가며 조린다.
6. 즉석밥을 전자레인지에 돌린다.
7. 감자를 적당한 크기로 썰어 뜨거운 물에 삶는다.
8. 볼에 명란젓을 담고 마요네즈와 섞는다.
9. 옥수수 통조림의 내용물을 체에 밭쳐 건더기만 건져 볼에 담는다.
10. 삶은 감자를 체에 밭쳐 물기를 제거하고, 볼에 담아 재료들과 함께 으깬다.
11. 10에 소금으로 간한다.
12. 버터를 두른 팬에 적당한 크기로 뭉친 명란감자를 굽는다.
13. 아스파라거스를 적당한 크기로 썰고, 고등어조림에 넣어 익힌다.
14. 접시에 완성된 명란감자를 담는다.
15. 볼에 밥을 담고, 깨, 참기름을 넣고 섞은 뒤 적당한 크기로 뭉쳐 접시에 담는다.
16. 명란감자 위에 고등어조림, 조림양념, 아스파라거스를 얹어 마무리한다.</t>
  </si>
  <si>
    <t>&lt;김풍 - 블링토볼&gt;
● 재료
살치살, 조미료, 샐러드용 채소, 토마토, 양파, 소금, 식초, 설탕, 후추,
올리브오일, 마늘, 고추, 대파, 식용유, 달걀, 즉석밥
● 조리방법
1. 토마토를 잘게 썰어 볼에 담아둔다.
2. 양파를 잘게 썰어 토마토와 함께 볼에 담아둔다.
3. 잘게 썬 토마토와 양파에 소금, 식초, 설탕을 넣고 섞는다.
4. 3에 후추, 올리브오일을 넣고 섞어 토마토살사를 만든다.
5. 적당한 크기로 썬 양파, 마늘, 고추, 대파를 핸드블렌더로 간다.
6. 5에 적당한 크기로 썬 살치살을 넣고 다시 한 번 간다.
7. 핸드블렌더로 간 재료에 식용유를 넣는다.
8. 핸드블렌더 속 재료들에 조미료를 넣은 뒤, 다시 갈아준다.
9. 마른 팬에 간 재료들을 넣고 볶는다.
10. 끓인 물에 달걀을 넣고 반숙으로 익힌다.
11. 즉석밥을 전자레인지에 돌린다.
12. 샐러드용 채소를 적당한 크기로 썬다.
13. 볶던 고기에 후추를 넣는다.
14. 접시에 밥을 담는다.
15. 달걀을 익힌 냄비의 불을 끈다.
16. 밥 위에 볶은 고기, 샐러드용 채소, 토마토살사를 얹는다.
17. 반숙으로 익힌 달걀을 올려 마무리한다.</t>
  </si>
  <si>
    <t>냉장고를 부탁해 시즌 1, 98화</t>
  </si>
  <si>
    <t>&lt;오세득 - 입맛다시징&gt;
● 재료
오징어, 조미료, 태국고추, 엔다이브, 대파, 양파,
청양고추, 마늘, 간장, 전분, 참기름, 즉석밥
● 조리방법
1. 오징어의 껍질을 벗긴다.
2. 껍질을 벗긴 오징어에 촘촘히 칼집을 낸다.
3. 칼집을 낸 오징어를 적당한 크기로 썬다.
4. 적당한 크기로 썬 오징어에 뜨거운 물을 부어 데친다
5. 전자레인지에 즉석밥을 돌린다.
6. 대파 흰 부분, 양파, 청양고추, 태국고추를 적당한 크기로 썬다.
7. 볼에 뜨거운 물을 담고, 조미료를 푼다.
8. 기름을 두른 팬에 다진 마늘, 적당한 크기로 썬 청양고추와 태국고추를 넣고 볶는다.
9. 8에 적당한 크기로 썬 양파, 간장, 조미료를 푼 물을 넣고 볶는다.
10. 볶던 채소에 물을 넣어 간을 맞춘다.
11. 볶던 채소에 전분물, 참기름을 넣는다.
12. 11에 칼집을 내 데친 오징어와 적당한 크기로 썬 엔다이브를 넣고 함께 볶는다.
13. 접시에 오징어채소볶음을 담는다.
14. 오징어채소볶음 위에 참기름을 뿌린다.
15. 접시에 밥을 따로 담아낸다.</t>
  </si>
  <si>
    <t>&lt;이연복 - 야들야들한~♬ 고추완자&gt;
● 재료
살치살, 닭가슴살, 애플망고, 아스파라거스, 매실장아찌, 양파,
청양고추, 달걀, 버터, 후추, 소금, 전분, 설탕, 레몬, 마요네즈
● 조리방법
1. 양파를 잘게 썰어 볼에 담아둔다.
2. 매실장아찌, 청양고추를 잘게 썰어 양파와 함께 볼에 담는다.
3. 살치살과 닭가슴살을 적당한 크기로 썬 후, 칼로 곱게 다져 섞는다.
4. 팬에 버터를 넣고 녹인다.
5. 곱게 다진 살치살과 닭가슴살을 잘게 썰어둔 채소들과 함께 담고,
후추, 달걀, 소금, 전분, 녹인 버터를 넣고 섞어 완자반죽을 만든다.
6. 완자반죽을 적당한 크기로 떼어 넉넉하게 기름을 두른 팬에 튀긴다.
7. 애플망고 과육, 설탕, 레몬즙을 핸드블렌더로 곱게 간다.
8. 7에 마요네즈를 넣고 다시 갈아 애플망고소스를 만든다.
9. 아스파라거스를 손질한 뒤, 끓는 물에 넣어 데친다.
10. 데친 아스파라거스를 찬물에 헹궈 식히고, 잘게 썬다.
11. 튀긴 완자를 체에 밭쳐 기름기를 뺀다.
12. 그릇에 애플망고소스를 담는다.
13. 소스 위에 튀긴 완자를 올린다.
14. 잘게 썬 데친 아스파라거스를 올려 완성한다.</t>
  </si>
  <si>
    <t>&lt;정호영 - 오징어 카니발♬&gt;
● 재료
오징어, 태국고추, 달걀, 전분, 설탕, 소금, 버터, 마늘,
식용유, 고춧가루, 청양고추, 대파, 케첩
● 조리방법
1. 오징어의 껍질을 벗긴다.
2. 껍질을 벗긴 오징어를 적당한 크기로 썰어 핸드블렌더에 넣는다.
3. 오징어가 담긴 핸드블렌더에 전분, 달걀흰자, 설탕, 소금을 넣고 곱게 갈아 오징어반죽을 만든다.
4. 오징어반죽을 완자 크기로 떼어 끓는 물에 넣고 삶는다.
5. 버터를 볼에 담아 전자레인지에 돌려 녹인다.
6. 다른 볼에 달걀, 설탕, 녹인 버터를 넣고 잘 섞어 달걀물을 만든다.
7. 팬에 달걀물을 붓고 익힌다.
8. 오징어반죽을 비닐팩에 담고 짤주머니를 만든 뒤, 달걀지단 위에 짜낸다.
9. 달걀지단을 돌돌 말아 오징어달걀말이를 만든다.
10. 오징어달걀말이를 김발로 말고, 고무줄로 고정시켜 모양을 잡는다.
11. 마늘을 잘게 썬다.
12. 팬에 잘게 썬 마늘과 식용유, 고춧가루, 잘게 찢은 태국고추, 잘게 썬 청양고추를 넣는다.
13. 12에 잘게 썬 대파 흰 부분을 넣고 함께 볶는다.
14. 볶은 재료에 오징어완자를 삶은 물과 케첩, 설탕을 넣고 졸여 칠리소스를 만든다.
15. 삶은 오징어완자를 칠리소스에 넣고 섞는다.
16. 김발로 고정해뒀던 오징어달걀말이를 적당한 크기로 썬다.
17. 접시에 칠리 오징어완자를 담고, 잘게 썬 청양고추를 올린다.
18. 오징어달걀말이를 곁들여 완성한다.</t>
  </si>
  <si>
    <t>&lt;최현석 - 짐승롤&gt;
● 재료
돼지고기, 인스턴트 LA갈비, 크림치즈, 우유, 토마토소스, 달걀,
표고버섯, 휘핑크림, 대파, 양파, 레몬, 밀가루, 소금
● 조리방법
1. 냄비에 각각 우유와 휘핑크림을 붓고 끓인다.
2. 돼지고기, LA갈비, 표고버섯, 대파, 양파를 적당한 크기로 썰어 기름을 두른 팬에 볶는다.
3. 2에 소금으로 간한다.
4. 볶던 재료와 끓이는 우유, 휘핑크림에 후추를 넣는다.
5. 끓이던 우유에 레몬즙을 넣고, 끓이던 휘핑크림에 크림치즈를 넣어 크림소스를 만든다.
6. 볶은 재료를 핸드블렌더에 넣고 간다.
7. 핸드블렌더에 밀가루와 달걀을 넣고 돌려 반죽을 만든다.
8. 반죽을 밀어 면을 만든다.
9. 면을 넓은 네모모양으로 잘라 끓는 물에 삶는다.
10. 레몬즙을 넣어 끓인 우유를 면보에 걸러 리코타치즈를 만든다.
11. 마른 팬에 토마토소스를 넣고 끓인다.
12. 삶은 면을 건져 키친타월에 올린 뒤 물기를 제거한다.
13. 볶아서 갈아둔 고기에 리코타치즈를 넣고 섞어 소를 만든다.
14. 넓은 면 위에 소를 올리고 돌돌 말아 파이프모양을 만든다.
15. 그릇에 크림소스를 붓고 파이프면을 적당한 크기로 잘라 올린 뒤, 다시 크림소스를 끼얹는다.
16. 끓인 토마토소스를 올려 마무리한다.</t>
  </si>
  <si>
    <t>냉장고를 부탁해 시즌 1, 99화</t>
  </si>
  <si>
    <t>&lt;모토카와 - 스바라시멘&gt;
● 재료
돼지고기, 컵라면, 애호박, 깻잎, 견과류, 표고버섯, 갓김치, 냉면면, 청포도,
명란젓, 멸치볶음, 달걀, 전분, 올리브오일, 소금, 간장, 맛술, 후추, 고춧가루
● 조리방법
1. 컵라면의 면에 끓는 물을 부어 익힌다.
2. 끓는 물에 냉면면을 넣고 익힌 뒤, 체에 밭쳐 건지고 찬물에 식힌다.
3. 익은 컵라면을 찬물에 식힌 뒤, 다시 한 번 뜨거운 물을 부어 익힌다.
4. 볼에 달걀흰자를 넣고 거품기로 친다.
5. 달걀흰자에 전분을 넣는다.
6. 익힌 컵라면면을 다시 한 번 찬물에 식힌 뒤, 전분을 넣은 달걀흰자와 함께 버무린다.
7. 돼지고기 위에 깻잎, 청포도를 올리고 돌돌 만다.
8. 종이포일 위에 달걀흰자에 버무린 컵라면 면을 깔고 청포도를 넣은 돼지고기롤을 올려 돌돌 만다.
9. 종이포일로 감싼 롤을 쿠킹포일로 다시 한 번 감싼다.
10. 포일로 감싼 롤을 꼬치로 찔러 구멍을 내고, 기름에 넣어 튀긴다.
11. 핸드블렌더에 깻잎, 표고버섯, 갓김치, 견과류, 올리브오일을 넣고 간다.
12. 간 재료에 소금, 간장, 맛술을 넣고 섞어 갓김치페스토를 만든다.
13. 믹서기에 멸치볶음을 넣고 곱게 간다.
14. 튀긴 롤을 꺼내 포일을 벗기고 팬에 올린 뒤 올리브오일을 뿌려 굽는다.
15. 표고버섯을 얇게 썰어 기름을 두른 팬에서 굽는다.
16. 냉면면의 물기를 짜낸 뒤, 구운 표고버섯, 갓김치페스토, 소금, 후추와 함께 섞는다.
17. 접시에 갓김치페스토에 버무린 면을 올린다.
18. 팬에서 다시 한 번 익힌 롤을 적당한 크기로 썰어 접시 위에 올린다.
19. 명란젓의 속만 꺼내 마요네즈를 섞어 롤 위에 올린다.
20. 애호박을 얇게 썰어 플레이팅한다.
21. 곱게 간 멸치볶음을 접시 위에 흩뿌린다.
22. 다른 롤 위에 갓김치페스토를 올리고, 명란마요네즈를 올린 롤 위에 고춧가루를 뿌린다.</t>
  </si>
  <si>
    <t>&lt;샘킴 - 단결! 곰탕이지말입니다&gt;
● 재료
인스턴트 곰탕, 불고기용 돼지고기, 통오징어, 애호박, 깻잎, 미니파프리카, 양파, 다진 마늘,
레몬, 고추, 고춧가루, 고추장, 참기름, 간장, 물엿, 맛술, 후추, 화이트와인, 버터
● 조리방법
1. 양파, 애호박을 슬라이스 한다.
2. 기름을 두른 그릴팬에 슬라이스한 양파와 애호박, 손질한 미니파프리카를 굽는다.
3. 냄비에 인스턴트 곰탕을 넣고 끓인다.
4. 볼에 고춧가루, 고추장, 참기름, 간장, 다진 마늘, 물엿을 넣는다.
5. 4에 맛술, 후추, 불고기용 돼지고기를 넣고 버무린다.
6. 팬에 통후추와 잘게 썬 양파를 넣고, 화이트와인을 부어 끓인다.
7. 그릴팬에 굽던 채소에 소금으로 간한다.
8. 구운 채소를 잘게 썰고, 볼에 담아 식힌다.
9. 통오징어의 껍질을 벗긴다.
10. 마른 팬에 양념한 돼지고기를 넣고, 후추를 뿌려 익힌다.
11. 볶은 고추장불고기와 구운 채소를 통오징어 안에 채워 넣고 꼬치로 봉한다.
12. 기름을 두른 그릴팬에 속을 채운 통오징어를 굽는다.
13. 양파를 넣고 끓이던 화이트와인에 레몬즙, 끓인 인스턴트 곰탕, 버터를 넣고 곰탕소스를 만든다.
14. 고추와 깻잎을 잘게 썬다.
15. 접시에 구운 채소를 담는다.
16. 채소 위에 고추장불고기를 채워 구운 통오징어를 올리고, 잘게 썬 깻잎과 고추를 얹는다.
17. 곰탕소스를 끼얹어 마무리한다.</t>
  </si>
  <si>
    <t>&lt;미카엘 - I'll be back♬&gt;
● 재료
돼지목살, 훈제오리, 수비드치킨, 감자, 미니파프리카, 애호박, 청양고추, 그린올리브, 방울토마토,
휘핑크림, 인스턴트 곰탕, 모차렐라&amp;체다 치즈, 토마토소스, 양파, 마늘, 소금, 고춧가루
● 조리방법
1. 감자를 적당한 크기로 썬다.
2. 끓는 물에 적당한 크기로 썬 감자와 소금을 넣고 삶는다.
3. 돼지목살, 훈제오리, 수비드치킨을 적당한 크기로 썬다.
4. 기름을 두른 팬에 손질한 돼지목살과 가늘게 채 썬 양파를 넣고 볶는다.
5. 손질한 미니파프리카와 애호박, 훈제오리를 팬에 넣고 함께 볶는다.
6. 청양고추, 마늘을 잘게 다져 팬에 넣고 함께 볶는다.
7. 볶던 재료에 고춧가루를 넣는다.
8. 그린올리브, 방울토마토를 잘게 썬다.
9. 볶던 재료에 휘핑크림을 붓고 끓인다.
10. 9에 인스턴트 곰탕, 손질한 수비드치킨, 토마토소스, 손질한 방울토마토, 소금을 넣고 끓인다.
11. 삶은 감자를 체에 밭쳐 물기를 빼고, 다른 재료들과 함께 끓인다.
12. 끓인 재료를 뚝배기에 옮겨 담고 모차렐라&amp;체다 치즈를 올린 뒤, 예열한 오븐에 넣어 익힌다.
13. 잘게 썬 올리브를 올려 마무리한다.</t>
  </si>
  <si>
    <t>&lt;이연복 - 하룻강아지 복 무서운 줄 알고 오삼&gt;
● 재료
삼겹살, 오징어, 명란젓, 케첩, 허니머스터드, 달걀, 양파, 대파, 마늘,
소금, 후추, 밀가루, 전분, 식용유, 고춧가루
● 조리방법
1. 핸드블렌더에 적당한 크기로 썬 삼겹살, 달걀물, 소금, 후추를 넣고 갈아 볼에 담아둔다.
2. 양파를 잘게 다져, 갈아둔 삼겹살과 함께 담아둔다.
3. 오징어의 껍질을 벗기고, 촘촘하게 칼집을 낸다.
4. 칼집을 낸 오징어를 적당한 크기로 썰어 밀가루를 묻힌다.
5. 볼에 밀가루, 전분, 달걀물, 물, 식용유를 넣고 반죽해 튀김옷을 만든다.
6. 손질한 오징어 &gt; 명란젓 &gt; 다진 삼겹살을 켜켜이 쌓아 접시에 담는다.
7. 6에 튀김옷을 뿌려 모양이 흐트러지지 않게 한다.
8. 튀김옷을 입힌 오징어삼겹살을 기름에 튀긴다.
9. 기름이 담긴 팬에 손질한 대파와 고춧가루를 넣고 끓여 고추기름을 만든다.
10. 끓인 고추기름을 체에 밭쳐 건더기를 걸러낸다.
11. 마늘을 다진 뒤, 고추기름, 허니머스터드, 케첩을 넣고 섞어 칠리소스를 만든다.
12. 오징어삼겹살튀김을 접시에 담는다.
13. 칠리소스를 따로 담아 완성한다.</t>
  </si>
  <si>
    <t>냉장고를 부탁해 시즌 1, 100화</t>
  </si>
  <si>
    <t xml:space="preserve">&lt;최형진 - 황금탕수육&gt;
● 재료
돼지목살, 청포도, 사과, 견과류, 복분자즙, 양파, 대파, 고추, 레몬,
다진 생강, 밀가루, 전분, 식용유, 간장, 식초, 설탕
● 조리방법
1. 돼지목살을 칼 옆면과 칼등으로 두드려 부드럽게 만든다.
2. 부드럽게 만든 돼지목살을 길쭉하게 썬다.
3. 견과류를 으깬 뒤, 볼에 담아둔다.
4. 볼에 밀가루:전분:으깬 견과류(2:5:3)를 담는다.
5. 4에 물과 식용유를 넣어 반죽해 튀김옷을 만든다.
6. 손질한 돼지목살에 튀김옷을 입힌 뒤, 기름에 튀긴다.
7. 손질한 양파, 레몬, 대파, 고추, 사과를 기름을 두른 팬에 넣고,
뜨거운 물을 부어 채소과일육수를 끓인다.
8. 양파를 가늘게 채 썰고, 청포도를 잘게 자른다.
9. 채 썬 양파와 잘게 썬 청포도를 마른 팬에 볶는다.
10. 끓이던 채소과일육수에 생강즙, 복분자즙을 넣는다.
11. 간장:식초:설탕:채소과일육수(1:2:2:5)를 섞어 소스를 만든다.
12. 볶은 양파와 청포도를 볼에 담아 식힌다.
13. 소스를 끓이다가 전분물을 넣어 농도를 조절한다.
14. 탕수육을 접시에 담고, 볶은 청포도와 양파를 얹은 뒤 소스를 따로 담아낸다.
</t>
  </si>
  <si>
    <t>&lt;최현석 - 청고마비&gt;
● 재료
고등어, 청포도, 사과주스, 레몬, 대파, 다진 생강, 버터, 소금, 후추, 밀가루
● 조리방법
1. 대파를 적당한 크기로 썬 뒤, 소금간을 한다.
2. 기름을 두른 팬에 소금으로 간 한 대파를 굽는다.
3. 볼에 사과주스, 생강즙, 다진 생강, 레몬즙을 넣은 뒤, 면보에 걸러 끓인다.
4. 3에 레몬껍질을 갈아 넣고, 버터를 넣어 사과생강소스를 만든다.
5. 고등어의 잔가시를 제거하고 껍질을 벗긴 뒤, 소금과 후추로 간 한다.
6. 간을 한 고등어에 밀가루를 묻히고 기름을 두른 팬에 굽는다.
7. 청포도를 반으로 썰고 얇게 슬라이스한다.
8. 구운 고등어 위에 얇게 슬라이스한 청포도를 비늘처럼 덮는다.
9. 접시에 구운 대파를 담는다.
10. 구운 대파 위에 청포도를 올린 구운 고등어 올린다.
11. 사과생강소스를 따로 담아낸다.</t>
  </si>
  <si>
    <t>&lt;이재훈 - 나비효과&gt;
● 재료
오징어, 전복, 명란젓, 멸치볶음, 두부, 조미김, 인스턴트 맛조개국, 깻잎장아찌,
마늘, 양파, 대파, 달걀, 화이트와인, 즉석밥, 밀가루, 전분, 올리브오일, 소금, 후추, 고추냉이
● 조리방법
1. 마른 팬에 으깬 통마늘과 채 썬 양파, 잘게 썬 대파를 넣고 볶는다.
2. 전복을 손질해 적당한 크기로 썬다.
3. 적당한 크기로 썬 전복과 명란젓을 채소를 볶던 팬에 넣고, 화이트와인을 부어 함께 볶는다.
4. 볶던 재료에 인스턴트 맛조개국과 물을 넣고 끓인다.
5. 4에 즉석밥을 넣고 끓여 전복명란리소토를 만든다.
6. 볼에 밀가루, 전분, 잘게 다진 멸치볶음, 조미김을 넣는다.
7. 6에 올리브오일과 물을 넣고 섞어 튀일반죽을 만든다.
8. 마른 팬에 튀일반죽을 얇게 붓고 굽는다.
9. 핸드블렌더에 적당한 크기로 손질한 오징어와 두부, 소금, 후추,
고추냉이, 양파, 깻잎장아찌를 넣고 갈아 튀김반죽을 만든다.
10. 튀김반죽에 밀가루를 넣고 섞은 뒤, 적당한 크기로 뭉쳐 겉에 밀가루를 입힌다.
11. 밀가루를 입힌 튀김반죽에 달걀물&gt;잘게 부순 라면 순으로 튀김옷을 입힌다.
12. 오징어라면튀김을 끓는 기름에 튀겨낸 뒤, 건져서 오븐에서 다시 한 번 굽는다.
13. 구운 튀일을 꺼내 한 김 식힌다.
14. 접시에 전복명란리소토를 담는다.
15. 리소토 위에 오징어라면튀김을 올린다.
16. 튀김 사이에 튀일을 꽂아 나비 날개 모양을 만든다.</t>
  </si>
  <si>
    <t>&lt;샘킴 - 샘통이다&gt;
● 재료
오징어, 낙지, 소고기 양지, 골뱅이 통조림, 애호박, 허니머스터드, 감자, 송이버섯,
파르메산 치즈가루, 무, 대파, 마늘, 레몬, 소금, 참기름, 간장, 후추, 마요네즈, 올리브오일
● 조리방법
1. 소고기 양지를 적당한 크기로 썬다.
2. 적당한 크기로 썬 소고기 양지와 대파 흰 부분을 냄비에 넣고 끓여 소고기육수를 낸다.
3. 감자의 껍질을 벗겨내고 적당한 크기로 썰어 끓는 물에 익힌다.
4. 마른 팬에 적당한 크기로 썬 소고기 양지를 넣고 볶다가, 소금, 참기름, 으깬 마늘을 넣는다.
5. 무를 적당한 크기로 썰어 넣고 소고기 양지와 함께 볶는다.
6. 볶던 재료에 소고기육수와 간장을 넣고 소고기뭇국을 끓인다.
7. 애호박은 얇게 썰고, 송이버섯은 잘게 찢어 접시에 담아둔다.
8. 낙지를 적당한 크기로 썰어 담아둔다.
9. 기름을 두른 팬에 얇게 썬 애호박을 굽는다.
10. 애호박을 굽는 팬에 적당한 크기로 썬 낙지를 넣고 익히다가, 후추로 간 한다.
11. 통오징어를 적당한 크기로 썰어 팬에 넣고 함께 익힌다.
12. 재료를 익히는 팬에 잘게 찢은 송이버섯을 넣고 함께 볶는다.
13. 골뱅이를 잘게 다진 뒤, 허니머스터드, 잘게 썬 양파,
마요네즈, 레몬즙, 올리브오일, 후추를 넣고 섞는다.
14. 익힌 감자를 건져내고 파르메산 치즈가루, 후추를 뿌려 으깬다.
15. 볶은 애호박, 낙지, 송이버섯을 그릇에 담는다.
16. 볶은 재료들 위에 익힌 오징어를 얹고, 안에 으깬 감자를 채운다.
17. 소고기뭇국 국물을 담는다.
18. 송이버섯을 잘게 썰어 올린다.
19. 대파 흰 부분을 잘게 썰어 올린 뒤, 양념한 골뱅이를 얹고 후추를 뿌려 마무리한다.</t>
  </si>
  <si>
    <t>냉장고를 부탁해 시즌 1, 101화</t>
  </si>
  <si>
    <t>&lt;레이먼킴 - 낙장불입&gt;
● 재료
낙지, 장어, 인삼뿌리, 위스키, 인삼음료, 영양부추, 파르메산 치즈가루, 양파,
마늘, 밀가루, 식용유, 마요네즈, 고추냉이, 소금, 고춧가루, 즉석밥
● 조리방법
1. 양파를 채 썬다.
2. 마늘을 편으로 썬다.
3. 기름을 두른 냄비에 손질한 양파와 마늘, 장어를 넣고 익힌다.
4. 낙지를 적당한 크기로 썰어 냄비에 넣고 다른 재료와 함께 익힌다.
5. 냄비 속 재료에 위스키를 뿌린 뒤, 불을 붙여 비린내를 제거한다.
6. 재료가 담긴 냄비에 인삼음료, 물, 인삼뿌리를 넣고 끓여 장어육수를 낸다.
7. 끓이던 장어육수에 영양부추를 넣고 뚜껑을 닫아 푹 끓인다.
8. 볼에 밀가루, 물, 식용유를 넣고 섞어 튀김반죽을 만든다.
9. 튀김반죽에 마요네즈를 넣고 섞는다.
10. 적당한 크기로 썬 낙지에 고추냉이와 소금을 넣고 버무린다.
11. 기름을 두른 팬에 채 썬 양파, 즉석밥을 넣고 볶는다.
12. 볶던 밥에 장어육수를 넣고 조려 리소토를 만든다.
13. 육수를 낸 장어를 건져 잘게 썬다.
14. 잘게 썬 장어를 리소토에 넣고 장어리소토를 만든다.
15. 장어리소토에 소금, 파르메산 치즈가루를 넣고 섞는다.
16. 고추냉이에 버무린 낙지에 튀김옷을 입히고, 기름에 넣어 튀긴다.
17. 한 번 튀겨낸 낙지에 튀김옷을 입혀 다시 한 번 튀긴다.
18. 장어리소토를 접시에 담고, 위에 낙지튀김을 얹는다.
19. 소스볼에 파르메산 치즈가루와 고춧가루를 섞어 따로 낸다.</t>
  </si>
  <si>
    <t>&lt;김풍 - 깨지겠탕&gt;
● 재료
소고기 양지, 황태채, 들깨가루, 굴소스, 쌈추, 부추, 팽이버섯,
감자, 마늘, 청양고추, 참기름, 소금, 식초, 즉석밥
● 조리방법
1. 소고기 양지를 적당한 크기로 썬다.
2. 핸드블렌더에 소고기 양지와 물에 불린 황태채를 넣고 간다.
3. 기름을 넉넉히 두른 팬에 곱게 간 재료를 넣고 튀기듯이 볶는다.
4. 마늘을 다져 팬에 넣고 다른 재료와 함께 볶는다.
5. 볶던 재료에 참기름과 굴소스, 들깨가루를 넣고 볶는다.
6. 볶은 재료에 뜨거운 물을 붓고 소고기 들깨탕을 끓인다.
7. 소고기 들깨탕에 팽이버섯, 손질한 쌈추를 넣는다.
8. 감자를 가늘게 채 썬다.
9. 채 썬 감자를 찬물에 씻어 전분기를 빼고 물기를 제거해 볼에 담아둔다.
10. 청양고추를 적당한 크기로 썰어 감자채와 함께 볼에 담아둔다.
11. 전자레인지에 즉석밥을 넣고 돌린다.
12. 마른 팬에 감자채와 청양고추를 넣고 볶다가 소금, 식초를 넣고 볶는다.
13. 부추를 적당한 크기로 썰어 소고기 들깨탕에 넣는다.
14. 소고기 들깨탕을 그릇에 담는다.
15. 감자볶음을 접시에 따로 담아낸다.
16. 밥을 따로 내 마무리한다.</t>
  </si>
  <si>
    <t>&lt;김민준 - 콩닭거렸쌈&gt;
● 재료
인스턴트 닭발, 송편, 곶감, 블루베리, 꿀에 절인 인삼, 인삼음료, 마누카 꿀, 흑마늘액, 능이버섯 달인 물,
땅콩, 콩잎장아찌, 증류소주, 영양부추, 레몬, 설탕, 물엿, 참기름, 깨, 소금, 겨자, 즉석밥
● 조리방법
1. 냄비에 인삼음료를 넣고 끓인다.
2. 끓이던 인삼음료에 설탕, 물, 물엿, 마누카 꿀을 넣고 끓인다.
3. 끓이던 재료에 꿀에 절인 인삼을 넣어 인삼소스를 만든다.
4. 기름을 두른 팬에 송편을 굽는다.
5. 전자레인지에 즉석밥을 넣고 돌린다.
6. 구운 송편을 볼에 담아 식힌다.
7. 송편을 구웠던 팬에 적당한 크기로 자른 곶감과 으깬 땅콩을 넣고 볶는다.
8. 기름을 두른 팬에 인스턴트 닭발을 볶다가 적당한 크기로 자른 뒤, 레몬즙을 넣는다.
9. 콩잎장아찌를 물에 헹군 뒤, 물기를 제거한다.
10. 끓이던 인삼소스에 볶은 곶감과 땅콩을 넣고 졸여 강정소스를 만든다.
11. 구운 송편을 접시에 담고, 강정소스를 뿌려 송편 강정을 만든다.
12. 볼에 밥, 영양부추, 참기름, 깨, 볶은 닭발을 넣고 버무린다.
13. 12를 적당한 크기로 뭉친 뒤, 콩잎장아찌로 감싸 접시에 담는다.
14. 칵테일 셰이커에 증류소주, 능이버섯 달인 물, 레몬즙을 넣고 섞는다.
15. 유리잔에 레몬즙과 소금을 차례로 묻힌다.
16. 볼에 흑마늘액, 겨자를 넣고 섞어 흑마늘소스를 만든 뒤, 콩잎쌈밥에 곁들인다.
17. 소금을 묻힌 유리잔에 능이버섯주를 담아 마무리한다.</t>
  </si>
  <si>
    <t>&lt;최현석 - 오마이갓코스&gt;
● 재료
소고기 등심, 수비드 닭가슴살, 바닐라 아이스크림, 크림치즈, 우유, 웨하스 초콜릿, 아몬드,
유자청, 체다치즈, 굴소스, 레몬, 양파, 대파, 당근, 달걀, 간장, 올리브오일, 버터, 밀가루, 소금
● 조리방법
1. 웨하스 초콜릿을 잘게 부순 뒤, 중탕으로 녹인다.
2. 레몬즙을 낸다.
3. 핸드블렌더에 레몬즙, 유자청, 간장을 넣고 곱게 갈아 레몬유자소스를 만든다.
4. 레몬유자소스를 체에 밭쳐 곱게 거른 뒤, 올리브오일을 넣는다.
5. 양파를 채칼로 얇게 썰어 얼음물에 담가둔다.
6. 마른 팬에 적당한 크기로 썬 소고기를 넣고 한 면만 익힌다.
7. 한 면만 익힌 소고기를 얇게 썰어 접시에 담는다.
8. 소고기 위에 레몬유자소스를 뿌린 뒤, 얼음물에 담아둔 양파채의 물기를 빼고 올린다.
9. 대파 흰 부분을 잘게 썰어, 버터를 두른 팬에 볶는다.
10. 핸드블렌더에 아몬드를 넣고 간다.
11. 수비드 닭가슴살에 밀가루&gt;달걀물&gt;아몬드가루를 입혀 기름에 튀긴다.
12. 튀긴 아몬드닭가슴살에 볶은 대파와 체다치즈를 올리고 전자레인지에 돌려 치즈를 녹인다.
13. 당근을 적당한 크기로 썬 뒤, 핸드블렌더로 간다.
14. 냄비에 버터를 녹이다가, 곱게 간 당근과 크림치즈, 밀가루,
우유, 굴소스, 소금을 넣고 끓여 당근수프를 만든다.
15. 믹서기에 당근수프를 넣고 간다.
16. 체다치즈를 올려서 녹인 아몬드닭가슴살튀김을 접시에 담는다.
17. 중탕한 웨하스 초콜릿을 그릇에 담고, 바닐라 아이스크림을 올린 뒤,
웨하스 초콜릿을 곱게 갈아 뿌린다.
18. 그릇에 당근수프를 담아낸다.</t>
  </si>
  <si>
    <t>냉장고를 부탁해 시즌 1, 102화</t>
  </si>
  <si>
    <t>&lt;미카엘 - 미식풀코스&gt;
● 재료
수비드 닭가슴살, 바닐라 아이스크림, 아몬드, 초콜릿, 짬뽕라면, 깍두기, 양배추즙,
대파, 당근, 양파, 레몬, 달걀, 올리브오일, 식초, 소금, 후추,
● 조리방법
1. 초콜릿을 중탕해서 녹인다.
2. 깍두기를 물에 헹궈 양념을 씻어낸다.
3. 양념을 씻어낸 깍두기와 당근을 그레이터를 이용해 얇게 썬다.
4. 대파를 잘게 썰어 손질한 깍두기, 당근과 함께 담아둔다
5. 4에 레몬즙, 올리브오일, 식초, 소금, 후추를 넣고 버무려 깍두기샐러드를 만든다.
6. 접시에 깍두기샐러드를 담는다.
7. 달걀 흰자를 쳐서 머랭을 만든다.
8. 핸드블렌더에 아몬드를 넣고 간다.
9. 머랭에 곱게 간 아몬드를 넣고 섞는다.
10. 기름을 두른 팬에 아몬드머랭을 넣고 구워 머랭케이크를 만든다.
11. 양파, 당근을 잘게 썰어 기름을 두른 팬에 넣고 볶는다.
12. 볶은 재료에 양배추즙과 끓는 물을 넣고 끓인다.
13. 수비드 닭가슴살을 적당한 크기로 썬 뒤, 끓이던 재료에 함께 넣고 수프를 끓인다.
14. 짬뽕라면 면을 잘게 부숴, 수프에 넣고 함께 끓인다.
15. 볼에 달걀, 레몬즙을 넣고 섞은 뒤, 체에 걸러 수프에 넣고 끓인다.
16. 그릇에 닭가슴살 수프를 담고, 대파를 잘게 썰어 올린다.
17. 접시에 녹인 중탕으로 초콜릿을 바르고, 머랭케이크를 원형틀로 모양을 내서 올린다.
18. 바닐라 아이스크림을 적당한 크기로 썰어, 머랭케이크 위에 올린다.
19. 초콜릿&gt;머랭케이크&gt;초콜릿 순서로 아이스크림 위에 올린 뒤,
초콜릿으로 접시에 데커레이션을 한다.
20. 초콜릿을 갈아 머랭케이크 위에 뿌린다.
21. 곱게 간 아몬드를 뿌려 마무리한다.</t>
  </si>
  <si>
    <t>&lt;샘킴 - 잭슨 앤 치즈스테이크&gt;
● 재료
소고기 등심, 수비드 닭가슴살, 크림치즈, 체다치즈, 우유,
아몬드, 양파, 레몬, 소금, 후추, 밀가루, 버터
● 조리방법
1. 수비드 닭가슴살을 잘게 썬다.
2. 소고기 등심을 잘게 썰고, 기름을 두른 팬에 손질한 닭가슴살과
소고기를 볶다가 소금, 후추로 간 한다.
3. 마른 팬에 밀가루와 버터를 볶아 루를 만든다.
4. 양파를 동그랗게 썰어 기름을 두른 팬에 굽다가 소금, 후추로 간 한다.
5. 루에 우유와 체다치즈를 넣고 끓여 체다치즈소스를 만든다.
6. 체다치즈소스에 소금, 후추로 간한다.
7. 볼에 크림치즈와 잘게 부순 아몬드, 후추, 소금을 넣고 섞는다.
8. 아몬드크림치즈에 레몬즙을 넣는다.
9. 볶던 닭가슴살과 소고기에 체다치즈소스를 넣고 조린다.
10. 9를 양파를 굽던 팬에 넣는다.
11. 접시에 구운 양파와 체다치즈소스에 조린 닭가슴살과
소고기를 담고, 아몬드크림치즈를 얹는다.
12. 소고기 등심을 적당한 크기로 썰고, 소금, 후추로 간 한 뒤 기름을 두른 팬에 굽는다.
13. 접시에 체다치즈소스를 뿌린다.
14. 스테이크를 올린 뒤, 아몬드크림치즈를 얹고, 후추를 뿌려 마무리한다.</t>
  </si>
  <si>
    <t>&lt;오세득 -소울을 느끼소&gt;
● 재료
소고기 등심, 크림치즈, 우유, 양파, 대파, 달걀, 즉석밥, 레드와인, 버터, 밀가루, 소금, 간장, 겨자
● 조리방법
1. 소고기 등심을 잘게 썬다.
2. 양파를 채 썬다.
3. 기름을 두른 팬에 손질한 소고기와 양파를 볶는다.
4. 볶던 재료에 레드와인을 넣고 조린다.
5. 마른 팬에 버터와 밀가루를 넣고 볶아 루를 만든다.
6. 소고기 등심을 고기망치로 두드려 얇게 편 뒤, 적당한 크기로 썬다.
7. 적당한 크기로 썬 소고기에 소금을 뿌리고 밀가루를 입힌다.
8. 밀가루를 입힌 소고기와 채 썬 양파와 우유를 루에 넣고 끓여 조린다.
9. 기름을 두른 팬에 잘게 썬 대파 흰 부분과 즉석밥을 넣고 볶는다.
10. 루에 조리던 소고기와 대파밥에 각각 간장으로 간 한다.
11. 간장으로 간 한 대파밥에 버터를 넣고 볶다가, 달걀을 넣어 섞는다.
12. 그릇에 달걀버터간장밥을 담고, 소금으로 간 한다.
13. 루에 조린 소고기에 크림치즈를 넣고 녹인 후, 달걀버터간장밥 위에 얹는다.
14. 소고기를 건져낸 크림치즈소스를 잘 저어 크림치즈를 완전히 녹인다.
15. 소고기와 양파를 조린 레드와인소스에 버터와 겨자를 넣는다.
16. 크림치즈소스를 체에 거른 뒤, 우유를 부어 다시 한 번 끓인다.
17. 소고기 위에 크림치즈소스를 뿌린다.
18. 레드와인에 조리던 소고기와 양파를 체에 밭쳐 걸러내고 레드와인소스만 남긴다.
19. 완성된 음식 위에 레드와인소스를 뿌려 마무리한다.</t>
  </si>
  <si>
    <t>&lt;이연복 - 만두에 대한 경례&gt;
● 재료
삼겹살, 팽이버섯, 파프리카, 굴소스, 양파, 대파, 레몬, 마늘,
다진 생강, 버터, 맛술, 간장, 참기름, 밀가루, 설탕
● 조리방법
1. 파프리카를 직화한다.
2. 마른 팬에 버터를 넣고 녹인다.
3. 적당한 크기로 썬 삼겹살과 굴소스, 뜨거운 물, 맛술,
생강즙, 간장을 핸드블렌더로 갈아 만두소를 만든다.
4. 곱게 간 만두소를 볼에 담고 녹인 버터를 섞는다.
5. 만두소에 후추, 잘게 다진 양파를 넣는다.
6. 대파 흰 부분을 잘게 다져 볼에 덜어두고, 만두소에도 넣는다.
7. 채소를 넣은 만두소에 참기름을 넣고 섞는다.
8. 팽이버섯을 잘게 썰어 만두소에 넣는다.
9. 볼에 밀가루와 뜨거운 물을 넣고 치대어 익반죽한다.
10. 반죽을 적당한 크기로 떼어내고 밀대로 밀어 만두피를 만든다.
11. 만두피에 만두소를 넣고 빚는다.
12. 기름을 두른 팬에 만두를 넣고 익히다가 물을 부은 뒤, 뚜껑을 닫아 증기로 속까지 익힌다.
13. 다진 대파에 레몬즙, 으깬 마늘, 굴소스, 맛술, 설탕, 간장,
잘게 다진 구운 파프리카를 섞어 소스를 만든다.
14. 소스를 소스 종지에 담아낸다.
15. 접시에 구운 만두를 담아낸다.</t>
  </si>
  <si>
    <t>냉장고를 부탁해 시즌 1, 103화</t>
  </si>
  <si>
    <t>&lt;여경래 - 복 잡으러 왔단닭&gt;
● 재료
고추맛 닭가슴살볼, 삼겹살, 표고버섯, 굴소스, 레몬, 양파, 달걀, 청주, 케첩, 설탕, 식초
● 조리방법
1. 끓는 물에 표고버섯을 삶는다.
2. 삼겹살을 적당한 크기로 썬다.
3. 적당한 크기로 썬 삼겹살과 고추맛 닭가슴살볼을 핸드블렌더에 넣고 간다.
4. 곱게 간 삼겹살과 고추맛 닭가슴살볼에 굴소스, 청주, 달걀흰자를 넣고 치대어 소를 만든다.
5. 삶은 표고버섯을 건져내 찬물에 헹군 뒤, 기둥과 윗부분을 잘라낸다.
6. 손질한 표고버섯 안쪽에 격자로 촘촘하게 칼집을 낸다.
7. 표고버섯 윗부분에 소를 올리고 감싼 뒤, 이쑤시개로 고정한다.
8. 소를 채운 표고버섯을 기름에 튀긴다.
9. 볼에 물, 케첩, 레몬즙, 설탕, 식초를 섞어 케첩소스를 만든다.
10. 양파를 잘게 다져 볼에 담아둔다.
11. 다진 양파에 굴소스를 넣고 마른 팬에 볶는다.
12. 마른 팬에 케첩소스를 넣고 졸인다.
13. 굴소스에 볶은 양파를 접시에 깐다.
14. 볶은 양파 위에 표고버섯 튀김을 올린다.
15. 표고버섯 튀김 위에 케첩소스를 뿌려 마무리한다.</t>
  </si>
  <si>
    <t>&lt;김풍 - 풍절판&gt;
● 재료
삼겹살, 새송이버섯, 팽이버섯, 브로콜리, 파프리카, 감자, 굴소스, 다진 마늘, 다진 생강,
소금, 밀가루, 설탕, 맛술, 깨, 간장, 식초, 참기름
● 조리방법
1. 끓는 물에 소금을 넣고, 브로콜리를 데친다.
2. 볼에 밀가루, 소금, 물을 넣고 섞어 밀전병 반죽을 만든다.
3. 삼겹살을 적당한 크기로 썬다.
4. 마른 팬에 적당한 크기로 썬 삼겹살을 볶다가 설탕, 맛술,
다진 마늘, 다진 생강을 넣어 볶는다.
5. 믹서기에 깨, 간장, 설탕, 식초를 넣고 갈아 소스를 만든다.
6. 감자를 채 썰어 기름을 두른 팬에 볶다가 소금으로 간 한다.
7. 삶은 브로콜리를 건져낸 뒤, 브로콜리를 삶던 물에 파프리카를 삶는다.
8. 볶던 감자채에 식초를 넣는다.
9. 완성된 감자볶음을 그릇에 담는다.
10. 기름을 두른 팬에 가늘게 채 썬 당근을 볶다가 소금으로 간 한다.
11. 삶은 브로콜리를 적당한 크기로 썰어 그릇에 담는다.
12. 볶은 당근채를 그릇에 담는다.
13. 양파를 가늘게 채 썰어 기름을 두른 팬에 볶다가 소금으로 간 한다.
14. 볶은 삼겹살을 그릇에 담는다.
15. 볶은 양파를 그릇에 담는다.
16. 새송이버섯을 길게 썰어 기름을 두른 팬에 볶다가 굴소스로 간한다.
17. 기름을 두른 팬에 밀전병 반죽을 얇게 부친다.
18. 삶은 파프리카를 건져 채 썬 뒤 그릇에 담는다.
19. 볶은 새송이버섯채를 그릇에 담는다.
20. 기름을 두른 팬에 팽이버섯을 볶다가 소금으로 간 한다.
21. 밀전병을 그릇에 담는다.
22. 소스에 설탕, 참기름을 넣고 간다.
23. 소스를 그릇에 담는다.
24. 볶은 팽이버섯을 그릇에 담는다.</t>
  </si>
  <si>
    <t>&lt;정호영 - 으르렁 으르렁 돼지불백♬&gt;
● 재료
삼겹살, 감자, 굴소스, 대파, 당근, 마늘, 양파, 다진 마늘, 간장, 설탕, 물엿, 맛술,
소금, 후추, 식초, 참기름, 깨, 즉석밥, 달걀
● 조리방법
1. 삼겹살에 칼집을 낸 뒤, 적당한 크기로 썰어 마른 팬에 볶는다.
2. 볼에 다진 마늘, 간장, 설탕, 물, 물엿, 맛술, 굴소스를 넣고 섞어 불고기양념을 만든다.
3. 볶은 삼겹살에 불고기양념을 넣고 조린다.
4. 전자레인지에 즉석밥을 넣고 돌린다.
5. 대파 흰 부분의 심지는 따로 빼놓은 뒤, 대파를 가늘게 채 썰어 찬물에 담가둔다.
6. 당근을 가늘게 채 썰어 대파 심지 부분과 함께 둔다.
7. 불고기 양념에 조린 삼겹살을 석쇠에 얹고, 토치로 직화한다.
8. 삼겹살을 조리던 불고기양념에 대파 심지, 당근채, 직화로 구운 삼겹살을 넣고 볶는다.
9. 마늘을 편으로 썰어 팬에 넣고 함께 볶는다.
10. 끓는 물에 감자, 양파를 적당한 크기로 썰어 넣고 끓인다.
11. 10에 굴소스, 맛술, 간장, 소금, 후추를 넣고 국을 끓인다.
12. 볼에 설탕, 간장, 식초를 넣고 섞어 소스를 만든다.
13. 소스에 찬물에 담가뒀던 파채와 참기름, 깨를 넣고 무친다.
14. 그릇에 밥을 담고 돼지불고기&gt;파무침&gt;달걀노른자 순으로 올린다.
15. 끓이던 국에 달걀물을 풀어 넣고 달걀감자국을 만든다.
16. 달걀감자국을 그릇에 담아 마무리한다.</t>
  </si>
  <si>
    <t>&lt;미카엘 - 오빠 한번 믿어봐♬&gt;
● 재료
사과, 견과류, 건크랜베리, 발사믹소스, 딸기잼, 오미자 원액, 딸기맛 요거트,
버터, 설탕, 밀가루, 달걀, 소금, 전분
● 조리방법
1. 사과를 가늘게 채 썬다.
2. 마른 팬에 채 썬 사과, 견과류, 건크랜베리, 버터, 설탕, 발사믹소스, 딸기잼을 넣고 볶는다.
3. 볼에 밀가루, 달걀, 우유, 소금을 넣고 반죽한다.
4. 반죽을 밀대로 밀고, 원형틀로 찍어 만두피를 만든다.
5. 만두피에 볶은 사과소를 올리고 반으로 접어 포크로 모양을 내 만두를 만든다.
6. 사과만두를 끓는 물에 삶는다.
7. 마른 팬에 오미자 원액, 전분을 넣고 끓여 소스를 만든다.
8. 접시에 오미자 소스를 넓게 깐다.
9. 삶은 만두를 건져내 물기를 제거하고, 오미자소스 위에 올린다.
10. 아몬드를 갈아 뿌린다.
11. 오미자소스 위에 딸기맛 요거트를 올리고 모양을 내 완성한다.</t>
  </si>
  <si>
    <t>냉장고를 부탁해 시즌 1, 104화</t>
  </si>
  <si>
    <t>&lt;김풍 - 머랭둥둥&gt;
● 재료
우유, 크림치즈, 체다치즈, 코코아가루, 자몽, 달걀, 설탕, 레몬
● 조리방법
1. 달걀흰자에 설탕을 넣고 거품기로 쳐 머랭을 만든다.
2. 냄비에 우유를 끓인다.
3. 머랭에 레몬즙을 넣고 친다.
4. 각기 다른 두 개의 냄비에 우유를 끓인다.
5. 끓인 우유에 크림치즈와 체다치즈, 설탕을 넣고 함께 끓여 치즈소스를 만든다.
6. 다른 끓인 우유에 코코아가루를 넣고 함께 끓여 초콜릿소스를 만든다.
7. 넓은 냄비에 끓인 우유에 머랭을 띄워 익히다가 뒤집어 익힌다.
8. 치즈소스를 잘 섞은 뒤, 그릇에 붓는다.
9. 치즈소스 위에 익힌 머랭을 띄운다.
10. 머랭 위에 초콜릿소스를 뿌린다.
11. 자몽을 적당한 크기로 썰어 올려 완성한다.</t>
  </si>
  <si>
    <t>&lt;최현석 - 식스센스&gt;
● 재료
바게트, 자숙새우, 우유, 레드와인식초, 불고기용 소고기, 아보카도, 전복장, 토마토, 루콜라, 자몽,
크림치즈, 주꾸미, 토마토소스, 사과, 발사믹소스, 마요네즈, 올리브오일, 후추, 버터, 밀가루,
소금, 레몬
● 조리방법
1. 바게트를 적당한 크기로 썬다.
2. 올리브오일을 두른 팬에 적당한 크기로 썬 바게트를 굽는다.
3. 두 개의 팬에 기름을 두르고 각각 잘게 다진 자숙새우와 통자숙새우를 굽다가 후추로 간 한다.
4. 구운 통자숙새우는 접시에 담아둔다.
5. 잘게 다진 자숙새우에 버터, 밀가루, 우유를 넣고 볶아 크림새우를 만들어 접시에 담아둔다.
6. 레드와인식초에 올리브오일을 섞어 소스를 만든 뒤, 구운 통자숙새우를 담가 놓는다.
7. 마른 팬에 불고기용 소고기를 굽다가 소금, 후추로 간 한 뒤 꺼내놓는다.
8. 아보카도를 깍둑썰어 팬에 넣고, 전복장 국물을 부어 조리다가 소금으로 간 한다.
9. 칼집을 낸 토마토에 뜨거운 물을 부어 껍질을 벗긴다.
10. 껍질을 벗긴 토마토를 적당한 크기로 썰어 올리브오일과 섞은 뒤 소금으로 간한다.
11. 구운 바게트 위에 루콜라 &gt; 소스에 담가뒀던 통자숙새우 &gt; 적당한 크기로 썬 자몽 순으로 올린다.
12. 구운 소고기를 발사믹소스에 무친 뒤, 구운 바게트 &gt; 루콜라 &gt; 소고기 순으로 올린다.
13. 구운 바게트 위에 크림치즈 &gt; 전복장 국물에 조린 아보카도 순으로 올린다.
14. 마른 팬에 주꾸미를 올리고, 소금, 후추로 간 한 뒤 올리브오일을 뿌려 볶는다.
15. 구운 바게트 위에 루콜라 &gt; 볶은 주꾸미 &gt; 레몬껍질 순으로 올린다.
16. 구운 바게트 위에 크림새우를 올린다.
17. 구운 바게트 위에 루콜라 &gt; 오일에 절인 토마토 순으로 올린다.
18. 아보카도 브루스케타 위에 마요네즈를 뿌린다.
19. 크림새우 브루스케타 위에 토마토소스를 얹는다.
20. 소고기 브루스케타 위에 잘게 다진 사과를 올린다.</t>
  </si>
  <si>
    <t>&lt;오세득 - 리듬채소&gt;
● 재료
파프리카, 아보카도, 복숭아맛 요거트, 발사믹소스, 미숫가루, 양배추, 불고기용 소고기,
루콜라, 레드와인식초, 양파, 당근, 대파, 마늘, 설탕, 맛술, 청주, 간장, 마요네즈,
올리브오일, 케첩, 소금, 버터
● 조리방법
1. 양파, 당근, 파프리카, 대파를 통째로 기름에 튀긴다.
2. 튀긴 파프리카를 꺼내 토치로 직화한다.
3. 팬에 마늘을 갈아 넣고, 설탕, 맛술, 청주, 간장을 넣어 졸인다.
4. 튀긴 대파를 꺼내, 겉 부분은 졸이던 간장소스에 넣고 속 부분은 다시 튀긴다.
5. 핸드블렌더에 아보카도, 마요네즈, 복숭아맛 요거트, 설탕을 넣고 갈아 아보카도소스를 만든다.
6. 간 마늘과 올리브오일을 섞어 마늘오일을 만든다.
7. 핸드블렌더에 직화해서 껍질을 벗긴 파프리카, 마늘오일, 발사믹소스, 케첩을 넣고 간다.
8. 7에 미숫가루, 올리브오일을 넣고 갈아 로메스코소스를 만든다.
9. 기름을 두른 팬에 양배추를 굽는다.
10. 튀긴 양파를 건져낸 뒤, 겉 부분은 간장소스에 넣고 속 부분은
적당한 크기로 썰어 양배추와 함께 굽는다.
11. 튀긴 당근을 건져내 겉 부분을 벗겨낸다.
12. 불고기용 소고기를 간장소스에 버무린 뒤, 기름을 두른 팬에 굽는다.
13. 굽던 양배추와 양파에 간장소스를 바른다.
14. 접시에 아보카도소스와 로메스코소스를 번갈아가며 깐다.
15. 튀긴 당근과 대파를 적당한 크기로 썰어 소스 위에 올린다.
16. 구운 양파와 양배추를 얹는다.
17. 간장소스에 버무려 구운 소고기를 얹는다.
18. 루콜라에 레드와인식초, 올리브오일, 소금을 뿌려 버무린 뒤, 접시에 올린다.
19. 간장소스에 버터를 넣고 녹인다.
20. 샐러드 위에 버터간장소스를 뿌린다.
21. 미숫가루를 뿌려 마무리한다.</t>
  </si>
  <si>
    <t>&lt;샘킴 - 쉿테이크&gt;
● 재료
돼지목살, 새우, 두부, 새송이버섯, 아스파라거스, 요거트, 명이나물 장아찌, 완두콩, 오이,
알배추, 당근, 양파, 대파, 레몬, 달걀, 소금, 후추, 밀가루, 참기름, 간장
● 조리방법
1. 두부를 면보에 싼 뒤, 물기를 짠다.
2. 당근, 양파, 새송이버섯을 잘게 썰어 기름을 두른 팬에 담는다.
3. 잘게 썬 아스파라거스를 팬에 함께 넣고, 소금, 후추로 간을 해 볶는다.
4. 3에 완두콩을 넣고 함께 볶는다.
5. 핸드블렌더에 돼지목살을 곱게 간다.
6. 새우를 잘게 다져 곱게 간 돼지목살, 물기를 짜낸 두부와 함께 섞는다.
7. 6에 볶은 채소, 달걀, 밀가루, 참기름, 간장을 넣고 섞어 패티를 만든다.
8. 마른 팬에 적당한 크기로 썬 대파, 알배추를 굽다가 명이나물 장아찌국물을 넣는다.
9. 명이나물 장아찌를 잘게 다진다.
10. 볼에 요거트, 레몬즙, 잘게 썬 오이, 다진 명이나물 장아찌를 넣고 섞는다.
11. 기름을 두른 팬에 패티를 적당한 크기로 뭉쳐 굽는다.
12. 접시에 구운 대파와 알배추를 올리고, 두부스테이크를 얹은 뒤, 명이요거트소스를 올린다.
13. 대파와 알배추를 구운 명이나물 소스를 뿌려 마무리한다.</t>
  </si>
  <si>
    <t>냉장고를 부탁해 시즌 1, 105화</t>
  </si>
  <si>
    <t>&lt;레이먼킴 - 꼭꼭 숨겼디야&gt;
● 재료
돼지목살, 토르티야, 모차렐라치즈, 슬라이스 치즈, 요거트, 두부, 아스파라거스,
양상추, 살사소스, 아보카도, 방울토마토, 양파, 당근, 소금, 후추
● 조리방법
1. 두부를 길게 썰어 소금을 뿌린 뒤, 키친타월로 감싸 물기를 뺀다.
2. 양파, 당근을 가늘게 채 썰어 기름을 두른 팬에 볶는다.
3. 돼지목살을 잘게 다져 채소와 함께 볶다가 소금, 후추, 살사소스를 넣고 볶는다.
4. 볶던 재료에 모차렐라치즈, 손질한 아스파라거스를 넣고 볶는다.
5. 양상추를 가늘게 채 썬다.
6. 물기를 뺀 두부를 기름에 튀긴다.
7. 토르티야를 긁어 얇게 만든다.
8. 얇게 만든 토르티야를 마른 팬에 굽다가, 슬라이스 치즈를 올린다.
9. 치즈를 넣어 구운 토르티야 위에 얇게 썬 아보카도, 방울토마토,
볶은 고기와 채소, 튀긴 두부를 얹는다.
10. 채 썬 양상추에 요거트, 소금, 후추를 넣고 버무린다.
11. 양념한 양상추를 토르티야 위에 얹고 반으로 접어 케사디야를 만든다.
12. 양상추샐러드를 접시에 담는다.
13. 케사디야를 적당한 크기로 잘라 담아 마무리한다.</t>
  </si>
  <si>
    <t>&lt;이연복 - 복불복&gt;
● 재료
복어, 새우, 아스파라거스, 느타리버섯, 표고버섯, 굴소스, 양파, 대파,
달걀, 밀가루, 전분, 식용유, 간장, 맛술, 참기름
● 조리방법
1. 양파, 아스파라거스, 느타리버섯, 표고버섯, 대파를 잘게 썰어 둔다.
2. 복어를 얇게 포 뜬 뒤, 접시에 올린다.
3. 볼에 밀가루, 전분, 물, 식용유, 달걀물을 넣고 섞어 튀김옷을 만든다.
4. 포 뜬 복어살로 새우를 돌돌 만 뒤, 튀김옷을 입혀 튀긴다.
5. 기름을 두른 팬에 잘게 썬 채소들을 볶다가, 간장, 맛술,
굴소스, 참기름을 넣어 채소소스를 만든다.
6. 접시에 올려 둔 포 뜬 복어를 토치로 직화한다.
7. 새우복어튀김을 건져 그릇에 담는다.
8. 직화한 복어 위에 채소소스를 얹는다.
9. 새우복어튀김 위에 채소소스를 얹어 마무리한다.</t>
  </si>
  <si>
    <t>&lt;정호영 - 복어~싶다♬&gt;
● 재료
복어, 게, 아스파라거스, 알배추, 대파, 양파, 즉석밥, 달걀, 간장,
식초, 설탕, 맛술, 전분, 청주, 소금, 깨, 고춧가루
● 조리방법
1. 게를 적당한 크기로 손질한 뒤, 끓는 물에 넣고 끓여 게 육수를 낸다.
2. 대파, 아스파라거스를 적당한 크기로 썬 뒤, 대파는 끓이고, 아스파라거스는 체에 밭쳐 데친다.
3. 양파, 알배추를 적당한 크기로 썰어 얼음물에 담가둔다.
4. 전자레인지에 즉석밥을 돌린다.
5. 볼에 간장, 식초, 설탕, 맛술을 넣고 섞어 초간장소스를 만든다.
6. 밥을 찬물에 헹궈 식힌 뒤, 물에 담가 불린다.
7. 복어의 살을 발라내고, 뼈는 대파와 함께 끓여 복어육수를 낸다.
8. 전분을 묻힌 손질한 복어살과, 전분을 묻히지 않은 껍질을 끓는 물에 데친다.
9. 데친 복어살과 대파를 함께 건져내 얼음물에 식힌다.
10. 복어육수에 알배추를 넣고 끓인다.
11. 볼에 간장, 청주, 맛술을 넣고 섞어 간장소스를 만든다.
12. 손질한 복어살에 달걀물, 간장소스, 전분을 버무린 뒤 기름에 튀긴다.
13. 복어튀김을 건져 한 김 식힌다.
14. 빈 냄비에 복어육수, 게살, 복어, 불린 밥, 소금, 청주, 간장을 넣고 복죽을 끓인다.
15. 데친 복어살에 양파, 알배추, 초간장소스, 깨, 고춧가루,
복껍질을 넣고 버무려 복어무침을 만든다.
16. 식힌 복어튀김을 다시 한 번 튀긴다.
17. 복어무침을 그릇에 담는다.
18. 복어튀김을 접시에 담고, 데친 아스파라거스로 데커레이션한다.
19. 복죽에 달걀물을 풀고, 끓인다.
20. 복죽을 그릇에 담고, 초간장소스를 곁들여낸다.</t>
  </si>
  <si>
    <t>&lt;샘킴 - 고르고 고른 파스타&gt;
● 재료
호두, 무화과, 양송이버섯, 새송이버섯, 느타리버섯, 표고버섯, 생크림, 고르곤졸라 치즈,
다진 마늘, 설탕, 밀가루, 달걀, 소금, 후추, 버터, 화이트와인, 올리브오일
● 조리방법
1. 끓는 물에 호두를 데친 뒤, 설탕에 버무린다.
2. 예열된 오븐에 설탕에 버무린 호두와 적당한 크기로 썬 무화과를 넣고 익힌다.
3. 볼에 밀가루, 달걀을 넣고 섞어 반죽을 만든다.
4. 반죽을 밀대로 얇게 민다.
5. 얇게 민 반죽을 적당한 두께로 썰어 파스타면을 만든다.
6. 기름을 두른 팬에 다진 마늘을 볶다가 적당한 크기로 썬 양송이버섯,
새송이버섯, 느타리버섯, 표고버섯을 넣고 볶는다.
7. 볶던 버섯에 소금, 후추, 버터, 화이트와인을 넣고 볶는다.
8. 호두를 데친 물에 소금을 넣는다.
9. 볶던 버섯에 호두 데친 물을 넣는다.
10. 볶은 버섯에 생크림과 고르곤졸라 치즈를 넣고 끓여 버섯크림소스를 만든다.
11. 호두 데친 물에 면을 넣고 삶는다.
12. 삶은 면을 건져 버섯크림소스에 넣고 볶는다.
13. 버섯크림파스타를 접시에 담는다.
14. 파스타 위에 오븐에서 익힌 무화과를 올리고, 설탕에 버무려 익힌 호두를 잘게 다져 얹는다.
15. 파스타 위에 올리브오일을 뿌려 마무리한다.</t>
  </si>
  <si>
    <t>냉장고를 부탁해 시즌 1, 106화</t>
  </si>
  <si>
    <t>&lt;최현석 - 조선의 파스타자&gt;
● 재료
바지락, 시금치, 관자, 전복, 새우, 고추, 마늘, 달걀, 밀가루, 소금, 후추, 화이트와인, 올리브오일
● 조리방법
1. 끓는 물에 바지락을 넣고 끓여 육수를 낸다.
2. 시금치의 뿌리를 잘라내고, 끓는 물에 데친다.
3. 데친 시금치를 찬물에 헹궈 식힌 뒤, 잘게 썬다.
4. 믹서기에 잘게 썬 시금치와 달걀을 넣고 간다.
5. 다른 믹서기에 달걀과 밀가루를 넣고 갈아 반죽을 만든다.
6. 곱게 간 시금치에 밀가루를 넣고 갈아 시금치 반죽을 만든다.
7. 달걀반죽과 시금치반죽을 밀대로 얇게 민 뒤, 적당한 두께로 썰어 두 가지 색의 파스타면을 만든다.
8. 두 가지 색의 파스타면을 끓는 물에 삶는다.
9. 익힌 바지락을 체에 밭쳐 육수만 걸러낸다.
10. 관자, 전복, 새우는 적당한 크기로 손질하고, 고추와 마늘은 잘게 썬다.
11. 기름을 두른 팬에 손질한 재료들을 넣고 볶다가 소금, 후추로 간 한다.
12. 볶은 해산물에 화이트 와인을 넣는다.
13. 삶은 면을 건져 해산물을 볶던 팬에 넣고 함께 볶는다.
14. 볶던 해산물파스타에 바지락육수와 올리브오일을 넣어가며 볶는다.
15. 해산물파스타를 접시에 담고 후추를 뿌려 마무리한다.</t>
  </si>
  <si>
    <t>&lt;미카엘 - 마이 무따아이가&gt;
● 재료
구이용 소고기, 불고기용 소고기, 적양파, 맥주, 무화과, 모차렐라 치즈,
고르곤졸라 치즈, 감자, 레몬청, 생크림, 머스터드소스, 달걀, 소금, 후추
● 조리방법
1. 핸드블렌더에 구이용 소고기와 불고기용 소고기를 넣고 함께 간다.
2. 곱게 간 소고기에 잘게 썬 적양파, 소금, 후추, 맥주를 넣고 다시 간다.
3. 2에 달걀물을 넣고 섞는다.
4. 곱게 간 소고기를 넓게 펴고, 얇게 썬 무화과를 올린다.
5. 4에 모차렐라 치즈와 고르곤졸라 치즈를 얹고, 반으로 접는다.
6. 기름을 두른 그릴팬에 무화와과 치즈로 속을 채운 소고기를 굽는다.
7. 감자를 가늘게 채 썬 뒤, 소금과 후추로 간 한다.
8. 기름을 두른 팬에 양념한 감자채를 넓게 펴서 부친다.
9. 팬에 설탕, 레몬청, 물을 넣고 끓인 뒤, 무화과를 넣어 익힌다.
10. 그릴팬에 구운 소고기를 전자레인지에 넣고 돌려 속까지 익힌다.
11. 감자채부침을 접시에 올린다.
12. 팬에 생크림을 끓인다.
13. 끓이던 생크림에 머스터드소스, 후추, 소금을 넣고 섞어 크림머스터드소스를 만든다.
14. 감자채부침 위에 속까지 익힌 소고기를 올린다.
15. 14 위에 크림머스터드소스를 얹고, 익힌 무화과를 올려 마무리한다.</t>
  </si>
  <si>
    <t>&lt;오세득 - 모시 돼진디?&gt;
● 재료
적양파, 항정살, 삼겹살, 달래, 모시조개, 동죽, 바지락, 굴소스, 맥주, 대파,
마늘, 고추, 다진 마늘, 레몬, 고춧가루, 화이트와인
● 조리방법
1. 적양파는 잘게 썰고, 대파는 적당한 크기로 썬다.
2. 항정살과 삼겹살을 적당한 크기로 썰어 팬에 넣고 볶는다.
3. 3에 적양파와 대파를 넣고 함께 볶는다.
4. 달래를 적당한 길이로 썬다.
5. 끓인 기름에 고춧가루, 다진 마늘을 넣고 끓인다.
6. 5를 체에 밭쳐 고추기름만 걸러낸다.
7. 적양파, 마늘, 고추를 잘게 썰어 고추기름에 넣고 함께 끓인다.
8. 고추기름에 모시조개, 동죽, 바지락, 화이트와인을 넣고 함께 볶는다.
9. 볶은 돼지고기에 굴소스를 넣고 함께 볶는다.
10. 9에 고추기름에 볶은 각종 조개를 넣고 볶은 뒤, 맥주를 넣는다.
11. 볶던 재료에 달래를 넣고 함께 볶은 뒤, 접시에 담는다.
12. 적당한 크기로 썬 레몬을 곁들여 마무리한다.</t>
  </si>
  <si>
    <t>&lt;이연복 - 풍비박산&gt;
● 재료
베이컨용 삼겹살, 오징어, 게맛살, 게살장, 소시지, 두부, 애호박, 팽이버섯, 미니새송이버섯,
미니파프리카, 일본간장, 유자후추, 꽈리고추, 양파, 마늘, 대파, 케첩, 고추장, 깨, 전분, 달걀
● 조리방법
1. 두부를 적당한 크기로 썰어 기름에 튀긴다.
2. 애호박, 소시지, 양파를 적당한 크기로 썬다.
3. 미니새송이버섯을 적당한 크기로 썰고, 마늘을 으깬다.
4. 대파 흰 부분을 적당한 크기로 썰고, 양파는 가늘게 채 썬다.
5. 오징어 몸통부분에 촘촘하게 칼집을 내고, 적당한 크기로 썬다.
6. 미니파프리카와 꽈리고추를 적당한 크기로 썬다.
7. 튀긴 두부를 체에 밭쳐 기름을 뺀다.
8. 베이컨용 삼겹살을 적당한 크기로 썰어 팬에 볶는다.
9. 볶던 삼겹살에 손질한 미니파프리카, 꽈리고추, 대파, 미니새송이버섯, 으깬 마늘을 넣고 볶는다.
10. 다른 팬에 기름을 두르고, 손질한 애호박, 소시지, 양파를 볶는다.
11. 10에 케첩, 고추장, 깨, 전분물을 넣고 볶는다.
12. 볶던 삼겹살&amp;채소에 손질한 오징어, 양파채를 넣고 볶다가, 유자후추와 일본간장을 넣는다.
13. 그릇에 소시지채소볶음을 담는다.
14. 볶던 삼겹살과 오징어에 전분물을 넣고 볶은 뒤, 소시지채소볶음 위에 얹는다.
15. 대파 흰 부분을 적당한 크기로 썰고, 마늘을 으깬다.
16. 게맛살은 적당한 크기로 찢는다.
17. 기름을 두른 팬에 대파 흰 부분과 으깬 마늘을 볶다가 물을 넣고 끓인다.
18. 17에 손질한 게맛살, 게살장, 잘게 썬 팽이버섯을 넣고 볶다가 전분물을 넣는다.
19. 달걀흰자로 머랭을 친다.
20. 끓이던 게소스에 머랭을 넣고 잘 섞는다.
21. 두 가지 음식이 담긴 그릇 위에 머랭을 섞은 게소스와 튀긴 두부를 올려 마무리한다.</t>
  </si>
  <si>
    <t>냉장고를 부탁해 시즌 1, 107화</t>
  </si>
  <si>
    <t>&lt;김풍 - 치즈듬풍만두&gt;
● 재료
베이컨용 삼겹살, 크림치즈, 모차렐라치즈, 고다치즈, 리코타치즈, 새우젓, 팽이버섯, 딸기잼,
양파, 청양고추, 마늘, 레몬, 밀가루, 전분, 식용유, 버터, 후추, 마요네즈, 간장, 달걀
● 조리방법
1. 달걀물에 밀가루, 전분, 물을 넣고 섞어 튀김반죽을 만든다.
2. 튀김반죽에 식용유를 넣는다.
3. 볼에 크림치즈, 리코타치즈, 버터, 모차렐라치즈, 고다치즈를 넣고 섞은 뒤
새우젓, 후추, 잘게 썬 팽이버섯을 넣고 섞어 소를 만든다.
4. 베이컨용 삼겹살을 십(十)자로 펴고, 만들어둔 소를 넣어 감싼다.
5. 소를 감싼 삼겹살에 튀김반죽을 입힌 뒤, 기름에 튀긴다.
6. 볼에 딸기잼, 다진 양파, 마요네즈를 넣고 섞는다.
7. 청양고추와 마늘을 으깬 뒤, 레몬즙과 간장을 섞는다.
8. 7을 딸기마요소스와 섞는다.
9. 튀긴 만두를 접시에 담는다.
10. 소스를 소스종지에 담아 함께 낸다.</t>
  </si>
  <si>
    <t>&lt;이원일 - 낫띵배럴~♬&gt;
● 재료
칼국수면, 낫토, 된장, 카망베르치즈, 체다치즈, 인스턴트 육개장, 총각김치, 참기름,
베이컨용 삼겹살, 양파, 대파, 고추, 다진 마늘, 후추, 고춧가루, 전분, 깨, 달걀, 라면, 즉석밥
● 조리방법
1. 양파, 대파, 고추를 잘게 썬다.
2. 베이컨용 삼겹살을 적당한 크기로 썰어 팬에 볶다가, 다진 마늘, 후추를 넣는다.
3. 2에 손질한 양파, 대파, 다진 총각김치, 고춧가루를 넣고 볶는다.
4. 카망베르치즈와 체다치즈를 전자레인지에 돌려 녹인다.
5. 낫토를 으깬 뒤, 된장과 섞는다.
6. 낫토된장에 녹인 치즈, 다진 마늘, 고춧가루를 넣고 섞어 청국장을 만든다.
7. 팬에 볶은 삼겹살과 채소에 인스턴트 육개장을 붓고 끓인다,
8. 7에 뜨거운 물에 갠 청국장을 넣고 끓이다가, 후추를 넣는다.
9. 전자레인지에 즉석밥을 넣고 돌린다.
10. 끓는 물에 라면을 삶는다.
11. 청국장에 전분물을 넣는다.
12. 그릇에 밥을 담고, 달걀노른자와 잘게 부순 깨, 참기름, 잘게 썬 대파를 올린다.
13. 삶은 라면을 그릇에 담는다.
14. 라면 위에 청국장소스를 올린다.
15. 밥을 곁들여낸다.</t>
  </si>
  <si>
    <t>&lt;정호영 - 연게우동&gt;
● 재료
우동면, 연근, 게살통조림, 게맛살, 게살장, 크림치즈, 오징어, 애호박, 일본간장, 유자후추,
육수용 티백, 대파, 소금, 전분, 설탕, 후추, 맛술, 청주
● 조리방법
1. 끓는 물에 우동면을 삶는다.
2. 연근 껍질을 벗겨내고 반은 강판에 곱게 갈고, 반은 잘게 다진다.
3. 곱게 간 연근과 잘게 다진 연근을 함께 팬에 볶다가 소금, 전분, 설탕을 넣는다.
4. 랩 위에 볶은 연근을 올리고 크림치즈와 게살장을 안에 넣어
동그랗게 감싼 뒤, 얼음물에 담가 차갑게 식힌다.
5. 연근을 얇게 슬라이스 해 물에 담가 전분기를 뺀다.
6. 오징어에 촘촘하게 칼집을 낸다.
7. 애호박을 가늘게 채 썬다.
8. 끓는 물에 육수용 티백, 후추를 넣고 우린다.
9. 육수에 게살통조림과 게맛살, 맛술, 청주, 일본간장, 게살장을 넣고 끓여 게소스를 만든다.
10. 크림치즈와 게살장을 넣은 연근만두에 전분을 입힌 뒤, 기름에 튀긴다.
11. 물에 담가뒀던 연근 슬라이스를 기름에 튀긴다.
12. 익은 우동면을 건져내 찬물에 식힌 뒤, 그릇에 담는다.
13. 게소스에 파채와 전분물, 유자후추를 넣는다.
14. 연근만두와 연근슬라이스튀김을 체에 밭쳐 기름기를 뺀다.
15. 우동면 위에 연근만두를 올리고, 게소스를 얹는다.
16. 연근슬라이스튀김을 올려 마무리한다.</t>
  </si>
  <si>
    <t>&lt;최현석 - 아돔케어&gt;
● 재료
갈치, 명란젓, 자숙새우, 시금치, 아보카도, 브로콜리,
시금치딥, 황도, 블랙올리브, 우유, 후추, 레몬, 버터
● 조리방법
1. 돔 모양 틀에 버터를 바른 랩을 깐다.
2. 아보카도를 얇게 슬라이스 한 뒤, 틀 안에 담는다.
3. 갈치의 비늘을 벗겨낸 뒤, 내장을 제거하고 원형틀로 모양을 낸다.
4. 기름을 두른 팬에 모양 낸 갈치와 자숙새우를 굽다가, 후추를 뿌린다.
5. 아보카도 돔 안에 구운 갈치&gt;명란젓&gt;구운 자숙새우 순으로
채워 넣고 랩으로 감싸 모양을 고정한 뒤, 찜기에 찐다.
6. 냄비에 시금치딥, 우유를 넣고 끓인다.
7. 끓는 물에 시금치와 브로콜리를 데친다.
8. 끓이던 시금치딥을 넣은 우유에 데친 시금치와 브로콜리, 버터를 넣고 끓인 뒤,
믹서기에 갈아 시금치소스를 만든다.
9. 핸드블렌더에 블랙올리브, 황도를 넣고 간다.
10. 9에 올리브오일, 소금, 후추를 넣고 다시 한 번 갈아준 뒤,
체에 곱게 걸러 올리브황도퓌레를 만든다.
11. 접시에 시금치소스를 담는다.
12. 시금치소스 위에 익힌 아보카도 돔을 올린다.
13. 올리브황도퓌레로 시금치소스 위에 모양을 낸다.
14. 얇게 썬 레몬을 아보카도 돔 위에 얹어 마무리한다.</t>
  </si>
  <si>
    <t>냉장고를 부탁해 시즌 1, 108화</t>
  </si>
  <si>
    <t>&lt;백승욱 - 아보카도롤모델&gt;
● 재료
아보카도, 안창살, 자숙새우, 훈제연어, 파프리카, 발사믹식초, 케일, 시금치주스, 케일주스,
된장, 고추장, 블랙올리브, 사과, 애플비네거, 스리라차소스, 양파, 마늘, 레몬, 소금, 후추, 식용유
● 조리방법
1. 끓는 물에 소금을 넣는다.
2. 안창살에 소금, 후추를 뿌린다.
3. 아보카도를 얇게 썬다.
4. 양파를 얇게 채 썬 뒤, 얼음물에 담가 아린 맛을 뺀다.
5. 랩 위에 얇게 썬 아보카도를 넓게 깐 뒤, 채 썬 양파와 자숙새우,
훈제연어를 넣고 돌돌 말아 롤을 만든다.
6. 아보카도롤을 적당한 크기로 썬다.
7. 팬에 반으로 썬 파프리카와 식용유를 듬뿍 넣은 뒤, 후추와 발사믹식초를 넣고 토치로 직화한다.
8. 직화한 파프리카를 뒤집어 발사믹식초를 듬뿍 부은 뒤, 토치로 직화한다.
9. 케일을 데친 뒤, 얼음물에 식힌다.
10. 핸드블렌더에 데친 케일과 얼음, 케일주스와 시금치주스를 넣고 갈아 시금치케일소스를 만든다.
11. 버터를 녹인 팬에 으깬 마늘을 넣고, 밑간 한 안창살을 굽는다.
12. 시금치케일소스에 된장과 고추장을 넣고 섞는다.
13. 접시에 시금치케일소스를 담고, 구운 안창살을 올린다.
14. 레몬즙을 바른 아보카도롤을 접시에 올린다.
15. 구운 파프리카의 껍질을 벗겨내고 얇게 슬라이스 해 접시에 올린다.
16. 슬라이스 한 블랙올리브를 안창살 위에 올린다.
17. 사과를 얇게 썬 뒤, 애플비네거에 절여 아보카도롤 위에 올린다.
18. 시금치케일소스 위에 스리라차소스를 뿌려 마무리한다.</t>
  </si>
  <si>
    <t>&lt;미카엘 - 귯갈~&gt;
● 재료
갈치, 훈제연어, 애플비네거, 소금, 꿀, 적양파, 파프리카, 케이퍼, 블랙올리브, 아보카도,
마늘, 양파, 당근, 레몬, 통후추, 고춧가루, 후추, 소금
● 조리방법
1. 냄비에 애플비네거, 올리브오일, 통후추를 넣고 끓인다.
2. 1에 슬라이스한 마늘을 함께 넣고 끓이다가, 소금, 꿀을 넣고 함께 끓인다.
3. 갈치의 비늘을 벗겨낸 뒤, 살만 발라낸다.
4. 손질한 갈치살을 끓인 애플비네거오일에 담가 숙성시키며 익힌다.
5. 적양파, 파프리카, 양파, 자숙새우, 훈제연어를 잘게 썰어 볼에 담고 올리브 오일을 뿌린다.
6. 5에 잘게 썬 케이퍼와 블랙올리브, 고춧가루, 후추, 레몬즙,
당근, 마늘도 넣고 한데 섞어 샐러드를 만든다.
7. 접시에 샐러드와 훈제연어, 파프리카를 담는다.
8. 애플비네거오일로 익힌 갈치살을 샐러드 위에 올린다.
9. 아보카도와 레몬으로 데커레이션 하고, 꿀과 고춧가루를 뿌려 마무리한다.</t>
  </si>
  <si>
    <t>&lt;오세득 - 갈팡치팡&gt;
● 재료
갈치, 코코넛워터, 황도, 적양파, 자숙새우, 카레가루, 시금치, 스리라차소스,
양파, 레몬, 대파, 다진 생강, 청주, 전분, 소금, 간장, 화이트와인, 달걀
● 조리방법
1. 끓는 물에 청주, 양파, 레몬을 넣고 끓인다.
2. 갈치의 비늘을 벗겨낸 뒤, 살만 발라낸다.
3. 핸드블렌더에 갈치살, 달걀, 전분을 넣고 간다.
4. 곱게 간 갈치살을 숟가락으로 모양을 잡은 뒤, 채소 끓인 물에 넣고 익혀 크넬을 만든다.
5. 코코넛워터와 황도를 핸드블렌더로 갈아 황도소스를 만든다.
6. 대파 흰 부분과 적양파를 잘게 썬다.
7. 기름을 두른 팬에 잘게 썬 대파와 적양파, 다진 생강을 넣고 볶는다.
8. 볶던 재료에 잘게 썬 자숙새우와 카레가루, 황도소스를 넣고 볶아 황도카레소스를 만든다.
9. 소금을 넣은 끓는 물에 시금치를 데친 뒤, 물기를 뺀다.
10. 황도카레소스에 간장, 데친 시금치, 스리라차소스를 넣고 볶는다.
11. 기름을 두른 팬에 갈치 크넬을 넣고 익힌다.
12. 접시에 황도카레소스를 담는다.
13. 볶던 갈치 크넬에 화이트와인을 넣는다.
14. 황도카레소스 위에 갈치 크넬을 올리고 다시 한 번 황도카레소스를 얹어 마무리한다.</t>
  </si>
  <si>
    <t>&lt;김풍 - 똑같은 쌈을 강요하지마♬&gt;
● 재료
고등어통조림, 우유, 크림치즈, 슬라이스 체다치즈, 표고버섯, 마늘, 청양고추,
버터, 밀가루, 전분, 소금
● 조리방법
1. 버터를 전자레인지에 돌려 녹인다.
2. 밀가루와 전분에 뜨거운 물을 넣고 치대어 익반죽한다.
3. 고등어 통조림을 체에 밭쳐 건더기만 걸러낸다.
4. 마른 팬에 건져낸 고등어통조림 건더기와 다진 마늘을 넣고 볶는다.
5. 볶던 재료에 우유를 넣고 끓인다.
6. 끓이던 재료에 크림치즈, 슬라이스 체다치즈를 넣고 녹인다.
7. 6에 잘게 썬 표고버섯과 소금을 넣고 끓여 크림치즈고등어소스를 만든다.
8. 도마에 밀가루를 뿌린 뒤, 적당한 크기로 떼어낸 반죽을 밀대로 밀어 춘빙피를 만든다.
9. 얇게 민 춘빙피에 녹인 버터를 바르고, 다른 춘빙피를 겹쳐 밀대로 민다.
10. 마른 팬에 춘빙을 굽는다.
11. 크림치즈고등어소스에 잘게 썬 청양고추를 넣는다.
12. 구운 춘빙을 바닥에 내려쳐 두 장으로 분리한다.
13. 접시에 춘빙을 담고, 그릇에 크림치즈고등어소스를 담아 함께 낸다.</t>
  </si>
  <si>
    <t>냉장고를 부탁해 시즌 1, 109화</t>
  </si>
  <si>
    <t xml:space="preserve">&lt;정호영 - 만두 널 사랑해~♬&gt;
● 재료
인스턴트 군만두, 방울양배추, 표고버섯, 슬라이스 체다치즈, 카레가루, 우유, 훠궈 홍탕 소스,
양파, 마늘, 청양고추, 레몬, 밀가루, 케첩, 설탕, 달걀
● 조리방법
1. 밀가루에 물을 넣고 저어 반죽을 만든다.
2. 기름에 반죽을 흩뿌리듯 튀겨, 덴카스를 만든다.
3. 튀긴 덴카스를 건져 기름기를 뺀다.
4. 핸드블렌더에 인스턴트 만두의 소만 빼서 넣고, 적당한 크기로 썬
양파와 방울양배추, 표고버섯, 달걀을 더해 곱게 간다.
5. 곱게 간 재료에 전분을 넣고 섞어 고로케소를 만든다.
6. 고로케소에 슬라이스 체다치즈를 넣고 동그랗게 빚어 치즈고로케소를 만든다.
7. 고로케소에 잘게 썬 청양고추와 카레가루를 넣고 섞어 카레고로케소를 만든다.
8. 카레고로케소를 동그랗게 빚는다.
9. 우유에 달걀, 밀가루를 넣고 저어 반죽을 만든다.
10. 치즈고로케소와 카레고로케소에 반죽을 입힌 뒤, 덴카스를 묻혀 튀긴다.
11. 기름을 두른 팬에 슬라이스한 마늘과 케첩, 물, 설탕, 레몬즙,
훠궈 홍탕 소스를 넣고 끓여 칠리소스를 만든다.
12. 칠리소스에 잘게 썬 청양고추를 넣는다.
13. 접시에 칠리소스를 담은 뒤, 치즈고로케와 카레고로케를 올려 마무리한다.
</t>
  </si>
  <si>
    <t>&lt;이연복 - 리소토가 차이나&gt;
● 재료
우유, 크림치즈, 마라소고기, 훠궈 홍탕 소스, 면근, 모둠 해물, 청경채, 팽이버섯, 표고버섯,
마늘, 양파, 대파, 청양고추, 버터, 밀가루, 식초, 맛술, 간장, 후추
● 조리방법
1. 팬에 버터, 다진 마늘, 다진 양파를 넣고 볶는다.
2. 1에 밀가루를 넣고 볶아 루를 만들고, 우유를 넣고 끓여 크림소스를 만든다.
3. 크림소스에 크림치즈와 잘게 썬 표고버섯을 넣고 끓인다.
4. 대파, 마늘, 양파를 잘게 다져 기름을 두른 팬에 볶는다.
5. 핸드블렌더로 마라소고기를 곱게 간다.
6. 볶던 채소에 곱게 간 마라소고기를 넣고 함께 볶는다.
7. 6에 훠궈 홍탕 소스와 모둠 해물을 넣고 함께 볶는다.
8. 볶던 재료에 밥을 넣고 볶아 마라리소토를 만든다.
9. 면근을 체에 밭쳐 건더기를 걸러내고, 국물에 식초, 맛술,
간장, 잘게 썬 청양고추를 넣어 간장소스를 만든다.
10. 양파, 청경채를 가늘게 채 썰어 그릇에 담는다.
11. 채소샐러드 위에 면근을 올린다.
12. 크림소스에 후추를 넣는다.
13. 마라리소토에 잘게 썬 팽이버섯을 넣고 볶는다.
14. 그릇에 크림소스를 담고, 마라리소토를 올린다.
15. 면근샐러드 위에 간장소스를 올려 마무리한다.</t>
  </si>
  <si>
    <t>&lt;샘킴 - 샘차이나&gt;
● 재료
훠궈 버섯탕 수프, 마라갈비, 라조장, 청경채, 표고버섯, 방울양배추, 우유, 크림치즈, 연어통조림,
타르타르소스, 마요네즈, 블랙올리브, 케이퍼, 오레가노, 타임, 파슬리, 로즈마리,
버터, 밀가루, 마늘, 양파, 후추, 올리브오일, 소금
● 조리방법
1. 팬에 버터, 밀가루를 넣고 볶아 루를 만든다.
2. 루에 우유를 넣고 끓여 크림소스를 만든다.
3. 끓는 물에 훠궈 버섯탕 수프를 넣고 끓인다.
4. 버섯탕 국물에 청경채를 데친 뒤, 건져내 물기를 뺀다.
5. 표고버섯과 방울양배추를 손질한 뒤, 버섯탕 국물에 데친다.
6. 기름을 두른 팬에 으깬 마늘, 마라갈비, 다진 양파를 넣고 볶는다.
7. 볶던 재료에 버섯탕 국물을 넣고 졸인다.
8. 데친 방울양배추를 건져 식힌다.
9. 버섯탕 국물에 졸인 마라갈비에 라조장을 넣는다.
10. 9에 버터, 밀가루를 넣는다.
11. 크림소스에 크림치즈를 넣고 녹인다.
12. 다진 양파에 연어통조림, 타르타르소스, 마요네즈, 후추를 넣고 섞어 연어샐러드를 만든다.
13. 핸드블렌더에 블랙올리브, 올리브오일을 넣고 갈아 올리브페스토를 만든다.
14. 기름을 두른 팬에 데친 방울양배추와, 표고버섯을 넣고 볶다가 소금, 후추로 간 한다.
15. 데친 청경채 위에 올리브페스토&gt;연어샐러드&gt;케이퍼&gt;크림치즈소스를 순서대로 올린다.
16. 16을 토치로 직화한다.
17. 방울양배추와 표고버섯을 볶던 팬에 각종 허브를 붓고,
토치로 불을 붙인 뒤 뚜껑을 닫아 향을 입힌다.
18. 접시에 마라갈비소스를 담고, 허브로 훈제한 방울양배추와
표고버섯을 올린 뒤, 크림치즈청경채를 올린다.
19. 크림치즈청경채 위에 올리브페스토&gt;마라갈비소스&gt;올리브오일을 올려 마무리한다.</t>
  </si>
  <si>
    <t>&lt;김풍 - 풍당풍당면&gt;
● 재료
새우, 새우젓, 명란젓, 돼지고기 목심, 당면, 표고버섯, 죽순, 고춧가루,
대파, 마늘, 양파, 식초, 전분
● 조리방법
1. 핸드블렌더에 적당한 크기로 썬 돼지고기 목심과 새우젓을 넣는다.
2. 1에 명란젓, 새우를 함께 넣고 곱게 간다.
3. 끓는 물에 당면을 삶는다.
4. 기름을 넉넉하게 두른 팬에 새우머리를 넣고 새우기름을 낸다.
5. 새우기름에 잘게 썬 대파, 으깬 마늘, 고춧가루를 넣고 끓인다.
6. 양념한 새우기름에 젓갈과 함께 간 돼지고기를 넣고 끓인다.
7. 6에 식초, 손질한 양파, 표고버섯, 죽순을 넣고 끓인다.
8. 끓이던 재료에 삶은 당면을 넣고 함께 끓인다.
9. 끓이던 재료에서 새우머리만 건져낸다.
10. 전분물을 넣는다.
11. 접시에 담아 마무리한다.</t>
  </si>
  <si>
    <t>냉장고를 부탁해 시즌 1, 110화</t>
  </si>
  <si>
    <t>&lt;이원일 - 언더 더 씨♬&gt;
● 재료
문어, 감성돔, 전복, 새우, 당면, 불린 귀리, 새송이버섯, 우유,
청양고추, 양파, 다진 마늘, 버터, 후추, 소금
● 조리방법
1. 청양고추를 잘게 썬다.
2. 문어를 적당한 크기로 썬다.
3. 감성돔의 살만 발라내 적당한 크기로 썬다.
4. 전복의 내장을 떼어내고, 살만 적당한 크기로 썬다.
5. 기름을 두른 냄비에 잘게 다진 마늘과 양파를 볶다가, 새우머리와 우유를 넣고 수프를 끓인다.
6. 끓이던 수프에서 새우머리만 건져낸다.
7. 새우머리를 건져낸 수프에 버터를 넣어 버터포치수프를 만든다.
8. 버터포치수프에 후추와 소금을 넣는다.
9. 적당한 크기로 자른 당면을 기름에 튀긴 뒤, 건져내 기름기를 뺀다.
10. 불린 귀리를 데친 뒤, 기름에 튀긴다.
11. 버터포치수프에 손질한 새우와 전복을 데치다가, 전복만 건져낸다.
12. 끓는 물에 손질한 문어와 감성돔을 데친 뒤, 버터포치수프에 넣고 끓인다.
13. 새송이버섯을 적당한 크기로 썬 뒤, 버터포치수프에 넣는다.
14. 버터포치수프에 데친 해산물과 새송이버섯을 건져낸 뒤, 핸드블랜더로 수프를 곱게 간다.
15. 버터포치수프를 병에 담고, 잘게 썬 청양고추를 넣는다.
16. 접시에 튀긴 귀리와 당면을 담는다.
17. 버터포치수프에 데친 각종 해산물을 올린 뒤, 잘게 썬 청양고추를 뿌린다.
18. 해산물시리얼과 버터포치수프를 함께 낸다.</t>
  </si>
  <si>
    <t>&lt;미카엘 - 완도풀 파티&gt;
● 재료
오징어, 문어, 새우, 애호박, 미니파프리카, 고구마줄기무침, 할라피뇨, 석류, 고춧가루,
당근, 레몬, 다진 마늘, 후추, 올리브오일, 소금, 식초
● 조리방법
1. 오징어몸통의 껍질을 벗겨내고, 후추로 밑간한다.
2. 기름을 두른 그릴팬에 손질한 오징어몸통을 올리고, 무거운 것으로 눌러 굽는다.
3. 문어다리를 고기망치로 두드려 부드럽게 만들고 후추로 밑간 한 뒤, 그릴팬에 올려 함께 굽는다.
4. 애호박, 당근, 미니파프리카를 적당한 크기로 썰어, 기름을 두른 그릴팬에 굽는다.
5. 해산물을 굽던 그릴팬에 새우도 함께 굽는다.
6. 볼에 올리브오일, 레몬즙, 소금, 후추, 잘게 다진 고구마줄기무침과
할라피뇨를 넣고 섞어 드레싱을 만든다.
7. 구운 오징어를 적당한 크기로 썬 뒤, 고구마줄기드레싱에 무친다.
8. 양파를 잘게 썰어 오징어를 넣은 고구마줄기드레싱에 함께 무친다.
9. 구운 문어다리도 다른 재료들과 함께 고구마줄기드레싱에 무친 뒤, 접시에 담는다.
10. 구운 새우를 곁들인다.
11. 구운 각종채소를 볼에 담고, 다진 마늘, 올리브오일, 후추, 식초를 넣고 버무려 샐러드를 만든다.
12. 11을 접시에 담는다.
13. 석류알을 뿌린다.
14. 고춧가루를 뿌려 마무리한다.</t>
  </si>
  <si>
    <t>&lt;최현석 - 롤 is my everything♬&gt;
● 재료
서대, 새우, 돼지고기 목심, 두릅, 삶은 죽순, 오렌지주스, 아로니아즙, 버터,
달걀, 레몬, 소금, 참기름, 후추
● 조리방법
1. 서대를 얇게 포 뜨고 껍질을 벗긴다.
2. 핸드블렌더에 손질한 새우살과 소금, 참기름, 후추, 달걀흰자, 돼지고기 기름을 넣고 간다.
3. 핸드블렌더로 간 새우살을 적당한 크기로 뭉친 뒤, 전분을 묻힌 서대포로 감싸듯 롤을 만든다.
4. 물이 끓는 찜기에 청주를 넣고, 서대새우롤을 찐다.
5. 끓는 물에 두릅을 데친다.
6. 데친 두릅을 건지고 체에 밭쳐 물기를 뺀다.
7. 냄비에 오렌지주스를 끓인다.
8. 팬에 아로니아즙과 오렌지주스를 끓인다.
9. 끓인 오렌지주스에 삶은 죽순, 레몬즙, 데친 두릅을 넣고 조린다.
10. 오렌지주스에 조린 죽순과 두릅을 접시에 담는다.
11. 기름을 두른 팬에 찐 서대새우롤을 굽는다.
12. 팬에 끓인 아로니아즙과 오렌지주스에 버터를 넣고 녹여 아로니아소스를 만든다.
13. 아로니아소스에 두릅과 죽순을 조린 오렌지주스를 넣는다.
14. 죽순과 두릅 위에 서대새우롤을 올린다.
15. 아로니아소스를 뿌려 마무리한다.</t>
  </si>
  <si>
    <t>&lt;이연복 - 완소 두부&gt;
● 재료
두부, 소고기등심, 새우, 골뱅이통조림, 둥근 호박, 누룽지, 매실엑기스, 사골곰탕, 대파, 마늘,
양파, 다진 생강, 청양고추, 버터, 달걀, 전분, 소금, 고춧가루, 청주, 간장, 고추장, 참기름
● 조리방법
1. 대파와 마늘은 잘게 다지고, 둥근 호박과 양파, 두부는 적당한 크기로 썬다.
2. 소고기등심을 잘게 다진다.
3. 핸드블렌더에 손질한 새우, 버터, 달걀물, 전분, 생강즙을 넣고 간다.
4. 핸드블렌더로 간 새우에 소금으로 간 한다.
5. 4에 잘게 다진 골뱅이를 넣고 치대어 완자반죽을 만든다.
6. 완자반죽을 적당한 크기로 떼어내 찜기에 찐다.
7. 기름에 누룽지를 튀겨낸 뒤, 체에 밭쳐 기름기를 뺀다.
8. 기름을 두른 팬에 손질한 대파와 다진 소고기등심, 고춧가루를 넣고 볶는다.
9. 8에 청주, 간장, 매실엑기스, 손질한 마늘, 둥근 호박, 양파,
두부, 청양고추, 고추장을 넣어 마파두부를 만든다.
10. 마파두부에 사골곰탕을 넣고 볶는다.
11. 볶던 재료에 참기름, 전분물을 넣는다.
12. 그릇에 튀긴 누룽지와 새우골뱅이완자를 담는다.
13. 그릇에 마파두부를 담아 마무리한다.</t>
  </si>
  <si>
    <t>냉장고를 부탁해 시즌 1, 111화</t>
  </si>
  <si>
    <t>&lt;샘킴 - 1등 가자~미!&gt;
● 재료
가자미, 사골곰탕, 애호박, 감자, 마늘, 레몬, 대파, 소금, 후추, 식초, 버터, 화이트와인, 올리브오일
● 조리방법
1. 채소육수를 만든다.
2. 채소육수에 사골곰탕을 넣고 끓인다.
3. 기름을 두른 팬에 적당한 두께로 썬 애호박을 굽다가 소금, 후추로 간 한다.
4. 애호박에 잘게 다진 마늘, 식초, 곰탕채소육수, 버터를 넣고 볶는다.
5. 감자를 원형틀로 찍어낸 뒤, 적당한 두께로 썬다.
6. 기름을 두른 팬에 감자를 굽다가 소금, 후추로 간 한다.
7. 감자에 잘게 다진 마늘, 곰탕채소육수, 식초를 넣고 볶는다.
8. 가자미를 포 뜬 뒤, 버터를 바르고 레몬껍질을 올린다.
9. 가자미포를 반으로 접어 실로 묶는다.
10. 기름을 두른 팬에 대파 흰 부분과 가자미를 굽는다.
11. 종이포일을 말아 그릇을 만든 뒤, 볶은 애호박과 감자를 넣고 오븐에 굽는다.
12. 가자미에 후추로 간 한다.
13. 접시에 구운 대파와 가자미를 담는다.
14. 가자미를 굽던 팬에 레몬즙, 화이트와인, 곰탕채소육수, 버터를 넣고 끓여 소스를 만든다.
15. 대파와 가자미가 담긴 접시에 생선소스를 부은 뒤, 전자레인지에 돌린다.
16. 채소가 담긴 종이포일 안에 가자미, 구운 대파, 소스를 넣고, 후추와 올리브오일을 뿌려 마무리한다.</t>
  </si>
  <si>
    <t>&lt;오세득 - 플라이 투 더 전복&gt;
● 재료
전복, 닭가슴살, 누룽지, 파프리카, 홍삼엑기스, 양파, 마늘, 대파, 소금, 후추, 청주, 맛술,
고춧가루, 식용유, 참기름, 간장,
● 조리방법
1. 전복에 뜨거운 물을 부어 데친다.
2. 데친 전복의 내장과 살을 분리한다.
3. 닭가슴살을 적당한 크기로 썰어 소금과 후추로 간 한 뒤, 기름을 두른 팬에 굽는다.
4. 양파를 잘게 썰어 닭가슴살과 함께 굽는다.
5. 4에 불린 누룽지와 파프리카를 넣고 볶는다.
6. 전복살을 적당한 크기로 썬다.
7. 기름을 두른 팬에 채 썬 양파와 전복내장, 청주, 맛술을 넣고 볶는다.
8. 볼에 고춧가루, 으깬 마늘, 잘게 썬 파, 식용유를 넣고 전자레인지에 돌려 고추기름을 낸다.
9. 핸드블렌더에 전복내장과 볶은 양파와 홍삼엑기스를 넣고 간 뒤, 참기름을 넣는다.
10. 9에 고추기름을 넣고 갈아 전복내장소스를 만든다.
11. 전복내장소스에 간장을 섞는다.
12. 볶던 누룽지에 전복내장소스와 전복살을 넣고 소금, 후추를 뿌린 뒤 볶아 전복잠발라야를 만든다.
13. 전복잠발라야를 접시에 담는다.
14. 대파 흰 부분을 가늘게 채 썬 뒤, 찬물에 헹궈 아린 맛을 뺀다.
15. 전복잠발라야 위에 파채를 올려 마무리한다.</t>
  </si>
  <si>
    <t>&lt;정호영 - 전복 미씽유♬&gt;
● 재료
전복, 달걀, 김, 새우, 둥근 호박, 부추, 조미료, 파스타면, 양파, 마늘, 청주, 소금, 후추, 간장, 버터
● 조리방법
1. 끓는 물에 전복을 삶는다.
2. 달걀을 80도의 물에 10분간 담가 온천달걀을 만든다.
3. 김을 가늘게 채 썬다.
4. 양파, 마늘, 새우, 둥근 호박, 부추를 적당한 크기로 손질한다.
5. 삶은 전복은 내장과 살을 분리한다.
6. 핸드블렌더에 전복내장과 청주를 넣고 갈아 전복내장소스를 만든다.
7. 전복살을 적당한 크기로 썬다.
8. 소금을 넣은 끓는 물에 파스타면을 삶는다.
9. 기름을 두른 팬에 손질한 전복, 새우, 둥근 호박, 양파, 소금, 후추를 넣고 볶는다.
10. 볶던 재료에 전복내장소스와 간장을 넣고 볶는다.
11. 삶은 파스타면을 재료를 볶던 팬에 넣고 함께 볶는다
12. 전복파스타에 조미료와 버터를 넣고 볶는다.
13. 전복파스타에 부추를 넣고 볶는다.
14. 전복파스타를 접시에 담고, 채 썬 김을 올린다.
15. 전복파스타 위에 온천달걀을 올려 마무리한다.</t>
  </si>
  <si>
    <t>&lt;이연복 - 복수전&gt;
● 재료
옥수수 통조림, 토마토, 사과, 매실액, 달걀, 맛술, 소금, 양파, 마늘, 대파, 케첩, 레몬,
전분, 설탕, 후추
● 조리방법
1. 옥수수 통조림을 체에 밭쳐 건더기만 걸러낸다.
2. 옥수수에 달걀, 맛술, 소금을 넣고 섞는다.
3. 기름을 두른 팬에 링 모양으로 썬 양파를 올리고, 옥수수달걀물을 채워 전을 굽는다.
4. 3 안에 작은 링 모양의 양파를 넣고 굽는다.
5. 옥수수양파전을 뒤집어 양면으로 굽는다.
6. 토마토에 뜨거운 물을 부어 데친 뒤, 껍질을 벗겨내고 잘게 다진다.
7. 양파, 마늘, 대파를 잘게 다진다.
8. 기름을 두른 팬에 잘게 다진 토마토, 양파, 마늘, 대파를 넣고 볶는다.
9. 사과는 껍질을 벗기고 핸드블렌더로 간다.
10. 곱게 간 사과를 팬에 넣고, 볶던 재료와 함께 볶는다.
11. 볶던 재료에 매실액, 케첩, 레몬즙을 넣어 토마토사과소스를 만든다.
12. 옥수수를 곱게 간다.
13. 곱게 간 옥수수에 옥수수알갱이와 전분을 넣고 치대 반죽을 만든다.
14. 옥수수반죽으로 완자를 빚어 기름에 튀긴다.
15. 옥수수완자튀김을 체에 밭쳐 기름기를 뺀다.
16. 마른 팬에 설탕을 녹인다.
17. 녹인 설탕에 옥수수완자튀김을 버무려 옥수수맛탕을 만든다.
18. 토마토사과소스에 전분물, 소금, 후추를 넣는다.
19. 토마토사과소스를 접시에 담고 옥수수양파전을 적당한 크기로 잘라 올린다.
20. 다른 접시에 옥수수맛탕을 담고 차가운 물을 곁들여낸다.</t>
  </si>
  <si>
    <t>냉장고를 부탁해 시즌 1, 112화</t>
  </si>
  <si>
    <t>&lt;레이먼킴 - 신데렐라 피자&gt;
● 재료
단호박, 삼겹살, 토마토, 사과, 시리얼, 요거트, 느타리버섯, 옥수수 통조림,
인스턴트 크림수프분말, 딸기, 고추, 전분, 소금
● 조리방법
1. 단호박을 반으로 잘라 씨를 빼내고 껍질을 벗겨낸다.
2. 단호박 속을 가늘게 채 썬다.
3. 채 썬 단호박에 즉석밥을 넣고 섞는다.
4. 기름을 두른 팬에 단호박밥을 눌러 굽다가 전분을 뿌리고,
동그랗게 모양을 잡아 단호박도우를 만든다.
5. 끓는 기름에 소금을 넣고, 적당한 크기로 썬 삼겹살을 튀긴다.
6. 튀긴 삼겹살을 체에 밭쳐 기름기를 뺀다.
7. 토마토, 사과를 깍둑썰기 한다.
8. 딸기를 적당한 크기로 썬다.
9. 손질한 토마토, 사과, 딸기에 소금, 시리얼, 요거트를 넣고 섞어 과일샐러드를 만든다.
10. 기름을 두른 팬에 고추, 느타리버섯, 옥수수 통조림을 볶다가 크림수프분말을 넣는다.
11. 10에 물을 부어 가며 끓여 크림소스를 만든다.
12. 단호박도우를 접시에 담는다.
13. 기름을 두른 팬에 적당한 크기로 썬 토마토를 굽는다.
14. 단호박도우 위에 크림소스&gt;구운 토마토&gt;크림소스를 차례로 올린다.
15. 14를 토치로 직화한다.
16. 과일샐러드를 곁들인다.</t>
  </si>
  <si>
    <t xml:space="preserve">&lt;샘킴 - 불량고기&gt;
● 재료
돼지고기 뒷다리살, 파프리카, 느타리버섯, 매실액, 방울토마토, 토마토, 양파,
다진 마늘, 대파, 레몬, 간장, 설탕, 맛술, 깨, 참기름, 소금, 후추, 올리브오일, 들기름, 즉석밥
● 조리방법
1. 기름을 두른 그릴팬에 적당한 크기로 썬 양파와 파프리카, 느타리버섯을 굽는다.
2. 간장, 설탕, 맛술, 다진 마늘, 깨, 참기름을 섞어 불고기양념을 만든다.
3. 불고기양념에 적당한 크기로 썬 대파와 양파를 버무린다.
4. 불고기양념에 매실액, 소금, 후추를 넣고, 돼지고기 뒷다리살을 재운다.
5. 방울토마토를 반으로 잘라 올리브오일을 뿌리고 소금, 후추로 간한다.
6. 소금, 후추로 간을 한 방울토마토를 예열한 오븐에 굽는다.
7. 잘게 다진 마늘에 간장, 레몬즙, 설탕, 들기름, 올리브오일을 섞어 드레싱을 만든다.
8. 기름을 두른 팬에 재워둔 불고기를 볶는다.
9. 즉석밥 위에 토마토를 얹고 올리브오일을 뿌린 뒤, 랩으로 감싸 전자레인지에 돌린다.
10. 오븐에 구운 방울토마토를 토치로 직화한다.
11. 토마토를 얹고 익힌 즉석밥에 올리브오일을 뿌린 뒤,
구운 방울토마토, 불고기 양념을 넣고 섞는다.
12. 그릇에 토마토밥, 구운 채소를 담고 드레싱을 뿌린다.
13. 그릇에 불고기를 담고 드레싱을 뿌린 뒤, 얇게 썬 대파를 올린다.
14. 후추와 깨를 뿌려 마무리한다.
</t>
  </si>
  <si>
    <t>&lt;이재훈 - 밥피자 심쿵해♬&gt;
● 재료
돼지목심, 두유, 유자청, 파프리카, 토마토, 고추냉이, 설탕, 버터, 다진 마늘, 다진 생강,
된장, 맛술, 간장, 참기름, 양파, 대파, 올리브오일, 레몬, 후추, 즉석밥
● 조리방법
1. 마른 팬에 즉석밥을 눌러 누룽지를 굽는다.
2. 팬에 두유, 고추냉이, 설탕, 버터를 넣고 끓여 두유고추냉이소스를 만든다.
3. 적당한 크기로 썬 돼지목심에 유자청을 넣고 섞는다.
4. 3에 다진 마늘, 다진 생강, 된장, 맛술, 간장, 참기름을 넣고 버무린다.
5. 양파를 얇게 썬 뒤, 찬물에 담가둔다.
6. 파프리카, 대파를 잘게 썰어 올리브오일, 레몬즙, 후추를 넣고 드레싱을 만든다.
7. 기름을 두른 팬에 양념한 돼지목심을 볶는다.
8. 누룽지를 뒤집어 양면을 바삭하게 굽는다.
9. 토마토를 얇게 썬 뒤, 돌돌 말아 꽃모양을 만든다.
10. 누룽지를 4등분 한 뒤, 접시에 담는다.
11. 누룽지 위에 찬물에 담가뒀던 양파를 올리고 두유고추냉이 소스를 뿌린다.
12. 11 위에 볶은 돼지고기&gt; 토마토장미&gt; 후추&gt; 두유고추냉이소스를 뿌려 완성한다.</t>
  </si>
  <si>
    <t>&lt;박건영 - 뚝닭뚝닭&gt;
● 재료
닭안심, 깻잎, 파프리카, 베트남고추, 굴소스, 마늘, 대파, 양파, 고추, 다진 생강, 다진 마늘,
청주, 간장, 식초
● 조리방법
1. 마늘은 슬라이스 하고, 대파는 적당한 크기로 썬다.
2. 양파와 깻잎을 채 썬다.
3. 고추와 파프리카를 적당한 크기로 썬다.
4. 마늘을 으깬다.
5. 닭안심을 얇게 슬라이스 한다.
6. 슬라이스한 닭안심에 굴소스, 생강즙, 청주를 섞어 재운다.
7. 기름을 두른 팬에 으깬 마늘과 대파 흰 부분을 넣고 볶는다.
8. 볶던 재료에 간장과 청주, 손질한 양파와 파프리카, 굴소스를 넣고 볶는다.
9. 달궈둔 뚝배기에 볶은 채소, 양념한 닭안심, 채 썬 깻잎을 순서대로 담는다.
10. 끓는 기름에 슬라이스한 마늘과 대파, 고추를 넣고 끓인다.
11. 10에 베트남고추를 넣고 끓인다.
12. 채소와 닭안심이 담긴 뚝배기에 끓는 채소기름을 넣고 뚜껑을 덮어 익힌다.
13. 다진 마늘, 간장, 식초, 굴소스를 섞어 양념장을 만들어 따로 낸다.</t>
  </si>
  <si>
    <t>냉장고를 부탁해 시즌 1, 113화</t>
  </si>
  <si>
    <t>&lt;주배안 - 복된 짜장&gt;
● 재료
인스턴트 군만두, 오이소박이, 고량주, 고추기름, 양파, 고추, 다진 샛강, 밀가루, 식초, 설탕, 된장
● 조리방법
1. 밀가루에 물을 넣고 치대어 면 반죽을 한다.
2. 면 반죽을 휴지시킨다.
3. 양파를 적당한 크기로 썬다.
4. 냉동만두소를 꺼내 잘게 다진다.
5. 고추를 잘게 썬다.
6. 오이소박이를 물에 씻어 가늘게 채 썬다.
7. 채 썬 오이소박이에 고추기름, 식초, 설탕을 넣고 섞어 자차이를 만든다.
8. 기름에 된장을 볶는다.
9. 기름을 두른 팬에 만두소, 다진 생강, 고량주, 손질한 양파, 잘게 썬 고추를 넣고 볶는다.
10. 볶던 재료에 기름에 볶은 된장과 굴소스를 넣고 볶아 된장짜장소스를 만든다.
11. 휴지시킨 면 반죽을 치대다가 밀대로 얇게 민다.
12. 면을 적당한 두께로 썰어 끓는 물에 삶는다.
13. 볶던 된장짜장소스에 설탕을 넣는다.
14. 그릇에 된장짜장소스를 담는다.
15. 삶은 면을 찬물에 헹구고 다시 한 번 뜨거운 물에 담갔다가 따로 담아낸다.</t>
  </si>
  <si>
    <t>&lt;김풍 - 명풍튀김&gt;
● 재료
땅콩버터, 고추기름, 콜라, 참치 통조림, 명란젓, 상추, 깻잎, 대파, 다진 마늘, 달걀, 물엿,
마요네즈, 식초, 간장, 밀가루, 전분
● 조리방법
1. 잘게 다진 대파에 다진 마늘, 땅콩버터, 고추기름을 넣고 섞는다.
2. 1에 콜라, 물엿, 마요네즈, 식초, 간장을 넣고 소스를 만든다.
3. 볼에 참치 통조림, 밀가루, 전분을 넣고 반죽한다.
4. 명란젓을 적당한 크기로 썬다.
5. 기름을 두른 팬에 달걀프라이를 만든다.
6. 참치반죽 안에 명란젓을 넣고 감싸 동그랗게 모양을 잡는다.
7. 6을 기름에 튀겨 명란참치튀김을 만든다.
8. 명란참치튀김을 건져 기름기를 뺀다.
9. 그릇에 상추와 깻잎을 담는다.
10. 접시에 달걀프라이, 명란참치튀김, 소스를 담아낸다.</t>
  </si>
  <si>
    <t>&lt;최현석 - 냉볶이&gt;
● 재료
해물볶음고추장, 굴소스, 양념게장, 새우젓, 깻잎, 상추,
레몬, 대파, 달걀, 밀가루, 참기름, 설탕, 후추
● 조리방법
1. 밀가루에 뜨거운 물을 넣고 익반죽한다.
2. 밀가루반죽을 길게 밀어 떡모양을 만든 뒤, 뜨거운 물에 삶는다.
3. 해물볶음고추장에 레몬즙, 굴소스, 참기름, 설탕을 넣고 섞어 떡볶이소스를 만든다.
4. 끓는 물에 양념게장을 넣고 끓인다.
5. 게장국에 달걀물을 넣는다.
6. 볼에 밀가루, 얇게 썬 대파, 물에 씻은 새우젓, 물을 넣고 섞어 새우젓튀김반죽을 만든다.
7. 새우젓튀김반죽을 적당한 크기로 덜어 기름에 튀긴다.
8. 깻잎을 가늘게 채 썬다.
9. 익힌 떡을 얼음물에 담가 식힌다.
10. 볼에 잘게 찢은 상추, 떡, 떡볶이소스, 참기름을 넣고 비빈다.
11. 접시에 떡볶이와 새우젓튀김을 담은 뒤, 깻잎채를 올린다.
12. 게장국에 후추를 넣은 뒤, 그릇에 담아낸다.</t>
  </si>
  <si>
    <t>&lt;이연복 - 부굴부굴&gt;
● 재료
건새우, 두부, 채끝등심, 새우, 바지락살, 소불고기양념, 굴, 액상조미료, 애호박, 새송이버섯,
청양고추, 대파, 달걀, 전분, 밀가루, 소금
● 조리방법
1. 끓는 물에 건새우, 청양고추를 넣고 끓여 육수를 낸다.
2. 두부를 적당한 크기로 썰어 속을 동그랗게 파낸다.
3. 채끝등심, 새우, 바지락살, 전분, 소불고기양념, 달걀물을 핸드블렌더로 갈아 완자반죽을 만든다.
4. 완자반죽을 동그랗게 빚어 속을 파낸 두부에 넣는다.
5. 4를 찜기에 넣고 찐다.
6. 달걀물에 전분을 넣고 섞는다.
7. 기름을 두른 팬에 전분을 넣은 달걀물을 넣고 익혀 달걀피를 만든다.
8. 굴에 밀가루를 묻혀 달걀피 위에 올리고 반으로 접어 굴만두를 만든다.
9. 액상조미료를 육수에 넣고 끓인다.
10. 재료를 넣고 끓이던 육수를 체에 밭쳐 건더기를 분리한 뒤, 소금을 넣어 끓인다.
11. 애호박과 새송이버섯을 채 썰어 육수에 넣고 끓인다.
12. 두부완자찜과 굴만두를 그릇에 담는다.
13. 12에 애호박과 새송이버섯을 넣고 끓인 육수를 붓고, 잘게 썬 대파를 올려낸다.</t>
  </si>
  <si>
    <t>냉장고를 부탁해 시즌 1, 114화</t>
  </si>
  <si>
    <t>&lt;주배안 - 월드스탕&gt;
● 재료
무, 건새우, 새우, 건두부피, 트러플 버터, 굴, 시금치, 액상조미료, 대파, 간장, 전분
● 조리방법
1. 끓는 물에 무, 건새우, 대파, 새우머리를 넣고 끓여 육수를 낸다.
2. 전자레인지에 데운 즉석밥을 마른 팬에 넓게 펴서 구워 누룽지를 만든다.
3. 건두부피를 가늘게 채 썬다.
4. 기름을 두른 냄비에 채 썬 건두부피, 트러플 버터, 간장을 넣고 볶는다.
5. 건두부피를 볶던 냄비에 새우, 굴을 넣고 함께 볶는다.
6. 볶은 재료에 육수를 넣고 해물탕을 끓인다.
7. 핸드블렌더에 적당한 크기로 썬 시금치와 물을 넣고 곱게 간다.
8. 간 시금치를 체에 밭쳐 즙만 해물탕에 넣고 끓인다.
9. 시금치해물탕에 액상조미료를 넣고 끓인다.
10. 시금치해물탕에 전분물을 풀어 농도를 조절한다.
11. 누룽지를 별모양 틀로 찍어 모양을 만든다.
12. 별모양으로 만든 누룽지를 기름에 튀긴다.
13. 그릇에 시금치해물탕을 담고 별모양으로 튀긴 누룽지를 따로 담아낸다.</t>
  </si>
  <si>
    <t>&lt;샘킴 - I'm 가리비 a bad boy♬&gt;
● 재료
오리엔탈드레싱, 오징어, 쪽파, 시금치, 베이키드빈스, 트러플 꿀, 가리비, 부추,
다진 마늘, 참깨, 마요네즈, 후추, 소금, 식초, 버터
● 조리방법
1. 핸드블렌더에 참깨와 오리엔탈드레싱을 넣고 곱게 간다.
2. 1에 마요네즈와 후추를 넣고 다시 갈아 참깨소스를 만든다.
3. 오징어는 껍질을 벗겨내고, 잘게 다진다.
4. 기름을 두른 팬에 적당한 크기로 썬 쪽파와 시금치를 각각 굽다가 소금, 후추로 간 한다.
5. 기름을 두른 팬에 잘게 다진 오징어를 볶다가 소금, 베이키드빈스,
다진 마늘, 식초, 트러플 꿀, 버터를 넣고 볶는다.
6. 구운 시금치를 원형틀로 모양을 잡아 접시 위에 올린다.
7. 구운 쪽파를 적당한 크기로 썰어 데커레이션 한다.
8. 구운 시금치 위에 오징어볶음을 얹는다.
9. 기름을 두른 팬에 가리비관자를 굽다가, 소금, 후추로 간 한다.
10. 접시에 참깨소스를 올린다.
11. 구운 쪽파 위에 가리비관자구이를 올린다.
12. 잘게 다진 부추를 올려 마무리한다.</t>
  </si>
  <si>
    <t>&lt;정호영 - 두부로 피하고 싶어서♬&gt;
● 재료
오징어, 새송이버섯, 파프리카, 애호박, 채끝등심, 건두부피, 트러플 꿀, 소불고기 양념,
마늘, 양파, 달걀, 밀가루, 전분, 설탕, 간장, 후추
● 조리방법
1. 마늘은 얇게 슬라이스하고, 오징어는 촘촘하게 칼집을 낸 뒤 채 썬다.
2. 새송이버섯, 파프리카, 양파, 애호박도 채 썬다.
3. 밀가루를 물에 개어 튀김반죽을 만든다.
4. 채끝등심을 채 썬 뒤, 전분과 달걀물을 묻혀 기름에 튀기듯 볶는다.
5. 기름에 볶은 채끝등심을 체에 밭쳐 기름기를 뺀다.
6. 기름을 두른 팬에 손질한 채소들과 오징어, 채끝등심, 설탕, 간장, 소불고기 양념을 넣고 볶는다.
7. 볶던 재료에 후추를 뿌려 중국식잡채를 완성한다.
8. 건두부피에 중국식잡채를 넣고 튀김반죽을 묻혀 돌돌 만다.
9. 건두부피롤에 튀김반죽을 골고루 입혀 기름에 튀긴다.
10. 접시에 중국식잡채를 담는다.
11. 뜨거운 물에 건두부피를 데친다.
12. 데친 건두부피를 접시에 담는다.
13. 건두부피롤튀김을 적당한 크기로 썰어 접시에 담은 뒤, 트러플 꿀을 뿌려 마무리한다.</t>
  </si>
  <si>
    <t>&lt;이재훈 - 알렉스테이크&gt;
● 재료
아스파라거스, 발사믹소스, 살치살, 로즈마리, 양상추, 바닐라 아이스크림, 모차렐라치즈, 배, 위스키,
양파, 당근, 대파, 레몬, 올리브오일, 소금, 후추, 버터
● 조리방법
1. 손질한 양파, 당근, 대파, 아스파라거스를 끓는 물에 넣고 채소육수를 낸다.
2. 양파를 가늘게 채 썬다.
3. 기름을 두른 팬에 채 썬 양파와 발사믹소스를 넣고 볶는다.
4. 살치살에 올리브오일, 소금, 후추를 뿌린다.
5. 기름을 두른 팬에 간을 한 살치살을 굽는다.
6. 살치살을 굽는 팬에 버터를 넣고 고기에 끼얹어가며 익힌다.
7. 볼에 살치살 스테이크와 로즈마리를 넣고 토치로 로즈마리에 불을 붙인 뒤,
랩을 씌워 살치살 스테이크를 훈연한다.
8. 팬에 양상추와 발사믹소스를 넣고 볶다가 채소육수를 넣는다.
9. 8에 버터, 후추, 바닐라 아이스크림을 넣고 졸인다.
10. 훈연한 살치살 스테이크에 발사믹소스에 볶은 양파와 모차렐라치즈를 올린 뒤, 오븐에 익힌다.
11. 기름을 두른 팬에 적당한 크기로 썬 배와 아스파라거스를 굽는다.
12. 11에 소금, 버터, 후추를 넣고, 위스키를 넣어 불을 붙인다.
13. 접시에 구운 아스파라거스와 배를 올리고, 소스에 볶은 양상추를 담는다.
14. 양상추 위에 살치살스테이크를 올린다.
15. 소스를 두르고, 레몬껍질과 후추를 뿌려 마무리한다.</t>
  </si>
  <si>
    <t>냉장고를 부탁해 시즌 1, 115화</t>
  </si>
  <si>
    <t>&lt;김풍 - 둘이서 한 덮밥&gt;
● 재료
양배추, 돼지목살, 파프리카, 대파, 마늘, 양파, 다진 마늘, 간장, 식초, 고춧가루, 청주, 맛술
● 조리방법
1. 대파, 마늘, 양파를 핸드블렌더로 간다.
2. 양배추를 가늘게 채 썬다.
3. 돼지목살을 적당한 크기로 썬 뒤, 기름에 튀기듯 볶는다.
4. 볶은 돼지목살을 체에 밭쳐 기름기를 뺀다.
5. 돼지목살을 볶았던 기름에 다진 마늘과 채 썬 양배추, 간장, 식초를 넣고 볶는다.
6. 볶은 양배추를 꺼내둔다.
7. 기름을 두른 팬에 곱게 간 대파, 마늘, 양파와 고춧가루를 넣고 볶아 소스를 만든다.
8. 전자레인지에 즉석밥을 돌린다.
9. 볶던 소스에 돼지목살, 청주를 넣고 함께 볶는다.
10. 재료를 볶던 팬에 채 썬 파프리카와 맛술을 넣고 함께 볶는다.
11. 접시에 밥을 얹고, 양배추볶음을 올린 뒤, 소스와 함께 볶은 돼지목살을 올려 마무리한다.</t>
  </si>
  <si>
    <t>&lt;최현석 - 파티가 오레가노&gt;
● 재료
파스타면, 아스파라거스, 토마토, 양상추, 관자, 베이컨, 오레가노,
액상조미료, 소금, 후추, 올리브오일, 마늘, 레몬
● 조리방법
1. 파스타면을 잘게 부순다.
2. 끓는 물에 잘게 부순 파스타면을 넣고 삶는다.
3. 아스파라거스를 손질한 뒤, 끓는 물에 데친다.
4. 기름을 두른 팬에 데친 아스파라거스를 굽는다.
5. 토마토를 적당한 크기로 썬다.
6. 양상추를 채 썬다.
7. 구운 아스파라거스를 적당한 크기로 썬다.
8. 관자에 소금, 후추로 간 한다.
9. 기름을 두른 팬에 관자를 구운 뒤, 냉동실에서 식힌다.
10. 베이컨은 잘게 썰고, 마늘은 으깬다.
11. 팬에 손질한 베이컨과 마늘을 넣고 볶다가, 소금으로 간 한다.
12. 볶은 베이컨과 마늘을 체에 밭쳐 기름기를 뺀 뒤,
레몬즙과 올리브오일, 오레가노를 넣고 소스를 만든다.
13. 소스에 구운 아스파라거스, 식힌 관자를 넣는다.
14. 삶은 파스타면을 체에 밭쳐 거른 뒤, 얼음물에서 식힌다.
15. 파스타면을 소스에 넣는다.
16. 손질한 토마토와 베이컨을 넣고 섞는다.
17. 16에 액상조미료를 넣는다.
18. 섞은 냉파스타를 그릇에 담고, 채 썬 양상추를 올려 마무리한다.</t>
  </si>
  <si>
    <t>&lt;레이먼킴 - 팬타스틱&gt;
● 재료
아스파라거스, 베이컨, 소시지, 맥주, 팬케이크가루, 모차렐라치즈, 액상조미료,
양파, 마늘, 달걀, 연겨자, 버터, 올리브오일, 밀가루, 후추
● 조리방법
1. 아스파라거스를 적당한 크기로 손질한다.
2. 양파, 베이컨을 적당한 크기로 썰어 팬에 볶는다.
3. 다른 팬에 적당한 크기로 썬 소시지와 마늘을 볶다가, 맥주를 붓고 끓인다.
4. 3에 손질한 아스파라거스를 넣는다.
5. 맥주, 연겨자, 달걀, 팬케이크가루를 섞어 팬케이크반죽을 만든다.
6. 팬케이크반죽에 모차렐라치즈를 넣는다.
7. 유리냄비에 버터를 묻히고, 볶은 양파와 베이컨, 팬케이크반죽을 넣고 전자레인지에서 익힌다.
8. 볶던 양파와 베이컨에 버터와 올리브오일을 넣고 다시 한 번 볶는다.
9. 8에 밀가루, 맥주를 넣고 끓이다가, 액상조미료를 넣고 끓인 육수를 부어 함께 끓인다.
10. 끓이던 재료에 후추를 넣어 소스를 만든다.
11. 전자레인지에 익힌 팬케이크반죽을 꺼내 맥주에 끓인 소시지와
아스파라거스를 넣고, 다시 한 번 익혀 낸다.
12. 소스를 유리냄비에 부어 따로 낸다.</t>
  </si>
  <si>
    <t>&lt;최현석 - 200% 게살케이크&gt;
● 재료
새우살, 대게살, 날치알, 딸기주스, 우유, 당근, 버터, 소금, 후추, 밀가루
● 조리방법
1. 핸드블렌더에 새우살, 버터, 소금, 후추를 넣고 곱게 간다.
2. 간 새우살에 물기를 짠 대게살을 넣고 섞는다.
3. 원형틀 안쪽에 버터를 바르고 새우대게살을 채운 후, 찜기에 찐다.
4. 날치알을 체에 밭쳐 찬물에 헹군다.
5. 당근을 럭비공모양으로 다듬어 끓는 물에 삶은 뒤 체에 밭쳐 둔다.
6. 냄비에 딸기주스, 삶은 당근, 버터를 넣고 끓여 조린다.
7. 냄비에 버터와 밀가루를 볶아 루를 만들고, 우유, 후추를 넣고 끓여 베샤멜소스를 만든다.
8. 찜기에서 찐 새우대게살 케이크를 기름을 두른 팬에 굽는다.
9. 새우대게살 케이크에 베샤멜소스를 부어 코팅한 뒤 접시에 올린다.
10. 딸기주스에 조린 당근을 곁들인다.
11. 새우대게살 케이크 위에 날치알을 올려 마무리한다.</t>
  </si>
  <si>
    <t>냉장고를 부탁해 시즌 1, 116화</t>
  </si>
  <si>
    <t>&lt;유현수 - 갈치 너비아니&gt;
● 재료
더덕, 등갈비, 명이나물장아찌, 갈치, 통조림 햄, 참나물, 케일사과주스, 배, 도라지배즙, 콩비지,
대파, 양파, 전분, 설탕, 올리브오일, 고추장
● 조리방법
1. 대파, 양파, 더덕을 석쇠에 굽는다.
2. 등갈비에 칼집을 내고 전분을 묻혀 기름에 튀기다가 설탕을 넣는다.
3. 냄비에 설탕, 명이나물장아찌국물, 석쇠에 구운 채소를 넣고 끓인 뒤, 체에 밭쳐 국물만 걸러낸다.
4. 걸러낸 국물을 다시 한 번 끓여 명이나물소스를 만든다.
5. 갈치를 포 뜬 뒤, 전분을 묻힌다.
6. 통조림 햄을 얇게 썰어 전분을 묻힌다.
7. 튀긴 등갈비를 꺼내 살만 바른 뒤, 잘게 다진다.
8. 잘게 다진 등갈비살에 전분을 뿌린다.
9. 갈치포와 통조림 햄 사이에 등갈비살을 넣고 샌드해 너비아니를 만든다.
10. 기름을 두른 팬에 너비아니를 굽는다.
11. 믹서기에 참나물, 올리브오일, 케일사과주스를 넣고 갈아 참나물소스를 만든다.
12. 핸드블렌더에 배, 고추장, 도라지배즙을 넣고 갈아 고추장소스를 만든다.
13. 너비아니에 고추장소스를 바른다.
14. 콩비지를 전자레인지에 데운 뒤, 접시에 올린다.
15. 너비아니를 접시에 얹는다.
16. 참나물소스와 명이나물소스를 뿌린다.
17. 참나물을 얹은 뒤, 올리브오일을 뿌려 마무리한다.</t>
  </si>
  <si>
    <t>&lt;이재훈 - 케이밥스타&gt;
● 재료
오징어, 새우살, 수제양념장, 명이나물장아찌, 믹스견과, 크림치즈, 발사믹소스, 딸기주스,
콘수프분말, 파르메산치즈, 전분, 식용유, 후추, 달걀
● 조리방법
1. 오징어와 새우살을 잘게 다진 뒤, 기름을 두른 팬에 볶는다.
2. 밥에 수제양념장과 볶은 해산물을 넣고 섞는다.
3. 양념한 밥으로 주먹밥을 만든 뒤, 명이나물장아찌로 감싼다.
4. 전분, 식용유, 물을 섞어 튀김옷을 만든다.
5. 명이나물주먹밥에 튀김옷을 입혀 기름에 튀긴다.
6. 견과류와 건크랜베리를 잘게 부순 뒤, 크림치즈와 섞는다.
7. 팬에 발사믹소스, 딸기주스, 물을 넣고 끓여 딸기발사믹소스를 만든다.
8. 끓는 물에 콘수프분말을 녹인다.
9. 콘수프에 후추, 파르메산치즈, 달걀노른자를 넣고 섞어 콘수프소스를 만든다.
10. 접시에 콘수프소스를 올리고, 튀긴 명이나물주먹밥을 올린다.
11. 명이나물주먹밥 위에 견과류와 섞은 크림치즈를 올린다.
12. 딸기발사믹소스와 콘수프소스를 뿌려 마무리한다.</t>
  </si>
  <si>
    <t>&lt;레이먼킴 - 레이면인건가♬&gt;
● 재료
라면, 오징어, 해시브라운, 자숙새우, 카망베르치즈, 굴소스, 파르메산치즈, 영양부추, 가쓰오부시,
양파, 레몬, 달걀, 소금, 후추, 전분, 케첩, 마요네즈
● 조리방법
1. 기름을 두른 팬에 채 썬 양파를 볶는다.
2. 끓는 물에 라면과 다시마를 넣고 삶는다.
3. 볶던 양파에 손질한 오징어, 레몬즙, 잘게 부순 해시브라운, 소금, 후추, 자숙새우를 넣고 볶는다.
4. 삶은 라면을 체에 밭쳐 물기를 뺀 뒤 라면수프, 전분을 넣고 섞는다.
5. 기름을 두른 팬에 양념한 라면을 넓게 펴서 오코노미야키를 굽는다.
6. 카망베르치즈를 적당한 크기로 썬 뒤, 굽던 오코노미야키 위에 올린다.
7. 6 위에 볶은 해산물&gt;양념한 라면&gt;달걀을 올려 굽다가, 뒤집어가며 굽는다.
8. 오코노미야키의 달걀을 올린 부분에 굴소스와 케첩을 섞은 소스를 바르고,
파르메산 치즈를 뿌려 굽다가 뒤집는다.
9. 구운 오코노미야키을 접시에 담은 뒤, 달걀을 올리지 않은 부분에
케첩&amp;굴소스를 바르고 잘게 다진 영양부추를 뿌린다.
10. 오코노미야키 위에 마요네즈를 바르고, 가쓰오부시를 뿌린다.
11. 10 위에 달걀노른자를 올린 뒤, 토치로 직화한다.
12. 잘게 다진 영양부추를 뿌려 마무리한다.</t>
  </si>
  <si>
    <t>&lt;김풍 - 시금치 나무에서 애벌레 쇼를♬&gt;
● 재료
굴소스, 시금치, 치킨스톡, 딸기고추장, 베이컨용 삼겹살, 두반장, 숙주나물,
즉석밥, 양파, 마늘, 소금, 전분, 마요네즈, 식초
● 조리방법
1. 전자레인지에 즉석밥을 돌린다.
2. 양파를 채 썬다.
3. 밥에 굴소스를 넣는다.
4. 기름을 두른 팬에 다진 마늘, 채 썬 양파, 시금치, 소금, 물을 넣고 끓이다가
핸드블렌더로 곱게 갈아 시금치소스를 만든다.
5. 시금치소스에 전분물을 넣어 농도를 조절한다.
6. 시금치소스에 치킨스톡을 넣는다.
7. 굴소스를 넣은 밥에 딸기고추장, 마요네즈를 넣고 섞는다.
8. 베이컨용 삼겹살 위에 양념한 밥을 올리고 돌돌 만다.
9. 마른 팬에 삼겹살말이를 올린 뒤, 뚜껑을 닫은 채로 굽는다.
10. 삼겹살말이를 토치로 직화한다.
11. 기름을 두른 팬에 두반장, 굴소스, 채 썬 양파, 숙주나물, 식초를 넣고 볶는다.
12. 시금치소스를 체에 밭쳐 곱게 거른다.
13. 접시에 시금치소스로 나무를 그린다.
14. 시금치 나무 위에 삼겹살말이를 올린다.
15. 그릇에 숙주볶음을 담고, 삼겹살말이를 올려 마무리한다.</t>
  </si>
  <si>
    <t>냉장고를 부탁해 시즌 1, 117화</t>
  </si>
  <si>
    <t>&lt;이연복 - 신의 물고기&gt;
● 재료
식빵, 우스터소스, 삼치, 진, 오이, 셀러리, 명란젓, 감자칩,
마늘, 레몬, 후추, 전분, 청주, 간장, 설탕
● 조리방법
1. 식빵테두리를 잘라내고 적당한 크기로 썬 뒤, 핸드블렌더로 곱게 갈아 빵가루를 만들어 튀긴다.
2. 마늘을 다진다.
3. 다진 마늘을 튀긴다.
4. 기름기를 뺀 튀긴 빵가루와 튀긴 마늘에 후추, 우스터소스를 섞는다.
5. 삼치를 손질해 전분을 묻힌다.
6. 냄비에 청주와 진을 넣고, 전분을 묻힌 삼치 절반을 넣은 뒤 불을 붙여 익힌다.
7. 전분을 묻힌 삼치 남은 절반을 튀긴다.
8. 튀긴 삼치와 술에 익힌 삼치를 각각 건져내 한 김 식힌다.
9. 볼에 간장, 설탕, 레몬즙, 물을 넣고 섞어 초절임소스를 만든다.
10. 오이와 셀러리를 가늘게 채 썰어 그릇에 담고, 초절임소스를 붓는다.
11. 접시에 튀긴 삼치와 술에 익힌 삼치를 접시에 담는다.
12. 술에 익힌 삼치 위에 명란젓을 올리고, 튀긴 마늘빵가루를 뿌린다.
13. 튀긴 삼치 위에 튀긴 마늘빵가루를 뿌린다.
14. 잘게 부순 감자칩을 올려 마무리한다.</t>
  </si>
  <si>
    <t>&lt;미카엘 - 시금치~즈&gt;
● 재료
시금치, 소고기등심, 크림치즈, 모차렐라치즈, 체다치즈, 우유, 사과, 오이, 로메인상추,
양파, 레몬, 달걀, 소금, 후추, 밀가루, 올리브오일
● 조리방법
1. 소금을 넣은 끓는 물에 시금치를 데친다.
2. 소고기등심을 두드려 얇게 편 뒤, 적당한 크기로 잘라 소금으로 간 한다.
3. 기름을 두른 팬에 손질한 소고기등심과 채 썬 양파를 볶는다.
4. 데친 시금치를 체에 밭쳐 물기를 뺀다.
5. 냄비에 적당한 크기로 썬 시금치, 크림치즈, 체다치즈, 소금, 후추, 우유를 넣고 끓인다.
6. 달걀과 밀가루, 우유를 섞어 크레이프 반죽을 만든다.
7. 팬에 반죽을 얇게 부어 크레이프를 굽는다.
8. 적당한 크기로 썬 로메인상추에 레몬즙, 오이, 올리브오일, 소금을 섞어 샐러드를 만든다.
9. 두 개의 접시에 각각 샐러드를 담는다.
10. 크레이프 위에 크림치즈, 양파와 함께 볶은 등심을 올려 감싼다.
11. 10 위에 모차렐라치즈를 올린 뒤, 오븐에 익힌다.
12. 구운 크레이프에 치즈와 함께 끓인 시금치를 올려 감싸고 사과로 고정한다.
13. 샐러드가 담긴 접시 위에 시금치 치즈 크레이프를 올린다.
14. 샐러드가 담긴 다른 접시에 등심 치즈 크레이프와 레몬을 올려 마무리한다.</t>
  </si>
  <si>
    <t>&lt;오세득 - 미소 밀푀유&gt;
● 재료
우유, 통조림 옥수수, 양배추, 소고기등심, 크림치즈, 셀러리, 흑초, 씨겨자, 적미소,
양파, 소금, 후추, 버터, 밀가루, 올리브오일
● 조리방법
1. 냄비에 우유, 옥수수를 넣고 끓인다.
2. 손질한 양배추에 소금을 뿌린 뒤, 팬에 굽는다.
3. 소고기등심을 반으로 갈라 넓게 편 뒤, 소금, 후추로 간 하고 기름을 두른 팬에 굽는다.
4. 구운 양배추를 한 김 식힌다.
5. 믹서기에 우유에 끓인 옥수수, 크림치즈를 넣고 갈아 퓌레를 만든다.
6. 간 퓌레를 체에 밭쳐 곱게 거른 뒤, 적미소를 넣고 섞는다.
7. 감자칼로 셀러리를 얇게 벗겨 얼음물에 담가둔다.
8. 기름을 두른 팬에 잘게 다진 양파를 볶다가 흑초를 넣고 끓여 흑초소스를 만든다.
9. 다른 팬에 버터를 녹인 뒤, 밀가루를 넣고, 흑초소스를 부어 끓인다.
10. 구운 등심&gt;미소옥수수퓌레&gt;구운 양배추&gt;구운 등심&gt;미소옥수수퓌레&gt;구운 양배추 순으로 쌓는다.
11. 10을 꼬지로 고정한 뒤, 적당한 크기로 썰어 접시에 담는다.
12. 미소 밀푀유 위에 셀러리를 올린다.
13. 흑초소스를 한 김 식힌 뒤, 씨겨자, 올리브오일, 소금, 후추를 넣고 섞는다.
14. 미소 밀푀유에 흑초소스를 뿌려 마무리한다.</t>
  </si>
  <si>
    <t>&lt;최현석 - everyday I 스테이크♬&gt;
● 재료
소고기등심, 치킨스톡, 멸치액젓, 게맛살, 사과, 크림치즈,
달걀, 양파, 레몬, 즉석밥, 간장, 청주, 맛술, 설탕, 후추, 전분, 올리브오일, 식용유, 소금
● 조리방법
1. 간장, 청주, 맛술, 설탕을 1:1:1:0.8 비율로 섞어 고기양념을 만든다.
2. 소고기등심을 고기양념에 재워둔다.
3. 끓는 물에 치킨스톡, 멸치액젓을 넣고 끓여 국물을 만든다.
4. 끓이던 국물에 게맛살을 잘게 찢어 넣고, 후추를 뿌린다.
5. 4에 달걀물과 전분물을 넣는다.
6. 팬에 올리브오일과 식용유를 뿌린 뒤, 채 썬 양파를 볶다가 소금, 후추로 간 한다.
7. 팬 한 편에서 양념에 재워둔 소고기를 굽는다.
8. 7에 고기양념을 적당량 붓고, 졸인다.
9. 볶은 양파를 건져낸다.
10. 즉석밥을 전자레인지에 돌린다.
11. 사과는 껍질을 깎고 잘게 썬다.
12. 밥에 잘게 썬 사과를 넣고 섞는다.
13. 사과밥에 레몬즙을 넣는다.
14. 구운 소고기스테이크를 석쇠 위에 올리고, 토치로 직화한다.
15. 그릇에 사과밥과 볶은 양파를 담고, 크림치즈를 올린다.
16. 적당한 크기로 썬 소고기스테이크를 얹고, 레몬껍질을 갈아 올린다.
17. 다른 그릇에 게살수프를 담아 함께 낸다.</t>
  </si>
  <si>
    <t>냉장고를 부탁해 시즌 1, 118화</t>
  </si>
  <si>
    <t>&lt;이재훈 - 숲 속의 완자님&gt;
● 재료
통조림 햄, 파스타면, 치킨스톡, 파슬리가루, 인스턴트 만두, 두부, 땅콩버터, 매실청, 스위트칠리소스,
양파, 대파, 당근, 레몬, 버터, 후추, 전분
● 조리방법
1. 양파, 대파, 당근을 적당한 크기로 썬다.
2. 기름을 두른 냄비에 적당한 크기로 썬 채소와 버터를 넣고 볶는다.
3. 볶던 채소에 뜨거운 물을 붓고 끓이다가, 적당한 크기로 썬 통조림 햄을 넣는다.
4. 파스타면을 적당한 크기로 잘라 넣고 끓인다.
5. 끓이던 재료에 치킨스톡, 파슬리가루, 후추를 넣고 끓여 햄누들수프를 만든다.
6. 인스턴트 만두의 소만 발라낸다.
7. 핸드블렌더로 만두소와 두부를 곱게 간다.
8. 5를 적당한 크기로 뭉쳐 완자를 빚고, 전분을 묻힌다.
9. 완자를 기름에 튀긴 뒤, 체에 밭쳐 기름기를 뺀다.
10. 기름기를 뺀 튀김완자를 다시 한 번 튀긴 뒤, 건져서 기름기를 뺀다.
11. 땅콩버터, 매실청, 스위트칠리소스, 레몬즙을 섞어 땅콩칠리소스를 만든다.
12. 튀김완자에 땅콩칠리소스를 묻힌다.
13. 끓이던 햄누들수프에 레몬즙을 뿌리고, 그릇에 담는다.
14. 햄누들수프 위에 튀김완자를 올려 마무리한다.</t>
  </si>
  <si>
    <t>&lt;미카엘 - 미식이 오믈렛&gt;
● 재료
두부, 삼겹살, 스테이크시즈닝, 견과류, 파르메산치즈가루, 사과, 파슬리가루, 알타리무김치,
달걀, 양파, 마늘, 소금, 후추, 고추장, 간장
● 조리방법
1. 기름을 두른 팬에 적당한 크기로 썬 삼겹살을 볶는다.
2. 핸드블렌더에 달걀, 소금, 두부를 넣고 곱게 간다.
3. 기름을 두른 팬에 2를 붓고, 뚜껑을 닫아 익혀 달걀지단을 만든다.
4. 양파를 가늘게 채 썬다.
5. 볶던 삼겹살에 양파채, 후추, 스테이크시즈닝을 넣고 함께 볶는다.
6. 5에 레드와인, 고추장을 넣고 볶는다.
7. 볼에 으깬 마늘과 간장을 넣고, 적당한 크기로 썬 두부를 담가 재워둔다.
8. 믹서기로 견과류를 곱게 간다.
9. 견과류가루와 파르메산치즈가루를 섞어둔다.
10. 볶던 삼겹살에 파슬리가루를 넣는다.
11. 10에 적당한 크기로 썬 사과와 치즈견과가루를 넣는다.
12. 간장에 재워둔 두부에 밀가루&gt;달걀물&gt;치즈견과가루를 차례로 묻혀 기름에 튀긴다.
13. 달걀지단을 깐 그릇에 양념해 볶은 삼겹살을 담고, 접시에 뒤집어 올려 오믈렛 모양을 낸다.
14. 오믈렛이 담긴 접시에 두부튀김을 올린다.
15. 알타리무김치를 곁들이고, 치즈견과가루를 뿌려 마무리한다.</t>
  </si>
  <si>
    <t>&lt;유현수 - 꿀먹었삼&gt;
● 재료
고구마, 양배추, 삼겹살, 꿀생강청, 굴소스, 인스턴트커피, 사과, 알타리무장아찌,
즉석밥, 소금, 설탕, 식초
● 조리방법
1. 끓는 기름에 고구마를 통째로 튀긴다.
2. 소금을 넣은 끓는 물에 양배추를 삶는다.
3. 즉석밥을 전자레인지에 돌린다.
4. 삼겹살에 촘촘하게 칼집을 낸다.
5. 마른 팬에 칼집 낸 삼겹살을 굽는다.
6. 핸드블렌더에 꿀생강청, 굴소스, 인스턴트커피, 사과를 넣고 갈아 꿀사과소스를 만든다.
7. 구운 삼겹살을 꺼내서 한 쪽 면에 꿀사과소스를 바른다.
8. 꿀사과소스를 바른 삼겹살을 다시 한 번 굽는다.
9. 튀긴 고구마를 석쇠 위에 올리고, 토치로 직화한다.
10. 군고구마의 껍질을 벗겨 한 김 식힌다.
11. 알타리무장아찌를 강판에 간다.
12. 김발 위에 삶은 양배추&gt; 밥&gt;슬라이스한 군고구마&gt;곱게 간 알타리무장아찌를 올리고 돌돌 만다.
13. 돌돌 만 김발을 고정한 뒤, 찜기에 찐다.
14. 꿀사과소스와 곱게 간 알타리무장아찌, 굴소스, 설탕, 식초를 섞어 알타리무소스를 만든다.
15. 찜기에 찐 양배추롤을 적당한 크기로 썰어 접시에 담는다.
16. 양배추롤 위에 꿀사과삼겹살을 올린다.
17. 알타리무소스를 뿌려 마무리한다.</t>
  </si>
  <si>
    <t xml:space="preserve">&lt;김풍 - 에라 모르겠닭♬&gt;
● 재료
훈제 닭가슴살, 된장, 고체카레, 돈가스소스, 굴소스, 다진 마늘,
대파, 양파, 고춧가루, 달걀, 즉석밥
● 조리방법
1. 팬에 기름을 넉넉히 두르고, 다진 마늘을 볶는다.
2. 다진 마늘을 볶던 팬에 대파, 양파를 잘라 넣는다.
3. 볶던 채소에 된장과 고체카레, 고춧가루, 돈가스소스를 넣고 볶는다.
4. 3에 굴소스를 넣고 볶는다.
5. 훈제 닭가슴살을 두드려 결대로 찢는다.
6. 볶던 재료에 결대로 찢은 훈제 닭가슴살을 넣고 볶다가, 달걀을 넣어 섞는다.
7. 볶던 재료에 끓는 물을 붓는다.
8. 접시에 밥을 담고, 닭카레를 올려 마무리한다.
</t>
  </si>
  <si>
    <t>냉장고를 부탁해 시즌 1, 119화</t>
  </si>
  <si>
    <t>&lt;샘킴 - 쉬워서 오야코&gt;
● 재료
김밥햄, 건고추, 굴소스, 대파, 양파, 올리브오일, 마늘, 소금, 후추, 간장, 맛술, 설탕, 깨, 즉석밥
● 조리방법
1. 김밥햄과 대파를 적당한 크기로 자른다
2. 양파를 적당한 크기로 자른다.
3. 팬에 올리브오일을 넉넉히 두르고, 건고추와 손질한 대파, 양파, 통마늘을 넣고 끓여 고추기름을 낸다.
4. 고추기름과 건고추를 덜어내고, 남은 채소에 손질한 김밥햄과 소금, 후추를 넣고 볶는다.
5. 볶던 재료에 간장, 맛술, 물, 설탕, 굴소스를 넣고 끓인다.
6. 그릇에 달걀노른자와 밥을 넣고 잘 섞어준 뒤, 참기름, 깨, 고추기름을 넣는다.
7. 끓이던 재료에 간장, 달걀을 넣고 섞는다.
8. 7을 달걀밥 위에 올린 뒤, 고추기름과 깨를 뿌린다.
9. 대파를 잘게 썰어 올려 마무리한다.</t>
  </si>
  <si>
    <t>&lt;이연복 - 브레드 피그&gt;
● 재료
삼겹살, 양파, 청양고추, 버터, 밀가루, 소금, 전분, 달걀, 양파, 대파, 마늘, 간장, 후추
● 조리방법
1. 팬에 버터를 녹인다.
2. 두 개의 볼에 밀가루와 소금을 넣고, 하나는 뜨거운 물을 부어 익반죽 한다.
3. 또 다른 하나에는 뜨거운 물과 녹인 버터를 넣어 익반죽한다.
4. 물반죽과 기름반죽을 숙성시킨다.
5. 물반죽과 기름반죽을 겹쳐 여러 번 접고, 밀대로 미는 과정을 반복한다.
6. 마른 팬에 적당한 크기로 자른 반죽을 올리고 뚜껑을 닫아 굽는다.
7. 삼겹살을 편으로 썬다.
8. 편으로 썬 삼겹살에 전분, 달걀물을 묻힌다.
9. 넉넉한 기름을 두른 팬에 손질한 삼겹살을 넣고 튀기듯 볶는다.
10. 양파, 대파, 청양고추를 적당한 크기로 썬다.
11. 볶은 삼겹살을 건져 기름기를 뺀다.
12. 삼겹살을 볶던 팬에 다진 마늘, 양파, 대파, 청양고추를 볶다가 간장, 후추를 넣는다.
13. 채소를 볶던 팬에 볶은 삼겹살을 더해 함께 볶는다.
14. 구운 빵을 반으로 갈라 접시에 담는다.
15. 다른 접시에 회과육을 담아낸다.</t>
  </si>
  <si>
    <t>&lt;정호영 - 햄카츄~ 야키소바츄~♬&gt;
● 재료
시리얼, 짜장라면, 김밥햄, 게맛살, 돈가스소스, 굴소스, 청양고추,
양파, 당근, 전분, 마요네즈, 케첩, 밀가루, 달걀, 버터
● 조리방법
1. 믹서기에 시리얼을 곱게 간다.
2. 라면 면을 삶는다.
3. 양파, 당근, 김밥햄, 청양고추를 적당한 크기로 썬다.
4. 기름을 두른 팬에 손질한 채소와 김밥햄을 볶다가, 게맛살을 넣고 함께 볶는다.
5. 삶은 면을 찬물에 헹군 뒤, 재료를 볶던 팬에 넣고 함께 볶아 야키소바를 만든다.
6. 야키소바에 전분, 돈가스소스, 굴소스를 넣어 양념한다.
7. 비닐백에 마요네즈, 돈가스소스, 케첩을 넣고 모서리에 구멍을 낸다.
8. 밀가루와 달걀물을 섞어 튀김옷을 만든다.
9. 적당한 크기로 썬 김밥햄에 전분을 묻힌 뒤, 튀김옷을 입힌다.
10. 튀김옷을 입힌 김밥햄에 시리얼가루를 묻힌다.
11. 10을 기름에 튀겨 햄카츠를 만든 뒤, 기름기를 뺀다.
12. 접시에 야키소바를 담는다.
13. 팬에 버터를 녹인 뒤, 달걀물을 부어 오믈렛을 만든다.
14. 야키소바 위에 오믈렛을 올린다.
15. 오믈렛 위에 돈가스소스&gt;마요네즈&gt;케첩을 순서대로 뿌린다.
16. 햄카츠를 곁들인 뒤, 케첩을 올려 마무리한다.</t>
  </si>
  <si>
    <t>&lt;김풍 - 비상식난&gt;
● 재료
통조림 참치, 통조림 햄, 통조림 옥수수, 설탕, 소금, 밀가루
● 조리방법
1. 끓는 물에 소금, 밀가루를 붓고 잘 섞어가며 익반죽 한다.
2. 다른 팬에 통조림 참치, 통조림 햄을 넣고 으깬다.
3. 2에 통조림 옥수수를 넣고 볶는다.
4. 볶던 재료에 설탕을 넣고, 물을 붓고 끓여 소스를 만든다.
5. 마른 팬에 밀가루를 두르고, 적당한 크기로 떼어낸 반죽을 납작하게 굽는다.
6. 끓이던 소스에 밀가루물을 넣어 농도를 맞춘다.
7. 소스를 그릇에 담는다.
8. 접시에 난을 담아 마무리한다.</t>
  </si>
  <si>
    <t>냉장고를 부탁해 시즌 1, 120화</t>
  </si>
  <si>
    <t>&lt;레이먼킴 - 죽지 않아~!&gt;
● 재료
쌀, 김, 물, 통조림 옥수수, 통조림 번데기, 통조림 햄, 위스키, 통조림 골뱅이, 참기름
● 조리방법
1. 쌀을 곱게 으깬다.
2. 끓는 물에 김, 으깬 쌀을 넣고 죽을 끓인다.
3. 끓이던 죽에 통조림 옥수수를 넣는다.
4. 마른 팬에 통조림 번데기를 볶은 뒤, 으깬다.
5. 으깬 번데기를 죽에 넣고 끓인다.
6. 통조림 햄을 적당한 크기로 썬다.
7. 마른 팬에 손질한 햄을 굽다가, 위스키를 넣어 플람베한다.
8. 익힌 햄에 골뱅이 통조림의 국물만 넣어 조린다.
9. 끓이던 죽에 참기름을 넣는다.
10. 햄장조림을 그릇에 담아낸다.
11. 죽을 함께 낸다.</t>
  </si>
  <si>
    <t>&lt;이연복 - 굿럭탕&gt;
● 재료
대추, 장뇌삼, 수삼, 우럭, 전복, 표고버섯, 참기름, 데친 시래기, 국간장,
달걀, 전분, 올리브오일, 청주, 소금, 양파, 당근, 대파
● 조리방법
1. 끓는 물에 대추, 장뇌삼, 수삼을 우려낸다.
2. 다른 냄비에 전복을 삶는다.
3. 우럭을 손질한 뒤, 살만 적당한 크기로 썬다.
4. 핸드블렌더에 우럭살, 달걀흰자, 전분, 올리브오일, 청주, 소금을 넣고 곱게 간다.
5. 양파, 당근을 잘게 썬다.
6. 잘게 썬 채소에 곱게 간 우럭살을 섞은 뒤, 완자를 빚어 끓는 물에 익힌다.
7. 삶은 전복, 불린 표고버섯과 대파를 잘게 썬 뒤, 달걀과 소금을 넣고 섞어 달걀전병 반죽을 만든다.
8. 팬에 참기름을 두른 뒤, 달걀전병 반죽을 넣고 익혀 전복달걀전병을 만든다.
9. 익히던 완자에 약재를 우려낸 물을 넣고 끓인다.
10. 참기름을 두른 팬에 데친 시래기를 볶다가 국간장으로 간한다.
11. 그릇에 볶은 시래기를 담는다.
12. 전복달걀전병을 적당한 크기로 썬 뒤 그릇에 함께 담는다.
13. 익힌 완자를 건져 그릇에 함께 담는다.
14. 완자를 건져낸 약재 우린 물에 소금으로 간 하고, 그릇에 부어 마무리한다.</t>
  </si>
  <si>
    <t>&lt;유현수 - 솥태미나&gt;
● 재료
겨우살이, 상황버섯, 쌀, 데친 시래기, 연꽃씨앗, 미역, 표고버섯, 솔잎올리고당, 국간장, 전복,
삶은 문어, 대추, 장뇌삼, 생강청, 고추장, 수삼, 참기름, 들기름, 마늘, 설탕, 대파, 식초, 고춧가루, 깨
● 조리방법
1. 끓는 물에 겨우살이와 상황버섯을 넣고 끓여 밥물을 만든다.
2. 우려낸 밥물을 돌솥에 넣고 불린 쌀, 데친 시래기, 불린 연꽃씨앗을 넣은 뒤 뚜껑을 닫고 끓인다.
3. 냄비에 들기름을 두르고 잘게 다진 마늘과 미역을 넣고 볶는다.
4. 볶던 미역에 물을 붓고 끓인다.
5. 끓는 물에 우엉과 헛개를 우리다가 불린 표고버섯, 설탕,
솔잎올리고당, 국간장을 넣고 끓여 표고버섯 장아찌를 만든다.
6. 전복은 손질 해 살만 적당한 크기로 썬다.
7. 삶은 문어를 적당한 크기로 썬다.
8. 돌솥밥에 문어&gt;전복살&gt;대추, 장뇌삼을 넣고 다시 뚜껑을 닫아 끓인다.
9. 대파, 마늘을 잘게 다진다.
10. 잘게 다진 대파와 마늘에 생강청, 고추장, 식초, 고춧가루, 깨를 넣고 불린 수삼을 넣어 무친다.
11. 표고버섯 장아찌 국물에 설탕, 참기름, 깨를 넣고 소스를 만들어 종지에 담아낸다.
12. 미역국에 참기름과 국간장을 넣는다.
13. 미역국, 표고버섯장아찌, 수삼무침을 각각 따로 담아낸다.
14. 돌솥밥을 따로 낸다.</t>
  </si>
  <si>
    <t>&lt;정호영 - 사랑의 초밥&gt;
● 재료
전복, 김, 훈제연어, 배추김치, 식초, 소금, 설탕, 달걀, 전분, 간장, 청주, 맛술, 깨,
참기름, 마요네즈, 케첩, 청양고추
● 조리방법
1. 전복을 데친다.
2. 식초, 소금, 설탕을 섞어 단촛물을 만든 뒤, 밥과 섞어 양념밥을 만든다.
3. 달걀, 설탕, 전분을 섞어 달걀물을 만든 뒤, 체에 밭쳐 곱게 거른다.
4. 기름을 두른 팬에 체에 거른 달걀물을 붓고 지단을 부친다.
5. 달걀지단을 잘게 다진다.
6. 김을 굽는다.
7. 데친 전복을 건져 껍데기와 살을 분리하고, 찬물에 헹궈 식힌다.
8. 전복을 포 뜬 뒤, 격자로 칼집을 넣는다.
9. 훈제연어를 적당한 크기로 썰어 칼집을 넣는다.
10. 냄비에 간장, 청주, 맛술, 설탕을 넣고 끓여 간장소스를 만든다.
11. 잘게 썬 배추김치를 물에 헹군 뒤, 깨, 참기름, 구운 김을 찢어 넣고 섞는다.
12. 랩 위에 달걀지단, 훈제연어, 데친 전복, 양념김치를 각각 올린다.
13. 각 재료 위에 양념밥을 올린 뒤, 랩으로 감싸 동그랗게 모양을 잡는다.
14. 초밥을 감싼 랩을 벗기고 접시 위에 올린다.
15. 전복초밥위에 간장소스를 바른다.
16. 훈제연어초밥을 토치로 직화한 뒤, 마요네즈를 올린다.
17. 달걀초밥 위에 케첩을 올린다.
18. 훈제연어초밥 위에 잘게 썬 청양고추를 올린다.</t>
  </si>
  <si>
    <t>냉장고를 부탁해 시즌 1, 121화</t>
  </si>
  <si>
    <t>&lt;박건영 - 전복의 후예&gt;
● 재료
치즈빵, 전복, 김, 쌈장, 자몽청, 대파, 마늘, 양파, 간장
● 조리방법
1. 치즈빵 속의 앙금을 빼내고, 적당한 크기로 썰어 오븐에 굽는다.
2. 전복의 껍데기와 살을 분리하고, 깨끗이 씻어 격자로 칼집을 낸 뒤 적당한 크기로 썬다.
3. 대파를 가늘게 채 썰어 찬물에 담가둔다.
4. 대파를 적당한 크기로 썬다.
5. 마늘은 편 썰고 양파는 가늘게 채 썬다.
6. 김을 굽는다.
7. 기름을 두른 팬에 손질한 대파와 마늘을 볶다가 간장, 쌈장, 손질한 양파를 넣고 함께 볶는다.
8. 구운 김을 잘게 썬다.
9. 볶던 재료에 전복을 넣고 함께 볶는다.
10. 치즈빵을 마른 팬에 굽는다.
11. 구운 치즈빵 위에 볶은 전복과 채소를 올린다.
12. 토사전복 위에 파채와 자몽청, 구운 김을 올려 마무리한다.</t>
  </si>
  <si>
    <t>&lt;최현석 - 깐초이면&gt;
● 재료
소갈빗살, 두부, 칼국수면, 인스턴트 꼬리곰탕, 조미료, 대파, 고춧가루, 다진 마늘, 식용유, 전분,
후추, 소금, 간장, 마늘, 청양고추, 간장, 고추장
● 조리방법
1. 볼에 대파, 고춧가루, 다진 마늘과 끓인 기름을 넣고 전자레인지에 돌려 고추기름을 낸다.
2. 소갈빗살을 적당한 크기로 썬 뒤, 핸드블렌더에 넣고 간다.
3. 간 소갈빗살에 전분, 후추, 소금, 간장을 넣는다.
4. 두부를 면보로 감싸 물기를 짜낸다.
5. 물기 짠 두부를 양념한 소갈빗살과 섞어 완자를 만든다.
6. 갈비두부완자에 달걀흰자와 전분을 차례로 입혀 기름에 튀긴다.
7. 튀긴 갈비두부완자를 건져 기름기를 뺀다.
8. 마늘은 으깨고, 청양고추는 잘게 썬다.
9. 끓는 물에 칼국수면을 삶는다.
10. 고추기름을 체에 밭쳐 거른다.
11. 기름을 두른 팬에 고추기름, 손질한 마늘과 청양고추, 간장, 인스턴트 꼬리곰탕 국물을 넣고 끓인다.
12. 끓이던 재료에 조미료, 고추장을 넣어 깐풍소스를 만든다.
13. 깐풍소스에 완자튀김을 넣는다.
14. 삶은 칼국수면을 찬물에 헹군다.
15. 완자튀김을 넣은 깐풍소스에 삶은 칼국수면과 고추기름을 넣고 볶는다.
16. 그릇에 깐풍완자볶음면을 담는다.
17. 대파 흰 부분을 가늘게 채 썬 뒤, 찬물에 헹궈 깐풍완자볶음면 위에 얹는다.
18. 고추기름을 뿌려 마무리한다.</t>
  </si>
  <si>
    <t>&lt;샘킴 - 갈크러쉬&gt;
● 재료
소갈빗살, 조미료, 된장, 설탕, 다진 마늘, 간장, 양파, 대파, 밀가루, 마늘, 청양고추, 후추
● 조리방법
1. 기름을 두른 팬에 된장, 설탕, 다진 마늘을 넣고 볶다가 간장을 넣고 함께 볶는다.
2. 볶던 재료에 물을 넣고 끓여 된장소스를 만든다.
3. 양파와 대파 흰 부분을 적당한 크기로 썬 뒤, 밀가루를 묻혀 기름에 튀긴다.
4. 튀긴 양파와 대파를 건져내 기름기를 뺀다.
5. 밀가루에 물을 넣고 치대어 면반죽을 만든 뒤, 밀대로 밀어 생면을 만든다.
6. 생면을 썰어 끓는 물에 넣고 익힌다.
7. 기름을 두른 팬에 으깬 마늘, 잘게 썬 청양고추와 대파를 볶다가,
잘게 썬 소갈빗살과 밀가루를 묻힌 양파를 넣고 볶는다.
8. 볶던 재료에 된장소스와 잘게 썬 대파, 후추를 넣고 끓여 된장갈비소스를 만든다.
9. 된장갈비소스에 고춧가루, 후추를 넣는다.
10. 된장갈비소스에 삶은 면을 넣고 볶는다.
11. 볶던 면에 조미료를 넣고 함께 볶는다.
12. 된장갈비볶음면을 접시에 담은 뒤, 위에 양파&amp;대파튀김을 얹는다.
13. 잘게 썬 청양고추를 올려 마무리한다.</t>
  </si>
  <si>
    <t>&lt;이연복 - 고기만두 먹으러 왜 안 왔어?&gt;
● 재료
부챗살, 삼겹살, 굴소스, 목살, 양송이버섯, 애호박, XO소스,
다진 생강, 청주, 양파, 대파, 소금, 후추, 전분, 고춧가루, 당근, 마늘, 간장
● 조리방법
1. 핸드블렌더에 적당한 크기로 썬 부챗살과 삼겹살, 버터를 넣는다.
2. 1에 후추, 생강즙, 청주, 굴소스를 넣고 간다.
3. 양파, 대파를 잘게 썰어 갈아놓은 고기와 섞어 만두소를 만든다.
4. 목살을 고기망치로 두드려 얇고 넓게 편 뒤, 소금과 후추를 뿌린다.
5. 넓게 편 목살에 만두소를 넣고 돌돌 말아 전분을 묻힌 뒤, 기름에 튀긴다.
6. 만두를 튀기는 냄비의 뚜껑을 닫는다.
7. 볼에 고춧가루와 적당한 크기로 썬 대파를 담고, 끓인 기름을 넣어 고추기름을 낸다.
8. 양송이버섯을 적당한 크기로 썰고, 양파, 당근, 애호박은 채 썬다.
9. 마늘은 으깨고 대파는 적당한 크기로 썬다.
10. 팬에 고추기름을 두른 뒤, 손질한 채소들을 한데 넣고 볶다가
간장, 물, 굴소스, XO소스를 넣고 끓여 소스를 만든다.
11. 만두를 튀기던 냄비의 기름을 따라낸 뒤, 물을 넣고 뚜껑을 덮어 속까지 익힌다.
12. 채소볶음소스에 전분물을 넣는다.
13. 그릇에 고기만두를 담고, 채소볶음소스를 올려 마무리한다.</t>
  </si>
  <si>
    <t>냉장고를 부탁해 시즌 1, 122화</t>
  </si>
  <si>
    <t>&lt;이원일 - 안심펀치 쓰리강냉이&gt;
● 재료
소고기 안심, 베이컨, 트러플오일, 휘핑크림, 푸아그라, 파르메산 치즈, 가지,
스테이크시즈닝, 소금, 후추, 마늘, 버터, 청주, 양파, 대파
● 조리방법
1. 소고기 안심에 소금, 후추를 뿌린 뒤, 베이컨으로 감싸 조리용 실로 묶는다.
2. 중탕하는 기름에 트러플오일을 넣고, 베이컨으로 감싼 안심을 데친다.
3. 기름을 두른 팬에 으깬 마늘, 기름에 데친 안심베이컨말이, 버터를 넣고 굽는다.
4. 냄비에 청주, 채 썬 양파, 으깬 마늘, 휘핑크림, 푸아그라를 넣고 끓여 크림 소스를 만든다.
5. 크림소스에 버터와 소금을 넣는다.
6. 끓이던 크림소스에 후추, 파르메산 치즈를 넣고, 핸드블렌더로 곱게 간 뒤, 끓인다.
7. 굽던 안심베이컨말이를 꺼내 조리용 실을 벗겨낸다.
8. 가지는 껍질을 벗긴 뒤, 깊게 칼집을 내고 기름에 튀긴다.
9. 튀긴 가지를 적당한 크기로 썰어 마른 팬에 볶다가 스테이크시즈닝을 뿌린다.
10. 양파, 마늘을 잘게 썰어 가지와 함께 볶다가, 파르메산 치즈를 갈아 넣는다.
11. 접시에 안심베이컨말이을 담고, 튀긴 가지볶음을 올린 뒤, 크림소스를 담아낸다.
12. 대파를 얇게 썰어 올려 마무리한다.</t>
  </si>
  <si>
    <t>&lt;김풍 - 긴풍면&gt;
● 재료
소고기 안심, 무, 피시소스, 굴소스, 밀가루, 대파, 들기름, 맛술, 식초, 고춧가루, 다진 마늘
● 조리방법
1. 핸드블렌더에 밀가루와 물을 넣고 돌려 면 반죽을 만든다.
2. 핸드블렌더에 적당한 크기로 썬 대파와 소고기 안심, 무, 들기름을 넣고 간다.
3. 기름을 두른 팬에 곱게 간 재료들을 볶다가,
피시소스, 굴소스, 맛술, 식초, 뜨거운 물을 붓고 끓인다.
4. 기름이 넉넉하게 담긴 팬에 고춧가루, 대파, 다진 마늘을 넣고 끓여 고추기름을 낸다.
5. 면 반죽을 길고 가늘게 늘여 면을 뽑는다.
6. 면을 삶는다.
7. 그릇에 면을 담는다.
8. 끓인 국물을 체에 밭쳐 걸러 면이 담긴 그릇에 붓는다.
9. 고추기름을 올려 마무리한다.</t>
  </si>
  <si>
    <t>&lt;정호영 - 우동 튀튀♬&gt;
● 재료
애호박, 가지, 만가닥버섯, 관자, 무, 쪽파, 밀가루, 소금, 맛술, 간장, 설탕, 식초, 레몬
● 조리방법
1. 핸드블렌더에 밀가루와 물, 소금을 넣고 돌려 면 반죽을 만든다.
2. 면 반죽을 숙성시킨다.
3. 냄비에 맛술, 간장, 설탕을 1:3:1 비율로 넣고 끓인다.
4. 끓인 간장소스에 물을 섞고 냉동실에 넣어 차게 식힌다.
5. 면 반죽을 밀대로 얇게 민다.
6. 얇게 민 면 반죽을 썰어 생면을 만든다.
7. 끓는 물에 식초를 넣은 뒤, 생면을 삶는다.
8. 삶은 면을 얼음물에 식힌 뒤, 그릇에 담는다.
9. 애호박, 가지, 당근, 만가닥버섯은 채 썰고 관자는 적당한 크기로 썬다.
10. 손질한 채소와 관자에 밀가루, 물을 넣고 섞어 튀김옷을 입힌 뒤, 기름에 튀긴다.
11. 채소관자튀김을 건져 기름기를 뺀다.
12. 밀가루반죽을 기름에 튀겨 덴카스를 만든다.
13. 면 위에 강판에 간 무, 레몬, 잘게 썬 쪽파와 덴카스를 올린다.
14. 채소관자튀김을 반으로 썰어 다른 접시에 담아낸다.
15. 차갑게 식힌 간장소스를 면과 함께 담아낸다.</t>
  </si>
  <si>
    <t>&lt;샘킴 - 산해딘미&gt;
● 재료
식빵, 오징어, 새우, 황민어, 통조림 옥수수, 슬라이스 모차렐라치즈, 사과, 청국장, 요구르트, 부추,
달걀, 소금, 밀가루, 버터, 설탕, 올리브오일, 마요네즈, 레몬
● 조리방법
1. 식빵은 테두리를 잘라내고, 적당한 크기로 썰어 핸드블렌더에 갈아 빵가루를 만든다.
2. 오징어는 적당한 크기로 썰고, 새우살은 씻어서 핸드블렌더에 넣는다.
3. 황민어의 살만 발라낸다.
4. 오징어와 새우살을 넣은 핸드블렌더에 황민어살도 함께 넣고 곱게 간다.
5. 4에 달걀, 소금, 밀가루를 넣고 다시 한 번 간다.
6. 곱게 간 해산물반죽에 밀가루를 넣고 치대어 완자반죽을 만든다.
7. 완자반죽을 적당한 크기로 떼어 동그랗게 빚은 후, 빵가루를 묻혀 기름에 튀긴다.
8. 튀긴 해산물완자를 전자레인지에 한 번 더 익힌다.
9. 기름을 두른 팬에 옥수수, 버터, 설탕을 넣고 볶은 뒤, 핸드블렌더로 곱게 간다.
10. 마른 팬에 곱게 간 옥수수를 넣고, 밀가루와 버터, 슬라이스 모차렐라치즈를 넣어 잘 섞어준다.
11. 강판에 사과를 갈고, 청국장, 올리브오일, 요구르트, 마요네즈를 넣고 섞어 청국장드레싱을 만든다.
12. 그릇에 옥수수소스를 담고, 부추를 잘게 썰어 올린다.
13. 청국장드레싱에 레몬즙을 넣는다.
14. 부추 위에 청국장드레싱을 올린 뒤, 잘게 썬 부추를 흩뿌린다.
15. 해산물완자를 다시 한 번 튀긴 뒤, 그릇에 올리고 청국장드레싱을 끼얹어 마무리한다.</t>
  </si>
  <si>
    <t>냉장고를 부탁해 시즌 1, 123화</t>
  </si>
  <si>
    <t>&lt;유현수 - 딘토불이 떡볶이&gt;
● 재료
매생이, 민어, 찹쌀가루, 채끝살, 손질새우, 가죽나물, 깻잎장아찌, 고추장아찌,
장조림, 사골육수, 밀가루, 소금, 후추, 양파, 설탕, 식초, 전분
● 조리방법
1. 매생이를 다진다.
2. 밀가루에 물, 다진 매생이를 넣고 잘 저어 매생이 반죽을 만든다.
3. 기름을 두른 팬에 매생이 반죽을 두른 뒤, 매생이 전병을 만들어 기름기를 뺀다.
4. 민어의 살만 발라낸다.
5. 즉석밥을 핸드블렌더에 넣고 간다.
6. 5에 뜨거운 물, 찹쌀가루, 밀가루를 넣고 치대어 떡 반죽을 만든다.
7. 떡 반죽을 길게 민 뒤, 적당한 크기로 썰어 끓는 물에 삶는다.
8. 채끝살에 소금, 후추를 뿌린 뒤 기름을 두른 팬에 구워 한 김 식힌다.
9. 핸드블렌더에 채끝살, 새우살, 민어살을 넣고 곱게 간다.
10. 매생이 전병에 밀가루를 묻힌 뒤, 곱게 간 재료들을 넣어 돌돌 말고, 튀김옷을 입혀 기름에 튀긴다.
11. 불린 가죽나물의 물기를 짜내고, 기름을 두른 팬에 볶는다.
12. 볶던 가죽나물에 양파채와 깻잎장아찌 국물, 고추장아찌 국물,
설탕, 식초, 사골육수, 장조림 국물을 넣고 끓인다.
13. 익힌 떡을 건져 찬물에 담가 식힌 뒤, 재료를 끓이던 팬에 넣고 함께 끓인다.
14. 구운 채끝살을 적당한 크기로 썰어 떡볶이에 넣고 함께 끓인다.
15. 끓이던 떡볶이에 전분물을 넣는다.
16. 매생이 전병튀김을 적당한 크기로 썰어 떡볶이에 함께 넣고 끓인다.
17. 떡볶이에 잘게 다진 매생이를 넣고 끓인다.
18. 떡볶이에 설탕, 후추를 넣는다.
19. 그릇에 매생이 떡볶이를 담는다.</t>
  </si>
  <si>
    <t>&lt;최현석 - Caesar Salad with Deep fried oyster&gt;
● 재료
식빵, 새우젓, 멸치액젓, 알배추, 굴, 베이컨, 허니머스터드, 파르메산 치즈가루, 팩 샐러드,
버터, 올리브오일, 달걀, 후추, 밀가루, 식용유, 레몬, 다진 마늘
● 조리방법
1. 식빵의 테두리를 잘라내고, 깍둑썰기 한다.
2. 버터를 녹인 팬에 깍둑썰기한 식빵을 굽는다.
3. 적당한 크기로 썬 식빵을 핸드블렌더에 넣고 갈아 빵가루를 만든다.
4. 핸드블렌더에 새우젓, 멸치액젓, 올리브오일을 넣고 갈아 젓갈소스를 만든다.
5. 알배추를 적당한 크기로 썬다.
6. 달걀물을 만든다.
7. 굴에 후추&gt;밀가루&gt;달걀물&gt;빵가루 순으로 튀김옷을 입혀 기름에 튀긴 뒤, 체에 밭쳐 기름기를 뺀다.
8. 베이컨을 잘게 썰어 마른 팬에 굽는다.
9. 구운 베이컨을 체에 밭쳐 기름기를 뺀다.
10. 식용유와 올리브오일을 섞는다.
11. 허니머스터드에 달걀노른자, 젓갈소스를 더해 섞다가,
식용유+올리브오일을 조금씩 부어가며 계속해서 섞어준다.
12. 11에 레몬즙을 넣어 시저 드레싱을 만든다.
13. 시저 드레싱에 다진 마늘, 파르메산 치즈가루, 구운 베이컨, 크루통,
샐러드채소와 알배추를 넣고 버무린다.
14. 접시에 시저 샐러드를 담는다.
15. 굴튀김을 올려 마무리한다.</t>
  </si>
  <si>
    <t>&lt;오세득 - 돈코츠 드소&gt;
● 재료
토르티야, 다진 돼지고기, 베이컨, 사골육수, 슬라이스 모차렐라치즈, 슬라이스 체다치즈,
안창살, 브로콜리, 버터, 마늘, 양파, 대파, 된장, 후추
● 조리방법
1. 마른 팬에 토르티야를 굽는다.
2. 버터에 마늘을 갈아 넣고, 전자레인지에 돌려 녹인다.
3. 녹인 버터를 구운 토르티야에 바르고 다시 한 번 굽는다.
4. 버터를 발라 구운 토르티야를 전자레인지에 돌린다.
5. 양파, 대파를 잘게 다진다.
6. 기름을 두른 팬에 잘게 다진 양파와 대파, 다진 돼지고기,
베이컨, 사골육수, 된장을 넣고 끓인다.
7. 끓이던 재료에 슬라이스 모차렐라치즈를 넣고 끓여 돈코츠 치즈소스를 만든다.
8. 안창살, 양파, 브로콜리를 적당한 크기로 손질한다.
9. 기름을 두른 팬에 잘게 썬 안창살과 채 썬 양파를 볶다가 후추를 뿌린다.
10. 볶던 재료에 잘게 썬 브로콜리, 슬라이스 체다치즈와
슬라이스 모차렐라치즈를 넣고 뚜껑을 덮어 익힌다.
11. 토르티야 위에 치즈를 얹은 안창살볶음을 올리고 돌돌 말아 롤을 만든 뒤, 적당한 크기로 썬다.
12. 접시에 토르티야 롤을 담는다.
13. 그릇에 돈코츠 치즈소스를 담고, 잘게 다진 브로콜리를 올린다.
14. 구운 토르티야를 따로 내 마무리한다.</t>
  </si>
  <si>
    <t>&lt;이연복 - 장어튀겼쌈&gt;
● 재료
무, 장어, 명란젓, 오징어다리, 양파, 밀가루, 전분, 달걀, 식용유, 소금, 마요네즈,
다진 마늘, 설탕, 레몬
● 조리방법
1. 양파를 채 썰어 찬물에 담가 둔다.
2. 무를 채 썬 뒤 소금에 절여놓는다.
3. 밀가루, 전분, 물, 달걀, 식용유를 섞어 튀김반죽을 만든다.
4. 장어를 손질해 튀김반죽을 입힌 뒤 기름에 튀긴다.
5. 핸드블렌더에 밀가루, 물, 소금을 넣고 갈아 물반죽을 만든다.
6. 마른 팬에 물반죽을 얇게 부쳐 전병을 두 장 만든다.
7. 장어튀김을 체에 밭쳐 기름기를 뺀다.
8. 전병 한 장을 기름에 튀긴다.
9. 명란젓과 마요네즈를 섞어 명란마요소스를 만든다.
10. 케첩에 다진 마늘, 설탕, 레몬즙을 섞어 칠리소스를 만든다.
11. 튀긴 전병을 건져 기름기를 뺀다.
12. 오징어다리에 밀가루를 묻혀 기름에 튀긴다.
13. 구운 전병에 칠리소스를 바르고 절인 무채, 채 썬 양파를 올린다
14. 13 위에 장어튀김을 얹고 명란마요소스를 바른 뒤 쌈 싼다.
15. 접시에 절인 무채, 채 썬 양파를 올리고, 장어전병쌈을 함께 낸다.
16. 무&amp;양파채 위에 칠리소스를 뿌린다.
17. 오징어다리튀김을 곁들인다.
18. 장어전병쌈 안에 튀긴 전병을 부숴 넣어 마무리한다.</t>
  </si>
  <si>
    <t>냉장고를 부탁해 시즌 1, 124화</t>
  </si>
  <si>
    <t>&lt;김풍 - 육회한 파튀&gt;
● 재료
튀김가루, 무, 생강청, 채끝등심, 머스터드소스, 견과류, 대파, 고춧가루,
후추, 간장, 설탕, 고추장, 참기름, 다진 마늘, 마요네즈
● 조리방법
1. 튀김가루에 물을 넣고 섞어 튀김반죽을 만든다.
2. 파의 겉면을 벗겨낸 뒤 적당한 크기로 썬다.
3. 무를 적당한 크기로 썬다.
4. 손질한 파와 무에 튀김반죽을 입힌다.
5. 튀김반죽을 입힌 파와 무를 기름에 튀긴다.
6. 고춧가루, 후추, 간장, 생강청, 설탕, 고추장, 식초, 참기름, 다진 마늘을 섞어 육회양념을 만든다.
7. 채끝등심을 얇게 썰어 육회양념에 버무린다.
8. 핸드블렌더에 머스터드소스와 마요네즈, 견과류를 넣고 곱게 간다.
9. 접시에 무튀김과 파튀김을 올린다.
10. 튀김 위에 양념에 버무린 육회를 올리고, 견과머스터드소스를 따로 낸다.</t>
  </si>
  <si>
    <t>&lt;샘킴 - 피자하면 LA야~ LA야♬&gt;
● 재료
삼겹살, 채끝등심, 로즈마리, 파슬리, 양송이버섯, 파프리카, 베이컨, 토마토소스,
파르메산치즈 가루, 모차렐라치즈, 밀가루, 소금, 양파, 마늘, 후추
● 조리방법
1. 밀가루에 뜨거운 물과 소금을 넣고 치대어 익반죽한다.
2. 핸드블렌더에 삼겹살, 채끝등심, 로즈마리, 소금을 넣고 간다.
3. 양송이버섯, 파프리카, 양파, 마늘을 적당한 크기로 썬다.
4. 기름을 두른 팬에 마늘을 볶다가, 양송이버섯과 양파를 넣고 소금, 후추를 뿌려 볶는다.
5. 곱게 간 삼겹살과 채끝등심을 채소와 함께 볶는다.
6. 도우 반죽을 밀대로 얇게 민 뒤 동그랗게 모양을 잡는다.
7. 마른 팬에 도우 반죽을 굽는다.
8. 베이컨을 썰어 팬에 넣고 다른 재료들과 함께 볶는다.
9. 파프리카를 팬에 넣고 함께 볶은 뒤, 꺼내둔다.
10. 구운 도우를 토치로 직화한다.
11. 도우를 뒤집어 토마토소스를 바르고 파르메산치즈 가루를 뿌린 뒤, 토치로 직화한다.
12. 도우 위에 볶은 재료들과 모차렐라치즈, 파슬리를 뿌린다.
13. 피자를 토치로 직화한다.
14. 모차렐라치즈를 전자레인지에 녹인 뒤, 피자 위에 올려 마무리한다.</t>
  </si>
  <si>
    <t>&lt;레이먼킴 - 역시 피자는 시카고야~ 시카고야♬&gt;
● 재료
달걀, 파르메산치즈 가루, 로즈마리, 슬라이스 햄, 베이컨, 양송이버섯, 토마토소스, 모차렐라치즈,
슬라이스 체다치즈, 슬라이스 에멘탈치즈, 파슬리, 밀가루, 달걀, 올리브오일, 소금, 버터, 마늘, 후추
● 조리방법
1. 밀가루, 달걀노른자, 올리브오일, 뜨거운 물, 파르메산치즈 가루,
로즈마리, 소금을 넣고 치대어 익반죽한다.
2. 도우 반죽을 밀대로 밀어 넓게 펴고 동그랗게 자른다.
3. 버터를 바른 내열접시 위에 도우반죽을 올리고 깊은 그릇 모양으로 만든 뒤, 바닥에 포크로 구멍을 낸다.
4. 도우반죽을 전자레인지에 넣고 익힌다.
5. 마늘, 슬라이스 햄, 베이컨, 양송이버섯을 잘게 썬다.
6. 기름을 두른 팬에 손질한 재료들을 볶다가 후추를 뿌린다.
7. 전자레인지에 익힌 도우를 기름에 튀긴다.
8. 볶은 재료에 토마토소스, 모차렐라치즈를 넣고 섞는다.
9. 8을 도우에 가득 채운다.
10. 슬라이스 체다치즈와 슬라이스 에멘탈치즈를 올린다.
11. 피자를 전자레인지에 넣고 익힌다.
12. 전자레인지에서 익힌 피자를 꺼내 토치로 직화한다.
13. 피자 위에 파르메산치즈 가루와 파슬리를 뿌려 마무리한다.</t>
  </si>
  <si>
    <t>&lt;최현석 - 어차피 우승은 나자냐~&gt;
● 재료
전복, 새우, 우유, 카망베르치즈, 모차렐라치즈, 취장아찌, 양념명란젓,
톳가루, 달걀, 소금, 버터, 밀가루, 달걀, 후추, 마늘, 참기름
● 조리방법
1. 소금을 넣은 끓는 물에 전복을 삶는다.
2. 새우는 껍질을 벗기고 내장을 빼낸다.
3. 삶은 전복은 내장을 제거한 뒤, 살만 적당한 크기로 썬다.
4. 기름을 두른 팬에 전복살과 새우를 볶는다.
5. 냄비에 버터와 밀가루를 볶아 루를 만든 뒤, 우유를 넣고 끓여 크림소스를 만든다.
6. 볶던 전복과 새우에 크림소스, 카망베르치즈, 우유, 모차렐라치즈를 넣어 볶는다.
7. 믹서기에 달걀, 우유, 밀가루를 넣고 갈아 반죽을 만든 뒤, 체에 밭쳐 거른다.
8. 기름을 두른 팬에 밀가루 반죽을 얇게 부쳐 크레이프를 만든다.
9. 볶던 해산물에 후추를 뿌리고, 취장아찌를 넣어 볶는다.
10. 크레이프를 그릇에 펼친 뒤, 크림해산물장아찌볶음을 채우고 양념명란젓을 올린다.
11. 10 위에 잘게 썬 마늘을 올리고 참기름을 뿌린다.
12. 크레이프로 내용물을 완전히 감싼 뒤, 전자레인지에서 익힌다.
13. 볼에 밀가루, 물, 톳가루를 넣어 물반죽한 뒤, 기름에 튀겨 톳덴카스를 만든다.
14. 전자레인지에 익힌 명란해산물라자냐를 꺼내 접시에 올린다.
15. 명란해산물라자냐 위에 크림소스를 올린다.
16. 라자냐 위에 톳덴카스를 올려 마무리한다.</t>
  </si>
  <si>
    <t>냉장고를 부탁해 시즌 1, 125화</t>
  </si>
  <si>
    <t>&lt;미카엘 - 크로켓 맛있찌&gt;
● 재료
양상추, 총각김치, 브로콜리, 콜리플라워, 아스파라거스, 양념명란젓, 크림치즈, 베이컨, 토마토,
울외장아찌, 취장아찌, 파르메산치즈, 달걀, 소금, 올리브오일, 후추, 식초, 밀가루, 마늘, 청양고추,
고춧가루, 설탕
● 조리방법
1. 양상추를 잘게 썬다.
2. 잘게 썬 양상추에 총각김치를 갈아 넣고, 소금, 올리브오일, 후추, 식초를 넣고 무쳐 샐러드를 만든다.
3. 끓는 물에 브로콜리, 콜리플라워, 아스파라거스를 데친 뒤, 체에 밭쳐 물기를 뺀다.
4. 데친 브로콜리와 콜리플라워를 잘게 다진다.
5. 달걀물에 다진 채소, 양념명란젓, 밀가루, 크림치즈를 넣고 반죽한다.
6. 크로켓 반죽을 동그랗게 뭉친 뒤, 밀가루를 묻혀 기름에 튀긴다.
7. 베이컨을 가늘게 썬다.
8. 기름을 두른 팬에 채 썬 베이컨과 후추를 넣고 볶는다.
9. 볶던 베이컨에 간 토마토와 편마늘을 넣고 함께 볶는다.
10. 볶던 재료에 잘게 다진 울외장아찌와 청양고추, 후추, 잘게 다진 취장아찌를 넣고 볶는다.
11. 볶던 재료에 마늘을 갈아 넣고, 고춧가루, 설탕을 뿌린다.
12. 채소크로켓의 기름기를 뺀다.
13. 베이컨장아찌볶음을 접시에 넓게 깐다.
14. 베이컨장아찌볶음 위에 채소크로켓을 올린 뒤, 파르메산치즈를 갈아 올리고
데친 아스파라거스를 곁들인다.
15. 총각김치샐러드를 함께 낸다.</t>
  </si>
  <si>
    <t>&lt;이재훈 - 제육과의 동침&gt;
● 재료
무, 사과, 양상추, 방울토마토, 삼겹살, 아스파라거스, 콜리플라워, 토마토소스, 라면수프,
소금, 다진 마늘, 설탕, 식초, 양파, 대파, 후추, 즉석밥, 고추
● 조리방법
1. 무를 나박썰기 한 뒤, 소금에 절여둔다.
2. 볼에 물, 소금, 다진 마늘, 설탕, 식초를 넣고 섞어 동치미국물을 만든다.
3. 사과는 껍질을 벗기고 적당한 크기로 썰어 동치미국물에 담근다.
4. 양상추, 방울토마토, 양파를 적당한 크기로 동치미국물에 담근다.
5. 핸드블렌더에 사과와 물을 넣고 갈아 사과즙을 만든다.
6. 볼에 적당한 크기로 썬 삼겹살에 손질한 양파, 대파, 아스파라거스, 콜리플라워를 담는다.
7. 6에에 토마토소스와 라면수프, 사과즙, 다진 마늘을 넣어 버무린다.
8. 마른 팬에 양념한 삼겹살을 볶는다.
9. 볶던 재료에 후추를 넣는다.
10. 전자레인지에 즉석밥을 돌린 뒤, 그릇에 담는다.
11. 소금에 절인 무를 물에 헹궈내고, 동치미와 함께 섞어 그릇에 담아낸다.
12. 제육볶음을 접시에 담은 뒤, 고추를 잘게 썰어 올린다.
13. 제육볶음, 동치미, 밥을 함께 낸다.</t>
  </si>
  <si>
    <t>&lt;유현수 - 보쌈하새우&gt;
● 재료
게, 새우, 삼겹살, 더치커피, 알배추, 아스파라거스, 무, 토마토소스, 깻잎, 고춧가루, 발사믹식초,
간장, 설탕, 양파, 대파, 고추, 맛술, 소금, 고춧가루, 식초
● 조리방법
1. 끓는 물에 간장과 설탕을 붓고, 게 등껍질, 새우, 게의 알을 넣고 끓인다.
2. 양파를 채 썬 뒤, 찜기에 넣는다.
3. 뜨거운 기름에 대파, 고추, 삼겹살을 넣어 데치듯이 튀긴 뒤, 체에 밭쳐 기름기를 뺀다.
4. 튀긴 삼겹살과 채소를 찜기에 넣는다.
5. 삼겹살과 채소 위에 더치커피와 맛술을 뿌린 뒤, 뚜껑을 덮어 찐다.
6. 소금물을 끓여 알배추와 아스파라거스를 데친다.
7. 가늘게 채 썬 무에 소금, 고춧가루, 식초를 넣고 버무려 무생채를 만든다.
8. 데친 알배추와 아스파라거스를 얼음물에 담가 식힌다.
9. 강판에 간 무와 토마토소스, 고춧가루, 식초, 깻잎, 다진 대파에 무생채,
삶은 아스파라거스를 넣고 버무려 김치소를 만든다.
10. 전자레인지에 즉석밥을 돌린 뒤, 그릇에 담는다.
11. 간장물에 끓인 게와 새우를 건져 식힌다.
12. 11에 발사믹식초와 식초를 넣고 섞는다.
13. 알배추를 펼쳐 김치소를 넣고 감싼 뒤, 먹기 좋게 잘라 그릇 위에 올린다.
14. 김치 위에 김치소 국물을 뿌린다.
15. 접시에 수육을 담는다.
16. 새우장아찌의 껍질을 깐 뒤, 국물과 함께 접시에 담아낸다.
17. 수육, 보쌈김치, 새우장아찌와 밥을 함께 낸다.</t>
  </si>
  <si>
    <t>&lt;이재훈- 돔비지마&gt;
● 재료
감성돔 살, 자숙새우, 전복, 비지, 장어구이소스, 인절미, 마늘쫑 장아찌, 삶은 달걀,
양파, 대파, 고추, 레몬, 밀가루, 소금, 후추, 올리브오일, 버터, 마요네즈
● 조리방법
1. 감성돔 살을 적당한 크기로 썬다.
2. 핸드블렌더에 적당한 크기로 썬 감성돔 살, 자숙새우, 전복을 넣고 간다.
3. 간 해산물에 밀가루, 소금, 후추, 비지를 넣고 치대어 스테이크 반죽을 만든다.
4. 스테이크 반죽을 적당한 크기로 뭉쳐 기름을 두른 팬에 굽는다.
5. 올리브오일을 두른 접시에 돔 스테이크를 올린 뒤, 장어구이소스를 바른다.
6. 장어구이소스를 바른 돔 스테이크를 오븐에 넣고 익힌다.
7. 기름을 두른 팬에 적당한 크기로 썬 양파와 대파를 볶다가 뜨거운 물을 넣고 끓인다.
8. 끓인 재료와 고추를 핸드블렌더로 곱게 갈아 대파 퓌레를 만들어 체에 밭쳐 거른다.
9. 체에 거른 대파 퓌레에 소금과 후추를 뿌려 끓인다.
10. 대파 퓌레에 고추와 버터를 넣고 끓인다.
11. 인절미를 밀대로 얇게 민다.
12. 얇게 민 인절미를 기름에 튀긴 뒤, 건져서 기름기를 뺀다.
13. 양파, 대파, 마늘쫑 장아찌, 삶은 달걀을 잘게 다져 볼에 담고, 마요네즈와 섞어 타르타르소스를 만든다.
14. 접시에 대파 퓌레를 깔고, 오븐에서 익힌 돔 스테이크를 올린 뒤 타르타르소스를 얹는다.
15. 13 위에 인절미튀김을 올리고, 레몬껍질을 갈아서 뿌려 마무리한다.</t>
  </si>
  <si>
    <t>냉장고를 부탁해 시즌 1, 126화</t>
  </si>
  <si>
    <t>&lt;정호영-마파 돔돔돔돔♬&gt;
● 재료
감성돔, 오징어, 달걀, 자숙새우, 전복, 두부, 항정살, 고추기름, 두반장, 굴소스,
마늘, 대파, 양파, 즉석밥, 전분, 청주, 식용유, 설탕, 맛술, 간장, 전분
● 조리방법
1. 감성돔의 살을 발라낸다.
2. 살을 발라낸 감성돔 뼈에 전분을 묻혀 기름에 튀긴다.
3. 핸드블렌더에 적당한 크기로 썬 감성돔 살과 오징어,
전분, 청주, 달걀노른자를 넣고 갈아 완자 반죽을 만든다.
4. 자숙새우와 전복을 잘게 썬다.
5. 잘게 썬 자숙새우와 전복, 완자 반죽과 전분을 넣고 치댄다.
6. 두부를 동그란 모양으로 파내 전분을 묻혀 튀긴다.
7. 튀긴 두부를 건져 기름기를 뺀다.
8. 완자 반죽을 동그랗게 떼어 기름에 튀긴다.
9. 전자레인지에 즉석밥을 넣고 데운다.
10. 핸드블렌더에 항정살, 마늘, 대파, 양파를 넣고 간다.
11. 고추기름과 식용유를 두른 팬에 채소와 함께 간 항정살, 두반장,
굴소스, 설탕, 맛술, 물을 넣고 끓여 마파소스를 만든다.
12. 기름에 튀긴 감성돔 뼈를 건져 기름기를 뺀다.
13. 완자튀김을 체에 밭쳐 기름기를 뺀다.
14. 마파소스에 간장을 넣는다.
15. 전자레인지에서 데운 즉석밥을 그릇에 담는다.
16. 마파소스에 전분물을 부어 농도를 조절한다.
17. 두부튀김과 완자튀김을 마파소스에 버무린다.
18. 접시에 감성돔 뼈 튀김을 올리고, 마파소스에 버무린 두부튀김과 완자튀김을 담는다.
19. 대파 흰 부분을 채썰어 올려 완성한다.</t>
  </si>
  <si>
    <t>&lt;이연복 - 짜장과 정열을 그대에게&gt;
● 재료
두부, 춘장, 애호박, 항정살, 굴소스, 마늘, 대파, 양파, 밀가루, 소금, 간장, 설탕, 전분
● 조리방법
1. 두부를 적당한 크기로 썰어 튀긴다.
2. 볼에 밀가루, 소금, 물을 넣고 치대어 면 반죽을 만든다.
3. 끓인 기름에 춘장을 튀기듯이 볶는다.
4. 마늘은 다지고, 대파는 적당한 크기로 썬다.
5. 양파, 애호박, 항정살을 잘게 썬다.
6. 기름을 넉넉히 두른 팬에 손질한 마늘, 대파를 볶다가 항정살을 넣고 볶는다.
7. 볶던 재료에 간장, 손질한 채소, 튀기듯 볶은 춘장, 설탕, 굴소스를 넣고 볶아 짜장소스를 만든다.
8. 면 반죽을 밀대로 얇게 밀고, 적당한 두께로 썰어 삶는다.
9. 짜장소스에 전분물을 넣는다.
10. 튀긴 두부를 건져 짜장소스에 넣고 함께 볶는다.
11. 삶은 면을 찬물에 담가 식힌다.
12. 식힌 면을 다시 한 번 뜨거운 물에 담갔다가 그릇에 담는다.
13. 면과 짜장소스를 따로 담아낸다.</t>
  </si>
  <si>
    <t>&lt;샘킴 - 낙지엄지척♬&gt;
● 재료
무, 인스턴트 재첩국, 소고기 등심, 낙지, 애호박, 조개젓, 전복, 마늘, 대파,
간장, 고춧가루, 소금, 후추, 식초, 참기름, 올리브오일
● 조리방법
1. 냄비에 적당한 크기로 썬 무와 인스턴트 재첩국을 넣고 끓인다.
2. 핸드블렌더에 마늘을 넣고 간다.
3. 기름을 두른 팬에 손질한 무와 대파, 간 마늘을 넣고 볶는다.
4. 적당한 크기로 썬 소고기 등심과 손질한 낙지를 팬에 넣고 함께 볶는다..
5. 볶던 재료를 간장과 고춧가루로 양념한다.
6. 무와 애호박을 채 썬다.
7. 마른 팬에 채 썬 무와 애호박, 간 마늘, 소금, 후추를 넣고 볶는다.
8. 잘게 다진 조개젓에 식초, 참기름, 다진 대파를 넣고 섞는다.
9. 8에 볶은 무와 애호박, 올리브오일을 넣고 섞는다.
10. 볶은 낙지와 채소에 뜨거운 물을 붓고 끓인다.
11. 끓이던 낙지탕에 적당한 크기로 썬 전복과 무와 함께 끓인 재첩국을 넣고 함께 끓인다.
12. 그릇에 낙지탕을 담은 뒤, 애호박조개젓무침과 잘게 썬 대파를 올린다.
13. 데운 즉석밥을 그릇에 담고 잘게 썬 대파를 곁들여낸다.</t>
  </si>
  <si>
    <t>&lt;김풍 - 무빙스타&gt;
● 재료
고추장, 삼겹살, 무, 아몬드, 통조림옥수수, 소금, 대파, 마늘, 간장, 밀가루, 마요네즈
● 조리방법
1. 삼겹살을 적당한 크기로 썬다.
2. 적당한 크기로 썬 삼겹살을 기름에 튀기듯이 볶는다.
3. 볶은 삼겹살을 체에 밭쳐 기름을 뺀다.
4. 무를 가늘게 채 썬다.
5. 무채에 소금으로 간 한다.
6. 소금으로 간 한 무채를 팬에 볶는다.
7. 볶던 무채에 잘게 썬 대파와 으깬 마늘, 삼겹살을 볶았던 기름을 넣고 볶는다.
8. 볶은 무채에 간장으로 간 한다.
9. 핸드블렌더에 고추장, 밀가루, 물을 넣고 갈아 빙떡반죽을 만든다.
10. 기름을 두른 팬에 반죽을 얇게 부쳐 고추장빙떡을 만든다.
11. 고추장빙떡을 뒤집어 부친다.
12. 핸드블렌더에 아몬드, 통조림옥수수, 마요네즈를 넣고 갈아 소스를 만든다.
13. 고추장빙떡에 볶은 무채와 삼겹살을 넣고 돌돌 만다.
14. 고추장빙떡말이를 적당한 크기로 썰어 접시에 올린다.
15. 소스를 얹어 마무리한다.</t>
  </si>
  <si>
    <t>냉장고를 부탁해 시즌 1, 127화</t>
  </si>
  <si>
    <t>&lt;미카엘 - 퍼펙트 스튜&gt;
● 재료
고추장, 감자, 간 소고기, 소금, 양파, 당근, 마늘, 밀가루, 레드와인, 버터, 후추, 고추
● 조리방법
1. 감자는 껍질을 벗겨 슬라이스 한 뒤, 소금을 넣은 끓는 물에 삶는다.
2. 기름을 두른 팬에 간 소고기를 볶는다.
3. 양파, 당근, 마늘을 잘게 썰어 간 소고기와 함께 볶는다.
4. 볶던 재료에 밀가루, 레드와인, 버터, 고추장을 넣고 볶아 소고기고추장스튜를 만든다.
5. 삶은 감자를 체에 밭쳐 물기를 뺀 뒤, 후추, 소금, 버터를 넣고 으깨 감자퓌레를 만든다.
6. 그릇에 소고기고추장스튜를 담는다.
7. 소고기고추장스튜 위에 감자퓌레를 올린다.
8. 적당한 크기로 썬 고추를 뿌려 마무리한다.</t>
  </si>
  <si>
    <t>&lt;유현수 - 소면이 술술&gt;
● 재료
무, 애호박, 고추 장아찌, 고춧가루, 인스턴트 갈비탕, 소고기 등심,
냉이, 시금치, 대파, 양파, 간장, 소금, 고춧가루, 마늘, 전분, 후추, 즉석밥
● 조리방법
1. 무, 대파, 애호박, 고추 장아찌, 양파를 적당한 크기로 썰어 볼에 담는다.
2. 손질한 채소에 간장, 소금, 고춧가루를 넣고 버무려 양념한다.
3. 냄비에 적당한 크기로 썬 대파 흰 부분과 으깬 마늘을 넣고 볶는다.
4. 대파와 마늘을 볶은 냄비에 인스턴트 갈비탕을 체에 밭쳐 국물만 넣고 끓인다.
5. 4에 양념한 채소와 물을 넣고 함께 끓인다.
6. 살얼은 소고기 등심을 면처럼 길게 썬다.
7. 소고기면을 소금, 전분, 후추, 고추장아찌 국물로 양념한다.
8. 양념한 소고기면을 찜기에 찐다.
9. 냉이에 전분을 묻힌다.
10. 전분물을 만들어 전분을 묻힌 냉이 위에 한 번 더 입혀서 기름에 튀긴다.
11. 튀긴 냉이를 체에 밭쳐 기름기를 빼고, 소금을 뿌린다.
12. 전자레인지에 즉석밥을 돌린다.
13. 찐 소고기면을 건져 끓이던 국물에 넣고, 잘게 썬 고추를 넣어 육개장을 만든다.
14. 육개장에 고춧가루, 잘게 썬 시금치를 넣고 끓인다.
15. 그릇에 밥과 냉이튀김을 각각 담아낸다.
16. 뚝배기에 육개장을 담아 끓이다가 고춧가루를 뿌려 마무리한다.</t>
  </si>
  <si>
    <t>&lt;이원일 - 박살면&gt;
● 재료
어포, 애호박, 삼겹살, 오징어, 멸치육수, 멸치액젓, 액상조미료,
밀가루, 마늘, 대파, 양파, 고추, 간장, 맛술, 후추, 설탕
● 조리방법
1. 어포를 직화로 굽고, 핸드블렌더로 간다.
2. 볼에 어포가루, 밀가루, 뜨거운 물을 넣고 치대어 익반죽한 뒤, 숙성시킨다.
3. 마늘은 다지고, 대파, 애호박, 양파, 고추를 잘게 썬다.
4. 삼겹살의 살코기와 비계를 분리한 뒤, 비계만 핸드블렌더로 간다.
5. 마른 팬에 간 비계를 볶는다.
6. 삼겹살 살코기와 오징어를 잘게 썰어 비계를 볶던 팬에 함께 볶는다.
7. 6에 간장, 손질한 채소, 멸치육수를 넣고 볶아 오징어삼겹살볶음을 만든다.
8. 맛술, 멸치액젓, 액상조미료, 후추, 잘게 썬 고추와 대파, 설탕을 섞어 소스를 만든다.
9. 오징어삼겹살볶음에 소스를 넣고 볶는다.
10. 숙성시킨 어포면반죽을 밀대로 얇게 민 뒤, 가늘게 썰어 어포면을 만든다.
11. 어포면을 체 사이에 끼워 그릇모양으로 만든 뒤, 기름에 튀긴다.
12. 튀긴 면을 건져 기름기를 뺀다.
13. 그릇에 오징어삼겹살볶음을 담는다.
14. 대파 흰 부분을 가늘게 채 썰어 오징어삼겹살볶음 위에 올린다.
15. 14 위에 튀긴 면을 올려 마무리한다.</t>
  </si>
  <si>
    <t>&lt;이연복 - 아빠의 바다&gt;
● 재료
전복, 메이플시럽, 굴소스, 오징어, 파프리카, 양파,
대파, 고춧가루, 양파, 마늘, 케첩, 고추장, 참기름, 고추
● 조리방법
1. 끓는 물에 전복을 삶는다.
2. 대파 흰 부분을 적당한 크기로 썰어 기름에 튀긴다.
3. 2에 고춧가루, 양파를 넣고 튀겨 고추기름을 낸다.
4. 고추기름을 체에 밭쳐 기름만 빼낸다.
5. 양파를 적당한 크기로 썰어 한 겹씩 분리한다.
6. 양파, 대파, 마늘을 잘게 썬다.
7. 팬에 고추기름을 두른 뒤, 손질한 채소와 케첩, 물, 메이플시럽, 굴소스를 넣고 졸여 칠리소스를 만든다.
8. 오징어를 손질해 끓는 물에 데친다.
9. 삶은 전복과 데친 오징어를 찬물에 헹군다.
10. 삶은 전복은 살을 분리해 칼집을 낸다.
11. 칼집 낸 전복살을 칠리소스에 넣고 조린다.
12. 양파와 파프리카를 채 썬다.
13. 데친 오징어의 껍질을 벗겨내고 격자로 촘촘하게 칼집을 낸 뒤, 길게 썬다.
14. 삶은 전복을 적당한 크기로 썬다.
15. 손질한 채소, 오징어, 전복에 고추장, 참기름, 굴소스, 메이플시럽을 넣고 버무려 냉채를 만든다.
16. 한 겹씩 분리한 양파 위에 양념에 버무린 전복&amp;오징어냉채를 올려 접시에 담는다.
17. 전복껍데기 위에 칠리전복을 올려 접시에 담는다.
18. 잘게 썬 고추를 전복냉채와 칠리전복 위에 얹어 마무리한다.</t>
  </si>
  <si>
    <t>냉장고를 부탁해 시즌 1, 128화</t>
  </si>
  <si>
    <t>&lt;유현수 - 엄마의 바다&gt;
● 재료
전복, 양념돼지갈비, 소갈빗살, 대추, 매실원액, 배추김치, 깻잎장아찌, 굴소스,
설탕, 간장, 대파, 양파, 당근, 마늘, 밀가루, 식초, 깨
● 조리방법
1. 양념돼지갈비에 잘게 칼집을 낸 뒤, 적당한 크기로 썬다.
2. 끓는 물에 손질한 양념돼지갈비와 소갈빗살, 설탕, 간장, 대파,
양파, 씨를 발라낸 대추, 당근을 넣고 익힌다.
3. 전복의 살과 껍데기를 분리한다.
4. 갈비찜에 전복 껍데기를 넣고 끓인다.
5. 전복살은 칼집을 낸 뒤, 갈비찜에 넣고 끓인다.
6. 갈비찜에 통마늘을 .넣고 함께 끓인다.
7. 갈비찜에 매실원액을 넣고 끓인다.
8. 적당한 크기로 썬 전복살에 밀가루와 물을 섞은 튀김옷을 입혀 기름에 튀긴다.
9. 튀긴 전복을 건진 뒤, 체에 밭쳐 기름기를 뺀다.
10. 설탕, 식초, 깨를 밥에 섞는다.
11. 김발 위에 배추김치를 펴고 양념한 밥 &gt; 깻잎장아찌 &gt; 전복튀김 순으로 올려 반으로 접어 감싼다.
12. 김치전복말이를 적당한 크기로 썰어 접시에 담는다.
13. 전복갈비찜에 전분물을 푼다.
14. 전복갈비찜을 그릇에 담아낸다.</t>
  </si>
  <si>
    <t>&lt;샘킴 - 믿어주길 바라♬&gt;
● 재료
옥수수수프 분말, 우유, 포도, 천혜향, 석류식초, 팬케이크 가루, 채끝등심,
블랙올리브 페이스트, 무장아찌, 고추장아찌, 해시 브라운 포테이토, 캐비아, 말린 과일칩,
소금, 올리브오일, 후추, 설탕, 된장, 식초, 다진 마늘, 대파, 양파, 참기름
● 조리방법
1. 소금을 넣은 끓는 물에 달걀을 삶는다.
2. 뜨거운 물에 옥수수수프 분말을 갠 뒤, 얼음물 위에 놓고 우유를 섞어 크림소스를 만든다.
3. 포도, 천혜향을 손질한 뒤 올리브오일, 석류식초, 후추를 넣고 절여둔다.
4. 팬케이크 가루에 물을 섞어 반죽을 만든다.
5. 팬케이크 반죽을 체에 내려 기름에 튀긴다.
6. 튀긴 팬케이크 반죽을 체에 밭쳐 기름기를 뺀다.
7. 절인 천혜향에 설탕을 뿌린 뒤 토치로 직화한다.
8. 직화한 천혜향을 냉동실에 넣어 차게 만든다.
9. 채끝등심에 후추, 소금으로 간을 한 뒤 기름을 두른 팬에 굽는다.
10. 블랙올리브 페이스트, 된장, 올리브오일, 설탕, 식초, 다진 마늘,
잘게 썬 무장아찌와 고추장아찌를 섞어 된장소스를 만든다.
11. 해시 브라운 포테이토를 원형틀로 찍어낸 뒤 기름에 튀긴다.
12. 튀긴 해시 브라운 포테이토를 체에 밭쳐 기름기를 뺀다.
13. 삶은 달걀을 으깬 뒤 마요네즈, 소금, 후추를 섞어 소스를 만든다.
14. 접시에 차게 식힌 크림소스를 두르고, 튀긴 해시 브라운 포테이토를 올린다.
15. 14에 달걀마요네즈소스를 올린 뒤 절인 포도를 곁들인다.
16. 15 위에 캐비아와 잘게 썬 대파를 올린다.
17. 차게 만든 천혜향에 식힌 크림소스를 붓는다.
18. 17 위에 튀긴 팬케이크 반죽, 말린 과일칩을 올린다.
19. 채 썬 양파, 대파를 된장소스에 넣고 버무린다.
20. 적당한 크기로 썬 채끝등심을 접시에 담고, 된장소스에 버무린 채소를 올린다.
21. 스테이크 위에 얇게 썬 양파를 올린다.
22. 스테이크 위에 참기름을 뿌려 마무리한다.</t>
  </si>
  <si>
    <t>&lt;오세득 - 아임 쇼 맨♬&gt;
● 재료
연시, 마누카 꿀, 황태포, 해시 브라운 포테이토, 굴비, 삼겹살, 파프리카, 매실원액, 캐비아, 참외,
연유, 양파, 레몬, 마요네즈, 밀가루, 청주, 마늘, 고추, 대파, 고춧가루, 간장, 맛술, 설탕, 소금
● 조리방법
1. 연시에 물과 마누카 꿀을 넣고, 얼음물 위에 올려 차게 만든다.
2. 황태포, 해시 브라운 포테이토를 전자레인지에 넣고 돌린다.
3. 잘게 다진 양파에 레몬즙, 마요네즈를 넣고 섞는다.
4. 해시 브라운 포테이토를 으깬 뒤, 마요네즈 소스를 넣고 섞는다.
5. 황태포를 믹서기에 간 뒤, 양념한 해시 브라운 포테이토와 함께 섞는다.
6. 굴비를 손질한다.
7. 손질한 굴비에 밀가루를 묻힌 뒤, 기름을 두른 팬에 굽다가 청주를 붓는다.
8. 삼겹살을 적당한 크기로 썰어 냄비에 넣고 굽는다.
9. 굽던 삼겹살에 손질한 마늘, 고추, 대파를 넣고 볶는다.
10. 볶던 재료에 고춧가루와 구운 굴비, 간장, 맛술, 물, 설탕을 넣고 조린다.
11. 파프리카는 껍질을 벗겨내고 잘게 다진다.
12. 잘게 다진 파프리카에 소금, 매실원액을 넣고 섞는다.
13. 접시에 양념한 해시 브라운 포테이토를 담고, 매실원액과 섞은 파프리카를 곁들인다.
14. 양념한 해시 브라운 포테이토에 캐비아를 올린다.
15. 달걀노른자만 분리한 뒤 전자레인지에 돌려 익힌다.
16. 꿀에 절인 연시, 잘게 다진 참외를 그릇에 담는다.
17. 매실원액에 연유를 섞은 뒤, 연시 위에 뿌려준다.
18. 굴비삼겹살조림을 접시에 담는다.
19. 익힌 달걀노른자를 잘게 부순 뒤 캐비아 위에 올린다.</t>
  </si>
  <si>
    <t>&lt;정호영 - 골뱅이 완전히 새됐어♬&gt;
● 재료
골뱅이 통조림, 통삼겹살, 배추김치, 분홍소시지,
밀가루, 버터, 설탕, 고춧가루, 간장, 전분, 식초, 설탕, 청양고추
● 조리방법
1. 핸드블렌더에 밀가루, 뜨거운 물을 넣고 돌려 익반죽한다.
2. 반죽을 치댄 뒤, 숙성시킨다.
3. 숙성한 반죽을 밀대로 얇게 민 뒤, 원형틀로 찍어 만두피를 만든다.
4. 핸드블랜더에 골뱅이국물과 녹인 버터, 적당한 크기로 썬 삼겹살을 넣고 간다.
5. 간 삼겹살에 적당한 크기로 썬 골뱅이와 씻은 김치, 설탕, 고춧가루, 간장을 넣고 섞어 만두소를 만든다.
6. 만두피에 골뱅이만두소를 넣고 모양을 빚는다.
7. 기름을 두른 팬에 골뱅이만두를 굽는다.
8. 골뱅이만두를 굽는 팬에 전분물을 붓는다.
9. 분홍소시지를 적당한 크기로 썬 뒤, 골뱅이날개만두에 곁들이고 뚜껑을 덮어 굽는다.
10. 식초, 설탕, 간장, 잘게 썬 청양고추를 섞어 초간장을 만든다.
11. 골뱅이날개만두를 접시에 담고 초간장을 곁들여 낸다.</t>
  </si>
  <si>
    <t>냉장고를 부탁해 시즌 1, 129화</t>
  </si>
  <si>
    <t>&lt;미카엘 - 골뱅이 프린세스&gt;
● 재료
골뱅이 통조림, 비엔나소시지, 플레인요거트, 크림치즈, 모차렐라치즈,
버터, 마늘, 소금, 후추, 밀가루, 화이트와인, 간장, 전분, 청양고추
● 조리방법
1. 골뱅이와 비엔나소시지를 적당한 크기로 썬다.
2. 기름을 두른 팬에 골뱅이와 비엔나소시지를 볶는다.
3. 볶던 재료에 버터, 편으로 썬 마늘, 소금, 후추를 넣고 볶는다.
4. 밀가루, 버터, 플레인요거트를 넣고 치대어 반죽을 만든 뒤, 밀대로 얇게 민다.
5. 볶던 재료에 화이트와인, 간장, 전분물을 넣고 끓인다.
6. 그릇에 골뱅이볶음을 담고, 크림치즈를 올린다.
7. 골뱅이볶음이 담긴 그릇 위에 얇게 민 반죽을 씌운 뒤, 모차렐라치즈를 얹는다.
8. 7을 오븐에 굽는다.
9. 빵 반죽을 덮어 오븐에 구운 골뱅이볶음을 꺼낸 뒤, 빵 위에 버터를 바른다.
10. 청양고추를 어슷하게 썰어 빵 위에 올려 마무리한다.</t>
  </si>
  <si>
    <t>&lt;김풍 - 맵단세트&gt;
● 재료
떡국떡, 통삼겹살, 사과, 계피가루, 맛소금, 짜장라면수프,
버터, 양파, 대파, 고춧가루, 고추장, 간장, 전분, 설탕
● 조리방법
1. 버터를 두른 팬에 적당한 크기로 썬 양파와 대파를 볶는다.
2. 볶던 채소에 고춧가루, 고추장, 간장을 넣고 끓여 떡볶이 양념을 만든다.
3. 떡볶이 양념에 불린 떡국떡과 물을 넣고 끓인다.
4. 통삼겹살을 적당한 크기로 썬다.
5. 적당한 크기로 썬 통삼겹살에 맛소금을 뿌린 뒤, 전분을 골고루 입힌다.
6. 전분을 입힌 통삼겹살을 기름에 튀긴다.
7. 사과는 껍질을 벗겨내고, 적당한 크기로 썰어 핸드블랜더로 곱게 간다.
8. 삼겹살튀김을 체에 밭쳐 기름을 빼낸다.
9. 삼겹살튀김에 곱게 간 사과를 넣고 볶는다.
10. 껍질을 벗긴 사과를 얇게 썰어 팬에 넣고 함께 볶는다.
11. 10에 설탕과 계피가루를 넣고 볶는다.
12. 끓이던 떡볶이에 맛소금을 넣는다.
13. 끓이던 떡볶이에 짜장라면수프를 넣는다.
14. 끓이던 떡볶이에 설탕을 넣는다.
15. 그릇에 삼겹살사과볶음과 떡볶이를 각각 담는다.</t>
  </si>
  <si>
    <t>&lt;레이먼킴 - 니가 젓소&gt;
● 재료
분홍소시지, 떡볶이 떡, 오징어젓, 채소수프분말, 견과류멸치볶음, 낙지젓, 모차렐라치즈,
전분, 밀가루, 달걀, 고춧가루, 설탕, 케첩, 다진 마늘, 양파, 물엿, 참기름
● 조리방법
1. 전분, 밀가루와 달걀, 물을 섞어 튀김옷을 만든다.
2. 분홍소시지를 적당한 크기로 썰어 튀김옷을 입힌다.
3. 떡볶이 떡을 반으로 자른다.
4. 기름을 두른 팬에 오징어젓, 고춧가루, 설탕을 넣고 볶다가 떡볶이 떡과 물을 넣고 볶는다.
5. 채소수프분말을 체에 밭쳐 채소건더기를 걸러낸다.
6. 끓는 물에 채소수프 분말을 풀어 끓인다.
7. 튀김옷을 입힌 분홍소시지를 기름에 넣고 튀긴다.
8. 케첩, 설탕, 다진 마늘을 섞은 뒤, 기름을 두른 팬에 볶아 강정소스를 만든다.
9. 강정소스에 채 썬 양파와 잘게 다진 견과류멸치볶음을 넣는다.
10. 강정소스에 분홍소시지튀김, 물엿, 참기름을 넣고 섞어 소시지강정을 만든다.
11. 잘게 썬 고추와 낙지젓을 떡볶이에 넣고 볶는다.
12. 그릇에 소시지강정과 젓갈떡볶이를 각각 담고, 소시지강정 위에 잘게 썬 대파를 올린다.
13. 끓이던 수프에 모차렐라치즈를 넣어 크림치즈소스를 만든다.
14. 크림치즈소스를 그릇에 담고, 고춧가루를 뿌려 마무리한다.</t>
  </si>
  <si>
    <t>&lt;김풍 - 오늘 밤 안주는 나야 나♬&gt;
● 재료
플레인 요거트, 아보카도, 마스카르포네 치즈, 설탕, 달걀, 밀가루, 소금, 버터, 레몬
● 조리방법
1. 냄비에 설탕과 물을 넣고 끓여 시럽을 만든다.
2. 핸드블렌더에 달걀노른자, 밀가루, 플레인 요거트, 소금, 설탕,
버터를 넣고 갈아 타르트 반죽을 만든다.
3. 달걀흰자에 레몬즙을 넣고 거품기로 저어 머랭을 친다.
4. 타르트 반죽에 밀가루를 더해 치댄다.
5. 타르트 반죽을 적당량 떼어낸 뒤, 마른 팬에 넓게 펼쳐 굽는다.
6. 레몬즙을 넣은 달걀흰자에 끓인 시럽을 부어가며 저어 이탈리안 머랭을 만든다.
7. 핸드블렌더에 손질한 아보카도, 마스카르포네 치즈, 레몬즙, 설탕을 넣고 갈아 아보카도 크림을 만든다.
8. 접시에 구운 타르트 반죽을 올린다.
9. 아보카도 크림에 이탈리안 머랭을 넣고 섞는다.
10. 이탈리안 머랭을 섞은 아보카도 크림을 구운 타르트 위에 얹는다.
11. 10 위에 이탈리안 머랭을 얹고 토치로 직화한다.
12. 끓인 시럽을 포크로 가늘고 길게 늘어뜨려 엔젤헤어를 만든다.
13. 엔젤헤어를 동그랗게 뭉친 뒤, 구운 이탈리안 머랭 위에 올려 완성한다.</t>
  </si>
  <si>
    <t>냉장고를 부탁해 시즌 1, 130화</t>
  </si>
  <si>
    <t>&lt;김민준 - 안심하고 드세요&gt;
● 재료
소고기 안심, 허브크림치즈, 트러플 치즈소스, 과일치즈, 고다치즈, 카사바칩, 타임, 플레인 요거트,
블루베리 퓌레, 칼라만시원액, 발사믹 식초, 올리브 오일, 후추, 소금, 달걀, 밀가루, 레몬
● 조리방법
1. 비닐팩에 올리브 오일을 뿌리고, 안심을 넣는다.
2. 비닐팩에 넣은 안심을 고기망치로 두드려 얇게 편다.
3. 고기망치로 편 고기를 칼등으로 두드리고 후추로 간을 한다.
4. 손질한 안심을 적당한 크기로 썰어 소금으로 간을 한다.
5. 허브크림치즈, 트러플 치즈소스, 과일치즈, 고다치즈를 넣고 돌돌 말아 고정한다.
6. 핸드블렌더에 카사바칩을 넣고 간다.
7. 달걀을 풀어 달걀물을 만든다.
8. 안심치즈말이에 밀가루&gt;달걀물&gt;카사바칩 가루 순으로 튀김옷을 입힌 뒤, 기름에 튀긴다.
9. 안심치즈말이를 튀기는 기름에 타임을 넣고 함께 튀겨 향을 입힌다.
10. 튀긴 타임을 접시에 깔고 플레인 요거트와 블루베리 퓌레, 발사믹 식초를 곁들인다.
11. 접시에 안심치즈말이를 올리고 레몬즙을 뿌린다.
12. 안심치즈 말이 위에 칼라만시원액을 뿌려 완성한다.</t>
  </si>
  <si>
    <t>&lt;이연복 - 울면 안 돼♬&gt;
● 재료
자차이, 항정살, 가리비관자, 새우, 인스턴트 쌀국수, 아스파라거스, 달걀,
버터, 전분, 소금, 양파, 전분
● 조리방법
1. 자차이를 물에 담가 짠기를 뺀다.
2. 항정살을 적당한 크기로 썰어 끓는 물에 데친다.
3. 데친 항정살을 다른 냄비로 옮겨 육수를 내고, 적당한 크기로 썬 관자를 끓는 물에 데친다.
4. 핸드블렌더에 새우, 버터, 전분, 달걀흰자를 넣고 갈아 완자 반죽을 만든다.
5. 물에 담가뒀던 자차이를 건져 물기를 짜고 잘게 썬다.
6. 완자 반죽에 잘게 썬 자차이를 넣고 섞는다.
7. 완자 반죽을 동그랗게 떼어 기름에 튀긴다.
8. 인스턴트 쌀국수면을 뜨거운 물에 불린다.
9. 항정살 육수에 소금으로 간을 한다.
10. 간을 한 육수에 적당한 크기로 썬 아스파라거스와 양파를 넣고 끓여 울면 국물을 만든다.
11. 데친 관자를 체에 밭쳐 물기를 뺀다.
12. 불린 쌀국수면을 찬물에 헹군 뒤 물기를 짜고 그릇에 담는다.
13. 튀긴 새우완자와 데친 관자를 쌀국수면 위에 올린다.
14. 울면 국물에 전분물을 조금씩 넣어가며 점도를 조절한다.
15. 울면 국물에 달걀물을 풀어 넣는다.
16. 해물 쌀국수 위에 울면 국물을 부어 완성한다.</t>
  </si>
  <si>
    <t>&lt;미카엘 - 수프 원샷&gt;
● 재료
사과, 아보카도, 마스카르포네 치즈, 페퍼민트, 애플망고 요거트, 생강청, 고구마죽, 라임,
트러플 소금, 로즈마리, 타임, 당근, 레몬, 청양고추, 소금, 후추, 대파
● 조리방법
1. 당근을 적당한 크기로 썰어 기름을 두른 팬에 볶는다.
2. 적당한 크기로 썬 사과를 팬에 넣고 당근과 함께 볶는다.
3. 핸드블렌더에 손질한 아보카도, 마스카르포네 치즈, 페퍼민트, 레몬즙을 넣는다.
4. 3에 애플망고 요거트, 청양고추, 소금, 후추, 물을 더해 갈아 차가운 아보카도수프를 만든다.
5. 볶던 당근과 사과에 물을 붓고 끓여 당근사과수프를 만든다.
6. 당근사과수프에 후추, 생강청, 소금을 넣어 간한다.
7. 간을 한 당근사과수프에 고구마죽과 레몬즙을 넣어 함께 끓인다.
8. 라임, 레몬, 아보카도를 적당한 크기로 썬다.
9. 썰어놓은 아보카도에 레몬즙과 트러플 소금을 뿌린다.
10. 샷잔에 차가운 아보카도수프를 담는다.
11. 아보카도수프 위에 레몬조각과 트러플 소금을 얹는다.
12. 적당한 크기로 썬 대파를 당근사과수프에 넣고 함께 끓인다.
13. 끓인 당근사과수프를 핸드블렌더로 간다.
14. 당근사과수프에 얼음을 넣어 식힌다.
15. 샷잔에 당근사과수프를 담는다.
16. 당근사과수프 위에 레몬즙을 뿌린 아보카도를 올린다.
17. 로즈마리, 페퍼민트, 타임, 라임으로 데커레이션 한다.</t>
  </si>
  <si>
    <t>&lt;유현수 - 에너지닭&gt;
● 재료
삼계탕용 닭, 애호박, 파프리카, 베이컨, 떡갈비, 통조림 햄, 우유, 슬라이스 체다치즈, 양배추,
피클, 머스터드소스, 모차렐라치즈, 소금, 후추, 밀가루, 양파, 대파, 다진 마늘, 버터, 마요네즈,
쌈장, 식초, 케첩, 설탕, 레몬
● 조리방법
1. 닭을 발골한다.
2. 발골한 닭 위에 소금, 후추를 뿌린 뒤 고기망치로 얇게 펴고 밀가루를 묻힌다.
3. 기름을 두른 팬에 닭을 올리고 종이포일을 덮은 뒤, 무거운 것으로 눌러 편평하게 굽는다.
4. 양파를 적당한 크기로 썰어 기름을 두른 팬에 볶는다.
5. 대파, 애호박, 파프리카를 적당한 크기로 썬 뒤 양파와 함께 볶는다.
6. 채소를 볶던 팬에 적당한 크기로 썬 베이컨을 넣고 함께 볶는다.
7. 6에 떡갈비와 잘게 썬 통조림 햄, 다진 마늘을 넣고 함께 볶는다.
8. 닭을 뒤집어 바삭하게 굽는다.
9. 냄비에 버터, 밀가루, 우유, 슬라이스 체다치즈를 넣고 끓여 치즈소스를 만든다.
10. 양배추를 가늘게 채 썬다.
11. 핸드블렌더로 피클을 간다.
12. 볼에 마요네즈, 양배추채, 곱게 간 피클을 넣고 버무리다가 소금을 뿌려 코울슬로를 만든다.
13. 구운 닭을 포를 떠서 껍질부분과 살부분을 나눈다.
14. 그릇에 닭 살코기 &gt; 치즈소스 &gt; 고기채소볶음 &gt; 치즈소스 &gt; 구운 닭껍질 순으로 켜켜이 쌓는다.
15. 구운 닭 껍질을 올린다.
16. 마요네즈, 쌈장, 머스터드소스, 식초, 케첩, 후추, 설탕, 레몬즙을 섞어 특제소스를 만든다.
17. 특제소스와 양배추 코울슬로를 각각 접시에 담아낸다.
18. 닭 라자냐 위에 모차렐라치즈를 뿌린 뒤 토치로 직화한다.</t>
  </si>
  <si>
    <t>냉장고를 부탁해 시즌 1, 131화</t>
  </si>
  <si>
    <t>&lt;레이먼킴 - 오삼포테이토&gt;
● 재료
감자, 오렌지, 삼겹살, 우유, 슬라이스 체다치즈, 베이컨, 방울토마토,
양파, 마늘, 고추, 소금, 후추, 버터, 대파
● 조리방법
1. 양파를 채 썬다.
2. 감자는 껍질을 벗겨낸 뒤, 적당한 크기로 썬다.
3. 볼에 감자, 뜨거운 물, 통마늘을 넣은 뒤 랩으로 감싸 전자레인지에 돌려 익힌다.
4. 고추를 잘게 썬다.
5. 기름을 두른 팬에 손질한 양파와 고추, 오렌지즙, 소금을 넣고 끓인다.
6. 삼겹살은 비계를 떼어내고, 살코기에 소금과 후추를 뿌린 뒤 밀가루를 묻힌다.
7. 기름을 넉넉하게 두른 팬에 삼겹살을 튀기듯이 굽는다.
8. 오렌지소스에 구운 삼겹살을 넣고 조린다.
9. 익힌 감자와 우유를 냄비에 넣고, 으깨면서 익힌다.
10. 매시드 포테이토에 슬라이스 체다치즈와 버터를 넣고 으깨며 섞는다.
11. 매시드 포테이토를 체에 내린다.
12. 기름을 두른 팬에 베이컨을 바삭하게 구운 뒤, 잘게 썬다.
13. 매시드포테이토에 구운 베이컨과 소금을 넣고 섞는다.
14. 13에 잘게 썬 대파를 넣고 섞는다.
15. 베이컨포테이토를 접시에 담는다.
16. 베이컨을 구운 팬에 방울토마토를 굽는다.
17. 베이컨포테이토 위에 오렌지삼겹살을 올린 뒤, 오렌지소스를 붓는다.
18. 접시에 구운 방울토마토를 올리고, 잘게 썬 대파를 뿌려 마무리한다.</t>
  </si>
  <si>
    <t>&lt;샘킴 - shake it♬ 버거&gt;
● 재료
삼겹살, 떡갈비, 감자, 머스터드소스, 피클, 슬라이스 체다치즈, 방울토마토,
베이컨, 모닝빵, 양상추, 마요네즈, 레몬, 후추, 양파
● 조리방법
1. 핸드블렌더에 떡갈비와 삼겹살을 3:1 비율로 넣고 간다.
2. 감자를 적당한 크기로 썬 뒤, 기름에 튀긴다.
3. 마요네즈, 머스터드소스, 잘게 썬 피클, 레몬즙, 후추를 넣고 섞어 타르타르소스를 만든다.
4. 슬라이스 체다치즈를 볼에 담은 뒤, 전자레인지에 돌려 녹인다.
5. 기름을 두른 팬에 잘게 다진 양파를 볶는다.
6. 핸드블렌더로 간 고기에 볶은 양파, 후추를 넣고 섞어 패티 반죽을 만든다.
7. 양상추와 방울토마토를 잘게 썬다.
8. 잘게 썬 양상추와 방울토마토를 타르타르소스와 섞어 샐러드를 만든다.
9. 튀긴 감자를 건져낸 뒤, 냉동실에 넣고 차게 식힌다.
10. 기름을 두른 팬에 적당한 크기로 썬 베이컨을 굽는다.
11. 베이컨을 굽는 팬에 채 썬 양파를 굽는다.
12. 패티 반죽을 적당한 크기로 빚어 팬에 넣고 함께 굽는다.
13. 냉동실에서 식힌 감자튀김을 다시 한 번 튀긴다.
14. 구운 베이컨과 양파를 건져 기름기를 뺀다.
15. 패티 위에 슬라이스 체다치즈를 올려 치즈를 녹인다.
16. 모닝빵을 반으로 잘라 안쪽만 굽는다.
17. 감자튀김을 건져 소금으로 간하고 접시에 담는다.
18. 구운 모닝빵 위에 샐러드 &gt; 치즈를 올려 구운 패티 &gt; 구운 베이컨&amp;양파를 차례로 올리고 빵으로 덮어 버거를 만든다.
19. 감자튀김 위에 녹인 체다치즈를 뿌려 마무리한다.</t>
  </si>
  <si>
    <t>&lt;이재훈 - 무~보이♬&gt;
● 재료
방울토마토, 국거리용 소고기, 베이컨, 파스타면, 무, 달걀,
양파, 대파, 당근, 후추, 레드와인, 마늘, 소금, 올리브오일
● 조리방법
1. 방울토마토를 끓는 물에 데친 뒤, 찬물에 담가 식힌다.
2. 국거리용 소고기와 베이컨을 잘게 썬 뒤, 기름을 두른 팬에 볶는다.
3. 양파, 대파, 당근을 잘게 썰어 볶던 고기와 함께 볶다가 후추로 간 한다.
4. 무와 대파 흰 부분을 얇고 가늘게 썬다.
5. 파스타면을 삶는다.
6. 볶던 재료에 레드와인, 면수를 넣고 끓인다.
7. 6에 데친 방울토마토의 껍질을 벗기고 으깨어 넣어 볼로네제 소스를 만든다.
8. 기름을 두른 팬에 으깬 마늘을 볶다가 채 썬 무와 대파를 넣고 소금을 뿌려 볶는다.
9. 접시 위에 원형틀을 올린 뒤, 볶은 무&amp;대파면을 넣는다.
10. 끓는 물을 한 방향으로 저은 뒤, 가운데 달걀을 깨뜨려 넣어 수란을 만든다.
11. 수란에 소금으로 간을 한다.
12. 삶은 파스타면에 올리브오일, 볼로네제소스를 넣고 버무린다.
13. 원형틀에 담긴 무&amp;대파면 위에 볼로네제소스에 버무린 파스타면을 넣는다.
14. 볼로네제소스를 접시에 듬뿍 담는다.
15. 수란을 건져 파스타 위에 올린다.
16. 원형틀을 빼내어 마무리한다.</t>
  </si>
  <si>
    <t>&lt;이연복 - 미스동파육&gt;
● 재료
삼겹살, 굴소스, 바나나, 쌈추, 대파, 간장, 청주, 청양고추,
다진 마늘, 다진 생강,후추, 설탕, 밀가루, 들기름
● 조리방법
1. 기름을 두른 팬에 적당한 크기로 썬 삼겹살과 대파를 넣고 볶는다.
2. 볶던 재료에 간장, 청주를 넣고 청양고추를 썰어 넣는다.
3. 2에 다진 마늘, 생강즙, 물, 굴소스, 후추, 설탕을 넣고 끓인다.
4. 끓인 재료를 압력솥에 넣고 찐다.
5. 바나나는 껍질을 벗기고 적당한 크기로 썰어 밀가루를 묻힌다.
6. 밀가루를 묻힌 바나나에 물을 뿌려준 뒤, 다시 한 번 밀가루를 묻힌다.
7. 밀가루를 묻힌 바나나를 기름에 튀긴다.
8. 쟁반에 들기름을 묻힌다.
9. 마른 팬에 설탕을 녹인다.
10. 기름에 튀긴 바나나를 체에 밭쳐 기름기를 뺀다.
11. 녹인 설탕에 바나나튀김을 버무린 뒤, 들기름을 묻힌 쟁반에 부어 식힌다.
12. 접시에 바나나맛탕을 담는다.
13. 쌈추를 적당한 크기로 썰어 데친 뒤, 접시에 담는다.
14. 쌈추를 담은 접시에 동파육과 육수를 담아낸다.</t>
  </si>
  <si>
    <t>냉장고를 부탁해 시즌 1, 132화</t>
  </si>
  <si>
    <t>&lt;레이먼킴 - 미트코리아 진&gt;
● 재료
모차렐라치즈, 삼겹살, 살치살, 식빵, 우유, 토마토소스,
크림소스, 튀김과자, 사과,청양고추, 소금, 후추,
양파, 마늘, 설탕, 밀가루, 달걀
● 조리방법
1. 마른 팬에 모차렐라치즈를 넓게 펴서 굽다가, 잘게 썬 청양고추를 올린다.
2. 핸드블렌더에 적당한 크기로 썬 삼겹살과 살치살을 넣고 곱게 갈아 반죽을 만든다.
3. 적당한 크기로 썬 식빵에 우유를 부어 불린 뒤, 고기반죽과 함께 섞는다.
4. 3에 소금, 후추로 간 하고 네모나게 모양을 잡는다.
5. 기름을 두른 팬에 모양을 잡은 고기반죽을 구워 미트로프를 만든다.
6. 기름을 두른 팬에 채 썬 양파와 으깬 마늘을 볶는다.
7. 볶던 채소에 토마토소스, 물, 크림소스, 우유를 넣고 끓여 로제소스를 만든다.
8. 로제소스를 체에 밭쳐 건더기를 걸러내고 다시 한 번 끓인다.
9. 넓게 펴서 구운 모차렐라치즈 위에 미트로프를 올려 감싼다.
10. 치즈로 감싼 미트로프를 뚜껑을 덮어 굽는다.
11. 튀김과자를 잘게 부순다.
12. 사과를 얇게 썬 뒤, 설탕을 뿌리고 밀가루를 묻힌다.
13. 밀가루를 묻힌 사과에 달걀물을 묻히고 튀김과자가루를 입혀 기름에 튀긴다.
14. 접시에 로제소스를 깔고 치즈로 감싼 미트로프를 올린다.
15. 다른 접시에 사과튀김을 담아낸다.</t>
  </si>
  <si>
    <t>&lt;샘킴 - 가지에 빠져빠져♬&gt;
● 재료
가지, 애호박, 새송이버섯, 양배추, 훈제연어, 크림치즈, 후리카케,
토마토소스, 요거트,밀가루, 마늘, 소금, 후추, 즉석밥,
참기름, 식초, 올리브오일, 레몬, 설탕
● 조리방법
1. 가지를 반으로 갈라 속을 파낸다.
2. 속을 파낸 가지에 밀가루를 묻힌 뒤 기름에 튀긴다.
3. 애호박과 가지를 적당한 크기로 썬 뒤, 밀가루를 묻혀 기름에 튀긴다.
4. 기름을 두른 팬에 으깬 마늘, 잘게 썬 애호박과 새송이버섯을 볶는다.
5. 볶던 채소에 양배추를 채썰어 넣고 소금, 후추를 뿌려 볶는다.
6. 즉석밥을 전자레인지에 넣고 돌린다.
7. 랩 위에 훈제연어를 넓게 펴고, 크림치즈를 올린다.
8. 볼에 참기름, 즉석밥, 볶은 애호박, 새송이버섯, 양배추, 소금, 후리카케를 넣고 섞는다.
9. 크림치즈를 올린 훈제연어 위에 양념한 밥을 올리고 돌돌 만다.
10. 튀긴 가지와 애호박을 건져 기름기를 뺀다.
11. 토마토소스, 식초, 올리브오일, 레몬즙, 설탕을 섞어 소스를 만든다.
12. 튀긴 채소에 소금으로 간을 하고, 소스에 버무린다.
13. 튀긴 가지를 건져낸 뒤 소금, 후추를 뿌린다.
14. 접시에 튀긴 가지를 깔고, 소스에 버무린 튀긴 채소를 올린다.
15. 14 위에 훈제연어롤을 올리고 소스에 버무린 튀긴 채소를 곁들인다.
16. 요거트에 레몬즙, 후추를 뿌려 요거트소스를 만든다.
17. 훈제연어롤 위에 요거트소스를 뿌려 마무리한다.</t>
  </si>
  <si>
    <t>&lt;정호영 - 난 이제 더 이상 찌개가 아니에요♬&gt;
● 재료
양배추, 삼겹살, 김치, 닭가슴살, 채끝살, 굴소스, 떡볶이 떡,
전복,소금, 다진 마늘, 대파, 청주, 달걀, 설탕
● 조리방법
1. 끓는 물에 소금을 넣고, 양배추를 데친다.
2. 데친 양배추를 얼음물에 담가 식힌다.
3. 기름을 두른 팬에 다진 마늘과 적당한 크기로 썬 삼겹살을 넣고 볶는다.
4. 삼겹살에 잘게 썬 김치를 넣고 함께 볶다가 물을 붓고 끓인다.
5. 닭가슴살을 얇게 펴고 칼집을 낸다.
6. 핸드블렌더에 적당한 크기로 썬 채끝살, 대파 흰 부분, 굴소스, 청주, 달걀을 넣고 곱게 간다.
7. 데친 양배추를 넓게 편 뒤 칼집을 낸 닭가슴살, 곱게 간 채끝살, 떡볶이 떡을 넣고 돌돌 만다.
8. 양배추롤을 그릇에 담은 뒤, 김치찌개 국물을 넣고 전자레인지에 돌린다.
9. 믹서기에 김치찌개를 넣고 곱게 갈아 김치찌개소스를 만든다.
10. 김치찌개소스에 설탕을 넣고 끓인다.
11. 끓는 물에 전복을 데친다.
12. 데친 전복을 잘게 썰어 김치찌개소스에 넣는다.
13. 양배추롤을 전자레인지에서 꺼내 적당한 크기로 썬다.
14. 적당한 크기로 썬 양배추롤을 김치찌개소스에 넣고 조린다.
15. 그릇에 김치찌개소스를 담고, 양배추롤을 올려 마무리한다.</t>
  </si>
  <si>
    <t>&lt;미카엘 - 미식이볼 맛있당께&gt;
● 재료
소고기 양지, 삼겹살, 식빵, 오이, 상추, 토마토, 마늘, 청양고추,
달걀, 소금, 후추, 양파, 밀가루, 식초, 올리브오일, 대파
● 조리방법
1. 달걀을 삶는다.
2. 그릴팬에 청양고추를 굽는다.
3. 소고기 양지, 삼겹살을 핸드블렌더에 곱게 간다.
4. 곱게 간 고기에 소금, 후추로 간 한다.
5. 간을 한 고기에 잘게 썬 양파를 넣는다.
6. 식빵을 물에 불린 뒤, 물기를 짠다.
7. 간 고기, 잘게 썬 양파, 불린 식빵을 잘 섞어준다.
8. 7에 달걀과 밀가루를 넣고 치대 미트볼 반죽을 만든다.
9. 미트볼 반죽을 적당한 크기로 빚은 뒤, 밀가루를 묻히고 기름을 두른 팬에 굽는다.
10. 구운 청양고추에 식초, 올리브오일, 소금, 편마늘을 넣고 버무린다.
11. 대파, 오이, 상추를 잘게 썰어 볼에 담고, 식초, 소금, 올리브오일에 버무려 샐러드를 만든다.
12. 접시에 샐러드를 담고, 삶은 달걀을 반으로 잘라 곁들인다.
13. 다른 접시에 구워서 오일에 버무린 청양고추를 담는다.
14. 토마토를 적당한 크기로 썰어 샐러드에 곁들인다.
15. 샐러드와 함께 미트볼을 담아낸다.
16. 미트볼 위에 후추를 뿌려 마무리한다.</t>
  </si>
  <si>
    <t>냉장고를 부탁해 시즌 1, 133화</t>
  </si>
  <si>
    <t>&lt;이원일 - 이런 안주 파쌈?&gt;
● 재료
물만두, 항정살, 인스턴트 고기구이, 두부, 김, 깻잎, 차돌박이,
새송이버섯, 고춧가루, 청양고추, 된장, 달걀, 다진 마늘,
밀가루, 소금, 대파, 양파, 고추장, 된장
● 조리방법
1. 인스턴트 물만두의 피와 소를 분리한다.
2. 적당한 크기로 썬 항정살과 인스턴트 고기구이, 다진 마늘, 물만두소, 두부를 핸드블렌더에 넣고 갈아 고기반죽을 만든다.
3. 김 위에 깻잎을 깔고 고기반죽을 올려 돌돌 만다.
4. 밀가루, 달걀, 소금을 섞어 튀김옷을 만든다.
5. 김말이에 튀김옷을 입혀 기름 에 튀긴다.
6. 마른 팬에 적당한 크기로 썬 차돌박이를 볶는다.
7. 대파 흰 부분, 양파, 새송이버섯을 잘게 썰어 차돌박이와 함께 볶는다.
8. 볶던 재료에 다진 마늘, 고춧가루, 고추장, 잘게 다진 청양고추, 된장을 넣고 볶아 차돌박이 강된장을 만든다.
9. 대파 파란 부분을 적당한 크기로 썰어 그릇에 담는다.
10. 대파 흰 부분을 가늘게 썰어 찬물에 담가둔다.
11. 김말이튀김을 건진 뒤, 적당한 크기로 썰어 그릇에 담는다.
12. 김말이튀김 위에 차돌박이 강된장을 얹는다.
13. 찬물에 담가둔 대파를 올려 마무리한다.</t>
  </si>
  <si>
    <t>&lt;김풍 - 국밥 맞고등?&gt;
● 재료
고등어, 들깻가루, 차돌박이, 항정살, 멸치액젓, 새송이버섯, 순대,
오이, 고춧가루, 청양고추, 대파, 다진 마늘, 다진 생강, 즉석밥, 고추
● 조리방법
1. 적당한 크기로 썬 고등어를 기름에 튀긴다.
2. 끓는 물에 튀긴 고등어와 들깻가루를 넣고 끓여 육수를 낸다.
3. 대파, 차돌박이, 항정살을 적당한 크기로 썬다.
4. 기름을 두른 팬에 손질한 차돌박이와 항정살, 대파, 다진 마늘을 넣고 볶는다.
5. 볶던 재료에 고춧가루, 멸치액젓, 적당한 크기로 썬 새송이버섯을 넣는다.
6. 5에 고등어육수를 체에 밭쳐 육수만 넣고 끓인다.
7. 순대를 적당한 크기로 썰어 끓이던 재료에 넣는다.
8. 육수를 낸 튀긴 고등어를 핸드블렌더로 곱게 간다.
9. 곱게 간 고등어와 생강즙을 끓이던 재료에 넣어 고등엇국을 만든다.
10. 전자레인지에 즉석밥을 돌린다.
11. 오이를 적당한 크기로 썰어 고등엇국에 넣는다.
12. 즉석밥을 가열된 뚝배기에 넣고, 고등엇국을 부어 끓인다.
13. 고등어국밥과 청양고추, 고추장을 함께 낸다.</t>
  </si>
  <si>
    <t>&lt;유현수 - 소박한 국밥&gt;
● 재료
인스턴트 양념닭발, 항정살, 오이, 순대, 들깻가루, 갓김치, 새우젓,
참기름, 고추장, 청양고추, 마늘, 소금, 참기름, 양파, 대파
● 조리방법
1. 끓는 물에 인스턴트 양념닭발을 데친다.
2. 항정살을 기름에 튀긴다.
3. 데친 양념닭발을 체에 밭쳐 양념을 씻어내고, 튀긴 항정살과 함께 물에 넣고 끓여 고기육수를 낸다.
4. 오이에 칼집을 내고 소금물에 끓여 절인다.
5. 참기름을 두른 팬에 적당한 크기로 썬 양파와 대파, 으깬 마늘을 넣고 볶는다.
6. 볶던 채소에 고기육수를 조금 붓고 끓인 뒤, 고기육수와 섞어 함께 끓인다.
7. 순대를 적당한 크기로 썰어 넣는다.
8. 끓이던 재료에 들깻가루, 새우젓, 잘게 썬 대파와 청양고추를 넣고 끓여 순댓국을 만든다.
9. 소금물에 절인 오이를 얼음물에 담가 식힌다.
10. 잘게 다진 갓김치에 김칫소, 식초를 넣고 섞어 김치 양념을 만든 뒤, 절인 오이를 버무린다.
11. 전자레인지에 즉석밥을 돌린다.
12. 김칫소, 고춧가루, 맛술, 후추, 다진 마늘, 잘게 썬 대파를 섞어 양념장을 만든다.
13. 순댓국을 가열된 뚝배기에 옮겨 담고 끓이다가 소금으로 간 한다.
14. 즉석밥을 순댓국에 넣고 끓인다.
15. 오이소박이를 접시에 담는다.
16. 다른 접시에 청양고추와 편으로 썬 마늘을 담는다.
17. 순댓국에 들깻가루를 뿌린다.
18. 순대국밥, 오이소박이, 청양고추와 마늘, 양념장, 새우젓을 함께 낸다.</t>
  </si>
  <si>
    <t>&lt;미카엘 - 숙모닝&gt;
● 재료
브리치즈, 우유, 꿀, 모과청, 달걀
● 조리방법
1. 두 개의 팬에 버터를 녹인다.
2. 브리치즈를 반으로 가른 뒤, 물을 묻힌다.
3. 물을 묻힌 브리치즈에 밀가루와 달걀물을 차례로 입히고 버터를 녹인 팬에 굽는다.
4. 달걀물에 설탕, 소금, 밀가루를 넣고 섞어 팬케이크 반죽을 만든다.
5. 팬케이크 반죽에 우유를 부어가며 섞는다.
6. 버터를 녹인 팬에 팬케이크를 굽는다.
7. 마른 팬에 설탕을 녹인다.
8. 녹인 설탕에 뜨거운 물, 버터를 넣고 끓여 캐러멜소스를 만든다.
9. 구운 팬케이크와 구운 브리치즈의 기름기를 뺀다.
10. 모과청과 꿀을 섞어 모과소스를 만든다.
11. 접시에 팬케이크&gt;모과소스&gt;구운 브리치즈&gt;팬케이크를 차례로 쌓는다.
12. 캐러멜소스에 레몬즙을 넣는다.
13. 쌓은 팬케이크 위에 캐러멜소스를 바르고 구운 브리치즈&gt;팬케이크를 덮는다.
14. 팬케이크 위에 캐러멜소스를 뿌린다.
15. 접시에 모과소스를 흩뿌려 마무리한다.</t>
  </si>
  <si>
    <t>냉장고를 부탁해 시즌 1, 134화</t>
  </si>
  <si>
    <t>&lt;이재훈 - 숙나잇&gt;
● 재료
당면, 인스턴트 만두, 콜라, 고추장, 오이, 당근,
어묵, 칼라만시식초, 게맛살, 오징어포과자, 달걀
● 조리방법
1. 끓는 물에 당면을 삶는다.
2. 인스턴트 만두의 피와 소를 분리한다.
3. 기름을 두른 팬에 다진 마늘과 만두소를 볶다가, 달걀을 넣고 함께 볶는다.
4. 볶던 재료에 콜라를 붓고 끓이다가 간장을 넣는다.
5. 끓이던 재료에 물과 고추장을 넣고 끓여 팟타이소스를 만든다.
6. 양파, 대파, 오이, 당근을 채 썬다.
7. 어묵은 채 썰고, 청양고추는 잘게 썬다.
8. 볼에 올리브오일, 칼라만시식초, 설탕, 다진 마늘, 소금, 후추, 잘게 썬 청양고추를 넣고 섞어 솜땀소스를 만든다.
9. 게맛살을 잘게 찢는다.
10. 볼에 잘게 찢은 게맛살과 채 썬 재료들을 넣고, 오징어포과자를 부숴 넣는다.
11. 10에 솜땀소스를 붓고 섞는다.
12. 솜땀을 접시에 담는다.
13. 삶은 당면을 체에 밭쳐 거른 뒤, 찬물에 헹군다.
14. 팟타이소스에 당면을 넣고 볶는다.
15. 팟타이에 칼라만시식초를 넣는다.
16. 팟타이를 접시에 담고 깨를 뿌려 완성한다.</t>
  </si>
  <si>
    <t>&lt;이연복 - 이길 만두 하지? 당근!&gt;
● 재료
당근, 어묵, 게맛살, 오징어포과자, 오이, 칼라만시식초
● 조리방법
1. 당근을 적당한 크기로 썬다.
2. 믹서기에 적당한 크기로 썬 당근을 넣고 간다.
3. 곱게 간 당근을 면보에 짜서 당근즙과 밀가루를 섞어 만두피 반죽을 만든다.
4. 핸드블렌더에 어묵, 버터, 게맛살을 넣고 곱게 간다.
5. 곱게 간 당근에 잘게 썬 당근을 넣고 섞어 당근 만두소를 만든다.
6. 오징어포과자를 곱게 간 뒤, 당근만두소에 넣고 섞는다.
7. 당근만두피 반죽을 적당량 떼어낸 뒤, 밀대로 밀어 동그랗게 만든다.
8. 당근만두피에 당근만두소를 넣고 만두를 빚는다.
9. 끓는 물에 당근만두를 넣고 삶는다.
10. 당근, 오이, 양파를 적당한 크기로 썬다.
11. 팬에 물, 간장, 설탕, 칼라만시식초, 손질한 채소를 넣고 끓여 탕수소스를 만든다.
12. 삶은 당근만두를 건져내 물기를 뺀다.
13. 당근을 모양내 당근꽃을 만든다.
14. 대파를 가늘게 채 썰어 그릇에 담고, 위에 당근꽃을 올린다.
15. 당근만두를 그릇에 담는다.
16. 탕수소스에 전분물을 부어 농도를 조절한다.
17. 당근만두 위에 탕수소스를 부어 마무리한다.</t>
  </si>
  <si>
    <t>&lt;김풍 - 오늘 나~ 이길 거 맞지♬&gt;
● 재료
당근, 밤식빵, 우유, 크림치즈, 게맛살
● 조리방법
1. 당근을 채 썬다.
2. 팬에 버터, 채 썬 당근, 설탕을 넣고 볶는다.
3. 다른 팬에 버터를 녹인 뒤, 다진 마늘을 볶아 갈릭버터를 만든다.
4. 핸드블렌더에 밤식빵을 넣고 간다.
5. 갈릭버터에 밤식빵가루를 넣고 볶는다.
6. 냄비에 버터를 녹인 뒤, 밀가루를 볶아 루를 만든다.
7. 루에 우유를 붓고 끓여 베샤멜소스를 만든다.
8. 베샤멜소스에 크림치즈, 소금을 넣는다.
9. 볼에 크림소스를 적당량 덜어낸 뒤, 남은 크림소스에 채 썬 당근과 게맛살, 우유를 넣는다.
10. 9를 핸드블렌더로 곱게 갈아 당근수프를 만든다.
11. 볶은 밤식빵가루를 다시 한 번 곱게 간다.
12. 접시에 밤식빵가루를 담는다.
13. 접시에 당근수프를 담는다.
14. 밤식빵가루와 당근수프의 경계에 크림소스를 올린다.
15. 설탕에 볶은 당근을 밤식빵가루 위에 얹는다.</t>
  </si>
  <si>
    <t>&lt;샘킴 - 해산물이 맛있셧업♬&gt;
● 재료
백합, 가지, 파프리카, 불린 렌틸콩, 데친 문어, 낙지, 미나리, 허브시즈닝,
마늘, 양파, 당근, 화이트와인, 올리브오일, 소금, 후추, 레몬, 설탕
● 조리방법
1. 기름을 두른 냄비에 마늘, 양파, 당근, 백합를 넣는다.
2. 1에 화이트와인과 뜨거운 물을 붓고 끓여 채소조개육수를 낸다.
3. 볼에 올리브오일, 적당한 크기로 썬 가지와 파프리카를 넣고 소금, 후추를 뿌려 버무린다.
4. 양념한 가지와 파프리카를 그릴팬에 굽는다.
5. 기름을 두른 팬에 잘게 다진 양파와 불린 렌틸콩을 넣고 소금으로 간한 뒤, 채소조개육수를 부어 끓인다.
6. 데친 문어는 물결모양으로 썰고, 낙지는 채소조개육수에 데쳐 적당한 크기로 썬 뒤 올리브오일, 소금, 후추에 버무린다.
7. 미나리에 올리브오일, 소금, 후추를 넣고 버무린다.
8. 양념한 미나리를 구워 적당한 크기로 썬다.
9. 레몬즙, 올리브오일, 설탕을 섞어 레몬오일소스를 만든다.
10. 구운 파프리카를 잘게 썬다.
11. 10을 레몬오일소스에 넣고 허브시즈닝을 뿌린 뒤, 올리브오일을 더해 파프리카허브소스를 만든다.
12. 백합의 살을 발라낸 뒤 잘게 다진다.
13. 조개육수에 끓이던 렌틸콩에 백합살, 레몬즙을 넣고 끓인다.
14. 볼에 구운 가지와 미나리를 담은 뒤, 포일에 허브시즈닝을 담아 불을 붙이고 뚜껑을 닫아 훈연한다.
15. 그릴팬에 양념한 문어와 낙지를 굽는다.
16. 구운 문어를 접시에 담고, 렌틸콩을 올린다.
17. 훈연한 가지와 미나리를 올리고, 파프리카허브소스를 얹은 뒤, 후추를 뿌려 마무리한다.</t>
  </si>
  <si>
    <t>냉장고를 부탁해 시즌 1, 135화</t>
  </si>
  <si>
    <t>&lt;이원일 - 잉글리쉿&gt;
● 재료
백합, 바지락살, 불린 렌틸콩, 파프리카, 애호박, 불린 표고버섯, 허브시즈닝,
강황가루, 감태,대파, 마늘, 양파, 고추, 통후추, 화이트와인, 소금, 당근, 후추, 버터
● 조리방법
1. 대파는 적당한 크기로 썰고 마늘은 으깬 뒤, 마른 냄비에 넣고 볶는다.
2. 손질한 양파와 고추, 으깬 통후추를 냄비에 넣고 함께 볶는다.
3. 볶던 재료에 화이트와인과 백합, 바지락살을 넣고 뚜껑을 닫아 끓인다.
4. 3에 뜨거운 물을 넣고 끓인다.
5. 조개육수를 체에 밭쳐 건더기와 육수를 분리한다.
6. 백합의 살을 발라낸다.
7. 끓는 물에 소금을 넣고, 불린 렌틸콩을 삶는다.
8. 양파, 당근, 마늘을 잘게 썰어 기름을 두른 팬에 볶는다.
9. 삶은 렌틸콩을 체에 밭쳐 물기를 뺀 뒤, 채소를 볶던 팬에 넣고 함께 볶는다.
10. 볶던 재료에 소금과 후추로 간을 한다.
11. 양파, 당근, 파프리카, 애호박, 마늘을 적당한 크기로 썬다.
12. 기름을 두른 팬에 손질한 채소를 볶는다.
13. 손질한 채소를 볶던 팬에 불린 표고버섯도 적당한 크기로 썰어 넣고 함께 볶다가, 백합살과 바지락살을 넣고 볶는다.
14. 볶던 재료에 조개육수를 부어가며 끓인다.
15. 14에 허브시즈닝, 강황가루, 버터를 넣고 끓여 프리카세를 만든다.
16. 볶은 렌틸콩을 접시에 담아낸다.
17. 그릇에 프리카세를 담는다.
18. 마른 팬에 감태를 구운 뒤, 잘게 찢어 프리카세 위에 올려 마무리한다.</t>
  </si>
  <si>
    <t>&lt;유현수 - 지천명 반상&gt;
● 재료
디포리, 건새우, 불린 표고버섯, 낙지, 어간장, 알배추, 불린 완두콩, 브로콜리,
애호박, 명란젓, 가자미, 명이나물장아찌, 감태, 참기름, 대파, 양파, 마늘,
고추, 즉석밥, 소금, 밀가루, 달걀, 식초, 고춧가루, 깨
● 조리방법
1. 디포리를 토치로 직화한다.
2. 끓는 물에 건새우와 직화한 디포리를 넣고 육수를 낸다.
3. 냄비에 참기름을 두르고, 적당한 크기로 썬 불린 표고버섯, 대파, 양파, 으깬 마늘을 넣고 볶는다.
4. 3에 낙지를 넣고 볶는다.
5. 육수를 체에 밭쳐 건더기를 걸러내고, 볶던 재료에 붓고 끓여 연포탕을 만든다.
6. 연포탕에 어간장을 넣는다.
7. 연포탕에 적당한 크기로 썬 알배추와 고추를 넣은 뒤 뚜껑을 닫고 끓인다.
8. 즉석밥을 전자레인지에 돌린다.
9. 끓는 물에 소금을 넣고 불린 완두콩과 브로콜리를 데친다.
10. 볼에 밀가루, 달걀노른자, 물을 넣고 섞어 달걀반죽을 만든다.
11. 원형틀로 애호박의 속을 파내고, 밀가루를 묻힌 뒤 속에 명란젓을 끼워 적당한 크기로 썬다.
12. 명란젓을 끼운 애호박에 밀가루와 달걀반죽을 순서대로 입힌 뒤 기름을 두른 팬에 굽는다.
13. 석쇠에 식초를 바른 뒤, 참기름을 바른 가자미를 올리고 굽는다.
14. 잘게 다진 명이나물장아찌, 명이나물장아찌 국물, 고춧가루, 깨, 참기름을 섞어 간장소스를 만든 뒤, 종지에 담아낸다.
15. 뚝배기에 밥을 넣고 데친 완두콩과 브로콜리를 올린 뒤, 구운 가자미를 얹는다.
16. 접시에 명란애호박전을 담는다.
17. 연포탕에 감태를 풀어준 뒤 그릇에 담는다.
18. 감태연포탕과 가자미솥밥, 명란애호박전을 함께 낸다.</t>
  </si>
  <si>
    <t>&lt;정호영 - 따르릉~ 내가 니 문어야♬&gt;
● 재료
데친 문어, 오이, 불린 미역, 불린 표고버섯,
마키베리분말, 가지, 미나리, 간장, 맛술, 청주,
설탕, 양파, 소금, 식초, 밀가루, 레몬, 고추냉이
● 조리방법
1. 압력솥에 물, 표고버섯 우린 물, 간장, 맛술, 청주, 설탕을 넣은 뒤, 데친 문어를 넣고 뚜껑을 닫아 조린다.
2. 오이에 촘촘하게 칼집을 낸다.
3. 소금물에 칼집 낸 오이를 절여둔다.
4. 데친 문어를 물결무늬로 썬 뒤, 접시에 담는다.
5. 채 썬 양파를 찬물에 헹군 뒤, 접시에 담는다.
6. 끓는 물에 소금을 넣고 불린 미역을 데친다.
7. 데친 미역을 찬물에 담가 식힌 뒤, 접시에 담는다.
8. 즉석밥을 전자레인지에 돌린다.
9. 볼에 식초, 설탕, 물을 넣고 섞어 초절임소스를 만든다.
10. 소금에 절인 오이를 초절임소스에 담가둔다.
11. 가지와 문어를 적당한 크기로 썬다.
12. 밀가루와 물을 섞어 튀김옷을 만든 뒤, 적당한 크기로 썬 가지와 문어에 입혀 튀긴다.
13. 가지튀김과 문어튀김을 건져낸 뒤, 체에 밭쳐 기름기를 뺀다.
14. 식초, 설탕, 맛술, 간장, 레몬즙을 섞어 초회소스를 만든다.
15. 초회소스에 마키베리분말을 넣고 섞은 뒤, 종지에 담아낸다.
16. 초절임한 오이를 적당한 크기로 썰어 문어초회 접시에 담는다.
17. 밥, 가지튀김, 문어튀김, 잘게 썬 미나리를 한데 넣는다.
18. 압력솥에서 조린 문어조림을 적당한 크기로 썬 뒤 밥에 넣고, 조림양념도 함께 넣어 섞어준다.
19. 문어조림밥을 그릇에 담아낸다.
20. 문어초회와 문어조림밥을 함께 낸다.</t>
  </si>
  <si>
    <t>&lt;미카엘 - M.S.G&gt;
● 재료
느타리버섯, 팽이버섯, 비엔나소시지, 소고기 등심, 인스턴트 샤부샤부육수,
모차렐라치즈, 통조림알감자, 파채, 버터, 양파, 소금, 밀가루, 레드와인
● 조리방법
1. 팬에 버터를 녹인다.
2. 버터를 녹인 팬에 느타리버섯과 팽이버섯을 볶는다.
3. 기름을 두른 팬에 잘게 썬 비엔나소시지를 굽는다.
4. 기름을 두른 팬에 적당한 크기로 썬 소고기 등심을 볶는다.
5. 채 썬 양파에 소금을 뿌려 섞은 뒤, 등심과 함께 볶는다.
6. 볶은 등심과 양파를 체에 밭쳐 기름기를 뺀 뒤, 다시 볶는다.
7. 볶던 버섯에 체에 밭쳐 내린 밀가루를 더해 함께 볶는다.
8. 밀가루를 뿌려 볶은 버섯에 인스턴트 샤부샤부육수와 레드와인을 넣고 졸인다.
9. 8에 물을 붓고 끓여 소스를 만든다.
10. 소스에 구운 비엔나소시지를 넣고 함께 끓인다.
11. 등심볶음에 모차렐라치즈를 넣고 섞는다.
12. 접시에 원형틀을 올리고, 치즈등심볶음을 담는다.
13. 통조림알감자를 적당한 크기로 썰어 소스에 넣고 끓인다.
14. 치즈등심볶음 위에 소스를 붓는다.
15. 파채를 얹어 마무리한다.</t>
  </si>
  <si>
    <t>냉장고를 부탁해 시즌 1, 136화</t>
  </si>
  <si>
    <t>&lt;샘킴 - 샘희태닭&gt;
● 재료
생닭, 표고버섯, 느타리버섯, 액상조미료, 파김치,
통조림옥수수, 후추, 소금, 대파, 양파, 버터, 밀가루
● 조리방법
1. 닭을 손질한다.
2. 표고버섯, 느타리버섯을 적당한 크기로 썬다.
3. 닭뼈를 우려 닭육수를 낸다.
4. 닭육수에 액상조미료를 넣는다.
5. 손질한 닭에 칼집을 내고 후추와 소금을 뿌린다.
6. 기름을 두른 팬에 닭을 굽는다.
7. 기름을 두른 그릴 팬에 파김치와 대파 흰 부분을 굽는다.
8. 양파를 잘게 썰어 닭을 굽는 팬에서 볶는다.
9. 굽던 닭을 그릴팬으로 옮겨 굽는다.
10. 볶던 양파에 손질한 표고버섯과 느타리버섯을 넣고 소금, 후추를 뿌려 볶는다.
11. 볶던 버섯에 닭육수를 붓고 끓인다.
12. 11에 구운 닭과 버터를 넣고 조린다.
13. 닭을 조리는 소스에 통조림옥수수의 국물만 넣는다.
14. 구운 파김치와 대파를 잘게 썬 뒤, 올리브오일과 후추를 뿌려 버무린다.
15. 접시에 조린 닭을 올린다.
16. 닭을 건져내고 팬에 남은 소스에 밀가루를 넣어 농도를 조절한다.
17. 닭 위에 소스를 붓고 구운 파김치와 파를 올린다.</t>
  </si>
  <si>
    <t>&lt;이연복 - 복면라왕&gt;
● 재료
인스턴트 사골곰탕, 모시조개, 생닭, 생칼국수면, 액상조미료,
청고추, 홍고추, 절인 배추, 애호박, 전분, 달걀, 식용유,
버터, 양파, 소금, 물엿, 식초, 간장, 맛술, 참기름, 즉석밥,
대파, 마늘, 고춧가루
● 조리방법
1. 냄비에 인스턴트 사골곰탕을 붓고, 모시조개를 넣어 끓인다.
2. 닭을 발골한다.
3. 전분, 물, 달걀물, 식용유를 섞어 튀김옷을 만든다.
4. 닭다리살에 튀김옷을 입혀 기름에 튀긴다.
5. 생칼국수면을 삶는다.
6. 핸드블렌더에 적당한 크기로 썬 닭가슴살과 전분, 버터, 잘게 썬 양파, 소금, 액상조미료, 달걀물을 넣고 갈아 완자반죽을 만든다.
7. 칼국수면을 건져 찬물에 식힌다.
8. 완자 반죽을 적당한 크기로 떼어 면수에 넣고 삶는다.
9. 채 썬 양파에 물엿, 식초, 간장, 맛술, 잘게 썬 대파와 고추, 물, 참기름을 넣고 섞어 완자소스를 만든다.
10. 삶은 닭가슴살 완자를 건져 접시에 담는다.
11. 즉석밥을 전자레인지에 돌린다.
12. 찬물에 식힌 칼국수면을 뜨거운 면수에 담가둔다.
13. 대파, 마늘, 홍고추를 잘게 썰고, 절인 배추를 적당한 크기로 썬다.
14. 기름을 두른 팬에 손질한 채소들과 고춧가루, 적당한 크기로 썬 애호박과 조개곰탕육수를 넣고 끓여 라조기소스를 만든다.
15. 닭가슴살 완자 위에 완자소스를 붓는다.
16. 칼국수면을 그릇에 담고, 조개곰탕육수를 붓는다.
17. 튀긴 닭다리살을 라조기소스에 넣고 볶는다.
18. 칼국수 위에 라조기를 부어 라조기탕면을 완성한다.</t>
  </si>
  <si>
    <t>&lt;이재훈 - 렛츠고 짬짜면&gt;
● 재료
생칼국수면, 생강, 표고버섯, 액상조미료, 칵테일새우, 바지락살,
낙지다리, 소금, 고춧가루, 대파, 양파, 당근, 간장, 맛술,
설탕, 즉석밥, 깨, 후추, 전분
● 조리방법
1. 끓는 물에 소금을 넣은 뒤, 생칼국수면을 삶는다.
2. 볼에 고춧가루, 적당한 크기로 썬 대파 흰 부분과 생강을 넣고 끓는 기름을 부어 고추기름을 낸다.
3. 고추기름을 체에 밭쳐 건더기를 걸러낸 뒤, 팬에 두른다.
4. 양파, 대파, 당근을 적당한 크기로 썬 뒤, 고추기름을 두른 팬에 넣고 볶는다.
5. 볶던 채소에 생강을 넣고 볶는다.
6. 표고버섯을 적당한 크기로 썰어 채소를 볶던 팬에 넣고 함께 볶는다.
7. 볶던 채소에 간장, 맛술, 설탕, 액상조미료를 넣는다.
8. 즉석밥을 전자레인지에 돌린다.
9. 팬에 고추기름을 두른 뒤, 칵테일새우, 바지락살, 낙지다리를 넣고 볶는다.
10. 볶은 해산물을 채소를 볶던 팬에 넣고 함께 볶는다.
11. 삶은 칼국수면을 찬물에 헹군 뒤, 그릇에 담는다.
12. 밥을 그릇에 담은 뒤, 깨를 올린다.
13. 해산물채소볶음에 물, 후추, 전분물을 넣고 끓여 물짜장소스를 만든다.
14. 면 위에 물짜장소스를 붓고, 파채와 깨를 올려 마무리한다.</t>
  </si>
  <si>
    <t>&lt;유현수 - 떡이라자냐&gt;
● 재료
라자냐면, 파프리카, 수제돈가스, 표고버섯, 토마토소스,
크림소스, 옥수수통조림, 가래떡, 아스파라거스, 슬라이스 체다치즈,
라클렛치즈, 바질페스토, 블랙올리브, 참외, 쌀국수면, 양파,
다진 마늘, 후추, 고춧가루, 즉석밥, 소금, 올리브오일, 달걀
● 조리방법
1. 끓는 물에 올리브오일을 뿌리고 라자냐면을 삶는다.
2. 양파, 파프리카를 잘게 썬다.
3. 기름을 두른 팬에 잘게 썬 양파, 다진 마늘, 잘게 썬 파프리카를 넣고 볶는다.
4. 채소를 볶던 팬에 잘게 다진 수제돈가스와 후추, 적당한 크기로 썬 표고버섯을 넣고 볶는다.
5. 볶던 재료에 토마토소스, 고춧가루, 크림소스를 넣고 볶는다.
6. 핸드블렌더에 즉석밥, 옥수수통조림, 뜨거운 물, 소금을 넣고 갈아 옥수수떡반죽을 만든다.
7. 꼬치에 가래떡을 꽂고 올리브오일을 바른 뒤, 석쇠에서 굽는다.
8. 쟁반에 올리브오일을 두르고 라자냐면을 건져 놓는다.
9. 아스파라거스를 데친 뒤 찬물에 담가둔다.
10. 구운 가래떡을 적당한 크기로 썬다.
11. 라자냐면을 원형틀로 찍어 모양을 낸다.
12. 원형틀 안에 라자냐면&gt;토마토돈가스볶음&gt;라자냐면&gt;옥수수떡반죽&amp;구운 가래떡&gt;슬라이스 체다치즈를 겹겹이 쌓은 뒤, 위에 라클렛치즈를 올린다.
13. 12를 오븐에 굽는다.
14. 달걀노른자와 바질페스토를 섞어 소스를 만든 뒤, 접시에 뿌린다.
15. 블랙올리브를 곱게 갈아 접시에 올린다.
16. 참외, 파프리카, 데친 아스파라거스를 잘게 썬다.
17. 쌀국수면을 기름에 튀긴 뒤, 건져서 기름기를 뺀다.
18. 오븐에서 라자냐를 꺼내 접시에 담는다.
19. 데친 아스파라거스와, 잘게 썬 참외, 파프리카, 아스파라거스를 곁들인다.
20. 튀긴 쌀국수면을 올려 마무리한다.</t>
  </si>
  <si>
    <t>냉장고를 부탁해 시즌 1, 137화</t>
  </si>
  <si>
    <t>&lt;오세득 - 육떡진 롤&gt;
● 재료
가지, 파프리카, 다진 돼지고기, 떡국 떡, 스테이크소스,
슬라이스 체다치즈, 라클렛치즈, 알배추, 블랙올리브, 잣,
사워크림, 홀그레인머스터드, 발사믹크림, 고춧가루, 양파,
레드와인, 후추, 버터, 다진 마늘, 마요네즈, 레몬, 설탕
● 조리방법
1. 냄비 안에 고춧가루와 나무젓가락을 넣고, 나무젓가락에 불을 붙인 뒤 뚜껑을 덮어 고춧가루를 훈연한다.
2. 가지에 칼집을 내고 토치로 직화한다.
3. 기름을 두른 팬에 적당한 크기로 썬 양파와 파프리카를 볶는다.
4. 다른 팬에 기름을 두른 뒤, 다진 돼지고기를 볶는다.
5. 볶던 돼지고기에 레드와인을 붓고 볶는다.
6. 볶던 채소와 돼지고기에 후추를 뿌린다.
7. 팬에 버터를 녹인 뒤, 떡국떡을 볶는다.
8. 볶은 채소와 돼지고기를 한 팬에 담고, 스테이크소스, 다진 마늘, 훈연한 고춧가루를 넣고 볶는다.
9. 8에 버터에 볶은 떡, 마요네즈, 슬라이스 체다치즈, 라클렛치즈를 넣고 볶는다.
10. 알배추의 밑둥을 밀대로 밀어 펴고, 볼에 담아 랩으로 감싼 뒤, 전자레인지에 돌린다.
11. 핸드블렌더에 블랙올리브와 잣을 넣고 곱게 간다.
12. 전자레인지에서 익힌 알배추를 김발 위에 편 뒤, 잣을 넣고 간 블랙올리브와 돼지고기 떡볶음을 넣고 돌돌 만다.
13. 직화한 가지를 물에 씻어 탄 껍질을 벗겨낸다.
14. 껍질을 벗긴 가지를 핸드블렌더로 곱게 간다.
15. 사워크림, 곱게 간 가지, 홀그레인머스터드를 섞어 가지소스를 만든다
16. 돼지고기떡롤을 적당한 크기로 썰어 접시에 담는다.
17. 가지소스에 후추, 발사믹크림, 레몬즙, 설탕을 넣고 섞는다.
18. 돼지고기떡롤에 가지소스를 곁들이고 얇게 썬 대파를 뿌린다.
19. 잣을 올려 마무리한다.</t>
  </si>
  <si>
    <t>&lt;김풍 - 조동아리 샌드&gt;
● 재료
데친 우거지, 수제막장, 누룽지, 곤약, 굴소스,
두부, 총각김치, 명이나물장아찌, 멸치, 슬라이스아몬드,
된장, 다진 마늘, 올리브오일, 당근, 식초
● 조리방법
1. 데친 우거지에 수제막장, 된장, 다진 마늘을 넣고 무친다.
2. 누룽지를 기름에 튀긴다.
3. 곤약을 적당한 크기로 썰어 물에 데친다.
4. 튀긴 누룽지를 건져 기름기를 뺀다.
5. 데친 곤약에 올리브오일, 다진 마늘을 더해 볶는다.
6. 5에 굴소스와 뜨거운 물을 붓고 조린다.
7. 두부를 적당한 크기로 썰어 기름에 튀긴다.
8. 씻어서 잘게 썬 총각김치와 채 썬 당근에 참기름을 넣고 버무린다.
9. 8에 잘게 썬 명이나물장아찌와 식초를 넣고 버무려 총각김치무침을 만든다.
10. 두부튀김을 건져 기름기를 뺀다.
11. 기름을 두른 팬에 우거지무침, 뜨거운 물, 멸치를 넣고 끓여 조린다.
12. 핸드블렌더에 슬라이스아몬드를 넣고 간다.
13. 조린 우거지무침에 아몬드가루를 넣고 볶는다.
14. 튀긴 누룽지, 곤약조림, 두부튀김, 총각김치무침, 우거지볶음을 각각 그릇에 담아낸다.</t>
  </si>
  <si>
    <t>&lt;정호영 - 김치브레이커♬&gt;
● 재료
김치, 김밥용 김, 삼치, 삼겹살, 당면, 가쓰오부시,
표고버섯, 파프리카 애호박, 두반장, 굴소스, 밀가루,
마늘, 설탕, 다진 마늘, 맛술, 식초, 간장, 전분
● 조리방법
1. 김치를 물로 헹군 뒤, 길게 찢는다.
2. 김밥용 김을 길게 자른다.
3. 삼치를 얇게 포 뜬다.
4. 김 위에 삼치&gt;김치&gt;삼겹살을 순서대로 올려 돌돌 만다.
5. 밀가루와 물을 섞어 튀김옷을 만든다.
6. 김치삼치고기말이에 튀김옷을 입혀 기름에 튀겨낸 후, 건져서 기름기를 뺀다.
7. 당면을 삶는다.
8. 뜨거운 물에 가쓰오부시를 넣고 우려서 육수를 낸다.
9. 삶은 당면을 차가운 물에 헹군 뒤, 체에 밭쳐 물기를 뺀다.
10. 기름을 두른 팬에 편마늘, 적당한 크기로 썬 삼겹살, 대파, 김치를 넣고 볶는다.
11. 9에 채 썬 양파, 표고버섯, 파프리카, 애호박과 두반장, 굴소스, 설탕을 넣고 볶는다.
12. 볶던 재료에 삶은 당면과 가쓰오부시육수를 넣고 볶아 중화풍 잡채를 만든다.
13. 잡채에 다진 마늘과 맛술을 넣고 볶는다.
14. 식초, 설탕, 물, 간장, 전분물을 끓여 탕수소스를 만든다.
15. 김치삼치고기말이를 탕수소스에 버무린다.
16. 접시에 잡채를 담고 탕수소스에 버무린 김치삼치고기말이를 적당한 크기로 잘라 곁들인다.</t>
  </si>
  <si>
    <t>&lt;이연복 - 복면닭호&gt;
● 재료
토종닭, 소고기 채끝살, 인스턴트 어묵전골, 쪽파,
새송이버섯, 밀가루, 소금, 참기름, 고추장, 마늘, 양파
● 조리방법
1. 밀가루, 소금, 물을 섞어 면 반죽을 만든다.
2. 면 반죽을 비닐로 감싸 숙성시킨다.
3. 채끝살을 적당한 크기로 썰어 핸드블렌더에 곱게 간다.
4. 닭다리를 발골 한 뒤 먹기 좋은 크기로 썬다.
5. 어묵을 먹기 좋은 크기로 썬다.
6. 간 채끝살, 닭다리살, 어묵에 참기름과 고추장을 넣어 버무린다.
7. 면 반죽을 밀대로 얇게 민 뒤, 적당한 크기로 썰어 면을 만든다.
8. 끓는 물에 면을 넣고 삶은 뒤 찬물에 담가 식힌다.
9. 기름을 두른 팬에 잘게 썬 마늘, 새송이버섯, 양파, 양념한 고기와 어묵을 넣어 함께 볶는다.
10. 찬물에 식힌 면을 뜨거운 물에 데친 뒤, 볶던 재료에 넣고 함께 볶는다.
11. 접시에 볶음면을 담은 뒤 잘게 썬 쪽파를 올려 마무리한다.</t>
  </si>
  <si>
    <t>냉장고를 부탁해 시즌 1, 138화</t>
  </si>
  <si>
    <t>&lt;샘킴 - 면들에게 물어봐♬&gt;
● 재료
고등어, 모시조개, 페페론치노, 밀가루,
달걀, 마늘, 화이트와인, 소금, 대파, 올리브오일
● 조리방법
1. 핸드블렌더에 밀가루와 달걀노른자를 넣고 섞어 면 반죽을 만든다.
2. 면 반죽을 치댄 뒤, 밀가루를 뿌려 숙성시킨다.
3. 고등어를 손질한 뒤 적당한 크기로 썬다.
4. 기름을 두른 냄비에 마늘을 볶다가 모시조개, 화이트와인을 넣고 뚜껑을 덮어 익힌다.
5. 면 반죽을 밀대로 얇게 민 뒤 적당한 크기로 썰어 면을 만든다.
6. 기름을 두른 팬에 다진 마늘, 다진 페페론치노를 넣고 볶는다.
7. 6에 익힌 모시조개의 살, 고등어를 넣고 함께 볶는다.
8. 볶던 재료에 소금, 화이트와인, 물, 조개육수, 잘게 썬 대파를 넣고 끓인다.
9. 소금을 넣은 끓는 물에 면을 익힌다.
10. 볶던 재료에 면을 넣고 함께 볶아 고등어파스타를 만든다.
11. 고등어파스타에 올리브오일을 둘러가며 볶는다.
12. 접시에 고등어파스타를 담은 뒤 올리브오일을 뿌려 마무리한다.</t>
  </si>
  <si>
    <t>&lt;유현수 - 외할머니의 집으로~ 이경규가 간닭!&gt;
● 재료
토종닭, 쪽파, 인스턴트 사골곰탕, 김치, 콩잎장아찌, 쌀,
들기름, 소금, 후추, 대파, 고춧가루, 다진 마늘, 간장, 식초
● 조리방법
1. 압력밥솥에 불린 쌀과 물, 들기름, 소금을 넣어 밥을 안친다.
2. 토종닭을 먹기 좋게 손질한다.
3. 손질한 토종닭을 고기망치로 두드린다.
4. 토종닭을 끓는 물에 데친 뒤 들기름, 소금, 후추, 잘게 썬 대파와 함께 버무린다.
5. 양념한 토종닭을 끓는 물에 넣고 익혀 닭곰탕을 만든다.
6. 끓는 물에 쪽파를 데친다.
7. 끓이던 닭곰탕에 인스턴트 사골곰탕을 넣고 끓인다.
8. 데친 쪽파를 얼음물에 담가 차게 식힌다.
9. 김치 국물, 고춧가루, 다진 마늘, 간장을 섞어 양념장을 만든다.
10. 물기를 제거한 쪽파에 양념장, 식초를 넣고 버무려 파김치를 만든다.
11. 파김치를 먹기 좋게 썰어 접시에 담는다.
12. 접시에 콩잎장아찌와 후추를 섞은 소금을 각각 담는다.
13. 닭곰탕의 국물은 면포에 거르고, 익힌 닭은 건져낸다.
14. 면포에 거른 국물에 대파를 넣어 끓인다.
15. 익힌 닭의 살을 먹기 좋은 크기로 찢는다.
16. 익힌 닭에 소금과 후추로 간 한다.
17. 간을 한 닭을 닭곰탕에 넣어 함께 끓인다.
18. 그릇에 밥을 담는다.
19. 양은냄비에 닭곰탕을 담아낸다.</t>
  </si>
  <si>
    <t>&lt;이재훈 - 꼬꼬탕&gt;
● 재료
토종닭, 땅콩버터, 쌈장, 마늘종장아찌, 다진 오이피클,
대파, 마늘, 양파, 설탕, 식초, 맛술, 간장, 고추냉이,
참기름, 달걀, 후추, 깨
● 조리방법
1. 끓는 물에 대파, 마늘, 양파를 넣고 끓여 채소육수를 낸다.
2. 토종닭을 손질한 뒤 채소육수에 넣어 익힌다.
3. 양파와 대파를 채 썬 뒤 찬물에 담가 아린 맛을 뺀다.
4. 설탕, 식초, 맛술, 간장, 고추냉이를 섞어 소스를 만든다.
5. 닭육수에 소스, 땅콩버터를 섞어 초계탕 국물을 만든다.
6. 초계탕 국물을 냉동실에 넣어 차게 식힌다.
7. 익힌 닭의 살을 잘게 찢는다.
8. 닭고기에 쌈장, 참기름을 넣고 버무린다.
9. 마늘종장아찌를 잘게 썬다.
10. 달걀물을 만든 뒤 기름을 두른 팬에 부어 달걀지단을 만든다.
11. 달걀지단 위에 채 썬 양파와 대파, 잘게 썬 마늘종장아찌, 양념한 닭고기, 다진 오이피클, 후추를 올린다.
12. 각종 재료를 올린 달걀지단을 접시에 뒤집어 담은 뒤 깨를 뿌린다.
13. 유리포트를 얼음물에 담가 차게 만든다.
14. 차게 식힌 초계탕 국물을 골고루 섞이도록 잘 저어준다.
15. 유리포트에 초계탕 국물을 담아낸다.</t>
  </si>
  <si>
    <t>&lt;김풍 - 이건 닭도 아니고 빵도 아니여&gt;
● 재료
인스턴트 카레, 통조림 햄, 밀가루, 소금, 설탕,
버터, 다진 마늘, 식초, 간장, 고춧가루, 전분
● 조리방법
1. 볼에 밀가루, 소금, 설탕, 뜨거운 물을 넣고 치대어 익반죽한다.
2. 반죽을 밀대로 얇게 민 뒤, 버터를 발라가며 접는 과정을 반복한다.
3. 접은 반죽을 다시 한 번 밀대로 얇게 민다.
4. 반죽을 네모낳게 자르고, 모서리에 버터를 올린 뒤 접어서 닭모양을 만든다.
5. 닭다리 부분에 포일을 감싼 뒤, 기름에 튀긴다.
6. 기름을 두른 팬에 다진 마늘, 식초, 간장, 고춧가루를 넣고 볶는다.
7. 6에 통조림 햄을 부숴 넣는다.
8. 볶던 재료에 인스턴트 카레를 넣고 끓여 카레소스를 만든다.
9. 튀긴 닭빵의 포일을 벗겨 낸다.
10. 카레소스에 전분물과 물을 넣는다.
11. 그릇에 카레소스를 담은 뒤, 닭빵을 올려 마무리한다.</t>
  </si>
  <si>
    <t>냉장고를 부탁해 시즌 1, 139화</t>
  </si>
  <si>
    <t>&lt;오세득 - 공갈협빵&gt;
● 재료
연어 통조림, 통조림 햄, 달걀,
전분, 청양고추, 대파, 설탕
● 조리방법
1. 핸드블렌더에 기름을 뺀 연어 통조림과 달걀, 통조림 햄, 전분을 넣고 갈아 빵 반죽을 만든다.
2. 청양고추를 적당한 크기로 썬 뒤, 핸드블렌더에 곱게 간다.
3. 대파 흰 부분을 잘게 썬다.
4. 통조림 햄을 슬라이서로 간다.
5. 기름을 두른 팬에 손질한 대파, 통조림햄을 함께 볶는다.
6. 볶던 재료에 곱게 간 청양고추를 넣고 함께 볶아 소를 만든다.
7. 식용유를 바른 종이포일 사이에 빵 반죽을 넣고 기름에 튀기다가 종이포일을 빼낸다.
8. 튀긴 빵에 설탕을 묻힌다.
9. 볶은 소를 짤주머니에 넣은 뒤, 튀긴 빵에 구멍을 내고 안에 소를 채운다.
10. 소를 채운 빵을 그릇에 담는다.
11. 빵 반죽을 넓게 편 뒤, 길게 썰어 기름에 튀긴다.
12. 길게 튀긴 빵에 설탕을 묻혀 그릇에 담는다.</t>
  </si>
  <si>
    <t>&lt;정호영 - 어젯밤 시킨 닭&gt;
● 재료
치킨, 라면, 인스턴트 어묵탕, 우엉, 깨,
마요네즈, 간장, 설탕, 식초, 청양고추, 고춧가루,
밀가루, 청주, 맛술, 달걀, 후추, 레몬
● 조리방법
1. 치킨을 뜨거운 물에 담가 불린다.
2. 핸드블렌더에 깨, 마요네즈, 간장, 설탕, 식초, 청양고추를 넣고 갈아 참깨소스를 만든다.
3. 뜨거운 물에 불린 치킨살을 먹기 좋게 찢는다.
4. 참깨소스에 고춧가루, 우엉을 불린 물, 적당한 크기로 썬 청양고추를 넣고 섞는다.
5. 밀가루와 물을 섞어 튀김옷을 만든다.
6. 불린 우엉과 불린 치킨에 튀김옷을 입힌다.
7. 6을 기름에 튀겨 우엉치킨을 만든다.
8. 인스턴트 어묵탕을 체에 밭쳐 어묵과 국물을 분리한다.
9. 어묵을 가늘게 채 썬다.
10. 어묵국물을 끓인다.
11. 라면의 면만 삶는다.
12. 삶은 라면을 찬물에 헹군다.
13. 우엉치킨을 건져낸 뒤, 체에 밭쳐 기름기를 뺀다.
14. 팬에 청주, 맛술, 설탕, 간장을 넣고 끓여 데리야키소스를 만든다.
15. 끓이던 어묵국물에 달걀물을 풀어 어묵달걀국을 만든다.
16. 어묵달걀국을 그릇에 담은 뒤, 후추를 뿌린다.
17. 우엉치킨을 데리야키소스에 버무린 뒤, 잘게 썬 청양고추를 뿌린다.
18. 데리야키 우엉치킨을 접시에 담고, 깨를 뿌린다.
19. 삶은 라면을 접시에 담은 뒤, 잘게 찢어놓은 치킨살을 올리고 참깨소스와 레몬즙, 깨를 뿌려 마무리한다.</t>
  </si>
  <si>
    <t>&lt;레이먼킴 - 1닭 2일&gt;
● 재료
치킨, 치킨무, 위스키, 토마토소스, 김,
인스턴트 볶음김치, 통조림 햄, 양파, 마늘,
당근, 버터, 밀가루, 청양고추, 후추, 식초, 설탕,
간장, 대파, 즉석밥, 전분, 레몬
● 조리방법
1. 양파, 마늘, 당근을 적당한 크기로 썬다.
2. 기름을 두른 팬에 손질한 채소를 볶는다.
3. 튀김옷을 벗긴 치킨살만 채소를 볶던 팬에 넣고 함께 볶는다.
4. 볶던 재료에 위스키를 부은 뒤, 불을 붙여 잡내를 날린다.
5. 볶던 재료에 버터와 밀가루를 넣고 볶는다.
6. 6에 적당한 크기로 썬 청양고추, 후추, 물, 토마토소스를 넣고 끓여 치킨토마토스튜를 만든다.
7. 김을 잘게 부순 뒤, 물로 기름기를 헹궈낸다.
8. 김에 식초, 설탕, 물, 간장을 넣고 섞어 김냉국을 만든다.
9. 치킨무를 잘게 썰어 김냉국에 넣는다.
10. 김냉국에 잘게 썬 대파 흰 부분과 얼음을 넣는다.
11. 즉석밥, 인스턴트 볶음김치, 전분을 섞은 뒤, 기름을 두른 팬에 구워 밥전을 만든다.
12. 통조림 햄을 적당한 크기로 썰어 기름에 튀긴다.
13. 그릇에 치킨토마토스튜를 담는다.
14. 잘게 다진 청양고추를 넣은 김냉국을 그릇에 담는다.
15. 김냉국에 레몬즙을 뿌린다.
16. 접시에 밥전을 담고, 튀긴 햄을 올려 마무리한다.</t>
  </si>
  <si>
    <t>&lt;미카엘 - 소미양~ 스테이크양&gt;
● 재료
알감자, 양갈비, 월계수잎, 고수홀, 핑크페퍼,
요거트, 딜 가루, 당근, 이탈리안 허브시즈닝,
바질 가루, 소금, 올리브오일, 마늘, 레드와인, 마요네즈
● 조리방법
1. 알감자를 적당한 크기로 썰어 끓는 물에 넣고 삶는다.
2. 양갈비에 소금, 요거트를 넣고 재운다.
3. 끓는 물에 월계수잎, 바질 가루, 고수홀, 핑크페퍼, 이탈리안 허브시즈닝, 올리브오일, 소금, 으깬 마늘을 넣고 끓여 향을 낸다.
4. 향신료를 우린 물에 레드와인을 넣는다.
5. 4에 얼음을 넣어 온도를 내린 뒤, 양갈비에 부어준다.
6. 잘게 썬 마늘과 요거트, 소금, 마요네즈를 섞어 요거트소스를 만든다.
7. 요거트소스에 딜 가루를 넣고 섞은 뒤 그릇에 담는다.
8. 재워뒀던 양갈비에 밀가루를 입힌다.
9. 기름을 두른 팬에 밀가루를 입힌 양갈비를 튀기듯 굽는다.
10. 버터를 녹인 팬에 삶은 감자, 당근, 소금을 넣고 볶는다.
11. 볶던 채소에 딜 가루를 뿌린 뒤 접시에 담는다.
12. 11 위에 구운 양갈비를 올리고, 슬라이스한 마늘을 곁들여 완성한다.</t>
  </si>
  <si>
    <t>냉장고를 부탁해 시즌 1, 140화</t>
  </si>
  <si>
    <t>&lt;이재훈 - 케사디양&gt;
● 재료
양갈비, 로즈마리, 마늘소금, 허브믹스, 토르티야,
홀그레인머스터드, 아보카도, 할라피뇨, 양배추, 요거트,
수박, 크림치즈, 바질페스토, 블루베리, 병아리콩, 양파,
마늘, 후추, 레몬즙, 소금, 물엿, 설탕, 맛술, 간장
● 조리방법
1. 양파를 채 썰어 기름을 두른 팬에 볶는다.
2. 양갈비는 살만 발라내어 적당한 크기로 썬다.
3. 기름을 두른 팬에 통마늘과 로즈마리를 볶아 향을 낸 뒤 양갈비살을 넣고 볶는다.
4. 볶던 양갈비살에 마늘소금, 허브믹스, 소금, 후추를 넣어 함께 볶는다.
5. 마른 팬에 토르티야를 굽는다.
6. 구운 토르티야를 반으로 자른다.
7. 6에 홀그레인머스터드를 바른 뒤 볶은 양파, 양갈비살을 올린다.
8. 아보카도, 레몬즙, 소금, 후추, 물엿을 핸드블렌더로 갈아 아보카도무스를 만든다.
9. 양갈비살에 아보카도무스를 올린다.
10. 설탕, 맛술, 간장을 섞은 양념에 할라피뇨를 재운다.
11. 양념에 재운 할라피뇨를 잘게 다지고, 양배추는 가늘게 채 썬다.
12. 아보카도무스 위에 채 썬 양배추와 할라피뇨를 올린다.
13. 12에 요거트를 올린다.
14. 요거트에 후추를 뿌린 뒤 토르티야를 반으로 접어 케사디야를 만든다.
15. 기름을 두른 팬에 수박을 굽는다.
16. 굽던 수박에 소금, 후추로 간을 한다.
17. 접시에 구운 수박을 올린 뒤 크림치즈, 바질페스토, 블루베리, 병아리콩, 레몬껍질을 곁들인다.
18. 접시에 케사디야를 올려 완성한다.</t>
  </si>
  <si>
    <t>&lt;김풍 - 오늘 밤 상남자는 나야 나♬&gt;
● 재료
사과, 꿀, 옥수수, 고다치즈, 체다치즈, 우유, 파르메산치즈,
척아이롤, 허브믹스, 핫케이크 가루, 밀가루, 달걀, 소금
● 조리방법
1. 사과 껍질을 벗긴다.
2. 껍질을 벗긴 사과를 핸드블렌더로 간다.
3. 마른 팬에 간 사과와 꿀을 넣고 졸여 사과소스를 만든다.
4. 핸드블렌더에 옥수수알, 밀가루, 달걀을 넣고 간다.
5. 나무꼬치를 쿠킹포일로 감싸 막대를 만든 뒤 옥수수반죽을 둘러 튀긴다.
6. 마른 냄비에 고다치즈, 체다치즈, 우유, 파르메산치즈를 넣고 끓여 치즈소스를 만든다.
7. 핸드블렌더에 적당한 크기로 썬 척아이롤, 허브믹스, 소금을 넣고 간다.
8. 쿠킹포일에 밀가루를 뿌린 뒤 간 척아이롤을 넓게 펼친다.
9. 튀긴 옥수수반죽을 척아이롤로 감싼다.
10. 핫도그를 감싼 쿠킹포일에 구멍을 낸 뒤 기름에 튀긴다.
11. 졸인 사과소스에 레몬즙을 넣는다.
12. 핫케이크 가루와 우유를 섞어 반죽을 만든다.
13. 핫케이크 반죽을 기름에 튀긴다.
14. 튀긴 핫케이크를 그릇에 담고 치즈소스를 붓는다.
15. 13 위에 핫도그를 올리고 사과소스를 곁들여 낸다.</t>
  </si>
  <si>
    <t>&lt;레이먼킴 - 마초세트&gt;
● 재료
베이컨, 제멜리면, 치킨 너겟, 옥수수, 치킨스톡,
통조림 토마토수프, 살사소스, 고수 가루, 우유,
고다치즈, 체다치즈, 페퍼잭치즈, 파르메산치즈,
식빵, 아보카도, 파프리카, 양파, 소금, 마늘,
청양고추, 버터, 밀가루, 대파
● 조리방법
1. 베이컨을 전자레인지에 넣어 익힌다.
2. 양파를 채 썬다.
3. 끓는 물에 소금과 제멜리면을 넣고 삶는다.
4. 기름을 두른 냄비에 채 썬 양파, 으깬 마늘을 넣고 볶는다.
5. 4에 적당한 크기로 썬 치킨 너겟을 넣고 함께 볶는다.
6. 청양고추를 잘게 썰어 냄비에 넣고 함께 볶는다.
7. 옥수수알과 버터. 밀가루, 물을 냄비에 넣고 끓인다.
8. 7에 치킨스톡, 통조림 토마토수프, 살사소스, 고수 가루를 넣고 끓여 치킨토마토수프를 만든다.
9. 냄비에 으깬 마늘, 버터, 밀가루, 우유, 고다치즈, 체다치즈, 페퍼잭치즈, 파르메산치즈를 넣고 끓여 치즈소스를 만든다.
10. 치즈소스에 소금으로 간을 한다.
11. 팬에 버터를 두르고 식빵을 굽는다.
12. 아보카도를 적당한 크기로 썰어둔다.
13. 파프리카와 대파를 잘게 썬다.
14. 삶은 제멜리면을 치즈소스, 베이컨과 섞어 맥 앤 치즈를 만든다.
15. 구운 식빵 사이에 맥 앤 치즈를 넣어 토스트를 만든다.
16. 그릇에 치킨토마토수프를 담고 아보카도, 페퍼잭치즈를 올린다.
17. 맥 앤 치즈 토스트를 적당한 크기로 썰어 접시에 담고, 파르메산 치즈를 뿌려 완성한다.</t>
  </si>
  <si>
    <t>&lt;이연복 - 참돔이시여&gt;
● 재료
참돔, 표고버섯, 사과, 매실주, 멸치육수, 굴소스,
마늘종장아찌, 대파, 고춧가루, 소금, 전분, 마늘, 대파, 양파
● 조리방법
1. 끓는 기름에 대파, 고춧가루를 넣고 끓여 고추기름을 낸다.
2. 참돔 살에 칼집을 낸 뒤, 소금으로 간을 하고 전분을 입힌다.
3. 전분을 입힌 참돔을 기름에 튀긴다.
4. 고추기름을 체에 밭쳐 기름만 빼낸다.
5. 마늘, 대파, 양파, 표고버섯, 사과를 잘게 썬다.
6. 고추기름을 두른 팬에 손질한 채소를 넣고 볶다가 매실주와 멸치육수, 굴소스를 넣고 끓인다.
7. 6에 손질한 사과와 전분물을 넣어 매콤한 소스를 만든다.
8. 마늘종장아찌를 잘게 썰고, 대파는 가늘게 채 썬다.
9. 접시에 참돔튀김을 담은 뒤, 소스를 붓는다.
10. 9 위에 잘게 썬 마늘종장아찌와 파채를 얹어 마무리한다.</t>
  </si>
  <si>
    <t>냉장고를 부탁해 시즌 1, 141화</t>
  </si>
  <si>
    <t>&lt;샘킴 - 잘 구운 참돔 하나&gt;
● 재료
참돔, 발사믹소스, 표고버섯, 그린올리브, 양파,
올리브오일, 후추, 마늘, 소금, 레몬, 식초, 버터
● 조리방법
1. 기름을 두른 팬에 양파를 굽는다.
2. 냄비에 양파와 참돔 뼈, 뜨거운 물을 넣고 끓여 생선육수를 낸다.
3. 참돔 살을 키친타월로 감싸 물기를 뺀다.
4. 구운 양파에 발사믹소스, 올리브오일, 후추를 더해 섞는다.
5. 기름을 두른 팬에 슬라이스한 마늘을 굽다가, 소금, 올리브오일, 레몬즙을 뿌린다.
6. 기름을 두른 팬에 다진 마늘, 적당한 크기로 썬 표고버섯, 소금, 후추, 식초, 생선육수를 넣고 끓여 졸인다.
7. 기름을 두른 팬에 물기를 뺀 참돔을 굽다가, 소금, 후추로 간 한다.
8. 생선육수로 졸인 소스에 버터를 넣는다.
9. 핸드블렌더에 그린올리브와 올리브오일을 넣고 곱게 갈아 소스를 만든다.
10. 곱게 간 올리브에 소금, 후추로 간 한다.
11. 접시에 구운 마늘과 마늘기름을 넓게 펼친 뒤, 발사믹소스에 버무린 구운 양파를 올린다.
12. 11 위에 생선육수소스를 얹는다.
13. 구운 참돔을 올린다.
14. 참돔 위에 올리브소스를 뿌린다.
15. 참돔 위에 후추를 뿌려 마무리한다.</t>
  </si>
  <si>
    <t>&lt;유현수 - 월하조어탕수&gt;
● 재료
무늬오징어, 골뱅이 통조림, 오이, 표고버섯,
누룽지, 인삼주, 인스턴트 삼계탕, 볶음고추장,
다진 생강, 버터, 전분, 소금, 후추, 양파, 당근,
대파, 식초, 설탕, 맛술, 깨, 밀가루
● 조리방법
1. 오징어의 껍질을 벗긴다.
2. 핸드블랜더에 적당한 크기로 썬 오징어와 골뱅이를 넣고 간다.
3. 곱게 간 오징어와 골뱅이에 생강즙, 버터, 전분, 소금, 후추를 넣고 섞어 소를 만든다.
4. 3을 찜기에 넣고 찐다.
5. 양파, 오이, 당근, 대파, 표고버섯을 적당한 크기로 썬 뒤 기름을 두른 팬에 볶는다.
6. 볶던 채소에 누룽지, 인삼주, 인스턴트 삼계탕 국물, 볶음고추장, 식초, 설탕, 맛술, 깨를 넣고 끓여 소스를 만든다.
7. 통오징어 안에 찐 오징어골뱅이소를 채워 넣은 뒤, 꼬치로 고정한다.
8. 통오징어에 칼집을 낸 뒤, 밀가루를 묻힌다.
9. 물, 전분, 오징어먹물을 섞어 먹물튀김옷을 만든다.
10. 밀가루를 묻힌 통오징어에 먹물튀김옷을 입힌 뒤, 기름에 튀긴다.
11. 먹물오징어튀김을 건져 다시 한 번 먹물튀김옷을 입힌 뒤, 기름에 튀긴다.
12. 먹물오징어튀김을 건진 뒤, 체에 밭쳐 기름기를 뺀다.
13. 소스에 전분물을 넣어 농도를 조절한다.
14. 접시에 소스를 담은 뒤, 먹기 좋게 썬 먹물오징어튀김을 얹어 마무리한다.</t>
  </si>
  <si>
    <t>&lt;정호영 - 면 때무늬야♬&gt;
● 재료
무늬오징어, 표고버섯, 굴소스, 쯔유, 라임,
우메보시, 볶음고추장, 양파, 대파, 전분,
달걀, 청주, 맛술, 설탕, 소금, 간장
● 조리방법
1. 오징어의 껍질을 벗긴다.
2. 핸드블렌더에 적당한 크기로 썬 오징어몸통과 양파, 대파, 표고버섯, 전분, 달걀흰자, 굴소스, 청주를 넣고 갈아 만두소를 만든다.
3. 오징어만두소에 잘게 썬 오징어다리를 넣고 섞는다.
4. 오징어를 가늘게 채 썰어 만두피를 만든다.
5. 오징어만두소를 동그랗게 뭉친 뒤, 오징어채 만두피를 붙인다.
6. 찜기에 오징어만두를 찐다.
7. 냄비에 물, 양파, 대파, 표고버섯, 쯔유, 맛술, 설탕, 소금, 간장을 넣고 끓여 육수를 낸다.
8. 끓인 육수를 냉동실에 넣어 차게 식힌다.
9. 오징어에 촘촘하게 칼집을 넣은 뒤, 가늘게 채 썰어 오징어면을 만든다.
10. 오징어면을 찬물에 헹군 뒤, 소금으로 간을 한다.
11. 라임을 얇게 슬라이스 한다.
12. 차게 식힌 육수에 라임즙을 넣는다.
13. 그릇에 오징어면을 담고 슬라이스한 라임을 얹은 뒤, 육수를 부어 오징어냉국수를 만든다.
14. 접시에 오징어만두를 올린 뒤, 우메보시를 얹고 볶음고추장을 곁들여 낸다.</t>
  </si>
  <si>
    <t>&lt;유현수 - 깜짝놀랄게닭&gt;
● 재료
순살프라이드치킨, 메밀소바라면, 감자, 참깨소스, 굴소스,
라조장, 돼지안심, 파프리카, 깻잎장아찌, 게, 땅콩,
대게내장, 매운치킨소스, 설탕, 다진 마늘 양파, 밀가루,
물엿, 깨, 참기름, 전분
● 조리방법
1. 순살프라이드치킨을 끓는 물에 데쳐 기름기를 뺀다.
2. 메밀소바면을 삶는다.
3. 데친 순살프라이드치킨을 물로 씻어 튀김옷을 벗겨낸 뒤, 끓는 물에 넣고 삶는다.
4. 삶은 메밀소바면을 찬물에 헹군 뒤, 체에 밭쳐 물기를 뺀다.
5. 볼에 적당한 크기로 썬 감자와 약간의 물을 담고 전자레인지에 돌려 익힌다.
6. 참깨소스, 굴소스, 라조장을 1:1:1로 섞고, 설탕과 다진 마늘을 넣어 찜닭소스를 만든다.
7. 돼지안심을 적당한 크기로 썬 뒤, 치킨을 삶던 냄비에 넣고 함께 끓인다.
8. 7에 찜닭소스를 넣고 끓이다가, 국물을 덜어내고 조린다.
9. 찜닭에 익힌 감자와 적당한 크기로 썬 파프리카, 깻잎장아찌, 양파를 넣고 조린다.
10. 먹기 좋은 크기로 자른 게에 밀가루를 묻힌다.
11. 게를 튀긴다.
12. 튀긴 게를 건져내 밀가루를 묻힌다.
13. 튀긴 게와 땅콩을 함께 튀긴다.
14. 볼에 대게내장을 담은 뒤, 매운치킨소스, 물엿, 곱게 다진 깨, 참깨소스를 섞어 게튀김소스를 만든다.
15. 메밀소바면에 참기름을 넣고 잘 섞은 뒤, 접시에 담는다.
16. 튀긴 게를 건져 게튀김소스에 버무린다.
17. 찜닭에 전분물을 넣어 농도를 조절한다.
18. 접시에 찜닭을 담고, 게튀김범벅을 얹어 마무리한다.</t>
  </si>
  <si>
    <t>냉장고를 부탁해 시즌 1, 142화</t>
  </si>
  <si>
    <t>&lt;레이먼킴 - 거북전&gt;
● 재료
감자, 게, 낙지, 새우, 슬라이스치즈, 마늘고추간장장아찌,
마늘식초장아찌, 갈빗살, 달걀, 전분, 소금, 후추,
레몬, 청양고추, 버터, 양파, 밀가루
● 조리방법
1. 감자를 얇게 슬라이스한다.
2. 기름을 두른 팬에 감자슬라이스를 넓게 펼친 뒤, 굽는다.
3. 강판에 감자를 간다.
4. 곱게 간 감자에 달걀노른자, 전분을 넣고 섞는다.
5. 감자반죽에 소금과 후추로 간 한다.
6. 감자슬라이스 위에 감자반죽을 붓고 굽는다.
7. 끓는 물에 반으로 자른 레몬, 게를 넣고 끓인다.
8. 7에 낙지를 살짝 데쳐낸 뒤, 적당한 크기로 자른다.
9. 감자전 위에 데친 낙지와 적당한 크기로 자른 새우, 슬라이스치즈를 얹는다.
10. 삶은 게를 밀대로 밀어 살만 빼낸 뒤, 잘게 썬 청양고추와 섞어 감자전 위에 얹는다.
11. 감자전을 뒤집은 뒤, 버터를 넣고 녹인다.
12. 마늘고추간장장아찌 국물과 마늘식초장아찌의 국물을 섞는다.
13. 12에 적당한 크기로 썬 양파를 넣고 절인 뒤 종지에 담는다.
14. 갈빗살을 얇게 편 뒤, 칼집을 내고 소금, 밀가루, 후추를 뿌린다.
15. 갈빗살을 감자슬라이스로 감싸고 전분을 뿌린 뒤, 반으로 자른다.
16. 15에 달걀물을 입힌 뒤, 기름을 두른 팬에 구워 육전을 만든다.
17. 접시에 감자전을 담고 먹기 좋은 크기로 자른다.
18. 육전을 얹어 마무리한다.</t>
  </si>
  <si>
    <t>&lt;김풍 - 대세는 낙.돼.새&gt;
● 재료
사과, 돼지목살, 낙지, 새우, 굴소스, 알배추,
들깻가루, 김, 당근, 간장, 양파, 다진 마늘,
고춧가루, 식초, 설탕, 맛술, 대파, 소금,
즉석밥, 들기름, 고추장
● 조리방법
1. 채칼로 사과와 당근을 채썬다.
2. 채 썬 사과와 당근에 간장, 채 썬 양파, 다진 마늘, 고춧가루, 식초, 설탕을 넣고 섞어 사과당근샐러드를 만든다.
3. 돼지 목살의 기름기를 제거하고 적당한 크기로 썬다.
4. 적당한 크기로 썬 돼지목살에 칼집을 낸다.
5. 낙지를 적당한 크기로 썬다.
6. 마른 철판에 돼지 목살을 볶다가, 기름을 두르고 볶는다.
7. 돼지 목살을 볶던 철판에 손질한 새우를 넣고 함께 볶다가 적당한 크기로 썬다.
8. 재료를 볶던 철판에 굴소스, 알배추, 맛술, 대파, 소금을 넣고 볶는다.
9. 즉석밥을 전자레인지에 돌린다.
10. 볶던 재료에 손질한 낙지와 들깻가루를 넣고 볶는다.
11. 즉석밥을 볼에 담은 뒤, 들기름과 고추장을 넣고 섞는다.
12. 낙지돼지새우볶음을 볼에 옮겨 담고, 철판에 고추장밥을 펼쳐서 누룽지를 만든다.
13. 김을 적당한 크기로 자른 뒤, 접시에 담는다.
14. 사과당근샐러드를 그릇에 담는다.
15. 접시에 낙지돼지새우볶음을 담는다.
16. 고추장누룽지를 접시에 함께 담아 마무리한다.</t>
  </si>
  <si>
    <t>&lt;정호영 - 오코노미~야키를 사랑해♬&gt;
● 재료
양배추, 돼지 안심, 새우, 고량주, 스위트칠리소스,
잔멸치, 돈가스소스, 라면, 케첩, 밀가루, 후추,
양파, 달걀, 마요네즈
● 조리방법
1. 라면 면을 삶는다.
2. 양배추를 채 썬다.
3. 돼지 안심을 적당한 크기로 썬 뒤, 칼집을 낸다.
4. 삶은 라면을 찬 물에 헹궈 식힌 뒤, 마른 팬에 케첩과 함께 볶는다.
5. 밀가루와 물을 섞어 반죽을 만든다.
6. 기름을 두른 철판에 밀가루반죽을 두른 뒤, 양배추채를 올린다.
7. 양배추 채 위에 돼지 안심을 올리고, 후추를 뿌린 뒤 뒤집어 굽는다.
8. 새우를 손질한 뒤, 후추를 뿌려 굽는다.
9. 철판에 양파슬라이스로 탑을 쌓고 구운 새우를 올린 뒤, 고량주를 붓고 불을 붙인다.
10. 철판 한 쪽에 케첩에 볶은 라면을 펼친 뒤, 오코노미야키를 얹는다.
11. 철판 한 쪽에 달걀프라이를 만들고, 그 위에 오코노미야키를 얹는다.
12. 마요네즈와 스위트칠리소스를 섞어 칠리마요를 만든다.
13. 직화한 새우에 칠리마요를 묻힌다.
14. 오코노미야키를 접시에 담고, 먹기 좋은 크기로 자른다.
15. 핸드블랜더에 잔멸치를 곱게 간 뒤, 오코노미야키 위에 뿌린다.
16. 오코노미야키 위에 돈가스소스와 마요네즈를 뿌린다.
17. 칠리마요새우를 얹어 마무리한다.</t>
  </si>
  <si>
    <t>&lt;샘킴 - 이겨도 돼지?&gt;
● 재료
체리, 돼지목살, 표고버섯대, 깻잎, 파프리카,
굴소스, 브로콜리, 설탕, 마늘, 소금, 후추,
버터, 올리브오일, 레몬, 다진 마늘, 식초
● 조리방법
1. 냄비에 설탕, 물, 체리를 넣고 데운다.
2. 데운 체리시럽에 돼지목살을 담가 마리네이드 한다.
3. 핸드블렌더에 표고버섯대, 마늘을 넣고 간다.
4. 마른 팬에 간 표고버섯대와 마늘을 볶다가 소금, 후추, 버터를 넣고 볶아 표고마늘볶음을 만든다.
5. 표고마늘볶음을 볼에 옮겨 식힌다.
6. 마리네이드 한 목살의 물기를 제거하고 칼집을 넣는다.
7. 칼집을 낸 목살 속을 표고마늘볶음으로 채우고 이쑤시개로 고정한다.
8. 속을 채운 목살에 올리브오일, 소금, 후추으로 양념 한다.
9. 핸드블렌더에 깻잎, 마늘, 올리브오일, 레몬즙, 소금을 넣고 곱게 갈아 깻잎소
스를 만든다.
10. 기름을 두른 그릴팬에 파프리카와 양념한 목살을 굽는다.
11. 기름을 두른 팬에 다진 마늘과 식초를 넣고 볶다가 체리시럽을 붓고 끓인다.
12. 11에 굴소스, 물을 넣고 끓여 스테이크소스를 만든다.
13. 기름을 두른 팬에 적당한 크기로 썬 브로콜리를 볶는다.
14. 구운 파프리카를 잘게 다져 스테이크소스에 넣고 함께 끓인다.
15. 목살을 굽던 팬에 버터를 넣는다.
16. 스테이크소스에 버터를 넣어 농도를 조절한다.
17. 접시에 스테이크소스를 담은 뒤, 볶은 브로콜리를 올린다.
18. 접시에 목살스테이크를 담은 뒤, 깻잎소스를 올려 마무리 한다.</t>
  </si>
  <si>
    <t>냉장고를 부탁해 시즌 1, 143화</t>
  </si>
  <si>
    <t>&lt;이재훈 - 오~ 쌈젤리제♬&gt;
● 재료
돼지목살, 표고버섯대, 양배추, 브로콜리, 펜네면,
표고버섯볶음, 깻잎, 슬라이스치즈, 새우,
바지락살, 굴소스, 새우가루, 양파, 소금,
연겨자, 마늘, 고추장, 청양고추
● 조리방법
1. 끓는 물에 표고버섯대와 양배추, 브로콜리를 넣고 삶는다.
2. 1에 펜네면을 넣고 삶는다.
3. 기름을 두른 팬에 채 썬 양파와 표고버섯볶음을 넣고 볶는다.
4. 볶은 재료를 핸드블렌더로 갈아 표고버섯뒥셀을 만든다.
5. 기름을 두른 팬에 돼지목살을 굽다가 소금으로 간 한다.
6. 구운 목살을 적당한 크기로 자른 뒤, 핸드블렌더로 간다.
7. 삶은 양배추를 찬물에 담가 식힌 뒤, 위에 깻잎, 슬라이스치즈, 표고버섯뒥셀과 돼지목살, 연겨자를 차례로 얹고, 돌돌 말아 고정한다.
8. 기름을 두른 팬에 적당한 크기로 썬 양파, 통마늘, 손질한 새우, 바지락살을 넣고 볶는다.
9. 8에 토마토소스와 채소육수, 고추장, 굴소스, 청양고추를 넣고 끓여 해산물고추장소스를 만든다.
10. 돼지목살을 넣은 양배추쌈을 해산물고추장소스에 넣고 끓인다.
11. 삶은 펜네면을 건져내 해산물고추장소스에 넣고 끓인다.
12. 해산물고추장소스에 새우가루를 넣고 끓인다.
13. 그릇에 펜네면과 해산물고추장소스를 담는다.
14. 해산물고추장소스 위에 익힌 양배추쌈을 올린 뒤, 다시 한 번 해산물고추장소스를 끼얹어 마무리한다.</t>
  </si>
  <si>
    <t>&lt;이연복 - 명백한 짬뽕&gt;
● 재료
명란젓, 새우가루, 알배추, 애호박, 브로콜리,
새우, 오징어, 바지락살, 굴소스, 콩나물,
밀가루, 청양고추, 양파, 마늘, 대파, 전분, 달걀
● 조리방법
1. 밀가루에 적당한 크기로 썬 명란젓과 물을 넣고 치대어 명란면 반죽을 만든다.
2. 명란면 반죽을 숙성시킨다.
3. 끓는 물에 적당한 크기로 썬 청양고추, 새우가루를 넣고 끓여 새우육수를 낸다.
4. 알배추, 양파, 애호박, 브로콜리, 마늘, 대파를 적당한 크기로 썬다.
5. 핸드블렌더에 손질한 새우살, 전분, 달걀흰자, 명란젓을 넣고 갈아 명란새우완자반죽을 만든다.
6. 오징어에 칼집을 내고 적당한 크기로 썬다.
7. 기름을 두른 팬에 손질한 채소들을 넣고 볶는다.
8. 명란면 반죽을 밀대로 얇게 민 뒤, 썰어서 면을 뽑는다.
9. 명란면을 끓는 물에 삶는다.
10. 볶던 채소에 새우육수를 붓고, 바지락살, 오징어, 굴소스를 넣고 끓여 백짬뽕 국물을 만든다.
11. 명란새우완자반죽을 적당한 크기로 떼어 백짬뽕 국물에 넣고 함께 끓인다.
12. 백짬뽕 국물에 콩나물을 넣고 함께 끓인다.
13. 삶은 명란면을 건져 찬물에 헹군 뒤, 다시 면수에 담가 토렴한다.
14. 명란면을 그릇에 담는다.
15. 그릇에 백짬뽕 국물을 부어 마무리한다.</t>
  </si>
  <si>
    <t>&lt;미카엘 - 명카엘&gt;
● 재료
명란젓, 콩나물, 오징어, 아보카도, 파프리카,
모차렐라치즈, 스트링치즈, 깻잎, 파르메산치즈,
마늘, 후추, 고춧가루, 올리브오일, 식초,
당근, 소금, 레몬, 양파, 청양고추
● 조리방법
1. 기름을 두른 팬에 명란젓을 볶는다.
2. 끓는 물에 콩나물을 데친다.
3. 오징어의 껍질을 벗겨낸다.
4. 볼에 잘게 썬 아보카도, 파프리카, 마늘과 모차렐라치즈, 후추를 넣는다.
5. 4에 볶은 명란젓, 적당한 크기로 썬 스트링치즈, 고춧가루를 넣고 버무려 소를 만든다.
6. 껍질을 벗긴 오징어 안에 소를 채워 넣고 꼬치로 고정한다.
7. 속을 채운 오징어에 올리브오일을 바르고 기름을 두른 그릴팬에 굽는다.
8. 데친 콩나물을 건져 식초에 버무린 뒤, 한 번 씻어내고 얼음물에 담가 차게 식힌다.
9. 깻잎을 가늘게 채 썬다.
10. 차게 식힌 콩나물을 체에 밭쳐 물기를 빼고, 채 썬 깻잎과 당근, 올리브오일, 소금, 레몬즙과 섞어 샐러드를 만든다.
11. 10에 채 썬 양파를 넣고 버무려 콩나물깻잎 샐러드를 만든다.
12. 접시에 콩나물깻잎 샐러드를 담는다.
13. 속을 채워 구운 오징어를 적당한 크기로 썬다.
14. 접시에 적당한 크기로 썬 오징어를 담는다.
15. 오징어 사이에 레몬슬라이스와 잘게 썬 청양고추를 곁들인다.
16. 오징어 위에 후추와 파르메산치즈를 뿌려 마무리한다.</t>
  </si>
  <si>
    <t>&lt;이연복 - 복정식&gt;
● 재료
통조림 햄, 자반고등어, 훈제 닭가슴살,
라면, 다이어트도시락(믹스채소), 찐고구마,
쌀, 달걀, 대파, 후추, 밀가루, 양파, 당근,
마늘, 청양고추, 고춧가루, 고추장, 간장,
설탕, 라면수프, 참기름
● 조리방법
1. 달궈놓은 돌솥에 씻은 쌀과 물을 넣고 끓여 돌솥밥을 만든다.
2. 달걀에 잘게 다진 통조림 햄, 대파, 물, 후추를 넣고 섞는다.
3. 2를 달궈놓은 뚝배기에 붓고 익혀 달걀찜을 만든다.
4. 자반고등어를 적당한 크기로 썬 뒤, 밀가루를 입힌다.
5. 밀가루를 입힌 자반고등어를 기름에 튀긴다.
6. 양파, 당근, 대파, 마늘, 청양고추, 훈제 닭가슴살을 적당한 크기로 썬다.
7. 기름을 두른 팬에 손질한 채소와 고춧가루, 고추장, 간장, 물을 넣고 볶는다.
8. 볶던 재료에 손질한 훈제 닭가슴살을 넣고 함께 볶아 닭볶음탕을 만든다.
9. 닭볶음탕에 설탕을 넣는다.
10. 닭볶음탕에 라면수프를 넣는다.
11. 닭볶음탕에 믹스채소를 넣는다.
12. 닭볶음탕에 찐고구마와 참기름을 넣는다.
13. 접시에 고등어튀김을 담는다.
14. 접시에 닭볶음탕을 담는다.
15. 돌솥밥, 고등어튀김, 닭볶음탕, 달걀찜을 함께 낸다.</t>
  </si>
  <si>
    <t>냉장고를 부탁해 시즌 1, 144화</t>
  </si>
  <si>
    <t>&lt;레이먼킴 - 덕윤백반&gt;
● 재료
훈제 닭가슴살, 다이어트 도시락(삶은 닭가슴살), 자반고등어,
배즙, 된장, 일본컵라면(조미김), 쌀, 대파, 당근, 마늘,
양파, 식용유, 청주, 다진 생강, 다진 마늘, 고춧가루, 간장,
설탕, 맛술, 청고추, 홍고추, 물엿, 참기름, 깨, 달걀, 소금
● 조리방법
1. 불려놓은 쌀과 물을 냄비에 넣고 끓여 냄비밥을 만든다.
2. 압력솥에 적당한 크기로 썬 대파, 당근, 통마늘, 훈제 닭가슴살, 삶은 닭가슴살과 물을 넣고 끓여 닭국을 만든다.
3. 냄비에 채 썬 양파, 식용유, 자반고등어, 청주를 넣고 익힌다.
4. 다진 생강, 다진 마늘, 고춧가루, 간장, 배즙, 설탕, 맛술을 섞어 조림양념을 만든다.
5. 고등어를 익히던 냄비에 통마늘과 조림양념, 적당한 크기로 썬 청고추와 홍고추, 대파를 넣고 뚜껑을 닫은 뒤, 조린다.
6. 고추를 적당한 크기로 썬다.
7. 된장, 배즙, 물엿, 참기름, 고춧가루, 깨를 섞어 된장양념을 만든다.
8. 손질한 고추에 된장양념을 넣고 버무려 고추된장무침을 만든다.
9. 달걀물에 소금, 잘게 썬 대파를 넣고 섞는다.
10. 기름을 두른 팬에 달걀물을 부은 뒤, 조미김을 올린다.
11. 달걀지단을 돌돌 말아 달걀말이를 만든다.
12. 압력솥에 끓이던 닭국에 소금, 다진 마늘을 넣어 간 한다.
13. 그릇에 닭국을 담은 뒤, 잘게 썬 대파를 올리고 후추를 뿌린다.
14. 접시에 고추된장무침을 담는다.
15. 고등어조림을 접시에 담는다.
16. 달걀말이를 먹기 좋은 크기로 썰어 접시에 담는다.
17. 냄비밥, 닭국, 고등어조림, 달걀말이, 고추된장무침을 함께 낸다.</t>
  </si>
  <si>
    <t>&lt;유현수 - 할매 라면&gt;
● 재료
라면, 가쓰오부시, 훈제 닭가슴살, 군고구마, 통조림 햄,
타코야키가루, 된장, 덴카스, 파래가루, 설탕, 간장,
양파, 청고추, 홍고추, 대파, 달걀, 버터, 고추장, 당근, 전분
● 조리방법
1. 끓는 물에 설탕과 간장을 붓고 끓여 장아찌국물을 만든다.
2. 양파에 칼집을 낸다.
3. 장아찌 국물에 손질한 양파와 청고추, 홍고추를 넣고 끓인다.
4. 대파를 적당한 크기로 자른 뒤, 토치로 직화한다.
5. 끓는 물에 직화한 대파와 가쓰오부시를 넣고 끓여 육수를 낸다.
6. 훈제 닭가슴살과 군고구마, 통조림 햄을 핸드블렌더에 넣고 곱게 간다.
7. 볼에 달걀물, 곱게 간 재료, 버터를 넣고 섞는다.
8. 7에 타코야키가루를 섞어 닭완자반죽을 만든다.
9. 양파장아찌를 얼음 위에서 식힌다.
10. 가쓰오부시육수를 체에 밭쳐 국물만 걸러낸다.
11. 냄비에 적당한 크기로 썬 대파와 가쓰오부시육수를 넣고 끓인다.
12. 11에 체에 거른 된장과 고추장을 풀어 라면 국물을 만든다.
13. 라면 면을 삶는다.
14. 덴카스를 잘게 부순다.
15. 당근, 양파를 채 썬 뒤 닭완자반죽에 넣고 섞는다.
16. 닭완자반죽을 짤주머니로 짜서 새우모양을 만든 뒤, 타코야키가루를 묻힌다.
17. 새우모양 닭완자에 덴카스를 입혀 기름에 튀긴다.
18. 그릇에 양파장아찌를 담고 잘게 썬 청고추와 홍고추를 올린다.
19. 라면국물에 전분물을 풀어 농도를 조절한다.
20. 삶은 면에 파래가루를 뿌려 버무린 뒤, 그릇에 담는다.
21. 면 위에 국물을 붓는다.
22. 닭완자튀김을 올려 마무리한다.</t>
  </si>
  <si>
    <t>&lt;정호영 - 중국식 냉면냉면냉면♬&gt;
● 재료
라면, 가쓰오부시, 통조림 햄, 통조림 참치, 타코야키가루,
칼라만시 원액, 타코야키소스, 양파, 당근,
대파, 달걀, 간장, 설탕, 맛술, 식초, 깨, 연겨자, 마요네즈
● 조리방법
1. 라면 면을 삶는다.
2. 가쓰오부시육수를 낸다.
3. 양파, 당근, 대파 흰 부분을 채 썰어 찬물에 담가둔다.
4. 통조림 햄을 채 썬다.
5. 양파, 당근, 대파 흰 부분, 통조림 햄을 잘게 다진다.
6. 볼에 달걀, 잘게 다진 채소와 통조림 햄을 넣고 섞는다.
7. 6에 통조림 참치와 타코야키가루, 물을 넣고 섞어 반죽을 만든다.
8. 타코야키팬에 반죽을 붓고 굽는다.
9. 간장, 설탕, 맛술, 식초를 섞어 국물 베이스를 만든다.
10. 삶은 면을 찬물에 헹군다.
11. 달걀지단을 만들어 채 썬다.
12. 국물 베이스에 가쓰오부시육수를 더한 후, 얼음과 함께 믹서기에 넣고 간다.
13. 12에 칼라만시 원액, 깨를 넣고 섞는다.
14. 접시에 차갑게 식힌 면을 담은 뒤, 채 썬 재료들과 가쓰오부시, 연겨자를 올린다.
15. 접시에 참치타코야키를 담고, 마요네즈와 타코야키소스를 뿌린 뒤 가쓰오부시를 올린다.
16. 면 위에 국물을 부어 완성한다.</t>
  </si>
  <si>
    <t>&lt;샘킴 - 피치 못할 타르트&gt;
● 재료
천도복숭아, 자두, 설탕, 레몬,
달걀, 밀가루, 버터, 올리브오일
● 조리방법
1. 핸드블렌더에 설탕, 곱게 간 레몬껍질을 넣고 돌려 잘 섞어준다.
2. 레몬설탕에 달걀을 한 알씩 넣으며 갈아 레몬커드를 만든다.
3. 끓는 물이 담긴 냄비 위에 레몬커드를 중탕하며 잘 저어준다.
4. 레몬커드에 레몬껍질을 갈아 넣는다.
5. 핸드블렌더에 밀가루, 버터, 달걀을 넣고 갈아 타르트 반죽을 만든다.
6. 5를 기름에 튀겨 타르트 가루를 만든다.
7. 타르트 가루를 건져 기름기를 뺀다.
8. 천도복숭아와 자두를 적당한 크기로 썬 뒤, 설탕, 올리브오일을 넣어 버무린다.
9. 설탕에 버무린 과일을 오븐에 익힌다.
10. 레몬커드를 얼음물 위에 올려 차갑게 식히며, 버터와 레몬즙을 넣고 섞어준다.
11. 익힌 천도복숭아와 자두를 얼음물 위에 올려 차갑게 식힌다.
12. 컵에 잘게 썬 천도복숭아와 자두, 타르트 가루를 넣는다.
13. 컵에 레몬커드를 가득 부은 뒤, 타르트 가루와 익힌 천도복숭아와 자두를 올린다.
14. 올리브오일을 뿌려 마무리한다.</t>
  </si>
  <si>
    <t>냉장고를 부탁해 시즌 1, 145화</t>
  </si>
  <si>
    <t>&lt;이원일 - 최애 컵케이크&gt;
● 재료
우유, 브리치즈, 달걀, 사과, 사과잼,
식빵, 브라우니, 모차렐라치즈, 스모크치즈, 체리,
버터, 달걀, 설탕, 밀가루, 전분, 화이트와인, 레몬
● 조리방법
1. 우유를 끓인다.
2. 끓이는 우유에 버터를 넣는다.
3. 브리치즈를 전자레인지에 돌려 부드럽게 만든다.
4. 브리치즈를 뜯어 부드러운 속 부분만 버터우유에 넣고 잘 섞어준다.
5. 달걀노른자를 풀어준 뒤, 설탕, 밀가루, 전분을 넣고 잘 저어준다.
6. 5에 끓인 치즈우유를 부어가며 저어 치즈커스터드크림을 만든다.
7. 사과를 잘게 썬다.
8. 기름을 두른 팬에 잘게 썬 사과와 버터, 밀가루를 넣고 볶는다.
9. 8에 화이트와인, 사과잼, 레몬즙을 넣고 끓인다.
10. 끓이던 사과소스에 적당한 크기로 썬 식빵을 넣고 조린다.
11. 조린 사과식빵을 식혀둔다.
12. 치즈커스터드크림을 체에 밭쳐 곱게 거른다.
13. 컵에 브라우니를 잘게 부숴 넣는다.
14. 브라우니 위에 사과식빵을 올린다.
15. 사과식빵 위에 치즈커스터드크림을 붓고, 모차렐라치즈와 얇게 썬 스모크치즈를 올린다.
16. 15 위에 브라우니를 부숴 올리고, 사과식빵과 치즈커스터드크림을 차례로 넣는다.
17. 브라우니를 갈아 올리고, 체리를 얹어 마무리한다.</t>
  </si>
  <si>
    <t>&lt;김풍 - 쓰촨으로 갈 찬스&gt;
● 재료
차돌박이, 샐러리, 미나리, 굴소스, 방울토마토,
칼라만시액, 홍고추, 통후추, 소금, 달걀, 전분,
마늘, 대파, 다진 생강, 간장
● 조리방법
1. 홍고추를 적당한 크기로 썬다.
2. 끓는 기름에 홍고추와 통후추를 넣고 끓여 매운 기름을 낸다.
3. 차돌박이에 소금, 달걀흰자, 전분을 넣고 섞은 뒤 재워둔다.
4. 기름에 끓인 홍고추와 통후추를 꺼내 식힌다.
5. 마늘은 으깨고, 대파와 샐러리는 두드린 후 적당한 크기로 썰어둔다.
6. 팬에 매운 기름을 두른 뒤, 다진 생강과 손질한 채소를 넣고 볶는다.
7. 볶던 채소에 적당한 크기로 썬 미나리와 소금을 넣고 볶는다.
8. 볶은 채소를 그릇에 담는다.
9. 팬에 매운 기름을 두른 뒤, 굴소스와 간장을 넣고 끓인다.
10. 9에 손질한 대파와 으깬 마늘, 방울토마토, 소금, 물, 다진 생강을 넣고 끓인다.
11. 끓이던 재료에 양념해 둔 차돌박이를 한 점씩 넣어 익힌다.
12. 차돌박이를 익히는 기름에 칼라만시액을 넣는다.
13. 식혀둔 홍고추와 통후추를 잘게 다진다.
14. 채소가 담긴 그릇에 끓인 채소와 차돌박이를 부은 뒤, 잘게 다진 홍고추와 통후추를 올린다.
15. 14 위에 끓고 있는 매운 기름을 부어 마무리한다.</t>
  </si>
  <si>
    <t>&lt;이재훈 - 어디에스파냐?&gt;
● 재료
소고기 등심, 식빵, 브리치즈, 스모크치즈,
살라미, 견과류, 천도복숭아, 차돌박이, 모차렐라치즈,
슬라이스체다치즈, 방울토마토, 스리라차소스, 우유,
양파, 달걀, 올리브오일, 후추, 마늘, 레몬,
버터, 설탕, 후추, 소금, 고추
● 조리방법
1. 기름을 두른 팬에 소고기 등심을 굽는다.
2. 핸드블렌더에 구운 등심을 넣고 곱게 간다.
3. 곱게 간 등심에 식빵을 넣고 다시 한 번 갈아 파이반죽을 만든다.
4. 브리치즈, 스모크치즈, 살라미, 견과류, 천도복숭아를 적당한 크기로 썰어둔다.
5. 양파를 잘게 썬 뒤, 파이반죽에 섞는다.
6. 오븐틀에 파이반죽을 넣고 살라미&gt;차돌박이&gt;각종 치즈를 층층이 쌓는다.
7. 6 위에 달걀을 올린 뒤 전자레인지에 넣고 익힌다.
8. 핸드블렌더에 방울토마토, 올리브오일, 스리라차소스, 후추, 마늘, 양파를 넣고 곱게 갈아 가스파초를 만든다.
9. 가스파초에 레몬즙을 넣은 뒤, 냉동실에 넣고 식힌다.
10. 기름을 두른 팬에 채 썬 양파와 통마늘을 넣고 볶는다.
11. 볶던 채소에 버터를 넣는다.
12. 11에 끓인 우유, 설탕, 후추를 넣고 끓여 갈릭소스를 만든다.
13. 갈릭소스를 핸드블렌더로 곱게 간다.
14. 그릇에 갈릭소스를 담고, 올리브오일을 뿌린다.
15. 식힌 가스파초를 꺼내 소금과 후추로 간 한다.
16. 그릇에 가스파초를 담은 뒤, 잘게 썬 각종 치즈와 견과류, 천도복숭아를 올린다.
17. 전자레인지에서 고기파이를 꺼낸 뒤, 접시에 담는다.
18. 고기파이 위에 레몬껍질을 갈아 올리고, 올리브오일과 후추를 뿌린다.
19. 고추를 갈아 올려 마무리한다.</t>
  </si>
  <si>
    <t>&lt;레이먼킴 - 햄버거 떠머거&gt;
● 재료
소고기 등심, 베이컨, 돼지갈비 햄버그스테이크,
소불고기양념, 맥주, 빵가루, 버터, 우유,
슬라이스 모차렐라치즈, 감자, 허니머스터드소스,
양파, 소금, 후추, 버터, 밀가루, 케첩, 전분
● 조리방법
1. 기름을 두른 팬과 냄비에 각각 채 썬 양파를 볶는다.
2. 핸드블렌더에 적당한 크기로 썬 등심을 넣고 간다.
3. 양파를 볶던 팬에 베이컨을 굽는다.
4. 구운 베이컨을 기름에 튀긴다.
5. 곱게 간 등심에 돼지갈비 햄버그스테이크를 섞어 양파를 볶던 팬에 넣고 볶는다.
6. 튀긴 베이컨을 건져 기름기를 뺀다.
7. 고기와 양파를 볶던 팬에 소금, 후추, 소불고기양념, 맥주, 빵가루를 넣고 볶아 햄버거 패티를 만든다.
8. 양파를 볶던 냄비에 버터, 밀가루, 우유, 케첩, 소금을 넣어 케첩소스를 만든다.
9. 오븐용 그릇에 햄버거패티를 담고, 케첩소스, 슬라이스 모차렐라치즈를 차례로 올린다.
10. 9 위에 적당한 크기로 썬 베이컨튀김을 올린 뒤, 오븐에 굽는다.
11. 채 썬 감자에 전분을 묻혀 기름에 튀긴다.
12. 감자튀김을 건져 기름기를 뺀 뒤, 소금과 후추를 뿌린다.
13. 오븐에 구운 떠먹는 햄버거 위에 감자튀김을 올린다.
14. 감자튀김 위에 케첩과 허니머스터드소스를 뿌려 마무리한다.</t>
  </si>
  <si>
    <t>냉장고를 부탁해 시즌 1, 146화</t>
  </si>
  <si>
    <t>&lt;김풍 - 오븐 백반 피자&gt;
● 재료
빵가루, 불고기용 소고기, 김치, 양배추,
슬라이스 체다치즈, 슬라이스 모차렐라치즈,
요거트, 칼라만시 원액, 달걀, 즉석밥, 소금, 간장,
다진 마늘, 다진 생강, 전분, 고추장, 설탕, 마요네즈
● 조리방법
1. 핸드블렌더에 즉석밥, 달걀, 소금, 빵가루를 넣고 갈아 반죽을 만든다.
2. 오븐용 팬에 반죽을 깐 뒤, 오븐에 넣고 굽는다.
3. 불고기용 소고기를 적당한 크기로 썬 뒤, 칼로 다져 부드럽게 한다.
4. 손질한 불고기용 소고기에 간장, 다진 마늘, 다진 생강, 전분을 넣고 버무린다.
5. 양념한 불고기용 소고기에 달걀흰자를 넣고 버무린다.
6. 마른 팬에 양념한 불고기용 소고기를 볶는다.
7. 적당한 크기로 썬 김치를 기름을 두른 팬에 볶는다.
8. 볶던 김치에 고추장과 설탕을 넣고 함께 볶는다.
9. 오븐에 구운 밥 위에 양배추채를 올린다.
10. 양배추채 위에 볶은 불고기와 슬라이스 체다치즈와 슬라이스 모차렐라치즈를 올린다.
11. 10을 다시 오븐에 굽는다.
12. 김치볶음에 물을 넣고 졸여 김치소스를 만든다.
13. 김치소스에 전분물을 넣어 농도를 조절한다.
14. 요거트, 다진 마늘, 달걀노른자, 마요네즈, 소금, 칼라만시 원액을 섞어 요거트소스를 만든다.
15. 오븐에 구운 떠먹는 피자 위에 김치소스를 올린다.
16. 요거트소스를 따로 담아낸다.</t>
  </si>
  <si>
    <t>&lt;샘킴 - 브런치 도둑님&gt;
● 재료
감자, 포도, 요거트, 칼라만시 원액, 양배추,
달걀, 식빵, 슬라이스체다치즈, 소금, 마요네즈,
후추, 올리브오일, 당근, 버터, 레몬
● 조리방법
1. 소금을 넣은 끓는 물에 감자를 데친다.
2. 잘게 썬 포도와 요거트, 마요네즈, 칼라만시 원액, 소금, 후추, 올리브오일을 섞어 샐러드드레싱을 만든다.
3. 당근, 양배추를 가늘게 채 썬다.
4. 채 썬 채소에 샐러드드레싱을 넣고 버무린다.
5. 버터를 전자레인지에 돌려 녹인다.
6. 데친 감자를 건져내 물로 헹군 뒤, 채 썬다.
7. 기름을 두른 팬에 채 썬 감자를 올리고 소금, 후추를 뿌린 뒤 구워 해시브라운을 두 개 만든다.
8. 달걀노른자, 소금, 레몬즙, 녹인 버터를 섞은 뒤, 끓는 물 위에서 중탕하며 저어 홀랜다이즈소스를 만든다.
9. 식빵 사이에 슬라이스 체다치즈를 넣은 뒤, 녹인 버터를 두른 팬에 구워 치즈토스트를 만든다.
10. 끓는 물에 달걀을 넣어 수란을 만든다.
11. 해시브라운 사이에 슬라이스 체다치즈를 넣고 굽는다.
12. 치즈토스트 위에 해시브라운치즈샌드를 올린다.
13. 접시에 샐러드를 담고, 해시브라운 토스트를 올린 뒤 수란을 얹는다.
14. 13 위에 홀랜다이즈소스를 뿌리고 레몬을 곁들인다.
15. 후추를 뿌려 마무리한다.</t>
  </si>
  <si>
    <t>&lt;미카엘 - 불런치&gt;
● 재료
감자, 소고기 등심, 달걀, 허니머스터드소스,
마늘, 후추, 간장, 레몬, 밀가루, 소금, 케첩
● 조리방법
1. 감자를 채 썬다.
2. 채 썬 감자를 낮은 온도의 기름에 튀긴다.
3. 소고기 등심을 길게 썬다.
4. 손질한 소고기 등심에 잘게 썬 마늘, 후추, 간장을 넣고 버무린다.
5. 레몬을 썰어 접시에 올린다.
6. 채 썬 소고기 등심에 밀가루를 묻힌 뒤, 달걀물을 입혀 낮은 온도의 기름에 튀긴다.
7. 감자튀김을 높은 온도의 기름에 다시 한 번 튀긴 뒤, 건져내 기름기를 빼고 소금을 뿌린다.
8. 등심튀김을 높은 온도의 기름에 다시 한 번 튀긴다.
9. 소스종지에 케첩과 허니머스터드소스를 각각 담는다.
10. 등심튀김을 건져 기름기를 뺀다.
11. 접시에 감자튀김과 등심튀김을 담은 뒤, 레몬즙을 뿌려 마무리한다.</t>
  </si>
  <si>
    <t>&lt;이연복 - 귀한 만찬&gt;
● 재료
고춧가루, 낙지, 애호박, 꽈리고추, 파프리카,
양배추, 삼겹살, 매실장아찌, 밀가루, 소금,
대파, 양파, 전분, 달걀, 마늘, 간장, 설탕
● 조리방법
1. 핸드블렌더에 밀가루, 물, 소금을 넣고 갈아 면 반죽을 만든다.
2. 면 반죽을 치댄 뒤, 숙성시킨다.
3. 기름에 적당한 크기로 썬 대파와 양파, 고춧가루를 넣고 끓여 고추기름을 낸다.
4. 끓는 물에 낙지를 데친다.
5. 양파, 애호박, 꽈리고추, 파프리카, 양배추를 적당한 크기로 썰어둔다.
6. 면 반죽을 밀대로 넓게 밀고 적당한 크기로 썬 뒤, 손가락으로 눌러 고양이 귀면을 만든다.
7. 삼겹살을 적당한 크기로 썬 뒤, 전분과 달걀물에 버무린다.
8. 기름을 넉넉히 두른 팬에 삼겹살을 튀기듯 볶는다.
9. 데친 낙지를 건져내고, 낙지를 데치던 물에 고양이 귀면을 삶는다.
10. 으깬 마늘과 적당한 크기로 썬 대파를 삼겹살과 함께 볶은 후 볼에 옮긴다.
11. 고추기름을 체에 거른다.
12. 고추기름을 두른 팬에 손질한 각종 채소와 볶은 삼겹살을 넣고 함께 볶는다.
13. 핸드블렌더에 매실장아찌를 넣고 간다.
14. 곱게 간 매실장아찌를 볶던 재료에 넣고 함께 볶는다.
15. 볶던 재료에 간장을 넣는다.
16. 데친 고양이 귀면을 찬물에 헹군다.
17. 볶던 재료에 데친 낙지와 고양이 귀면을 넣고 함께 볶는다.
18. 고양이귀면 낙지삼겹볶음에 설탕을 넣는다.
19. 그릇에 고양이귀면 낙지삼겹볶음을 담아낸다.</t>
  </si>
  <si>
    <t>냉장고를 부탁해 시즌 1, 147화</t>
  </si>
  <si>
    <t>&lt;정호영 - 데리만족&gt;
● 재료
아보카도, 식빵, 소고기 안심, 삼겹살,
닭안심, 파프리카, 떡, 마늘, 간장, 맛술,
청주, 설탕, 청양고추, 양파, 마요네즈,
소금, 레몬, 달걀, 고춧가루
● 조리방법
1. 마늘, 간장, 맛술, 청주, 설탕, 적당한 크기로 썬 청양고추, 양파를 함께 끓여 청양데리야키소스를 만든다.
2. 핸드블렌더에 양파, 껍질을 벗긴 아보카도, 마요네즈, 통마늘을 넣고 갈아 아보카도소스를 만든다.
3. 아보카도소스에 청양고추를 넣고 간다.
4. 3에 소금, 설탕, 레몬즙을 넣고 섞어준다.
5. 식빵은 가장자리를 잘라내고, 믹서기에 갈아 빵가루를 만든다.
6. 소고기 안심을 고기망치로 두드려 얇게 편 뒤, 소금, 후추로 간 하고 전분을 묻힌다.
7. 전분을 묻힌 안심에 달걀물을 입힌 뒤, 빵가루를 묻힌다.
8. 튀김옷을 입힌 안심을 튀겨 규카츠를 만든다.
9. 양파, 삼겹살, 닭안심, 파프리카, 아보카도, 청양고추를 적당한 크기로 썬다.
10. 기름을 두른 팬에 삼겹살과 닭안심을 볶다가 편마늘과 손질한 채소들, 떡을 넣고 볶는다.
11. 볶던 재료에 청양데리야키소스를 넣고 볶는다.
12. 튀긴 규카츠를 건져 기름기를 뺀 뒤, 먹기 좋게 자른다.
13. 접시에 청양데리야키 삼겹닭볶음과 규카츠를 담는다.
14. 아보카도소스를 곁들인 뒤, 고춧가루를 뿌려 마무리한다.</t>
  </si>
  <si>
    <t>&lt;유현수 - 장금이 브런치&gt;
● 재료
오이, 소고기 안심, 감자, 양상추,
된장, 파프리카, 꽈리고추찜, 자숙문어,
고추장, 매실장아찌, 채소피클, 카스텔라,
콩가루, 참기름, 다진 마늘, 소금, 밀가루,
전분, 즉석밥, 깨, 설탕
● 조리방법
1. 오이를 슬라이스한다.
2. 오이를 소금물에 절여둔다.
3. 소고기 안심을 얇게 포 뜬 뒤, 고기망치로 두드려 얇게 편다.
4. 참기름과 마늘즙에 안심을 버무린 뒤, 소금으로 간 한다.
5. 강판에 감자를 간다.
6. 밀가루, 강판에 간 감자, 전분을 섞어 감자전 반죽을 만든다.
7. 기름을 두른 팬에 감자전 반죽을 올려 감자전을 굽는다.
8. 밑간을 한 안심에 전분을 묻힌 뒤, 감자전 위에 올려 감자육전을 굽는다.
9. 김발 위에 절인 오이를 넓게 펴고, 양상추, 된장, 채 썬 파프리카를 올리고 돌돌 만 뒤, 랩으로 감싸 모양을 고정한다.
10. 전자레인지에 즉석밥을 돌린다.
11. 잘게 다진 꽈리고추찜에 밥, 깨, 참기름을 넣고 비벼 꽈리고추밥을 만든다.
12. 자숙문어 다리에 칼집을 낸 뒤, 전분을 입혀 튀긴다.
13. 핸드블렌더에 고추장, 매실장아찌, 채소피클국물, 참기름, 깨, 설탕을 넣고 갈아 매실고추장소스를 만든다.
14. 팬에 설탕과 물을 넣고 끓여 시럽을 만든다.
15. 카스텔라를 적당한 크기로 자른 뒤, 시럽을 골고루 바른다.
16. 접시에 꽈리고추밥을 담고, 깨를 뿌린다.
17. 감자육전을 적당한 크기로 썰어 접시에 담는다.
18. 접시에 매실고추장소스를 올린 뒤, 문어 튀김을 얹는다.
19. 랩으로 고정해 둔 오이선을 적당한 크기로 썬 뒤, 접시에 담고 연근피클로 데커레이션 한다.
20. 접시에 시럽을 입힌 카스텔라를 담고, 콩가루를 뿌려 인절미케이크를 만든다.</t>
  </si>
  <si>
    <t>&lt;오세득 - 거침없이 불고기&gt;
● 재료
가지, 무, 불고기용 소고기, 콩나물, 오이, 팽이버섯, 소금, 식초, 설탕, 다진 마늘, 맛술, 청주, 간장, 참기름, 대파, 즉석밥, 깨, 청고추, 홍고추, 당근, 달걀
● 조리방법
1. 가지를 적당한 크기로 썬 뒤, 십자로 칼집을 낸다.
2. 가지에 소금을 뿌린 뒤, 전자레인지에 돌린다.
3. 냄비에 식초, 설탕, 소금을 넣고 끓인다.
4. 무를 슬라이스 한 뒤, 끓인 단촛물을 부어 절인다.
5. 핸드블렌더에 불고기용 소고기를 곱게 간다.
6. 핸드블렌더에 다진 마늘, 맛술, 청주, 설탕, 간장, 참기름을 넣고 곱게 갈아 불고기 양념을 만든다.
7. 곱게 간 불고기용 소고기에 불고기 양념과 잘게 썬 대파를 넣고 버무린 뒤, 기름을 두른 팬에 구워 불고기를 만든다.
8. 전자레인지에서 익힌 가지 사이에 양념한 불고기용 소고기를 채워 넣고 냄비에 넣는다.
9. 8에 불고기와 물을 넣고, 뚜껑을 덮어 익힌다.
10. 볼에 즉석밥, 불고기, 깨, 콩나물, 불고기 양념을 넣고 랩을 덮은 후 전자레인지에 돌려 불고기콩나물밥을 만든다.
11. 불고기 양념과 다진 청고추, 홍고추, 대파를 넣어 불고기콩나물밥 양념장을 만든다.
12. 불고기 가지선에 국물을 끼얹어가며 익힌다.
13. 당근과 오이를 가늘게 채 썬 뒤, 소금을 뿌려둔다.
14. 기름을 두른 팬에 소금을 뿌린 당근과 오이를 볶는다.
15. 팽이버섯을 불고기 양념에 버무린 뒤, 볶아준다.
16. 접시에 볶은 당근, 오이, 팽이버섯과 절인 무, 불고기를 담는다.
17. 달걀노른자를 분리해 기름을 두른 팬에 붓고 지단을 부친다.
18. 접시에 불고기가지선을 담는다.
19. 그릇에 불고기콩나물밥을 담는다.
20. 달걀노른자지단을 채 썬 뒤, 불고기무쌈과 함께 담아낸다.
21. 불고기가지선 위에 달걀노른자지단과 가늘게 채 썬 홍고추를 올려 마무리한다.</t>
  </si>
  <si>
    <t>&lt;레이먼킴 - 젓갈볶음밥을 잘 만드는 남자♬&gt;
● 재료
새우, 랍스터, 깻잎, 자숙피꼬막, 순태젓,
가리비젓, 굴, 산초가루, 포도, 양파, 마늘,
레몬, 소금, 대파, 고추, 맛술, 즉석밥,
들기름, 깨, 후추, 올리브오일
● 조리방법
1. 양파를 채 썬다.
2. 으깬 마늘을 채 썬 양파와 함께 담아둔다.
3. 레몬즙과 레몬을 넣고 끓인 물에 소금을 뿌린 뒤, 손질한 새우살을 데친다.
4. 데친 새우살을 얼음물에 담가 차게 식힌다.
5. 랍스터살을 레몬소금물에 데친 뒤, 얼음물에 담가 차게 식힌다.
6. 으깬 마늘과 양파채가 담긴 볼에 새우살과 랍스터살을 넣고 레몬즙을 뿌려 섞는다.
7. 6에 깻잎채를 넣고 버무려 새우세비체를 만든다.
8. 기름을 두른 팬에 잘게 썬 대파와 고추를 넣고 볶는다.
9. 자숙피꼬막을 레몬소금물에 데친 뒤, 얼음물에 담가 차게 식힌다.
10. 볶던 대파와 고추에 순태젓, 가리비젓, 맛술을 넣고 볶는다.
11. 볶던 젓갈에 굴을 넣고 함께 볶는다.
12. 데친 자숙피꼬막을 넣고 함께 볶는다.
13. 볶던 재료에 채 썬 깻잎과 즉석밥을 넣고 볶아 젓갈볶음밥을 만든다.
14. 접시에 젓갈볶음밥을 담는다.
15. 젓갈볶음밥에서 피꼬막만 골라내 잘게 다진 뒤, 산초가루를 뿌려 마른 팬에 볶다가 들기름을 뿌린다.
16. 젓갈볶음밥 위에 깨를 뿌린 뒤, 볶은 피꼬막을 올린다.
17. 새우세비체에 후추를 뿌리고, 포도, 소금, 올리브오일을 넣고 버무린다.
18. 접시에 새우세비체를 담아낸다.</t>
  </si>
  <si>
    <t>냉장고를 부탁해 시즌 1, 148화</t>
  </si>
  <si>
    <t>&lt;정호영 - 갈치 많이 먹어도 배 안 나오는 남자♬&gt;
● 재료
전복, 갈치, 랍스터, 성게알, 새우, 전복내장,
맛간장, 깻잎, 청주, 전분, 소금, 박력분,
양파, 홍고추, 마늘, 후추, 버터, 달걀, 참기름
● 조리방법
1. 전복을 삶는다.
2. 갈치를 포 뜬 뒤, 청주에 담가둔다.
3. 갈치뼈에 전분을 묻혀 튀긴 뒤, 소금을 뿌린다.
4. 랍스터의 살을 발라 적당한 크기로 썬다.
5. 깻잎과 갈치살에 전분을 묻힌다.
6. 박력분과 물, 얼음을 섞어 튀김반죽을 만든다.
7. 튀김반죽에 성게알을 넣고 섞는다.
8. 전분을 묻힌 갈치살과 깻잎에 성게튀김반죽을 입혀 기름에 튀긴다.
9. 새우, 양파, 홍고추를 손질한다.
10. 삶은 전복의 내장을 떼어내고 전복살을 적당한 크기로 썬다.
11. 기름을 두른 팬에 편마늘과 양파를 볶다가, 손질한 각종 해산물을 넣고 함께 볶는다.
12. 11에 소금과 후추로 간 한 뒤, 버터를 넣는다.
13. 핸드블렌더에 전복내장을 곱게 간다.
14. 볶던 해산물에 전복내장, 맛간장을 넣고 볶아 전복내장 해산물버터볶음을 만든다.
15. 성게알, 달걀노른자, 맛간장, 소금을 넣고 섞어 성게소스를 만든 뒤, 접시에 담는다.
16. 성게소스가 담긴 접시에 갈치뼈튀김과 갈치튀김, 깻잎튀김을 담는다.
17. 전복내장 해산물버터볶음에 손질한 홍고추와 참기름, 소금을 넣고 볶는다.
18. 전복내장 해산물버터볶음을 접시에 담아낸다.</t>
  </si>
  <si>
    <t>&lt;유현수 - 바람은 널 살치게 하네♬&gt;
● 재료
살치살, 산초가루, 도라지청, 도라지정과,
무, 복분자즙, 양상추, 깻순나물무침, 파김치,
도토리묵, 다진고추고기절임, 산초장아찌,
오디, 양파, 대파, 설탕, 간장,
소금, 식초, 후추, 즉석밥
● 조리방법
1. 살치살에 칼집을 낸다.
2. 찜기에 손질한 삼겹살을 넣고 산초가루와 나무젓가락에 불을 붙여 훈연한다.
3. 끓는 물에 적당한 크기로 썬 양파와 대파를 넣고 끓인다.
4. 3에 설탕, 도라지청, 적당한 크기로 썬 도라지정과, 간장을 넣고 끓여 도라지소스를 만든다.
5. 가늘게 채 썬 무에 복분자즙, 소금, 식초를 넣고 버무려 복분자무생채를 만든다.
6. 랩 위에 양상추, 복분자무생채를 올리고 동그랗게 말아 모양을 잡는다.
7. 훈연한 살치살을 팬에 굽다가 산초가루, 소금, 후추를 뿌린다.
8. 살치살에 도라지소스를 발라가며 굽는다.
9. 깻순나물무침을 잘게 다진 뒤, 전자레인지에 돌린 즉석밥과 산초가루를 섞어 깻순나물밥을 만든다.
10. 김발 위에 구운 살치살&gt;깻순나물밥&gt;파김치를 순서대로 올리고 돌돌 말아 살치살롤을 만든다.
11. 살치살롤을 랩으로 감싸 모양을 잡는다.
12. 적당한 크기로 썬 도토리묵에 동그란 구멍을 낸 뒤, 다진고추고기절임을 넣고 접시에 담는다.
13. 살치살롤을 적당한 크기로 썬 뒤, 랩을 벗겨내고 접시에 담는다.
14. 접시에 복분자무생채 양상추쌈을 올린다.
15. 산초장아찌와 오디, 산초가루를 곁들인다.
16. 도라지소스를 뿌려 마무리한다.</t>
  </si>
  <si>
    <t>&lt;오세득 - 난 돼지고기가 좋더라♬&gt;
● 재료
삼겹살, 무, 산초장아찌, 산초가루,
대파, 마늘, 양파, 간장, 설탕, 식초,
맛술, 들기름, 연겨자, 레몬, 고춧가루,
홍고추, 청양고추
● 조리방법
1. 대파를 반으로 가른 뒤 두드린다.
2. 비닐백에 손질한 대파와 삼겹살, 으깬 마늘과 적당한 크기로 썬 양파를 넣고 주무른다.
3. 2에 간장을 넣고 잘 주무른 뒤, 찜기에 넣고 찐다.
4. 대파를 반으로 길게 썰어 찜기에 넣고 함께 찐다.
5. 핸드블렌더에 설탕, 식초, 간장, 맛술, 들기름, 연겨자, 레몬즙을 넣고 갈아 간장겨자소스를 만든다.
6. 무와 양파를 강판에 곱게 간 뒤, 물기를 짜낸다.
7. 기름에 대파, 고춧가루, 마늘을 넣고 끓여 고추기름을 낸 뒤, 체에 거른다.
8. 홍고추, 청양고추, 마늘을 잘게 썬 뒤, 산초장아찌와 섞는다.
9. 8을 고추기름과 함께 팬에 볶다가, 산초가루와 간장겨자소스를 넣어 산초고추기름을 만든다.
10. 대파찜을 적당한 크기로 썰어 접시에 담고, 간장겨자소스를 뿌린다.
11. 삼겹살찜을 적당한 크기로 썬 뒤, 접시에 담는다.
12. 삼겹살찜 위에 강판에 간 무와 양파를 올리고 간장겨자소스를 뿌린다.
13. 12 위에 산초장아찌를 얹는다.
14. 산초고추기름을 듬뿍 얹고 간장겨자소스를 뿌려 마무리한다.</t>
  </si>
  <si>
    <t>&lt;샘킴 - 채소를 말아요♬&gt;
● 재료
토마토, 블랙올리브, 코코넛잼, 마,
느타리버섯, 팽이버섯, 밀가루, 달걀,
레몬, 올리브오일, 설탕, 당근, 소금,
후추, 간장, 참기름, 다진 마늘
● 조리방법
1. 핸드블렌더에 밀가루와 달걀을 넣고 갈아 면 반죽을 만든다.
2. 레몬즙, 올리브오일, 설탕을 섞어 레몬오일소스를 만든 뒤, 적당한 크기로 썬 토마토를 넣고 절여둔다.
3. 핸드블렌더에 블랙올리브, 올리브오일, 레몬즙, 코코넛잼을 넣고 갈아 올리브코코넛소스를 만든다.
4. 올리브코코넛소스에 설탕을 넣고 다시 한 번 곱게 간다.
5. 올리브코코넛소스에 적당한 크기로 썬 마와 토마토를 넣고 버무려 샐러드를 만든다.
6. 면 반죽을 얇고 넓게 밀어 적당한 크기로 썰어 끓는 물에 넣고 익힌다.
7. 기름을 두른 팬에 채 썬 당근을 볶다가 소금, 후추로 간 한다.
8. 볶던 당근에 간장과 참기름을 넣고 볶은 뒤, 식힌다.
9. 기름을 두른 팬에 느타리버섯, 팽이버섯, 다진 마늘과 소금, 레몬즙, 후추를 넣고 볶은 뒤, 식힌다.
10. 삶은 면, 볶은 당근, 볶은 버섯을 한 데 넣고 볶아준다.
11. 볶은 면을 넓게 편 뒤, 볶은 채소와 레몬오일소스에 절인 토마토를 넣고 돌돌 만다.
12. 접시에 샐러드를 담는다.
13. 접시에 채소롤을 올린 뒤, 올리브코코넛소스를 뿌린다.
14. 샐러드와 채소롤 위에 레몬오일소스와 레몬즙, 후추를 뿌려 마무리한다.</t>
  </si>
  <si>
    <t>냉장고를 부탁해 시즌 1, 149화</t>
  </si>
  <si>
    <t>&lt;미카엘 - 채소퀸&gt;
● 재료
느타리버섯, 표고버섯, 토마토, 청양고추소박이,
블랙올리브, 생모차렐라치즈, 깻잎, 오이김치,
버터, 간장, 마늘, 즉석밥, 소금, 후추
● 조리방법
1. 버터를 녹인 팬에 잘게 썬 느타리버섯과 표고버섯을 넣고 볶다가 간장으로 간 한다.
2. 토마토는 꼭지부분과 밑동을 평평하게 잘라낸 뒤, 속을 파낸다.
3. 파낸 토마토속을 잘게 다져 버섯과 함께 볶는다.
4. 마늘을 잘게 다져 다른 재료들과 함께 볶는다.
5. 잘게 다진 청양고추소박이와 청양고추소박이국물을 다른 재료들과 함께 볶는다.
6. 5에 즉석밥과 잘게 썬 블랙올리브, 생모차렐라치즈를 넣고 볶아 채소볶음밥을 만든다.
7. 채소볶음밥에 소금과 후추로 간 한다.
8. 속을 파낸 토마토 안에 채소볶음밥을 채워 넣는다.
9. 채소볶음밥을 채운 토마토 위에 생모차렐라치즈를 올린 뒤, 예열된 오븐에 굽는다.
10. 접시에 토마토, 깻잎, 오이김치, 블랙올리브, 생모차렐라치즈로 데커레이션한다.
11. 채소볶음밥을 채운 토마토를 오븐에서 꺼낸 뒤, 토치로 직화한다.
12. 데커레이션 한 접시 위에 채소볶음밥을 채운 토마토를 올려 마무리한다.</t>
  </si>
  <si>
    <t>&lt;이연복 - 완선이는 이걸 먹고 웃지&gt;
● 재료
소갈빗살, 키위, 새송이버섯, 대구살,
굴소스볶음라면, 스리라차소스, 대파,
다진 생강, 간장, 설탕, 후추, 맛술,
마늘, 청주, 소금, 청양고추, 식초, 된장
● 조리방법
1. 소갈빗살을 적당한 크기로 썬다.
2. 키위의 껍질을 벗겨내고 핸드블렌더로 간다.
3. 소갈빗살에 곱게 간 키위, 적당한 크기로 썬 대파, 생강즙, 간장, 설탕, 손질한 새송이버섯, 후추, 맛술을 넣고 잘 버무린다.
4. 3에 으깬 마늘을 넣고 기름을 두른 냄비에 볶는다.
5. 칼집을 낸 대구살을 체에 밭친 뒤, 뜨거운 물을 부어 겉을 익힌다.
6. 겉을 익힌 대구살을 그릇에 담은 뒤, 생강즙과 청주, 소금을 뿌리고 찜기에 넣어 찐다.
7. 6에 잘게 다진 청양고추를 넣고 찐다.
8. 라면 면을 삶는다.
9. 대파를 가늘게 채 썬다.
10. 간장, 맛술, 설탕을 섞어 간장소스를 만든다.
11. 스리라차소스, 간장, 식초를 섞어 양념을 만든다.
12. 삶은 면을 체에 밭쳐 찬물에 헹군다.
13. 면을 삶았던 물에 간장, 굴소스볶음소스, 된장을 넣고 끓인다.
14. 핸드블렌더에 청양고추를 넣고 곱게 간다.
15. 굴소스육수에 곱게 간 청양고추를 넣고 끓인다.
16. 찬물에 식힌 면을 굴소스육수에 토렴한 뒤, 그릇에 담는다.
17. 16 위에 볶은 소갈빗살과 채소를 올리고, 굴소스육수를 부어 소고기탕면을 만든다.
18. 기름을 두른 팬에 대구살찜을 올린 뒤, 간장소스를 붓고 파채를 얹는다.
19. 18 위에 끓는 기름을 부어 익힌다.
20. 대구살찜 위에 스리라차양념을 얹어 마무리한다.</t>
  </si>
  <si>
    <t>&lt;김풍 - 김완섬&gt;
● 재료
대구살, 팽이버섯, 불린 쌀, 밀가루,
전분, 대파, 고춧가루, 간장, 설탕,
청양고추, 마늘, 소금, 후추, 다진 생강, 맛술
● 조리방법
1. 핸드블렌더에 불린 쌀, 밀가루, 전분, 물을 넣고 갈아 딤섬피 반죽을 만든다.
2. 끓는 기름에 대파, 고춧가루를 넣고 끓여 고추기름을 낸다.
3. 기름을 두른 팬에 간장, 설탕을 넣고 태운다.
4. 3에 물을 부어 간장소스를 만든다.
5. 간장소스를 체에 거른다.
6. 간장소스에 잘게 썬 청양고추와 대파, 으깬 마늘을 넣는다.
7. 대구살을 적당한 크기로 썬다.
8. 기름을 두른 팬에 적당한 크기로 썬 대구살과 소금, 후추, 다진 생강, 으깬 마늘을 넣고 볶는다.
9. 8에 맛술과 적당한 크기로 썬 팽이버섯을 넣고 볶는다.
10. 마른 팬에 딤섬피 반죽을 붓고, 뚜껑을 덮어 익힌다.
11. 딤섬피 위에 볶은 대구살과 팽이버섯을 올리고 돌돌 만다.
12. 11을 그릇에 담는다.
13. 고추기름을 체에 밭쳐 거른다.
14. 대구팽이버섯딤섬 위에 간장소스를 끼얹는다.
15. 14 위에 고추기름을 뿌려 마무리한다.</t>
  </si>
  <si>
    <t>&lt;정호영 - 낙낙낙낙 낙지호롱♬&gt;
● 재료
낙지, 대패삼겹살, 가츠오부시, 설탕,
청주, 맛술, 간장, 마늘, 대파, 식초,
달걀, 고춧가루
● 조리방법
1. 냄비에 물, 설탕, 청주, 맛술, 간장을 1:1:1:1:1 비율로 넣고 끓여 간장소스를 만든다.
2. 간장소스에 으깬 마늘을 넣는다.
3. 낙지 머리의 내장을 빼고 손질한다.
4. 핸드블렌더에 대패삼겹살과 대파 흰 부분을 넣고 곱게 간다.
5. 손질한 낙지 머리 안에 곱게 간 대패삼겹살을 채워 넣고 이쑤시개로 고정시켜 낙지만두를 만든다.
6. 낙지만두를 간장소스 안에 넣고 조린다.
7. 낙지 머리를 나무젓가락에 끼운 뒤, 낙지 다리를 나무젓가락에 돌돌 말아 낙지호롱을 만든다.
8. 낙지호롱에 대패삼겹살을 돌돌 만다.
9. 마른 그릴팬에 낙지호롱을 굽다가 청주를 붓는다.
10. 낙지호롱에 간장소스를 부어가며 굽는다.
11. 맛술, 물, 식초, 설탕, 간장, 달걀노른자를 섞는다.
12. 11을 끓는 물 위에서 중탕하며 계속 저어 기미스소스를 만든다.
13. 기미스소스에 가츠오부시를 넣는다.
14. 기미스소스를 체에 밭쳐 곱게 거른다.
15. 접시에 기미스소스를 담는다.
16. 기미스소스 위에 낙지호롱과 낙지만두를 올린다.
17. 고춧가루를 뿌려 마무리한다.</t>
  </si>
  <si>
    <t>냉장고를 부탁해 시즌 1, 150화</t>
  </si>
  <si>
    <t>&lt;미카엘 - 유러피안 낙지&gt;
● 재료
낙지, 콜라, 허브솔트, 바질가루, 화이트와인,
자몽, 양배추, 파프리카, 애호박, 식빵,
아몬드, 새우, 느타리버섯, 마늘쫑, 귤,
통후추, 마늘, 당근, 소금, 올리브오일, 버터
● 조리방법
1. 끓는 물에 낙지를 삶는다.
2. 낙지를 삶는 물에 콜라를 넣는다.
3. 통후추, 허브솔트, 바질가루, 화이트와인, 와인코르크마개를 넣고 삶는다.
4. 으깬 마늘과 자몽 껍질도 넣고 삶는다.
5. 양배추를 가늘게 채 썬다.
6. 자몽을 적당한 크기로 썰고, 자몽즙을 내 볼에 담아둔다.
7. 파프리카, 당근, 애호박을 채 썬다.
8. 손질한 채소에 소금, 자몽즙, 올리브오일, 후추를 넣고 버무려 자몽채소샐러드를 만든다.
9. 식빵은 테두리부분을 잘라내고, 깍둑썰기 한다.
10. 식빵 위에 허브솔트와 버터를 뿌린 뒤, 오븐에 구워 크루통을 만든다.
11. 아몬드를 잘게 다져 마른 팬에 볶는다.
12. 버터를 녹인 그릴 팬에 손질한 새우를 넣고 볶는다.
13. 12에 느타리버섯과 소금을 넣고 볶는다.
14. 크루통에 고춧가루를 뿌린다.
15. 삶은 낙지를 그릴팬에 굽는다.
16. 접시에 자몽채소샐러드를 담은 뒤, 볶은 새우와 느타리버섯을 곁들인다.
17. 잘게 썬 마늘쫑, 귤, 볶은 아몬드를 곁들인다.
18. 삶아서 구운 낙지를 적당한 크기로 썰어 올리고, 크루통을 뿌려 마무리한다.</t>
  </si>
  <si>
    <t>&lt;이연복 - 복사부일체&gt;
● 재료
호두, 잣, 가지, 말린 새송이버섯, 파프리카,
애호박, 오징어, 새우, 굴소스, 소면, 대파,
고춧가루, 양파, 마늘, 간장, 후추, 맛술,
식초, 참기름, 달걀
● 조리방법
1. 대파 흰 부분을 적당한 크기로 썰어 끓는 기름에 넣고 끓인다.
2. 파기름에 고춧가루를 넣어 고추기름을 낸다.
3. 기름을 두른 팬에 잘게 다진 호두와 잣을 넣고 볶아 견과류기름을 낸다.
4. 견과류기름을 체에 밭쳐 기름만 고추기름에 넣는다.
5. 가지를 적당한 두께로 썰어 그릴팬에 굽는다.
6. 말린 새송이버섯을 물에 불린 후, 물기를 짠다.
7. 파프리카, 양파, 애호박을 가늘게 채 썬다.
8. 오징어는 손질해서 껍질을 벗긴다.
9. 새우의 껍질을 벗기고 편으로 썬다.
10. 끓는 물에 손질한 오징어와 새우를 데친 뒤, 찬물에 헹궈둔다.
11. 고추기름을 체에 밭쳐 건더기를 걸러낸다.
12. 데친 오징어와 대파 흰 부분을 적당한 크기로 썰고, 마늘은 으깬다.
13. 고추기름을 두른 팬에 손질한 채소들을 넣고 볶다가 간장, 후추, 굴소스, 맛술, 식초, 물을 넣고 볶는다.
14. 볶던 채소에 손질한 오징어와 새우를 넣고 볶는다.
15. 소면을 삶는다.
16. 접시에 구운 가지를 담는다.
17. 삶은 소면을 찬물에 헹군 뒤, 참기름을 넣고 버무린다.
18. 구운 가지 위에 참기름에 버무린 소면을 올린다.
19. 달걀흰자로 머랭을 친다.
20. 고추기름을 두른 팬에 대파 흰 부분과 데친 새우를 넣고 볶다가 물을 붓는다.
21. 접시에 해산물채소볶음을 얹는다.
22. 볶던 새우에 머랭, 볶은 견과류를 넣고 함께 볶는다.
23. 해산물볶음 위에 머랭새우볶음을 얹어 마무리한다.</t>
  </si>
  <si>
    <t>&lt;샘킴 - 넌 학생이고 난 샘이야&gt;
● 재료
마, 애호박, 가지, 파프리카, 황태채, 두유,
발사믹드레싱, 바질가루, 잣, 식빵, 새우,
양파, 밀가루, 소금, 후추, 버터, 밀가루,
레몬, 올리브오일
● 조리방법
1. 껍질을 벗긴 마를 얇게 슬라이스 한 뒤, 삶는다.
2. 양파, 애호박, 가지, 파프리카를 잘게 썬다.
3. 마른 팬에 손질한 채소를 넣고 밀가루, 소금, 후추를 뿌려 볶는다.
4. 전자레인지에 황태채를 넣고 돌린다.
5. 마른 팬에 버터, 밀가루를 볶아 루를 만든 뒤, 두유를 넣고 끓여 두유크림소스를 만든다.
6. 전자레인지에 돌린 황태채를 핸드블렌더로 곱게 간다.
7. 냄비에 삶은 마를 넣고 으깬 뒤, 소금, 황태채가루를 넣고 볶는다.
8. 7을 두유소스에 넣고 끓여 황태크림소스를 만든다.
9. 발사믹드레싱, 레몬즙, 올리브오일을 섞은 뒤, 볶은 채소와 바질가루를 넣고 절인다.
10. 채소절임에 다진 잣을 넣고 섞는다.
11. 식빵은 테두리부분을 잘라낸 뒤, 밀대로 얇게 밀어 마른 팬에 굽는다.
12. 기름을 두른 팬에 새우를 굽다가, 소금, 후추로 간 한다.
13. 접시에 황태크림소스를 담은 뒤, 채소절임을 올리고 레몬조각을 곁들인다.
14. 구운 식빵을 적당한 크기로 썰어 식빵칩을 만든다.
15. 접시에 식빵칩을 얹은 뒤, 구운 새우를 올린다.
16. 후추를 뿌려 마무리한다.</t>
  </si>
  <si>
    <t>&lt;레이먼킴 - 조기 이즈 베리 임폴턴트&gt;
● 재료
조기, 마늘꿀, 녹차티백, 명란젓, 아몬드,
잣, 크랜베리, 가지, 오리엔탈드레싱, 후추,
맛술, 대파, 청양고추, 고추냉이, 마요네즈,
간장, 달걀, 즉석밥, 버터, 소금
● 조리방법
1. 조기는 머리를 잘라내고 지느러미와 가시를 발라 넓게 펼친다.
2. 손질한 조기에 후추를 뿌리고 마늘꿀을 바른다.
3. 기름을 두른 팬에 양념한 조기를 굽다가 맛술을 뿌린다.
4. 대파를 넓게 펼쳐 조기와 함께 굽는다.
5. 달궈진 찜기에 녹차잎을 넣은 뒤, 구운 조기를 훈연한다.
6. 훈연한 조기를 구운 대파로 감싸 돌돌 만 뒤, 다시 한 번 훈연한다.
7. 잘게 썬 청양고추, 명란젓, 고추냉이, 마요네즈, 간장을 섞어 명란마요소스를 만든다.
8. 명란마요소스에 달걀노른자를 넣고 섞은 뒤, 소스종지에 담아낸다.
9. 기름을 두른 팬에 즉석밥을 넣고, 아몬드, 잣, 크랜베리를 넣어 볶는다.
10. 견과류볶음밥에 물, 버터, 소금을 넣고 볶는다.
11. 접시에 견과류볶음밥을 담는다.
12. 가지를 적당한 크기로 썬다.
13. 기름을 두른 팬에 가지를 굽는다.
14. 견과류볶음밥 위에 훈연한 조기를 올린다.
15. 구운 가지에 오리엔탈드레싱을 넣고 버무린다.
16. 견과류볶음밥과 조기가 담긴 접시에 구운 가지를 곁들여 마무리한다.</t>
  </si>
  <si>
    <t>냉장고를 부탁해 시즌 1, 151화</t>
  </si>
  <si>
    <t>&lt;오세득 - 돈테크만&gt;
● 재료
삼겹살, 오징어, 발사믹식초, 딸기잼, 잣,
우유, 쯔유, 홍삼진액, 소금, 식용유, 대파,
설탕, 청주, 연겨자, 간장, 식초, 맛술,
고춧가루, 버터
● 조리방법
1. 삽겹살에 칼집을 내고 소금으로 간을 한다.
2. 기름을 두른 냄비에 칼집을 낸 삼겹살과 대파를 넣고 익힌다.
3. 오징어의 껍질을 벗겨내고 가늘게 채 썬 뒤, 소금으로 간을 한다.
4. 팬에 발사믹식초, 설탕, 딸기잼을 넣고 끓여 발사믹소스를 만든다.
5. 삼겹살을 익히는 기름에 청주를 붓고 올라오는 김에 불을 붙여 오징어를 익힌다.
6. 마른 팬에 잣을 볶은 뒤 핸드블렌더에 넣고 곱게 간다.
7. 곱게 간 잣에 우유를 붓고 다시 한 번 갈아 잣소스를 만든다.
8. 잣소스에 쯔유, 연겨자를 넣고 섞은 뒤, 익힌 오징어를 넣고 버무린다.
9. 접시에 잣소스에 버무린 오징어를 담는다.
10. 대파 흰 부분을 어슷하게 채 썬 뒤, 얼음물에 담가둔다.
11. 간장, 식초, 맛술, 설탕을 섞어 간장소스를 만든다.
12. 채 썬 대파의 물기를 빼고 간장소스에 버무린 뒤, 고춧가루를 뿌린다.
13. 익힌 삼겹살을 적당한 크기로 썬 뒤, 다시 한 번 파기름에 익힌다.
14. 발사믹소스에 홍삼진액, 물, 버터를 넣고 졸여 발사믹홍삼소스를 만든다.
15. 접시에 발사믹홍삼소스를 뿌린다.
16. 잣소스에 버무린 오징어 위에 익힌 삼겹살과 파채무침을 올려 마무리한다.</t>
  </si>
  <si>
    <t>&lt;김풍 - 출발! 짜글이 여행&gt;
● 재료
무, 새우젓, 게맛살, 새송이버섯, 명란젓,
쯔유, 들기름, 된장, 고춧가루, 식초,
대파, 즉석밥, 마늘
● 조리방법
1. 들기름을 두른 팬에 된장을 볶는다.
2. 무는 껍질을 벗기고 채 썬다.
3. 볶은 된장에 채 썬 무와 새우젓을 넣고 볶는다.
4. 무를 볶던 팬에 게맛살을 찢어 넣는다.
5. 4에 고춧가루와 채 썬 새송이버섯을 넣고 볶는다.
6. 명란젓을 손질해 팬에 넣고 다른 재료들과 함께 볶는다.
7. 볶던 재료에 강판에 간 무를 넣는다.
8. 볶던 재료에 물, 쯔유, 식초, 적당한 크기로 썬 대파를 넣고 끓여 짜글이를 만든다.
9. 즉석밥을 전자레인지에 돌린다.
10. 짜글이에 으깬 마늘을 넣고 끓인다.
11. 밥그릇에 밥을 담는다.
12. 양은냄비에 짜글이를 옮겨 담아 마무리한다.</t>
  </si>
  <si>
    <t>&lt;유현수 - 명불허전 그뤠잇!&gt;
● 재료
삼겹살, 맥주, 양파장아찌, 매운볶음소스, 고춧가루,
매실액, 참치액, 새송이버섯, 낫토, 명란젓,
게맛살, 식용유, 대파, 양파, 깨, 홍고추,
청양고추, 설탕, 즉석밥, 후추
● 조리방법
1. 끓는 기름에 대파를 넣고 끓여 파기름을 낸다.
2. 삼겹살을 적당한 크기로 썬다.
3. 끓는 물에 맥주를 부은 뒤, 손질한 삼겹살을 넣고 익힌다.
4. 맥주에 익힌 삼겹살을 체에 밭쳐 물기를 뺀다.
5. 양파를 강판에 곱게 간다.
6. 간 양파와 양파장아찌, 매운볶음소스, 고춧가루, 깨, 매실액, 참치액을 섞어 돼지불백 양념을 만든다.
7. 양파, 대파, 새송이버섯, 홍고추, 청양고추를 적당한 크기로 썬다.
8. 팬에 파기름을 두른 뒤 데친 삼겹살을 볶는다.
9. 볶은 삼겹살에 돼지불백 양념과 손질한 채소들을 넣고 볶다가, 설탕을 넣는다.
10. 낫토와 명란젓을 섞은 뒤, 김에 싼다.
11. 10에 밀가루&gt;튀김반죽을 순서대로 입혀 기름에 튀긴 뒤 기름기를 뺀다.
12. 즉석밥을 전자레인지에 돌린다.
13. 돼지불백에 후추를 넣는다.
14. 돼지불백에 채 썬 새송이버섯과 잘게 찢은 게맛살을 넣고 볶는다.
15. 돼지불백을 팬에 옮겨 담는다.
16. 밥그릇에 밥을 담는다.
17. 돼지불백 위에 명란낫토튀김을 올려 마무리한다.</t>
  </si>
  <si>
    <t>&lt;레이먼킴 - HOT한 갈비찜&gt;
● 재료
인스턴트 소갈비탕, 새송이버섯, 콩나물,
쌈장, 볶음고추장, 감자칩과자, 감자스틱과자,
김과자, 새우맛 누룽지과자, 소주, 양파, 대파,
다진 마늘, 다진 생강, 간장, 설탕, 참기름,
청양고추, 맛술, 고춧가루, 달걀, 전분
● 조리방법
1. 인스턴트 소갈비탕의 소갈비와 국물을 분리한다.
2. 양파, 새송이버섯, 대파를 적당한 크기로 썰어 기름을 두른 팬에 볶는다.
3. 인스턴트 소갈비탕 국물에 다진 마늘, 다진 생강, 간장, 설탕, 참기름을 넣고 섞어 육수를 만든다.
4. 볶던 채소에 육수를 넣고 졸인다.
5. 육수를 부어 끓이던 채소에 콩나물, 쌈장, 청양고추, 맛술, 소갈비, 볶음고추장, 고춧가루를 넣고 졸여 갈비찜을 만든다.
6. 믹서기에 감자칩과자, 감자스틱과자, 김과자, 새우맛 누룽지과자를 넣고 곱게 간다.
7. 곱게 간 과자가루에 인스턴트 소갈비탕 국물, 달걀노른자, 전분, 볶음고추장을 섞어 장떡반죽을 만든다.
8. 기름을 두른 팬에 장떡반죽을 구워 장떡을 만든다.
9. 다진 마늘을 체에 밭쳐 물에 헹구고 물기를 짠 뒤, 갈비찜에 넣는다.
10. 접시에 장떡을 담고, 들기름을 바른다.
11. 그릇에 갈비찜을 담고, 잘게 썬 대파를 올려 마무리한다.</t>
  </si>
  <si>
    <t>냉장고를 부탁해 시즌 1, 152화</t>
  </si>
  <si>
    <t>&lt;김풍 - 입덕볶이&gt;
● 재료
새송이버섯, 통조림 햄, 인스턴트 비빔냉면,
인스턴트 짜장, 콩나물, 고량주, 간장, 맛술,
전분, 밀가루, 달걀, 대파, 고추장, 고춧가루,
마늘, 설탕, 양파
● 조리방법
1. 끓는 물에 간장, 맛술을 넣고 끓인다.
2. 새송이버섯을 떡 모양으로 길쭉하게 썬다.
3. 손질한 새송이버섯을 간장물에 넣고 익힌다.
4. 전분, 밀가루, 달걀흰자를 섞어 반죽한다.
5. 익힌 새송이버섯에 반죽을 입힌 뒤, 다시 간장물에 넣고 삶는다.
6. 마른 팬에 두드려서 적당한 크기로 썬 대파, 으깬 통조림 햄, 비빔냉면수프, 고추장, 고춧가루, 간장을 넣고 볶아 떡볶이 양념을 만든다.
7. 떡볶이 양념에 마늘을 으깨 넣는다.
8. 떡볶이 양념에 인스턴트 짜장, 콩나물, 뜨거운 물, 설탕, 적당한 크기로 썬 양파를 넣고 끓인다.
9. 끓는 기름에 인스턴트 냉면을 넣고 튀긴다.
10. 그릇에 튀긴 냉면을 부숴 넣는다.
11. 떡볶이 양념에 전분물을 넣어 농도를 조절한다.
12. 반죽을 입혀 삶은 새송이버섯을 떡볶이 양념에 넣고 졸인다.
13. 냉면튀김 위에 버섯떡볶이를 올린다.</t>
  </si>
  <si>
    <t>&lt;정호영 - 소생소사&gt;
● 재료
소고기 등심, 아스파라거스, 새송이버섯, 회과육소스,
땅콩버터, 새우과자, 마카다미아, 간장, 맛술,
청주, 설탕, 맛술, 연겨자, 식초, 마요네즈,
홍고추, 청양고추, 양파, 마늘, 고춧가루, 고추장, 레몬
● 조리방법
1. 소고기 등심은 힘줄을 제거하고 적당한 크기로 자른다.
2. 아스파라거스와 새송이버섯을 적당한 크기로 자른다.
3. 꼬치에 손질한 소고기등심, 새송이버섯, 아스파라거스를 끼운다.
4. 간장, 맛술, 청주, 설탕, 물, 회과육소스를 섞어 양념을 만든 뒤, 소고기 꼬치에 재운다.
5. 뜨거운 물, 땅콩버터, 설탕, 맛술, 연겨자, 식초, 마요네즈를 섞어 땅콩버터소스를 만든다.
6. 그릴팬에 양념에 재워둔 소고기 꼬치를 구워 소고기 사테를 만든다.
7. 굽던 소고기 사테에 후추를 뿌린다.
8. 끓는 물에 적당한 크기로 썬 홍고추와 청양고추, 식초, 양파, 마늘을 넣고 끓인다.
9. 8과 새우과자를 핸드블렌더에 넣고 갈아 삼발소스를 만든다.
10. 삼발소스에 설탕, 식초를 넣고 간다.
11. 종지에 땅콩버터소스를 담는다.
12. 마른 팬에 마카다미아를 볶은 뒤, 잘게 다져 땅콩버터소스 위에 올린다.
13. 접시에 소고기 사테를 담는다.
14. 삼발소스에 회과육소스를 넣는다.
15. 14에 고춧가루를 넣은 뒤 핸드블렌더로 곱게 간다.
16. 삼발소스에 고추장을 넣고 곱게 간다.
17. 삼발소스를 종지에 담은 뒤, 레몬즙을 뿌린다.
18. 소고기 사테, 땅콩버터소스, 삼발소스를 함께 낸다.</t>
  </si>
  <si>
    <t>&lt;오세득 - 닭스키스&gt;
● 재료
닭, 콜라, 땅콩버터, 맥주, 오렌지, 곡물시리얼,
소금, 전분, 마늘, 대파, 고춧가루, 홍고추,
참기름, 설탕, 고추장, 마요네즈, 간장, 청양고추
● 조리방법
1. 닭다리를 발골한다.
2. 적당한 크기로 자른 닭다리살에 소금으로 간 한 뒤, 전분을 입혀 기름에 튀긴다.
3. 끓는 기름에 으깬 마늘, 대파, 고춧가루를 끓여 고추기름을 낸다.
4. 홍고추를 토치로 직화해 껍질을 태운다.
5. 태운 홍고추의 껍질을 벗겨낸 뒤, 적당한 크기로 썬다.
6. 핸드블렌더에 홍고추, 참기름, 설탕, 체에 거른 고추기름, 콜라를 넣고 갈아 칠리소스를 만든다.
7. 땅콩버터, 고추장, 칠리소스, 마요네즈, 간장을 섞어 칠리땅콩버터소스를 만든다.
8. 대파 흰 부분, 홍고추, 청양고추를 적당한 크기로 썬다.
9. 기름을 두른 팬에 손질한 채소를 볶다가 맥주를 붓고 끓인다.
10. 9에 오렌지즙, 설탕을 넣고 끓여 오렌지맥주소스를 만든다.
11. 종지에 칠리땅콩버터소스를 담아낸다.
12. 오렌지맥주소스에 전분물을 넣어 농도를 조절한다.
13. 볼에 오렌지맥주소스, 튀긴 닭다리살을 넣고 오렌지껍질을 갈아 넣어 잘 섞어준다.
14. 비닐백에 곡물시리얼을 넣고 잘게 부순 뒤 오렌지맥주소스에 버무린 닭다리살 튀김에 더한다.
15. 오렌지맥주소스에 버무린 닭다리살튀김을 접시에 담아낸다.</t>
  </si>
  <si>
    <t>&lt;샘킴 - 삼겹살~ 왜 내 맘을 흔드는 건데♬&gt;
● 재료
삼겹살, 굴소스, 소금, 후추, 마늘, 대파,
양파, 식용유, 고춧가루, 간장, 식초, 설탕, 다진 마늘,
고추, 홍고추, 올리브오일, 레몬, 깨, 참기름
● 조리방법
1. 삼겹살을 적당한 크기로 썬다.
2. 기름을 두른 팬에 손질한 삼겹살을 볶다가 소금, 후추로 간 한다.
3. 볶은 삼겹살을 덜어두고, 같은 팬에 적당한 크기로 썬 마늘과 대파, 양파를 볶는다.
4. 볼에 기름, 고춧가루를 넣고 전자레인지에 돌려 고추기름을 낸 뒤, 체에 밭쳐 건더기를 거른다.
5. 간장, 물, 굴소스, 식초, 설탕, 다진 마늘을 섞어 간장소스를 만든다.
6. 기름을 두른 그릴팬에 대파, 고추, 홍고추를 굽는다.
7. 볶던 채소에 잘게 썬 홍고추와 볶아둔 삼겹살을 넣고 함께 볶는다.
8. 굽던 채소에 소금을 뿌린다.
9. 볶던 재료에 간장소스를 넣고 볶아 간장삼겹살볶음을 만든다.
10. 간장삼겹살볶음에 설탕을 넣는다.
11. 간장삼겹살볶음에 구운 대파를 넣어 간장소스를 입힌다.
12. 구운 고추와 홍고추를 적당한 크기로 썬 뒤, 올리브오일, 레몬즙, 소금, 후추를 뿌린다.
13. 접시에 구운 대파를 담은 뒤, 간장삼겹살볶음을 올린다.
14. 13 위에 잘게 썬 대파를 올린다.
15. 간장삼겹살볶음 위에 올리브오일에 절인 구운 고추를 얹는다.
16. 깨, 고추기름, 참기름을 차례로 뿌려 마무리한다.</t>
  </si>
  <si>
    <t>냉장고를 부탁해 시즌 1, 153화</t>
  </si>
  <si>
    <t xml:space="preserve">&lt;이재훈 - 삼겹살DNA&gt;
●재료
삼겹살, 소시지, 햄, 칠리페퍼소스, 검은콩두유,
마늘, 양파, 당근, 대파, 올리브오일, 식초, 레몬,
홍고추, 소금, 후추, 다진 마늘, 버터, 달걀, 청양고추
● 조리방법
1. 삼겹살을 적당한 크기로 썬다.
2. 기름을 두른 팬에 통마늘을 볶는다.
3. 통마늘을 볶던 팬에 소시지, 햄을 적당한 크기로 썰어 넣고 함께 볶는다.
4. 양파, 당근, 대파를 적당한 크기로 썬다.
5. 볶던 재료에 손질한 채소를 넣고 함께 볶는다.
6. 올리브오일, 식초, 레몬즙, 칠리페퍼소스를 섞어 칠리소스를 만든다.
7. 적당한 크기로 썬 양파와 홍고추에 칠리소스, 소금, 후추, 잘게 썬 대파를 버무린 뒤, 종지에 담는다.
8. 기름을 두른 팬에 다진 마늘, 버터를 넣고 볶다가 달걀물을 넣고 에그스크램블을 만든다.
9. 에그스크램블에 즉석밥을 넣고 볶아 달걀밥을 만든다.
10. 달걀밥에 소금, 후추로 간 한다.
11. 볶던 재료에 레드와인, 뜨거운 물, 검은콩 두유를 넣고 끓여 페이조아다를 만든다.
12. 페이조아다에 후추를 뿌린다.
13. 페이조아다에 소금, 적당한 크기로 썬 대파와 청양고추를 넣고 끓인다.
14. 접시에 달걀밥을 담는다.
15. 달걀밥과 함께 페이조아다를 담아낸다.
</t>
  </si>
  <si>
    <t>&lt;이연복 - 골풍기&gt;
●재료
골뱅이 통조림, 우유, 굴소스, 가래떡, 땅콩버터,
모차렐라치즈, 견과류, 양파, 대파, 고춧가루, 밀가루,
버터, 소금, 당근, 청양고추, 간장, 맛술, 식초, 설탕, 후추
● 조리방법
1. 양파를 채 썰어 얼음물에 담가둔다.
2. 끓는 기름에 적당한 크기로 썬 대파와 양파를 넣고 끓이다가, 고춧가루를 넣어 고추기름을 낸다.
3. 골뱅이를 적당한 크기로 썬다.
4. 밀가루, 물을 섞어 튀김반죽을 만든다.
5. 골뱅이에 튀김반죽을 입혀 기름에 튀긴다.
6. 골뱅이 튀김을 건져 기름기를 뺀다.
7. 냄비에 버터를 녹인다.
8. 녹인 버터에 잘게 썬 양파, 밀가루, 우유를 넣고 끓여 베샤멜소스를 만든다.
9. 베샤멜소스에 소금, 굴소스를 넣고 끓인다.
10. 9에 적당한 크기로 썬 골뱅이와 가래떡을 넣고 끓여 골뱅이 크림수프를 만든다.
11. 골뱅이 크림수프에 땅콩버터를 넣는다.
12. 골뱅이 크림수프에 모차렐라치즈를 넣는다.
13. 핸드블렌더에 견과류를 곱게 간다.
14. 대파, 양파, 당근, 청양고추는 잘게 썰고, 마늘은 으깬다.
15. 고추기름을 체에 밭쳐 건더기를 건져낸다.
16. 팬에 고추기름을 두른 뒤, 손질한 채소, 간장, 맛술, 식초, 설탕, 굴소스, 후추를 넣고 볶아 깐풍소스를 만든다.
17. 깐풍소스에 골뱅이 튀김을 넣고 볶는다.
18. 얼음물에 담가뒀던 양파채를 접시에 깐 뒤, 골뱅이 깐풍기를 올린다.
19. 골뱅이 깐풍기 위에 곱게 간 견과류를 뿌린다.
20. 골뱅이 깐풍기와 골뱅이 크림수프를 따로 낸다.</t>
  </si>
  <si>
    <t>&lt;유현수 -김치 곱빼기&gt;
● 재료
배추김치, 사골국, 간 돼지고기, 인스턴트 양념곱창,
두부, 무, 데친 참나물, 고구마순김치, 명이나물장아찌,
표고버섯, 팽이버섯, 양파, 대파, 소금, 고추장, 참기름,
설탕, 깨, 식초, 고춧가루, 홍고추, 고추, 다진 마늘, 즉석밥
● 조리방법
1. 끓는 물에 배추김치와 사골국을 넣고 끓인다.
2. 기름을 두른 팬에 적당한 크기로 썬 양파, 대파를 볶다가 간 돼지고기와 인스턴트 양념곱창을 넣고 볶는다.
3. 기름을 두른 팬에 적당한 크기로 썬 두부를 굽는다.
4. 생두부를 으깬 뒤 볶던 재료에 넣는다.
5. 4를 끓이던 김칫국에 넣고 끓여 김치전골을 만든다.
6. 무를 얇게 썬 뒤, 소금물에 절여둔다.
7. 절인 무에 고추장, 참기름, 설탕을 버무려 기름을 두른 팬에 굽는다.
8. 배추김치를 물에 씻은 뒤, 가늘게 채 썬다.
9. 적당한 크기로 썬 데친 참나물, 고구마순김치와 다진 깨를 버무려 참나물 김치무침을 만든다.
10. 핸드블렌더로 명이나물장아찌를 곱게 간다.
11. 참나물 김치무침에 곱게 간 명이나물장아찌와 참기름, 식초를 넣고 버무린다.
12. 접시에 참나물 김치무침을 담는다.
13. 끓이던 김치전골에 식초, 설탕, 고춧가루를 넣는다.
14. 김치전골에 적당한 크기로 썬 홍고추, 표고버섯, 고추, 마늘즙을 넣고 끓인다.
15. 그릇에 밥을 담는다.
16. 김치전골 위에 무구이와 구운 두부, 팽이버섯을 올린다.
17. 잘게 썬 대파를 올려 마무리한다.</t>
  </si>
  <si>
    <t>&lt;레이먼킴 - 레이먼킴치&gt;
● 재료
배추김치, 사과, 요거트, 돼지목살, 고구마순김치,
달걀, 조미김, 사골국, 돼지등심 스테이크, 당근,
청양고추, 마요네즈, 올리브오일, 즉석밥, 달걀,
전분, 양파, 대파, 맛술, 밀가루, 버터
● 조리방법
1. 배추김치를 물에 씻는다.
2. 씻은 배추김치와 사과, 당근, 청양고추를 가늘게 채 썬다.
3. 채 썬 재료에 마요네즈, 요거트를 넣고 섞어 김치샐러드를 만든다.
4. 세 개의 팬에 돼지목살의 비계를 구워 돼지기름을 낸다.
5. 각 팬에 올리브오일을 두른다.
6. 적당한 크기로 썬 고구마순김치와 밥, 달걀노른자, 부순 조미김, 전분을 섞어 밥전반죽을 만든다.
7. 기름을 두른 팬에 밥전반죽을 부쳐 고구마순김치밥전을 만든다.
8. 기름을 두른 팬에 적당한 크기로 썬 배추김치를 볶는다.
9. 8에 채 썬 양파와 적당한 크기로 썬 대파 흰 부분, 구운 돼지목살 비계를 넣고 볶는다.
10. 볶던 재료에 맛술, 밀가루, 버터를 넣는다.
11. 볶던 재료에 사골국을 넣고 끓여 김치소스를 만든다.
12. 돼지등심 스테이크의 뼈를 제거한 뒤, 돼지기름을 기름을 두른 팬에 굽는다.
13. 김치소스를 체에 밭쳐 국물만 걸러내 끓인다.
14. 김치소스를 종지에 담아낸다.
15. 고구마순김치밥전을 적당한 크기로 잘라 접시에 올린다.
16. 고구마순김치밥전 위에 적당한 크기로 썬 돼지등심 스테이크를 올린 뒤, 고구마순김치밥전으로 덮는다.
17. 16 위에 김치샐러드를 올린다.
18. 김치소스 건더기를 잘게 다져 곁들인다.</t>
  </si>
  <si>
    <t>냉장고를 부탁해 시즌 1, 154화</t>
  </si>
  <si>
    <t>&lt;유현수 -김치 곱빼기&gt;
● 재료
배추김치, 사골국, 간 돼지고기, 인스턴트 양념곱창,
두부, 무, 데친 참나물, 고구마순김치, 명이나물장아찌,
표고버섯, 팽이버섯, 양파, 대파, 소금, 고추장, 참기름,
설탕, 깨, 식초, 고춧가루, 홍고추, 고추, 다진 마늘, 즉석밥
● 조리방법
1. 끓는 물에 배추김치와 사골국을 넣고 끓인다.
2. 기름을 두른 팬에 적당한 크기로 썬 양파, 대파를 볶다가 간 돼지고기와 인스턴트 양념곱창을 넣고 볶는다.
3. 기름을 두른 팬에 적당한 크기로 썬 두부를 굽는다.
4. 생두부를 으깬 뒤 볶던 재료에 넣는다.
5. 4를 끓이던 김칫국에 넣고 끓여 김치전골을 만든다.
6. 무를 얇게 썬 뒤, 소금물에 절여둔다.
7. 절인 무에 고추장, 참기름, 설탕을 버무려 기름을 두른 팬에 굽는다.
8. 배추김치를 물에 씻은 뒤, 가늘게 채 썬다.
9. 적당한 크기로 썬 데친 참나물, 고구마순김치와 다진 깨를 버무려 참나물 김치무침을 만든다.
10. 핸드블렌더로 명이나물장아찌를 곱게 간다.
11. 참나물 김치무침에 곱게 간 명이나물장아찌와 참기름, 식초를 넣고 버무린다.
12. 접시에 참나물 김치무침을 담는다.
13. 끓이던 김치전골에 식초, 설탕, 고춧가루를 넣는다.
14. 김치전골에 적당한 크기로 썬 홍고추, 표고버섯, 고추, 마늘즙을 넣고 끓인다.
15. 그릇에 밥을 담는다.
16. 김치전골 위에 무구이와 구운 두부, 팽이버섯을 올린다.
17. 잘게 썬 대파를 올려 마무리한다.</t>
  </si>
  <si>
    <t>&lt;이연복 - 복스테이크&gt;
● 재료
돼지목살, 애호박, 단호박, 더덕, 표고버섯, 매실액,
칼라만시 원액, 배, 달걀, 굴소스, 올리브오일, 마늘,
대파, 고춧가루, 양파, 청양고추, 간장, 설탕, 맛술,
후추, 즉석밥, 당근, 달걀
● 조리방법
1. 돼지목살에 올리브오일을 버무린다.
2. 그릴팬에 올리브오일에 버무린 돼지목살을 굽는다.
3. 마늘을 편으로 썬다.
4. 끓는 기름에 편으로 썬 마늘을 튀겨 마늘칩을 만든다.
5. 마늘칩을 건져낸 기름에 적당한 크기로 썬 대파와 고춧가루를 끓여 고추기름을 낸다.
6. 애호박, 단호박, 양파, 청양고추, 대파, 더덕을 적당한 크기로 썬다.
7. 고추기름을 체에 밭쳐 건더기를 걸러낸다.
8. 고추기름을 두른 팬에 손질한 채소를 볶는다.
9. 볶던 재료에 적당한 크기로 썬 표고버섯을 넣고 볶는다.
10. 간장, 매실액, 칼라만시 원액, 설탕, 맛술, 후추를 섞어 간장소스를 만든다.
11. 핸드블렌더에 배를 곱게 간 뒤, 간장소스에 섞는다.
12. 구운 돼지목살을 적당한 크기로 썬다.
13. 적당한 크기로 썬 돼지목살을 간장소스에 버무린다.
14. 간장소스에 버무린 돼지목살을 고추기름에 볶은 채소와 함께 볶아 찹스테이크를 만든다.
15. 즉석밥을 전자레인지에 돌린다.
16. 대파와 당근을 잘게 다진다.
17. 기름을 두른 팬에 잘게 다진 대파와 당근을 넣고, 달걀을 풀어 볶는다.
18. 17에 밥을 넣고 함께 볶다가 간장, 굴소스로 간을 한다.
19. 볶음밥에 잘게 썬 청양고추를 넣는다.
20. 달궈놓은 그릴팬에 볶음밥을 담는다.
21. 달걀프라이를 만든다.
22. 볶음밥과 함께 찹스테이크를 담는다.
23. 볶음밥과 찹스테이크 위에 달걀프라이와 마늘칩을 올려 마무리한다.</t>
  </si>
  <si>
    <t>&lt;미카엘 - 펌킨 치킨&gt;
● 재료
단호박, 닭다리, 닭날개, 표고버섯, 비엔나소시지,
팽이버섯, 맥주, 할라피뇨, 토마토소스, 소금, 후추,
당근, 마늘, 양파, 간장, 버터, 전분
● 조리방법
1. 끓는 물에 껍질 벗긴 단호박을 삶는다.
2. 기름을 두른 팬에 닭다리와 닭날개을 굽다가, 소금, 후추로 간 한다.
3. 당근, 표고버섯, 비엔나소시지, 팽이버섯, 마늘, 양파를 적당한 크기로 썬다.
4. 닭을 굽던 팬에 손질한 채소와 비엔나소시지를 넣고 볶는다.
5. 4에 맥주를 붓고 끓여 스튜를 만든다.
6. 삶은 단호박을 체에 밭쳐 건져낸 뒤, 냄비에 넣고 후추, 소금으로 간 한다.
7. 6을 핸드블렌더로 갈아 단호박퓌레를 만든다.
8. 할라피뇨를 잘게 썬다.
9. 치킨스튜에 간장, 토마토소스, 버터를 넣는다.
10. 접시에 단호박퓌레를 담는다.
11. 치킨스튜에 잘게 썬 할라피뇨와 전분물을 넣는다.
12. 접시에 치킨스튜를 담아 마무리한다.</t>
  </si>
  <si>
    <t>&lt;김풍 - 칼로리 듬풍 샌드위치&gt;
●재료
유자청, 맥주, 식빵, 통조림햄, 훈제 닭가슴살 슬라이스,
쇠고기수프분말, 짜장라면, 양파, 버터, 달걀, 밀가루,
소금, 다진 마늘, 전분, 청양고추, 후추
●조리방법
1. 핸드블렌더에 적당한 크기로 썬 양파와 유자청을 넣고 간다.
2. 녹인 버터에 간 양파와 유자청, 물을 넣고 끓여 양파소스를 만든다.
3. 달걀노른자와 흰자를 분리한다.
4. 달걀흰자에 밀가루, 맥주, 소금을 넣고 섞어 튀김반죽을 만든다.
5. 통조림햄을 슬라이스한다.
6. 식빵 &gt; 통조림햄 &amp; 훈제 닭가슴살 슬라이스 &gt; 식빵을 차례로 쌓는다.
7. 샌드위치의 테두리를 잘라낸 뒤, 꼬치로 고정시킨다.
8. 샌드위치에 튀김반죽을 입혀 기름에 튀긴다.
9. 팬에 달걀노른자, 쇠고기수프분말, 소금, 다진 마늘, 물을 넣고 끓인다.
10. 6에 짜장라면 면을 잘게 부숴 넣고 끓여 맥앤뽀글이를 만든다.
11. 맥앤뽀글이에 전분물을 넣는다.
12. 맥앤뽀글이에 잘게 썬 청양고추와 후추를 넣고 끓인다.
13. 그릇에 맥앤뽀글이를 담는다.
14. 접시에 튀긴 샌드위치를 올리고, 양파소스를 곁들여 낸다.</t>
  </si>
  <si>
    <t>냉장고를 부탁해 시즌 1, 155화</t>
  </si>
  <si>
    <t>&lt;이원일 - 슈퍼헤비급 플래터&gt;
●재료
옥수수, 버터피칸아이스크림, 돼지등심 스테이크,
닭가슴살소시지, 훈제 닭가슴살 슬라이스, 옥수수과자,
핫소스, 컵라면, 버터, 양파, 마늘, 소금, 고추
●조리방법
1. 옥수수를 전자레인지에 돌린다.
2. 냄비에 버터를 넣고 녹인다.
3. 마른 팬에 잘게 썬 양파와 으깬 마늘을 볶다가 녹인 버터, 버터피칸
아이스크림을 넣고 끓인다.
4. 3에 물과 소금을 넣고 끓이다가 핸드블렌더로 곱게 갈아 크림소스를 만든다.
5. 그릴팬에 돼지등심 스테이크와 양파, 고추를 굽는다.
6. 그릴팬에 굽던 고추를 직화한다.
7. 그릴팬에 닭가슴살소시지를 굽는다.
8. 옥수수에 버터를 발라 그릴팬에 굽는다.
9. 비닐팩에 훈제 닭가슴살 슬라이스와 녹인 버터를 넣고 전자레인지에 돌린다
10. 구운 옥수수의 옥수수알을 발라낸 뒤, 크림소스에 넣고 끓여 콘크림소스를 만든다.
11. 구운 옥수수에 막대를 꽂는다.
12. 잘게 부순 옥수수과자와 라면수프를 섞어 양념을 만든다.
13. 옥수수에 콘크림소스를 바르고 만들어둔 양념을 버무린다.
14. 핫소스에 잘게 썬 구운 고추를 넣고 끓여 고추소스를 만든다.
15. 접시에 콘크림수프를 깔고 고추소스를 곁들여 낸 뒤, 구운 돼지등심 스테이크, 닭가슴살 소시지를 담는다.
16. 구운 양파와 마약옥수수를 함께 낸다.</t>
  </si>
  <si>
    <t>&lt;샘킴 - 아모르팟타이♬&gt;
●재료
돼지등심 스테이크, 아몬드, 오리엔탈 드레싱,
팟타이 컵라면, 밀가루, 달걀, 양파, 대파, 전분,
마늘, 소금, 후추, 청양고추, 올리브오일, 홍고추, 식용유
●조리방법
1. 핸드블렌더에 밀가루와 달걀을 넣고 돌려 면 반죽을 만든다.
2. 양파, 대파를 채 썬다.
3. 채 썬 양파와 대파에 전분을 묻혀 기름에 튀긴다.
4. 튀긴 양파와 대파를 건져 기름기를 뺀다.
5. 기름을 두른 팬에 채 썬 양파와 당근을 볶는다.
6. 돼지등심 스테이크의 뼈를 제거하고 잘게 다진다.
7. 다진 돼지등심 스테이크, 으깬 마늘, 소금, 후추, 잘게 썬 청양고추를 채소를 볶던 팬에 넣고 함께 볶는다.
8. 돼지등심 스테이크에 올리브오일을 바르고 소금, 후추로 간 한다.
9. 양념한 돼지등심 스테이크를 석쇠에 올려 직화한다.
10. 면 반죽을 밀대로 넓게 민 뒤, 썰어 팟타이 면을 만든다.
11. 핸드블렌더에 아몬드를 넣고 간다.
12. 홍고추에 칼집을 내고, 석쇠에 올려 직화한다.
13. 볶던 재료에 팟타이소스와 잘게 썬 대파를 넣고 볶아 팟타이양념을 만든다.
14. 팟타이 면을 삶는다.
15. 삶은 팟타이 면을 건져 팟타이양념에 볶는다.
16. 그릇에 팟타이를 담고, 직화한 돼지등심 스테이크를 적당한 크기로 썰어 올린다.
17. 직화한 홍고추를 적당한 크기로 썰어 올리고, 오리엔탈 드레싱을 뿌린다.
18. 레몬즙을 뿌리고 튀긴 양파와 대파를 올린 뒤, 곱게 간 아몬드를 뿌려 마무리한다.</t>
  </si>
  <si>
    <t>&lt;정호영 - 카츠우동♬&gt;
●재료
식빵, 돼지등심 스테이크, 치즈 비엔나 소시지,
통조림 햄, 컵라면, 밀가루, 소금, 달걀, 양파,
대파, 마늘, 된장, 고추장, 맛술, 간장, 설탕,
고춧가루, 청양고추, 식용유, 전분
●조리방법
1. 핸드블렌더에 밀가루, 소금, 물을 넣고 돌려 면 반죽을 만든다.
2. 테두리를 잘라낸 식빵을 믹서기에 갈아 빵가루를 만든다.
3. 돼지등심 스테이크의 뼈를 제거한 뒤, 칼집을 내 부드럽게 만든다.
4. 달걀물, 밀가루, 물을 섞어 튀김옷을 만든다.
5. 칼집을 낸 돼지등심 스테이크에 밀가루&gt;튀김옷&gt;빵가루를 순서대로 입힌다.
6. 면 반죽을 밀대로 넓게 민 뒤, 썰어 우동 면을 만든다.
7. 핸드블렌더에 적당한 크기로 썬 양파, 대파, 마늘, 돼지등심 스테이크, 치즈 비엔나 소시지, 통조림 햄을 넣고 곱게 간다.
8. 기름을 두른 팬에 곱게 간 채소와 고기를 넣고 볶다가 된장, 고추장, 맛술, 간장, 설탕, 물을 넣고 끓여 된장소스를 만든다.
9. 된장소스에 라면수프와 고춧가루, 잘게 썬 청양고추를 넣는다.
10. 튀김옷을 입힌 돈카츠를 기름에 튀긴다.
11. 된장소스에 전분물을 넣는다.
12. 우동 면을 삶는다.
13. 돈카츠를 건져낸 뒤, 적당한 크기로 썬다.
14. 삶은 우동 면을 건져 찬물에 헹군다.
15. 그릇에 우동 면을 담은 뒤, 된장소스를 붓는다.
16. 돈카츠를 올려 마무리한다.</t>
  </si>
  <si>
    <t>&lt;김성주 - 연복풍 탕수육&gt;
●재료
소고기 안심, 튀김가루, 적양배추, 대파, 마늘,
고춧가루, 전분, 설탕, 식초, 간장, 양파, 당근,
청양고추, 케첩, 전분
●조리방법
1. 끓는 기름에 적당한 크기로 썬 대파와 으깬 마늘, 고춧가루를 넣고 고추기름을 낸다.
2. 소고기 안심을 두드려 납작하게 만든다.
3. 납작하게 만든 소고기 안심을 적당한 크기로 썬다.
4. 튀김가루, 전분, 물을 섞어 튀김옷을 만든다.
5. 소고기 안심에 튀김옷을 입혀 기름에 튀긴다.
6. 고추기름을 면보에 걸러 건더기를 걸러낸다.
7. 튀긴 소고기 안심을 건진다.
8. 설탕, 식초, 간장, 물을 섞어 탕수소스를 만든다.
9. 양파, 적양배추, 당근, 청양고추를 적당한 크기로 썬다.
10. 튀긴 소고기 안심을 한 번 더 튀겨낸다.
11. 고추기름을 두른 팬에 손질한 채소를 볶다가 케첩을 넣는다.
12. 볶던 재료에 탕수소스를 붓고 끓인다.
13. 튀긴 소고기 안심을 건져 기름기를 뺀다.
14. 탕수소스에 전분물을 넣어 농도를 조절한다.
15. 접시에 튀긴 소고기 안심을 담고 탕수소스를 부어 마무리한다.</t>
  </si>
  <si>
    <t>냉장고를 부탁해 시즌 1, 156화</t>
  </si>
  <si>
    <t>&lt;안정환 - 테리우스테이크&gt;
●재료
스테이크용 부챗살, 파프리카, 전복, 발사믹 식초,
미역, 참기름, 양파, 마늘, 버터, 다진 마늘, 설탕,
소금, 후추, 라면, 레몬, 올리브오일, 대파
●조리방법
1. 양파를 잘게 썬다.
2. 파프리카를 직화한다.
3. 마늘은 편으로 썰고, 전복은 손질해 잘게 썬다.
4. 팬에 버터를 두른 뒤, 편마늘과 잘게 썬 양파, 다진 마늘, 발사믹 식초를 넣고 끓인다.
5. 4에 설탕, 잘게 썬 전복을 넣고 볶아 전복발사믹소스를 만든다.
6. 스테이크용 부챗살에 소금, 후추로 간 한 뒤, 칼집을 낸다.
7. 손질한 스테이크용 부챗살을 그릴팬에 굽는다.
8. 냄비에 불린 미역을 볶는다.
9. 볶던 미역에 참기름을 넣고, 뜨거운 물을 부어 미역국을 끓인다.
10. 미역국에 라면수프와 면을 넣고 끓여 미역라면을 만든다.
11. 접시에 전복발사믹소스를 깔고, 부챗살 스테이크를 올린다.
12. 직화한 파프리카의 탄 부분을 벗겨내고, 적당한 크기로 썰어 스테이크에 곁들인다.
13. 스테이크 위에 레몬껍질을 갈아 올린다.
14. 스테이크 위에 올리브오일, 레몬즙을 뿌린다.
15. 그릇에 미역라면을 담고, 잘게 썬 대파를 올려 마무리한다.</t>
  </si>
  <si>
    <t>&lt;이연복&amp;레이먼킴 - 레복만두&gt;
●재료
새우살, 부추, 적양배추, 다진 돼지고기, 쯔유,
XO소스, 해선장, 아몬드버터, 전복, 베트남고추,
선드라이토마토, 바질페스토, 바지락살, 구워먹는 치즈,
트러플오일, 대파, 마늘, 밀가루, 소금, 다진 마늘,
다진 생강, 후추, 양파, 맛술
●조리방법
1. 새우살을 잘게 다진다.
2. 끓는 물에 적당한 크기로 썬 청양고추와 대파, 으깬 마늘을 넣고 끓여 채소육수를 낸다.
3. 핸드블렌더에 부추를 곱게 간다.
4. 잘게 썬 적양배추, 다진 돼지고기, 다진 새우살을 섞어 만두소를 만든다.
5. 밀가루, 소금, 부추즙, 뜨거운 물을 섞어 만두피 반죽을 만든다.
6. 채소육수의 건더기를 걸러낸 뒤, 쯔유로 간 한다.
7. 만두소에 다진 마늘, 생강즙, XO소스, 해선장, 아몬드버터를 섞는다.
8. 7에 후추를 넣는다.
9. 전복을 손질한다.
10. 만두피 반죽을 적당량 떼어낸 뒤, 밀대로 밀어 만두피를 만든다.
11. 기름을 두른 팬에 채 썬 양파를 볶다가 베트남고추, 선드라이 토마토, 바질페스토, 물을 넣고 끓여 바질소스를 만든다.
12. 만두피에 만두소를 넣고 싸 부추만두를 만든다.
13. 기름을 두른 팬에 부추만두를 넣고, 뚜껑을 닫아 굽는다.
14. 채소육수에 바지락살, 새우살, 전복살을 넣고 국물을 끓인다.
15. 마른 팬에 구워먹는 치즈를 굽는다.
16. 만두를 굽던 팬에 뜨거운 물을 부은 뒤, 뚜껑을 닫아 수증기로 익힌다.
17. 끓이던 국물에서 해산물을 건져낸 뒤, 부추만두를 넣고 끓여 만둣국을 만든다.
18. 데친 전복살은 적당한 크기로 썰고, 건져뒀던 해산물과 함께 넣어 해물만둣국을 만든다.
19. 해물만둣국에 맛술과 소금, 잘게 썬 대파를 넣고 끓인다.
20. 접시에 바질소스를 부은 뒤, 구운 치즈를 올리고 트러플오일을 뿌린다.
21. 20 위에 구운 부추만두를 올린다.
22. 해물만둣국을 함께 낸다.</t>
  </si>
  <si>
    <t>&lt;정호영&amp;유현수 - 야관문 장어&gt;
●재료
간장게장, 전복, 야관문주, 쯔유, 참기름, 적양배추,
새우분말, 파슬리가루, 장어, 부추, 채소절임원액,
믹스허브, 구운 채소절임, 바질페스토, 라임, 트러플페스토,
개복숭아절임, 선드라이토마토, 블랙올리브, 청양고추, 마늘,
설탕, 맛술, 청주, 달걀, 식초, 밀가루, 소금,
●조리방법
1. 간장게장의 간장만 걸러낸다.
2. 1에 간장, 청양고추, 으깬 마늘, 전복, 설탕을 넣고 끓여 전복장을 만든다.
3. 간장, 맛술, 청주, 설탕을 끓여 데리야키소스를 만든다.
4. 전복장에 야관문주를 넣는다.
5. 데리야키소스에 야관문주를 넣는다.
6. 달걀노른자, 물, 맛술, 설탕, 식초, 쯔유를 섞은 뒤, 끓는 물 위에서 중탕하며 저어 기미스소스를 만든다.
7. 냄비에 참기름을 끓인다.
8. 적양배추, 청양고추를 가늘게 채 썬다.
9. 채 썬 채소에 끓인 참기름, 설탕을 넣고 버무려 채소샐러드를 만든다.
10. 밀가루, 새우분말, 파슬리가루, 물, 얼음을 섞어 튀김옷을 만든다.
11. 장어에 밀가루를 묻히고 튀김옷을 입힌 뒤, 기름에 튀긴다.
12. 채소샐러드에 적당한 크기로 썬 부추, 채소절임원액, 소금, 식초, 믹스허브, 구운채소절임을 다져 넣고 버무린다.
13. 달걀노른자와 바질페스토를 섞은 뒤, 라임껍질을 갈아 넣어 바질소스를 만든다.
14. 접시에 바질소스와 트러플페스토를 올린다.
15. 접시에 채소샐러드를 담는다.
16. 개복숭아절임과 선드라이토마토를 적당한 크기로 썰어 채소샐러드 위에 올린다.
17. 16 위에 장어튀김을 얹는다.
18. 장어튀김 위에 기미스소스를 얹는다.
19. 전복장을 적당한 크기로 썰어 함께 곁들인다.
20. 데리야키소스를 뿌리고, 블랙올리브를 곁들여 마무리한다.</t>
  </si>
  <si>
    <t>&lt;미카엘&amp;샘킴 - 봉골레 안 먹고 가시나♬&gt;
●재료
호박즙, 새우, 오징어, 바지락, 모차렐라치즈,
마늘종장아찌, 칵테일소스, 밀가루, 마늘, 홍고추,
양파, 올리브오일, 소금, 후추, 버터, 대파
●조리방법
1. 밀가루를 체에 거른다.
2. 체에 거른 밀가루에 호박즙을 넣어 반죽한다.
3. 기름을 두른 냄비에 편으로 썬 마늘, 손질한 새우와 오징어, 잘게 썬 홍고추와 바지락, 물을 넣고 끓여 봉골레스튜를 만든다.
4. 빵반죽을 밀대로 밀어 넓게 편 뒤, 모차렐라치즈를 넣고 접어 빵 모양을 잡아 피타빵을 만든다.
5. 치즈를 넣은 피타빵을 그릴팬에 굽는다.
6. 양파, 마늘종장아찌를 잘게 썬 뒤, 칵테일소스, 올리브오일과 섞어 소스를 만든다.
7. 기름을 두른 팬에 손질한 새우를 굽다가 소금, 후추로 간 한다.
8. 마늘을 잘게 다진 뒤, 버터를 섞어 갈릭버터를 만든다.
9. 피타빵에 갈릭버터를 발라가며 굽는다.
10. 봉골레스튜에 구운 새우와 잘게 썬 대파를 넣는다.
11. 피타빵을 접시에 담아낸다.</t>
  </si>
  <si>
    <t>냉장고를 부탁해 시즌 1, 157화</t>
  </si>
  <si>
    <t>&lt;유현수&amp;정호영 - 제비~ 복 먹으러 나간다&gt;
●재료
부추, 북어대가리, 인스턴트 사골곰탕, 양지, 알배추,
대패삼겹살, 달래, 부추장아찌, 팽이버섯, 조미간장,
일본간장, 감자, 바지락살, 갑오징어, 새송이버섯,
밀가루, 식초, 다진 마늘, 청주, 대파, 양파, 깨,
참기름, 고춧가루, 설탕, 맛술, 청양고추, 마요네즈, 전분
●조리방법
1. 밀가루를 체에 거른다.
2. 핸드블렌더에 부추, 물을 넣고 간 뒤, 건더기를 걸러내 부추즙을 만든다.
3. 밀가루에 부추즙, 식초을 넣고 부추수제비반죽을 만든다.
4. 끓는 물에 북어대가리, 다진 마늘, 청주를 넣고 끓여 육수를 낸다.
5. 대파를 꼬치에 꽂아 직화한다.
6. 완성된 수제비 반죽을 볼에 담고 랩을 씌워 숙성시킨다.
7. 냄비에 인스턴트 사골곰탕과 양지, 물을 넣고 끓인다.
8. 알배추, 양파를 적당한 크기로 썬 뒤, 기름을 두른 팬에 볶는다.
9. 볶던 채소에 대패삼겹살을 넣고 함께 볶는다.
10. 삶던 양지에 구운 대파를 넣고 함께 끓인다.
11. 볶은 채소와 대패삼겹살을 양지를 삶던 냄비에 넣고 끓여 전골을 만든다.
12. 달래와 부추장아찌를 잘게 썬 뒤, 부추장아찌 국물을 섞어 소스를 만든다.
13. 부추달래소스에 잘게 썬 팽이버섯과 곱게 다진 깨, 참기름, 식초, 고춧가루, 설탕을 섞는다.
14. 핸드블렌더에 조미간장, 맛술, 설탕, 식초, 잘게 썬 청양고추, 마요네즈, 깨를 넣고 갈아 매운참깨소스를 만든다.
15. 끓이던 전골에 북어육수, 맛술, 일본간장을 넣고 끓인다.
16. 숙성한 부추수제비반죽을 밀대로 밀어 넓게 편 뒤, 부추를 넣고 접어 다시 한 번 민다.
17. 끓는 물에 적당한 크기로 떼어낸 부추수제비반죽을 넣고 삶는다.
18. 강판에 감자를 간 뒤, 밀가루와 전분을 넣고 섞어 감자전반죽을 만든다.
19. 기름을 두른 팬에 감자전반죽을 넓게 편 뒤, 바지락살을 올려 조개감자전을 굽는다.
20. 갑오징어에 촘촘하게 칼집을 낸 뒤, 적당한 크기로 썰어 전골에 넣는다.
21. 새송이버섯과 대파를 적당한 크기로 썬다.
22. 삶은 양지를 건져내 포 뜬다.
23. 삶은 부추수제비를 얼음물에 담가 식힌다.
24. 끓인 전골을 전골냄비에 옮겨 담은 뒤, 부추수제비와 포 뜬 양지를 얹는다.
25. 조개감자전을 접시에 담아낸다.
26. 전골 위에 손질한 대파와 새송이버섯을 올린다.</t>
  </si>
  <si>
    <t>&lt;박나래 - 마성의 분짜조&gt;
●재료
쪽파, 두부, 묵은지, 목이버섯, 라이스페이퍼,
쌀국수면, 피시소스, 쌀식초, 갈비산적, 스위트칠리소스,
스리라차소스, 샐러드용 채소, 고수, 다진 돼지고기,
양파, 달걀, 설탕, 소금, 후추, 당근
●조리방법
1. 쪽파와 양파를 잘게 썬다.
2. 두부를 다진다.
3. 잘게 썬 쪽파와 양파, 다진 두부, 다진 돼지고기, 달걀노른자, 설탕, 소금, 후추, 잘게 썬 씻은 묵은지를 섞어 짜조 속을 만든다.
4. 3에 불린 목이버섯을 다져 넣는다.
5. 라이스페이퍼를 따뜻한 물에 불린 뒤, 짜조 속을 넣고 돌돌 만다.
6. 끓는 물에 불린 쌀국수면을 데친 뒤, 찬물에 헹궈 물기를 뺀다.
7. 물, 설탕, 피시소스, 쌀식초를 4 : 1 : 3/4 : 1/2 비율로 섞은 뒤 끓여 분짜소스를 만든다.
8. 갈비산적을 석쇠에 올려 직화한다.
9. 기름에 짜조를 튀긴다.
10. 튀긴 짜조를 건져내 한 김 식힌 뒤, 다시 튀긴다.
11. 스위트칠리소스와 스리라차소스를 섞는다.
12. 당근을 조각해 꽃모양을 만든다.
13. 접시에 짜조를 담고, 소스를 곁들인다.
14. 그릇에 분짜소스를 담고, 샐러드용 채소와 고수, 당근꽃을 올린다.
15. 분짜소스에 쌀국수면과 갈비산적을 담아낸다.</t>
  </si>
  <si>
    <t>&lt;이국주 - 칼제비전&gt;
●재료
새우가루, 감자, 애호박, 부침가루, 부추,
깻잎, 칵테일새우, 칼국수면, 수제비, 팽이버섯,
두부, 날치알, 막걸리, 된장, 청양고추, 소금, 참기름,
홍고추, 다진 마늘, 후추, 간장, 식초, 고춧가루
●조리방법
1. 끓는 물에 된장을 풀고 새우가루를 넣는다.
2. 감자, 애호박을 적당한 크기로 썬다.
3. 청양고추를 적당한 크기로 썬 뒤, 된장국에 넣는다.
4. 된장국에 감자를 넣고 끓인다.
5. 부추를 적당한 길이로 썬다.
6. 부침가루, 물, 소금, 참기름, 손질한 부추와 깻잎, 칵테일새우를 섞어 부추깻잎전 반죽을 만든다.
7. 기름을 두른 팬에 부추깻잎전 반죽을 넓게 펴서 굽는다.
8. 홍고추를 적당한 크기로 썰어 부추깻잎전 위에 올린다.
9. 된장국에 칼국수면과 수제비, 다진 마늘, 손질한 애호박, 후추를 넣고 끓여 된장칼제비를 만든다.
10. 된장칼제비에 팽이버섯, 칵테일새우를 넣고 끓인다.
11. 9에 적당한 크기로 썬 두부를 넣는다.
12. 부추깻잎전을 접시에 담아낸다.
13. 간장, 식초, 고춧가루, 다진 청양고추를 섞어 간장소스를 만든다.
14. 된장칼제비를 그릇에 담아낸다.
15. 된장칼제비 위에 날치알을 올린다.
16. 막걸리를 곁들여낸다.</t>
  </si>
  <si>
    <t>&lt;미카엘&amp;샘킴 - 아모르 패티&gt;
●재료
소고기 등심, 다진 돼지고기, 부추, 모차렐라치즈,
감자, 토마토소스, 양파, 올리브오일, 소금, 후추,
달걀, 밀가루, 청양고추, 홍고추, 마늘, 식초, 레몬
●조리방법
1. 핸드블렌더에 소고기 등심을 넣고 간다.
2. 다진 등심, 다진 돼지고기에 잘게 썬 양파와 부추, 올리브오일, 소금, 후추, 모차렐라치즈를 넣고 버무려 패티반죽을 만든다.
3. 강판에 감자를 간 뒤, 즙을 짜낸다.
4. 간 감자에 간 양파, 달걀물, 후추, 소금, 밀가루를 넣고 섞어 감자전반죽을 만든다.
5. 기름을 두른 팬에 감자전반죽을 굽는다.
6. 패티반죽을 치댄 뒤, 동그랗게 모양을 잡는다.
7. 청양고추와 홍고추를 석쇠에 올려 직화한다.
8. 기름을 두른 팬에 편으로 썬 마늘과 잘게 썬 구운 홍고추, 토마토소스, 물을 넣고 끓여 칠리토마토소스를 만든다.
9. 기름을 두른 그릴팬에 패티를 굽는다.
10. 마늘편, 소금, 올리브오일, 구운 청양고추, 식초, 잘게 썬 부추를 섞어 고추절임을 만든다.
11. 레몬을 모양내서 접시에 플레이팅한다.
12. 접시에 감자전, 칠리토마토소스를 담는다.
13. 구운 패티를 접시에 담고, 잘게 썬 부추를 뿌려 마무리한다.</t>
  </si>
  <si>
    <t>&lt;오세득&amp;김풍 - 뜯고 씹고 호로록&gt;
●재료
당면, 등갈비, 조미간장, 오징어, 돼지목살,
느타리버섯, 새우가루, 무, 새우젓, 인스턴트 사골곰탕,
새우, 양배추, 사과, 부추, 폰즈소스, 매실액, 대파,
고춧가루, 마늘, 전분, 양파, 청양고추, 홍고추, 설탕,
간장, 식초, 맛술, 전분
●조리방법
1. 끓는 기름에 대파, 고춧가루, 마늘을 넣고 끓여 고추기름을 낸다.
2. 당면을 튀긴다.
3. 등갈비를 손질한 뒤, 칼집을 낸다.
4. 손질한 등갈비와 대파에 조미간장을 넣고 버무린다.
5. 양념한 등갈비에 전분을 묻혀 튀긴다.
6. 양파는 채 썰고, 대파, 청양고추, 홍고추를 잘게 썬다.
7. 고추기름을 체에 밭쳐 건더기를 걸러낸다.
8. 대파를 적당한 크기로 썬다.
9. 오징어와 돼지목살을 가늘게 채 썬다.
10. 고추기름을 두른 팬에 적당한 크기로 썬 대파와 채 썬 오징어, 돼지목살, 조미간장, 느타리버섯, 새우가루를 넣고 볶는다.
11. 무를 채 썬다.
12. 볶던 재료에 채 썬 무, 새우젓, 인스턴트 사골곰탕, 물을 넣고 산라탕을 끓인다.
13. 산라탕에 불린 당면과 새우를 넣고 끓인다.
14. 등갈비튀김을 건져 한 김 식힌다.
15. 설탕, 간장, 식초, 맛술을 섞어 무침소스를 만든다.
16. 무침소스에 매실액을 더한다.
17. 잘게 썬 양배추, 사과, 부추에 무침소스, 손질한 양파, 대파, 청양고추, 홍고추를 넣고 버무려 부추무침을 만든다.
18. 등갈비튀김을 다시 한 번 튀긴다.
19. 대파, 청양고추, 홍고추를 잘게 썰어 팬에 넣는다.
20. 손질한 채소에 기름을 두르고, 등갈비튀김과 폰즈소스를 넣어 볶는다.
21. 접시에 부추무침을 깔고, 당면튀김을 올린다.
22. 21 위에 등갈비튀김을 올린 뒤, 부추무침을 얹는다.
23. 손질한 양파, 대파, 청양고추, 홍고추를 무침소스에 버무려 부추무침 위에 올린다.
24. 산라탕면에 전분물을 넣어 농도를 조절한다.
25. 그릇에 산라탕면을 담고, 고추기름을 뿌린다.</t>
  </si>
  <si>
    <t>&lt;유현수 - 역전만루홍런&gt;
●재료
통오겹살, 가래떡, 손질된 묵은지, 양념불고기, 고추장아찌,
깍두기국물, 새우젓, 매실액, 피클, 밀가루, 고추장, 대파,
전분, 밀가루, 달걀, 설탕, 식초, 양파, 연겨자, 간장
●조리방법
1. 통오겹살의 비계를 제거한 뒤, 꼬치에 꽂아 칼집을 낸다.
2. 칼집을 낸 통오겹살에 밀가루를 묻힌 뒤, 기름에 튀긴다.
3. 가래떡을 적당한 크기로 썬 뒤, 밀대로 얇게 민다.
4. 얇게 민 떡에 밀가루를 묻혀 기름에 튀긴다.
5. 기름을 두른 팬에 손질된 묵은지를 넣고 볶다가 고추장을 넣는다.
6. 묵은지를 볶던 팬에 대파를 잘게 썰어 넣고 함께 볶는다.
7. 양념불고기를 칼로 두드려 잘게 다진다.
8. 다진 양념불고기에 전분, 잘게 다진 고추장아찌를 넣고 버무린 뒤, 석쇠에 넓게 펴고 직화로 굽는다.
9. 밀가루, 달걀, 물을 섞어 전반죽을 만든다.
10. 기름을 두른 팬에 전반죽을 두른다.
11. 전반죽 위에 구운 양념불고기를 올려 불고기전을 만든다.
12. 튀긴 통오겹살과 떡을 건져 기름기를 뺀다.
13. 볶던 묵은지에 물, 설탕, 식초, 깍두기국물, 고추장아찌국물, 새우젓, 전분물을 넣고 끓여 묵은지소스를 만든다.
14. 튀긴 통오겹살을 다시 한 번 튀긴다.
15. 고춧가루에 뜨거운 물을 부은 뒤, 채 썬 양파와 연겨자, 식초, 매실액, 간장, 피클국물, 고추장아찌국물을 섞어 전 양념을 만든다.
16. 전 양념을 종지에 담는다.
17. 접시에 불고기전을 담는다.
18. 접시에 묵은지소스를 담은 뒤, 통오겹탕수를 올리고 떡튀김을 얹어 마무리한다.</t>
  </si>
  <si>
    <t>냉장고를 부탁해 시즌 1, 158화</t>
  </si>
  <si>
    <t>&lt;김풍 - 샌디에이고 짜그리스&gt;
●재료
베이컨, 삼겹살, 인스턴트 사골곰탕, 무, 앤초비,
표고버섯, 떡국떡, 굴소스, 버터, 밀가루, 대파,
고춧가루, 고추장, 간장, 식초, 다진 마늘, 후추, 설탕
●조리방법
1. 버터를 두른 팬에 적당한 크기로 썬 베이컨과 삼겹살, 밀가루를 넣고 볶는다.
2. 볶던 재료에 인스턴트 사골곰탕을 붓고 끓인다.
3. 끓이던 재료에 적당한 크기로 썬 무와 앤초비, 표고버섯을 넣고 끓인다.
4. 대파를 두드린 후 적당한 크기로 썬다.
5. 끓이던 재료에 대파와 고춧가루를 넣고 짜글이를 끓인다.
6. 짜글이에 고추장을 푼 뒤, 불린 떡국떡을 넣고 끓인다.
7. 짜글이에 굴소스, 간장, 식초, 다진 마늘, 후추를 넣고 끓인다.
8. 그릇에 밥을 담는다.
9. 짜글이에 설탕을 넣는다.
10. 그릇에 짜글이를 담아낸다.</t>
  </si>
  <si>
    <t>&lt;레이먼킴 - 월드시리즈 간닭!&gt;
●재료
무, 표고버섯, 가래떡, 인스턴트 사골곰탕, 닭,
인스턴트 무뼈닭발, 고추장아찌, 매실액, 고추장,
된장, 들깻가루, 대파, 청양고추, 마늘, 양파, 달걀,
전분, 소금, 후추, 다진 생강, 연겨자, 맛술
●조리방법
1. 압력솥에 물을 끓이다가, 손질한 대파, 청양고추, 무, 마늘, 표고버섯을 넣고 끓인다.
2. 가래떡을 적당한 크기로 썰어 채소육수에 넣고 인스턴트 사골곰탕을 부어 함께 끓인다.
3. 손질한 닭에 칼집을 내고 채소육수에 넣은 뒤 압력솥 뚜껑을 닫고 끓인다.
4. 핸드블렌더에 닭가슴살을 넣고 간다.
5. 핸드블렌더에 인스턴트 무뼈닭발을 넣고 간다.
6. 간 닭가슴살과 닭발, 잘게 썬 양파, 달걀노른자, 전분, 소금, 후추, 생강즙을 섞어 닭완자반죽을 만든다.
7. 동그랗게 닭완자를 빚어 전분&gt;달걀물을 순서대로 입힌다.
8. 끓는 물에 인스턴트 사골곰탕을 넣고 끓이다가, 닭완자를 넣고 삶는다.
9. 기름을 두른 팬에 닭완자를 굽는다.
10. 고추장아찌국물, 매실액, 연겨자, 고추장, 된장을 섞어 소스를 만든다.
11. 종지에 소스를 담은 뒤, 들깻가루를 넣는다.
12. 팬에서 구운 닭완자를 석쇠에 넣고 직화한다.
13. 압력솥에서 익힌 닭과 떡을 건져내고, 국물에 맛술과 구운 닭완자를 넣고 끓인다.
14. 14에 삶은 닭완자도 함께 넣고 끓인다.
15. 익은 닭의 살만 발라낸 뒤, 그릇에 떡과 함께 담는다.
16. 그릇에 국물과 닭완자, 채소를 담는다.
17. 잘게 썬 대파를 올려 마무리한다.</t>
  </si>
  <si>
    <t>&lt;샘킴 - 홍~치킨!&gt;
●재료
닭, 표고버섯, 느타리버섯, 베이컨, 파프리카, 견과류,
건크랜베리, 토마토소스, 블랙올리브, 발사믹드레싱양파,
설탕, 레몬, 올리브오일, 소금, 후추, 버터, 대파
●조리방법
1. 닭을 손질해 닭다리와 닭가슴살을 분리한다.
2. 끓는 물에 손질하고 남은 닭, 양파, 표고버섯대를 넣고 끓인다.
3. 핸드블렌더에 닭가슴살을 넣고 간다.
4. 핸드블렌더에 표고버섯과 느타리버섯을 넣고 간다.
5. 기름을 두른 팬에 잘게 썬 베이컨을 볶는다.
6. 양파를 한 겹씩 벗겨 기름에 튀긴다.
7. 튀긴 양파를 건져 기름기를 뺀다.
8. 볶던 베이컨에 간 닭가슴살과 버섯을 넣고 함께 볶는다.
9. 기름을 두른 팬에 잘게 썬 파프리카와 양파를 볶는다.
10. 견과류와 건크랜베리를 다진다.
11. 볶은 파프리카와 양파, 다진 견과류와 건크랜베리에 토마토소스를 넣고 섞는다.
12. 11에 간 블랙올리브, 설탕, 레몬즙, 올리브오일을 넣고 섞어 토마토올리브소스를 만든다.
13. 닭다리를 발골해 살만 발라낸 뒤, 기름을 두른 팬에 굽다가 소금, 후추로 간 한다.
14. 볶은 베이컨, 닭가슴살, 버섯의 일부를 핸드블렌더로 간 뒤, 버터와 닭육수를 넣고 끓여 스테이크소스를 만든다.
15. 접시에 스테이크소스를 담은 뒤, 튀긴 양파를 얹고 볶은 베이컨, 닭가슴살과 버섯을 올린 뒤 튀긴 양파로 덮는다.
16. 발사믹드레싱을 뿌린다.
17. 닭다리살 스테이크를 올린 뒤, 토마토올리브소스를 얹는다.
18. 닭육수를 뿌린다.
19. 잘게 썬 대파를 올려 마무리한다.</t>
  </si>
  <si>
    <t>&lt;정호영 - 사바사바♬&gt;
●재료
무, 표고버섯, 밤, 고등어, 쪽파, 쌀,
간장, 맛술, 소금, 청주, 된장, 청양고추
●조리방법
1. 적당한 크기로 썬 무를 기름에 튀긴다.
2. 불린 쌀, 표고버섯 불린 물, 간장, 맛술, 밤, 불린 표고버섯을 솥에 넣은 뒤 뚜껑을 닫고 끓여 밥을 짓는다.
3. 고등어는 손질해 가시를 발라내고 적당한 크기로 썰어 등에 칼집을 낸다.
4. 손질한 고등어를 뜨거운 물에 담가둔다.
5. 고등어를 손질해 가시를 발라낸 뒤, 소금을 뿌리고 기름을 두른 팬에 굽는다.
6. 팬에 물, 맛술, 청주, 된장을 넣고 끓이다가 뜨거운 물에 담가뒀던 고등어와 불린 표고버섯을 넣고 조린다.
7. 튀긴 무의 겉면을 제거하고, 적당한 크기로 썰어 접시에 담는다.
8. 구운 고등어를 건져 기름기를 뺀다.
9. 고등어된장조림에 칼집을 낸 청양고추를 넣고 양념을 끼얹어가며 조린다.
10. 무 위에 고등어된장조림과 청양고추, 표고버섯을 얹는다.
11. 솥밥 위에 구운 고등어를 얹고, 적당한 크기로 썬 쪽파를 뿌린 뒤 뚜껑을 닫아 뜸을 들인다.
12. 고등어된장조림과 고등어솥밥을 함께 낸다.</t>
  </si>
  <si>
    <t>냉장고를 부탁해 시즌 1, 159화</t>
  </si>
  <si>
    <t>&lt;오세득 - 마무리고등어&gt;
●재료
고등어, 우유, 표고버섯, 아보카도, 아스파라거스,
마늘종, 육포, 레몬, 양파, 다진 생강, 맛술, 간장,
청양고추, 소금, 설탕, 당근, 버터, 올리브오일
●조리방법
1. 우유를 끓인다.
2. 레몬껍질, 양파를 채 썬다.
3. 끓이던 우유에 채 썬 레몬껍질과 양파, 생강즙, 맛술을 넣고 끓인다.
4. 고등어는 손질해 적당한 크기로 자른다.
5. 각종 재료를 넣고 끓인 우유에 간장을 붓고 손질한 고등어를 담가둔다.
6. 마른 팬에 양파를 굽는다.
7. 구운 양파 일부를 덜어놓고, 남은 양파에 간장, 표고버섯 불린 물, 잘게 썬 청양고추를 넣고 조린다.
8. 핸드블렌더에 아보카도, 우유, 소금, 설탕을 넣고 갈다가 레몬즙을 더해 아보카도 퓌레를 만든다.
9. 접시에 구운 양파와 아보카도 퓌레를 담는다.
10. 아스파라거스와 당근을 얇게 슬라이스 한 뒤, 버터에 볶는다.
11. 볶던 채소에 마늘종을 넣고 볶는다.
12. 접시에 볶은 채소를 담는다.
13. 우유에 담가뒀던 고등어를 건져 올리브오일을 뿌린 뒤, 토치로 직화한다.
14. 직화한 고등어에 소금을 뿌린 뒤, 접시에 담는다.
15. 양파조림을 체에 밭쳐 국물만 걸러낸 뒤, 접시에 담는다.
16. 믹서기에 육포를 갈아 보푸라기를 만든다.
17. 고등어 위에 육포 보푸라기와 볶은 마늘종을 올려 마무리한다.</t>
  </si>
  <si>
    <t>&lt;고든램지 - 퀵! 차돌박이 볶음 말이&gt;
●재료
알배추, 적양파, 청양고춧가루, 아스파라거스,
불고기양념, 굴소스, 팽이버섯, 쪽파, 올리브오일,
참기름, 홍고추, 대파, 마늘, 소금, 즉석밥
●조리방법
1. 알배추, 적양파를 채 썬다.
2. 올리브오일과 참기름을 두른 팬에 채 썬 적양파, 홍고추, 대파를 볶는다.
3. 볶던 채소에 마늘, 청양고춧가루를 넣고 볶는다.
4. 아스파라거스를 적당한 길이로 썰어 기름을 두른 팬에 굽다가 소금으로 간한다.
5. 구운 아스파라거스를 접시에 옮겨 불고기양념과 굴소스를 바른다.
6. 채소를 볶던 팬에 채 썬 알배추와 굴소스를 넣고 볶는다.
7. 채소볶음에 팽이버섯을 넣고 버무린다.
8. 전자레인지에 즉석밥을 넣고 돌린다.
9. 기름을 두른 팬에 밥을 편 뒤, 눌러서 굽는다.
10. 기름을 두른 팬에 차돌박이를 굽다가 소금으로 간 한다.
11. 구운 차돌박이 위에 볶은 채소와 구운 아스파라거스를 올리고 돌돌 말아 차돌박이롤을 만든다.
12. 차돌박이롤에 불고기양념을 바른다.
13. 기름을 두른 팬에 차돌박이롤을 굽는다.
14. 구운 밥을 모양내서 자른 뒤, 접시에 올린다.
15. 구운 밥 위에 차돌박이롤을 올린다.
16. 차돌박이롤 위에 불고기양념을 바르고, 볶은 채소를 얹는다.
17. 잘게 썬 쪽파를 뿌려 마무리한다.</t>
  </si>
  <si>
    <t>&lt;이연복 - 파이널복스&gt;
●재료
알배추, 차돌박이, 쪽파, 청양고춧가루, 소고기등심,
아스파라거스, 마늘종, 유자청, 아보카도, 우유, 굴소스,
간장, 대파, 전분, 달걀, 청양고추, 맛술, 양파, 후추
●조리방법
1. 소고기등심을 적당한 크기로 썬 뒤, 간장에 재워둔다.
2. 기름에 적당한 크기로 썬 대파와 청양고춧가루를 넣고 끓여 고추기름을 낸다.
3. 간장에 재워둔 소고기등심에 전분&gt;달걀물을 입힌다.
4. 고추기름을 넉넉하게 두른 팬에 소고기 등심, 아스파라거스, 마늘종, 청양고추를 튀기듯 볶는다.
5. 찜기에 배추와 차돌박이, 쪽파를 넣고 찐다.
6. 핸드블렌더에 간장, 맛술, 유자청, 아보카도, 우유, 굴소스를 넣고 갈아 아보카도소스를 만든다.
7. 잘게 썬 양파와 아보카도에 아보카도소스를 넣고 섞은 뒤, 종지에 담는다.
8. 등심볶음을 체에 밭쳐 기름기를 뺀다.
9. 기름을 두른 팬에 적당한 크기로 썬 대파와 쪽파를 볶다가, 등심볶음과 맛술, 굴소스, 후추를 넣고 볶아 소고기회과육을 만든다.
10. 소고기회과육을 접시에 담는다.
11. 차돌박이배추찜을 낸다.</t>
  </si>
  <si>
    <t>&lt;김승수 - 승수를 올릴 어향가지&gt;
●재료
가지, 다진 돼지고기, 다진 마늘, 올리고당,
양송이버섯, 파프리카, 동치미, 대파, 청양고추,
다진 생강, 간장, 된장, 고춧가루, 즉석밥, 달걀
●조리방법
1. 가지에 칼집을 넣는다.
2. 기름을 두른 팬에 손질한 가지를 튀기듯 굽는다.
3. 대파를 잘게 썬다.
4. 기름을 넉넉히 두른 팬에 잘게 썬 대파를 넣고 볶아 파기름을 낸다.
5. 파기름에 다진 돼지고기를 넣고 볶는다.
6. 잘게 썬 청양고추, 다진 마늘, 다진 생강을 섞은 뒤, 볶던 고기에 넣는다.
7. 올리고당, 간장, 된장, 물, 고춧가루를 섞어 양념을 만든다.
8. 볶던 재료에 양념을 넣고 볶아 어향소스를 만든다.
9. 어향소스에 튀기듯 구운 가지를 넣고 조린다.
10. 양송이버섯과 파프리카를 적당한 크기로 썰어 어향가지에 넣는다.
11. 전자레인지에 즉석밥을 넣고 돌린다.
12. 기름을 두른 팬에 달걀프라이를 굽다가, 뚜껑을 덮어 익힌다.
13. 그릇에 밥을 담은 뒤, 달걀프라이를 올린다.
14. 동치미 무를 적당한 크기로 썰어 종지에 담는다.
15. 접시에 어향가지를 담는다.</t>
  </si>
  <si>
    <t>냉장고를 부탁해 시즌 1, 160화</t>
  </si>
  <si>
    <t>&lt;이태곤 - 이태공 스테이크&gt;
●재료
참돔, 된장, 무, 핑크솔트, 마늘소금, 방어,
후추, 래디시, 방울양배추, 엔다이브, 발사믹드레싱,
조미간장, 고추냉이, 미나리, 다진 마늘, 양파, 대파,
홍고추, 청양고추, 고춧가루, 올리브오일,
후추, 레몬, 소금, 간장, 식초
●조리방법
1. 참돔을 손질한다.
2. 끓는 물에 손질한 참돔, 된장, 다진 마늘을 넣고 참돔맑은탕을 끓인다.
3. 양파를 적당한 크기로 썰어 참돔맑은탕에 넣고 끓인다.
4. 무를 적당한 크기로 썬다.
5. 참돔맑은탕에 적당한 크기로 썬 무와 대파를 넣고 끓인다.
6. 참돔맑은탕에 적당한 크기로 썬 홍고추와 청양고추를 넣고 끓인다.
7. 참돔맑은탕에 핑크솔트, 마늘소금, 고춧가루를 넣는다.
8. 손질한 방어에 올리브오일, 후추, 레몬즙을 뿌린다.
9. 래디시, 방울양배추, 엔다이브를 적당한 크기로 썬다.
10. 기름을 두른 팬에 손질한 채소를 볶다가 소금, 후추로 간 한다.
11. 접시에 볶은 채소를 담는다.
12. 기름을 두른 팬에 양념한 방어를 굽는다.
13. 참돔맑은탕에 후추, 간장, 소금으로 간 한다.
14. 접시에 방어스테이크를 담고, 볶은 채소 위에 발사믹드레싱을 뿌린다.
15. 조미간장, 식초, 레몬즙을 섞어 간장소스를 만든다.
16. 고추냉이를 곁들인다.
17. 참돔맑은탕에 미나리를 넣는다.
18. 그릇에 참돔맑은탕을 담아낸다.</t>
  </si>
  <si>
    <t>&lt;샘킴 - 승수나르도 파스타리오&gt;
●재료
적양파, 삼겹살, 베이컨, 파프리카, 가지,
새송이버섯, 인스턴트 사골곰탕, 토마토소스,
게맛살, 날치알, 모차렐라치즈, 파스타면,
파르메산 치즈가루, 소금, 후추, 밀가루, 마요네즈,
올리브오일, 소금, 식초, 간장, 맛술, 설탕
●조리방법
1. 적양파, 삼겹살, 베이컨을 채 썰어 팬에 넣고 볶는다.
2. 파프리카, 가지, 새송이버섯을 적당한 크기로 썰어 기름을 두른 그릴팬에 굽다가 소금, 후추로 간한다.
3. 가지를 적당한 두께로 썰어 속을 동그랗게 파내고 밀가루를 입혀 튀긴다.
4. 베이컨을 채 썰어 팬에 볶다가 인스턴트 사골곰탕을 붓고 끓인다.
5. 볶은 재료에 베이컨과 함께 끓인 사골곰탕과 토마토소스를 붓고 끓여 파스타소스를 만든다.
6. 핸드블렌더로 게맛살을 간 뒤, 마요네즈, 올리브오일, 날치알을 넣고 섞는다.
7. 6을 튀긴 가지 속에 넣는다.
8. 속을 채운 가지에 위에 모차렐라치즈를 얹고 오븐에 넣고 익힌다.
9. 끓는 물에 소금을 넣은 뒤, 파스타면을 삶는다.
10. 식초, 간장, 맛술, 설탕, 물을 섞어 초간장소스를 만든다.
11. 접시에 초간장소스와 채 썬 적양파를 담는다.
12. 삶은 파스타면과 면수, 구운 채소를 파스타소스에 넣고 볶는다.
13. 오븐에서 익힌 가지를 초간장소스와 적양파 위에 올린 뒤, 토치로 치즈를 녹인다.
14. 파스타를 접시에 담는다.
15. 파스타 위에 파르메산 치즈가루를 뿌려 완성한다.</t>
  </si>
  <si>
    <t>&lt;김풍 - 파스타랑깨&gt;
●재료
알배추, 인스턴트 사골곰탕, 편육, 토마토소스,
파스타면, 굴소스, 쪽파, 들깻가루, 김, 소금,
다진 생강, 마늘, 간장, 고춧가루, 후추,
●조리방법
1. 끓는 물에 소금과 생강즙을 넣고 알배추를 데친다.
2. 냄비에 인스턴트 사골곰탕과 으깬 마늘을 넣고 끓인다.
3. 끓인 사골곰탕에 적당한 크기로 썬 편육과 토마토소스를 넣고 끓여 배추찜소스를 만든다.
4. 3에 간장, 고춧가루, 후추를 넣고 끓인다.
5. 소금물에 데친 알배추를 배추찜소스에 넣고 끓인다.
6. 끓는 물에 파스타면과 굴소스를 넣고 끓인다.
7. 쪽파를 잘게 썬다.
8. 삶은 파스타면의 물을 따라낸 뒤, 들깻가루를 넣고 섞는다.
9. 김을 잘게 썬다.
10. 접시에 배추찜을 담는다.
11. 그릇에 들깨파스타를 담은 뒤, 들기름을 넣고 버무린다.
12. 들깨파스타 위에 잘게 썬 김을 올린다.
13. 배추찜 위에 잘게 썬 쪽파를 올린다.</t>
  </si>
  <si>
    <t>&lt;이연복 - 벵에돔이시여&gt;
●재료
긴꼬리벵에돔, 홍합, 무, 브로콜리,
아스파라거스, 쯔유, 후추, 그린올리브,
매실액, 깻잎, 대파, 청양고추, 고춧가루,
마늘, 전분, 홍고추, 고추, 식초, 간장, 맛술
●조리방법
1. 대파, 청양고추를 적당한 크기로 썬다.
2. 끓는 기름에 손질한 채소와 고춧가루를 넣고 끓여 고추기름을 낸다.
3. 홍합을 삶는다.
4. 무, 브로콜리, 마늘, 대파, 아스파라거스를 손질한다.
5. 긴꼬리벵에돔 양쪽에 깊이 칼집을 낸다.
6. 칼집을 낸 긴꼬리벵에돔에 전분과 전분물을 차례로 바른 뒤, 기름에 튀긴다.
7. 고추기름을 체에 밭쳐 기름만 걸러낸다.
8. 홍고추와 고추를 직화한다.
9. 쯔유, 후추, 식초를 섞어 쯔유소스를 만든다.
10. 삶은 홍합을 찬물에 헹궈 식힌다.
11. 직화한 고추의 탄 부분을 제거하고 적당한 크기로 썰어 쯔유소스에 넣는다.
12. 고추기름을 두른 팬에 손질한 채소들을 넣고 볶는다.
13. 볶던 채소에 간장, 적당한 크기로 썬 그린올리브와 고추를 넣고 볶는다.
14. 14에 홍합육수와 삶은 홍합살을 넣고 끓인다.
15. 끓이던 재료에 맛술, 매실액, 후추, 쯔유를 넣어 마라탕소스를 만든다.
16. 긴꼬리벵에돔 튀김을 건져 기름기를 뺀다.
17. 깻잎을 채 썬다.
18. 접시에 익힌 채소를 담는다.
19. 익힌 채소 위에 긴꼬리벵에돔 튀김을 올린다.
20. 마라탕소스를 붓고, 채 썬 깻잎을 올려 마무리한다.</t>
  </si>
  <si>
    <t>냉장고를 부탁해 시즌 1, 161화</t>
  </si>
  <si>
    <t>&lt;레이먼킴 - 레이먼킹돔&gt;
●재료
긴꼬리벵에돔, 무, 쯔유, 우메보시, 대파,
다진 생강, 마늘, 맛술, 청주, 레몬, 소금,
후추, 올리브오일, 달걀, 즉석밥, 전분
●조리방법
1. 압력밥솥에 물을 끓이다가, 손질한 대파와 무, 다진 생강, 마늘, 맛술, 청주를 넣고 끓여 채소육수를 낸다.
2. 찜기에 물, 레몬즙, 레몬을 넣고 끓인다.
3. 긴꼬리벵에돔을 손질한다.
4. 긴꼬리벵에돔 뼈에 뜨거운 물을 부어 비린내를 제거한다.
5. 채소육수에 긴꼬리벵에돔 뼈를 넣고 끓인다.
6. 긴꼬리벵에돔 살을 적당한 크기로 손질한 뒤, 소금, 후추로 간 한다.
7. 6에 올리브오일을 바르고 레몬을 올린 뒤, 찜기에 넣어 레몬증기로 찐다.
8. 긴꼬리벵에돔 살을 다지고, 달걀노른자, 즉석밥, 소금, 후추, 전분과 함께 버무린다.
9. 긴꼬리벵에돔 밥을 모양 잡은 뒤, 기름에 튀긴다.
10. 돔육수를 체에 밭쳐 육수만 걸러낸다.
11. 돔육수에 쯔유, 소금으로 간 하고, 전분물을 넣어 농도를 조절한다.
12. 그릇에 긴꼬리벵에돔 밥튀김을 넣고, 돔육수를 붓는다.
13. 긴꼬리벵에돔 밥튀김 위에 긴꼬리벵에돔 스테이크를 올린다.
14. 긴꼬리벵에돔 스테이크 위에 잘게 썬 대파와 우메보시를 올려 마무리한다.</t>
  </si>
  <si>
    <t>&lt;정호영 - 이건 태곤스타일♬&gt;
●재료
무, 대패삼겹살, 식빵, 우유, 무늬오징어,
홍합, 애호박, 굴소스, 새우, 밀가루, 달걀,
양파, 마늘, 소금, 청주, 버터, 후추
●조리방법
1. 적당한 크기로 썬 무의 껍질을 벗겨내고, 대패삼겹살으로 돌돌 만 뒤 밀가루를 묻힌다.
2. 식빵의 테두리는 잘라내고, 믹서기에 갈아 빵가루를 만든다.
3. 밀가루, 달걀, 우유를 섞어 튀김반죽을 만든다.
4. 밀가루를 묻힌 대패삼겹살에 튀김반죽&gt;빵가루를 순서대로 입혀 기름에 튀긴다.
5. 튀긴 대패삼겹살을 건져낸 뒤, 다시 한 번 튀김반죽&gt;빵가루를 순서대로 입혀 튀긴다.
6. 무늬오징어에 촘촘하게 칼집을 낸 뒤, 적당한 크기로 썰어 끓는 물에 데친다.
7. 홍합을 삶는다.
8. 양파, 마늘, 애호박을 적당한 크기로 썰어 기름을 두른 팬에 볶는다.
9. 삶은 홍합의 살을 발라낸다.
10. 볶던 채소에 새우, 데친 무늬오징어, 소금, 굴소스, 삶은 홍합살, 청주, 버터, 후추를 넣고 볶는다.
11. 대패삼겹살 튀김의 윗면을 자른 뒤, 무를 빼내 그릇모양을 만든다.
12. 대패삼겹살 그릇 속을 토치로 익힌다.
13. 볶던 해산물과 채소에 오징어먹물을 넣고 볶아 오징어먹물버터야키를 만든다.
14. 대패삼겹살그릇에 오징어먹물버터야키를 담는다.
15. 접시에 대패삼겹살그릇과 오징어먹물버터야키를 담아 마무리한다.</t>
  </si>
  <si>
    <t>&lt;유현수 - 무소유&gt;
●재료
무, 크림소스, 브로콜리, 애호박, 래디시,
방울양배추, 홍합, 소갈비살, 핑크솔트, 발사믹드레싱,
무순, 양파, 대파, 소금, 후추, 간장, 설탕, 버터
●조리방법
1. 무를 세로로 반을 가른다.
2. 반으로 가른 무의 속을 파내 그릇모양을 만든 뒤, 찜기에 찐다.
3. 무와 양파를 적당한 크기로 썬다.
4. 기름을 두른 팬에 손질한 채소를 볶는다.
5. 볶던 채소에 잘게 썬 대파를 넣고 볶는다.
6. 볶던 채소에 크림소스와 뜨거운 물을 붓고 조린다.
7. 6과 소금, 후추를 핸드블렌더에 넣고 갈아 무크림소스를 만든다.
8. 소금을 넣은 끓는 물에 브로콜리와 애호박을 데친다.
9. 데친 채소를 얼음물에 담가 식힌다.
10. 래디시와 방울양배추를 손질해 얼음물에 담가둔다.
11. 끓는 물에 간장, 설탕, 홍합을 넣고 익힌다.
12. 소갈비살에 핑크솔트로 간 한다.
13. 기름을 두른 팬에 소갈비살을 굽는다.
14. 대파, 양파를 잘게 썬다.
15. 익힌 홍합을 건져낸 뒤, 홍합육수에 발사믹드레싱과 버터를 넣어 홍합발사믹소스를 만든다.
16. 소갈비살을 굽던 팬에 익힌 홍합과 홍합발사믹소스를 넣고 함께 볶는다.
17. 16에 잘게 썬 대파와 양파를 넣고, 후추를 뿌린다.
18. 브로콜리를 손질한 뒤, 적당한 크기로 썬다.
19. 찐 무그릇에 무크림소스를 담은 뒤, 홍합발사믹소스에 볶은 홍합과 소갈비살을 올린다.
20. 그릇에 무크림소스와 손질한 브로콜리, 래디시, 무순을 담은 뒤, 홍합과 소갈비살을 담은 무그릇을 올려 마무리한다.</t>
  </si>
  <si>
    <t>&lt;이연복 - 홍시 연볶이&gt;
●재료
채식어묵, 떡볶이떡, 아스파라거스, 애호박,
매실청, 표고버섯가루, 당면, 홍시, 양파, 마늘,
대파, 올리브오일, 간장, 고추장, 밀가루, 달걀, 소금
●조리방법
1. 양파에 칼집을 넣어 연꽃 모양을 만든 뒤, 찬물에 담가둔다.
2. 양파, 마늘, 대파를 손질한다.
3. 기름을 두른 팬에 손질한 채소를 볶는다.
4. 채식어묵을 적당한 크기로 썬다.
5. 불린 떡볶이떡, 적당한 크기로 썬 아스파라거스와 애호박, 채식어묵에 매실청, 올리브오일, 간장, 고추장을 넣고 버무린다.
6. 채소를 볶던 팬에 양념한 떡&amp;채소와 표고버섯가루를 넣고 볶아 떡볶이를 만든다.
7. 찬물에 담가둔 양파연꽃을 끓는 물에 데친다.
8. 데친 양파연꽃에 밀가루&gt;달걀물&gt;밀가루를 순서대로 입혀 튀긴다.
9. 떡볶이에 불린 당면을 넣고 볶는다.
10. 홍시는 껍질을 벗기고 씨를 발라낸 뒤, 핸드블렌더에 간다.
11. 당면 떡볶이에 간 홍시를 넣고 볶는다.
12. 양파연꽃튀김에 소금을 뿌린다.
13. 그릇에 홍시 당면 떡볶이를 담은 뒤, 간 홍시를 붓는다.
14. 13 위에 양파연꽃튀김을 올려 마무리한다.</t>
  </si>
  <si>
    <t>냉장고를 부탁해 시즌 1, 162화</t>
  </si>
  <si>
    <t>&lt;정호영 - 완벽한 라볶이에 대한 사랑&gt;
●재료
채식라면, 유부, 모차렐라치즈, 마, 애호박,
건표고버섯, 당면, 조미김, 양배추, 떡볶이떡,
양송이버섯, 표고버섯가루, 전분, 밀가루, 달걀,
설탕, 소금, 당근, 대파, 양파, 간장, 들기름,
마늘, 맛술, 홍고추
●조리방법
1. 채식라면 면을 삶는다.
2. 유부를 데친다.
3. 삶은 면을 건져 찬물에 헹군다.
4. 삶은 면에 전분, 모차렐라치즈를 넣고 버무린 뒤, 기름을 두른 팬에 굽는다.
5. 핸드블랜더에 손질한 마, 밀가루, 전분, 달걀흰자, 설탕, 소금, 당근, 대파를 넣고 갈아 어묵반죽을 만든다.
6. 기름을 두른 팬에 어묵반죽을 구워 마 어묵을 만든다.
7. 데친 유부를 건져낸 뒤, 찬물에 담가 식힌다.
8. 애호박, 양파, 불린 표고버섯을 간 뒤, 불린 당면과 조미김, 간장, 들기름을 섞어 만두소를 만든다.
9. 데친 유부 안에 만두소를 채운 뒤, 이쑤시개로 고정해 유부만두를 만든다.
10. 기름을 두른 팬에 손질한 양파와 마늘을 볶는다.
11. 10에 손질한 불린 표고버섯, 양배추, 애호박, 불린 떡볶이떡, 양송이버섯, 표고버섯가루, 표고버섯 불린 물, 뜨거운 물을 넣고 끓여 떡볶이 소스를 만든다.
12. 마 어묵을 적당한 크기로 썬다.
13. 그릇에 구운 라면과 마 어묵을 담는다.
14. 밀가루에 물을 섞어 튀김옷을 만든 뒤, 유부만두에 입혀 튀긴다.
15. 떡볶이 소스에 간장, 맛술, 설탕, 적당한 크기로 썬 홍고추, 부순 조미김, 채식라면 수프를 넣고 끓인다.
16. 떡볶이 소스에 전분물을 넣어 농도를 조절한다.
17. 그릇에 유부만두튀김을 담은 뒤, 떡볶이 소스를 부어 마무리한다.</t>
  </si>
  <si>
    <t>&lt;유현수 - 승소 파스타&gt;
●재료
도토리묵, 배, 오미자청, 딸기, 건표고버섯,
아스파라거스, 동치미, 들기름, 연근조림,
흑임자드레싱, 대추, 소금, 올리브오일, 양파,
고춧가루, 간장, 들기름, 식초
●조리방법
1. 믹서기에 물, 도토리묵을 넣고 간다.
2. 밀가루에 소금, 올리브오일, 물과 함께 간 도토리묵을 넣고 섞어 도토리면 반죽을 만든다.
3. 배의 윗면을 잘라내고 속을 파낸다.
4. 볼에 오미자청, 물, 배, 딸기를 넣고 버무린다.
5. 속을 파낸 배 안에 오미자청에 버무린 배와 딸기를 채우고, 압력솥에 넣어 찐다.
6. 불린 표고버섯과 양파를 적당한 크기로 썰어 기름을 두른 팬에 볶는다.
7. 강판에 간 배를 채소를 볶던 팬에 넣는다.
8. 아스파라거스와 동치미 무를 잘게 썰어 채소를 볶던 팬에 넣고 함께 볶는다.
9. 8에 고춧가루, 간장, 들기름, 잘게 썬 연근조림을 넣고 볶아 파스타소스를 만든다.
10. 도토리반죽을 치대고 넓게 민 뒤, 적당한 두께로 썰어 도토리생면을 만든다.
11. 끓는 물에 도토리생면을 삶는다.
12. 파스타소스에 식초, 동치미국물을 넣는다.
13. 삶은 도토리생면을 찬물에 헹군 뒤, 파스타소스에 넣고 볶는다.
14. 파스타에 흑임자드레싱을 넣고 볶는다.
15. 그릇에 도토리생면 파스타를 담은 뒤, 잘게 썬 아스파라거스와 동치미 무를 올린다.
16. 그릇에 배찜을 담고 잘게 썬 대추를 올려 마무리한다.</t>
  </si>
  <si>
    <t>&lt;샘킴 - 머쉬 치윤디~!&gt;
●재료
아몬드슬라이스, 표고버섯, 표고버섯가루, 양송이버섯,
우유, 검은콩두유, 발사믹식초, 연근조림, 모차렐라치즈,
아스파라거스, 마, 양파, 당근, 소금, 버터, 밀가루,
올리브오일, 레몬, 설탕
●조리방법
1. 마른 팬에 아몬드슬라이스를 볶는다.
2. 기름을 두른 냄비에 손질한 양파, 당근, 표고버섯과 표고버섯가루를 넣고 볶다가, 물을 넣고 끓여 채소육수를 낸다.
3. 볶은 아몬드슬라이스를 접시에 담아둔다.
4. 기름을 두른 팬에 잘게 썬 양파와 양송이버섯, 소금을 넣고 볶는다.
5. 마른 팬에 버터와 밀가루를 넣고 볶아 루를 만든다.
6. 루에 우유, 검은콩두유를 넣고 끓여 크림소스를 만든다.
7. 볶던 채소에 채소육수를 넣고 끓이다가 크림소스를 넣어 버섯크림수프를 만든다.
8. 양송이버섯에 올리브오일, 발사믹식초를 넣고 버무린 뒤, 잘게 다진 연근조림으로 속을 채운다.
9. 속을 채운 양송이버섯을 오븐에 넣고 굽는다.
10. 오븐에 구운 양송이버섯 위에 모차렐라치즈를 올린 뒤, 다시 한 번 굽는다.
11. 아스파라거스와 마를 채 썬다.
12. 레몬즙, 올리브오일, 설탕, 발사믹식초를 섞어 만든 드레싱을 채 썬 채소에 넣고 버무린다.
13. 버섯크림수프에 모차렐라치즈를 넣고 핸드블렌더로 간 뒤, 다시 한 번 끓인다.
14. 그릇에 버섯크림수프를 담는다.
15. 버섯크림수프 위에 양송이치즈구이를 올린다.
16. 15 위에 마&amp;아스파라거스샐러드를 올리고, 구운 아몬드슬라이스를 뿌린다.
17. 레몬즙을 뿌려 마무리한다.</t>
  </si>
  <si>
    <t>&lt;김풍 - 풍카소&gt;
●재료
팬케이크가루, 우유, 연유, 체리,
설탕, 달걀, 화이트와인, 소금, 버터
●조리방법
1. 설탕물을 끓인다.
2. 달걀의 흰자와 노른자를 분리한다.
3. 달걀흰자로 머랭을 친다.
4. 달걀노른자에 화이트와인과 설탕을 넣은 뒤, 거품기로 치며 중탕한다.
5. 4에 소금, 버터, 우유, 연유를 넣어 달걀크림소스를 만든다.
6. 머랭에 끓인 설탕물을 조금씩 넣어가며 섞는다.
7. 팬케이크가루에 달걀, 우유를 섞어 팬케이크반죽을 만든다.
8. 소스병에 팬케이크반죽을 담는다.
9. 팬에 기름을 두른 뒤, 키친타월로 닦아낸다.
10. 기름으로 코팅한 팬에 팬케이크반죽으로 그림을 그린다.
11. 팬케이크반죽으로 그린 그림이 어느 정도 익으면, 위에 팬케이크반죽을 부어 굽는다.
12. 머랭에 달걀크림소스를 넣고 섞어 머랭크림소스를 만든다.
13. 그릇에 머랭크림소스를 담는다.
14. 체리는 씨를 발라내고, 그릇에 담는다.
15. 머랭크림소스 위에 팬케이크를 올려 마무리한다.</t>
  </si>
  <si>
    <t>냉장고를 부탁해 시즌 1, 163화</t>
  </si>
  <si>
    <t>&lt;오세득 - 브런치의 유혹&gt;
●재료
사과, 건크랜베리, 연유, 우유, 식빵, 양송이버섯,
돈가스소스, 김밥용 햄, 버터, 설탕, 레몬, 달걀,
양파, 케첩, 맛술, 당근, 소금
●조리방법
1. 사과는 껍질을 깎은 뒤, 잘게 썬다.
2. 마른 팬에 잘게 썬 사과를 볶다가 버터, 설탕, 레몬즙, 건크랜베리를 넣어 캐러멜라이징 한다.
3. 핸드블렌더로 달걀, 연유, 우유, 설탕을 갈아 달걀물을 만든다.
4. 달걀물을 체에 밭쳐 거른다.
5. 식빵에 달걀물을 입힌다.
6. 기름을 두른 팬에 달걀물을 입힌 식빵을 굽다가 우유를 부어 프렌치토스트를 만든다.
7. 마른 팬에 잘게 썬 양송이버섯과 양파, 돈가스소스, 케첩, 맛술, 버터를 넣고 볶아 양송이소스를 만든다.
8. 마른 팬에 채 썬 양파와 당근, 잘게 썬 김밥용 햄, 소금을 넣고 볶는다.
9. 캐러멜라이징한 사과와 햄볶음을 함께 볶는다.
10. 프렌치토스트 사이에 사과햄볶음을 넣고 샌드한다.
11. 프렌치토스트 샌드위치의 테두리를 잘라낸 뒤, 먹기 좋은 크기로 썬다.
12. 접시에 프렌치토스트 샌드위치를 담는다.
13. 달걀물에 소금으로 간 한 뒤, 기름을 두른 팬에 부어 오믈렛을 만든다.
14. 프렌치토스트 샌드위치 위에 오믈렛을 올린다.
15. 오믈렛을 가른 뒤, 전자레인지에 돌려 익힌다.
16. 오믈렛 위에 양송이소스를 부어 마무리한다.</t>
  </si>
  <si>
    <t>&lt;레이먼킴 - 감자로 유혹하자냐&gt;
●재료
감자, 오이, 핫소스, 손질 쪽파, 브라질너트,
슬라이스치즈, 마늘, 전분, 소금, 청양고추,
홍고추, 양파, 레몬, 후추, 달걀, 버터, 올리브오일
●조리방법
1. 감자를 얇게 슬라이스 한다.
2. 감자를 잘게 썬 뒤, 끓는 물에 넣고 삶는다.
3. 감자를 삶던 냄비에 편마늘을 넣고 함께 삶는다.
4. 마른 팬 3개에 감자슬라이스를 넓게 펼쳐 굽는다.
5. 감자전에 전분을 뿌린다.
6. 오이를 얇게 썬 뒤, 소금을 뿌린다.
7. 청양고추, 홍고추, 양파를 손질한다.
8. 오이와 손질한 채소를 함께 섞은 뒤, 레몬즙, 후추, 핫소스, 소금을 넣고 버무려 오이샐러드를 만든다.
9. 편마늘을 넣고 삶은 감자에 달걀노른자를 넣고 으깨 매시드포테이토를 만든다.
10. 매시드포테이토에 손질 쪽파와 버터를 넣고 섞는다.
11. 감자전에 매시드포테이토를 올린 뒤, 다른 감자전으로 샌드한다.
12. 감자전 위에 슬라이스치즈를 얹는다.
13. 매시드포테이토에 다진 브라질너트를 넣고 섞는다.
14. 슬라이스치즈 위에 브라질너트를 넣은 매시드포테이토를 올리고 감자전으로 덮어 감자라자냐를 만든다.
15. 감자라쟈냐를 적당한 크기로 썬 뒤, 슬라이스치즈를 사이에 넣고 샌드한다.
16. 접시에 감자라자냐를 담고, 올리브오일을 뿌린다.
17. 접시에 오이샐러드를 곁들여 완성한다.</t>
  </si>
  <si>
    <t>&lt;미카엘 - 호감이야&gt;
●재료
감자, 애호박, 칠리소스, 슬라이스치즈, 상추,
오이, 수제 월남쌈소스, 소금, 양파, 청양고추, 달걀,
레드와인, 후추, 고춧가루, 홍고추, 연겨자, 올리브오일
●조리방법
1. 감자를 잘게 썬 뒤, 소금을 넣은 끓는 물에 넣고 삶는다.
2. 채 썬 감자와 잘게 썬 양파를 기름을 두른 팬에 넣고 볶는다.
3. 2에 잘게 썬 청양고추를 넣고 함께 볶는다.
4. 달걀을 삶는다.
5. 애호박을 동그랗게 파내 기름을 두른 팬에 굽는다.
6. 애호박의 속을 파내 그릇 모양을 만들고 기름을 두른 팬에 굽는다.
7. 볶던 감자에 레드와인을 넣고 조린다.
8. 7에 소금, 후추, 칠리소스, 고춧가루를 넣고 볶는다.
9. 구운 애호박 그릇 안에 슬라이스치즈를 깐 뒤, 감자볶음을 채워 넣고 슬라이스치즈를 얹는다.
10. 9를 오븐에 굽는다.
11. 삶은 감자를 얼음물에 담가 식힌다.
12. 삶은 달걀은 껍데기를 벗겨낸 뒤, 잘게 썬다.
13. 상추, 오이, 홍고추를 손질한다.
14. 슬라이스한 오이에 손질한 상추와 홍고추를 올리고 돌돌 말아 꽃모양을 만든다.
15. 14와 구운 애호박을 접시에 담는다.
16. 수제 월남쌈소스에 연겨자와 후추를 넣고 섞은 뒤, 삶은 감자를 넣고 버무려 감자샐러드를 만든다.
17. 감자샐러드에 잘게 썬 삶은 달걀을 넣고 버무린다.
18. 원형틀에 감자샐러드를 담아 모양낸 뒤, 삶은 달걀을 얹고 고춧가루를 뿌린다.
19. 오븐에 구운 감자볶음을 채운 애호박을 접시에 담고, 후추를 뿌린다.
20. 올리브오일을 뿌려 마무리한다.</t>
  </si>
  <si>
    <t>&lt;김풍 - 1파 2일&gt;
●재료
삼겹살, 커피가루, 사과, 생강즙, 해선장소스,
포도즙, 들깻가루, 대파, 맛술, 전분, 청양고추,
마늘, 간장, 고춧가루, 물엿, 식초
●조리방법
1. 대파를 채 썬다.
2. 끓는 물에 파채를 데친 뒤, 찬물에 담가 식힌다.
3. 삼겹살을 적당한 크기로 썬 뒤 끓는 물에 넣고 삶는다.
4. 3에 커피가루, 맛술을 넣는다.
5. 삶은 삼겹살을 건져 물기를 빼고, 전분을 입혀 기름에 튀긴다.
6. 튀긴 삼겹살을 건져 기름기를 뺀다.
7. 핸드블렌더에 대파, 사과, 생강즙, 청양고추, 마늘, 해선장소스, 간장, 고춧가루를 넣고 갈아 소스를 만든다.
8. 팬에 튀긴 삼겹살과 소스를 넣고 볶아 회과육을 만든다.
9. 회과육에 뜨거운 물을 넣고 볶는다.
10. 찬물에 담가둔 데친 파채의 물기를 뺀 뒤, 접시에 담는다.
11. 데친 파채 위에 회과육을 올린다.
12. 볼에 고춧가루, 간장, 포도즙, 물엿, 들깻가루, 식초를 넣고 섞어 특제소스를 만든다.
13. 종지에 특제소스를 담아낸다.</t>
  </si>
  <si>
    <t>냉장고를 부탁해 시즌 1, 164화</t>
  </si>
  <si>
    <t>&lt;이연복 - 스테이콘&gt;
●재료
오징어채볶음, 통조림 골뱅이, 통조림 닭가슴살,
통조림 참치, 어묵, 어육소시지, 인스턴트 오돌뼈볶음,
인스턴트 막창, 통조림 햄, 밀가루, 달걀, 양파,
대파, 맛술, 간장, 청주, 레몬, 참기름
●조리방법
1. 오징어채볶음을 밀가루와 달걀물에 버무린다.
2. 양파와 대파 흰 부분을 잘게 썬다.
3. 골뱅이를 잘게 썬다.
4. 통조림 닭가슴살과 통조림 참치의 기름을 따라낸다.
5. 어묵을 잘게 썬다.
6. 믹서기에 어육소시지, 통조림 닭가슴살, 통조림 참치를 넣고 간다.
7. 믹서기에 달걀, 물을 넣어 다시 간다.
8. 기름을 두른 팬에 채 썬 양파, 잘게 썬 대파, 인스턴트 오돌뼈볶음, 인스턴트 막창, 맛술을 넣고 볶는다.
9. 간 인스턴트 재료에 잘게 썬 어묵, 양파, 햄, 골뱅이를 넣고 섞어 스테이크 반죽을 만든다.
10. 기름을 두른 팬에 스테이크 반죽을 굽는다.
11. 볶던 재료에 물, 간장, 청주, 레몬즙을 넣고 졸여 오돌뼈막창소스를 만든다.
12. 밀가루반죽을 입힌 오징어채볶음을 기름에 튀긴 뒤, 건져내 기름기를 뺀다.
13. 햄버그 스테이크에 달걀물을 부어 굽는다.
14. 오돌뼈막창소스에 참기름, 잘게 썬 대파를 넣고 볶는다.
15. 접시에 햄버그 스테이크를 담는다.
16. 스테이크 위에 오돌뼈막창소스를 부어 마무리한다.</t>
  </si>
  <si>
    <t>&lt;유현수 - 골뱅이 에스카르고&gt;
●재료
명이나물장아찌 국물, 삼겹살, 통조림 번데기,
통조림 골뱅이, 옥수수맛 과자, 새우젓소스,
인스턴트 대게딱지장, 애호박버섯볶음, 밀가루,
전분, 달걀, 다진 마늘, 후추, 소금, 버터, 청양고추,
홍고추, 마늘, 식초, 양파, 대파
●조리방법
1. 밀가루, 전분, 달걀, 명이나물장아찌 국물을 섞어 반죽을 만든 뒤, 삼겹살을 버무린다.
2. 통조림 번데기는 국물을 걸러 두고, 번데기만 잘게 썬다.
3. 팬에 다진 마늘과 번데기를 볶는다.
4. 골뱅이는 물에 한 번 헹궈낸 뒤, 번데기와 함께 볶는다.
5. 골뱅이볶음에 후추, 소금으로 간 한다.
6. 옥수수맛 과자를 부숴 가루로 만든다.
7. 골뱅이볶음에 버터를 넣고 버무린다.
8. 과자가루를 묻힌 골뱅이 볶음을 오븐에 구워 골뱅이 에스카르고를 만든다.
9. 핸드블랜더에 청양고추와 홍고추, 통마늘을 넣고 간 뒤 팬에 넣어 볶는다.
10. 볼에 식초, 새우젓소스, 볶은 고추와 마늘, 채 썬 양파를 넣고 버무려 태국식 소스를 만든다.
11. 채 썬 대파를 얼음물에 담가 아린 맛을 뺀다.
12. 태국식 소스에 통조림 번데기 국물과 레몬즙을 넣는다.
13. 반죽에 버무린 삼겹살을 튀긴다.
14. 골뱅이 에스카르고에 인스턴트 대게딱지장을 얹은 뒤, 다시 오븐에 굽는다.
15. 팬에 애호박버섯볶음을 볶는다.
16. 튀긴 삼겹살을 건져 먹기 좋은 크기로 썬다.
17. 접시에 애호박버섯볶음을 담은 뒤, 삼겹살튀김을 올린다.
18. 삼겹살튀김 위에 태국식 소스를 붓고, 골뱅이 에스카르고를 얹어 마무리한다.</t>
  </si>
  <si>
    <t>&lt;오세득 - 혼술 빠라삐&gt;
●재료
옥돔, 부침가루, 새우젓소스, 채 썬 양배추,
인스턴트 머리고기, 식용유, 대파, 양파, 홍고추,
청양고추, 다진 생강, 설탕, 케첩 레몬, 밀가루,
달걀, 소금, 후추, 참기름, 연겨자
●조리방법
1. 파기름을 낸다.
2. 마른 팬에 잘게 썬 양파와 파기름을 넣고 볶는다.
3. 홍고추와 청양고추를 잘게 썬다.
4. 양파를 볶던 팬에 잘게 썬 고추, 다진 생강을 넣고 함께 볶는다.
5. 채소를 볶던 팬에 설탕과 물, 케첩, 레몬즙을 넣고 끓여 칠리소스를 만든다.
6. 옥돔은 가시를 발라내고 손질한다.
7. 손질한 옥돔에 소금으로 간 한 뒤, 밀가루를 입힌다.
8. 파기름을 두른 팬에 옥돔을 굽는다.
9. 적당한 크기로 썬 대파를 옥돔과 함께 굽는다.
10. 부침가루와 물을 섞어 반죽을 만든 뒤, 대파 위에 부어 굽는다.
11. 반죽 위에 구운 옥돔과 달걀을 올려 옥돔대파전을 만든다.
12. 절구에 잘게 썬 청양고추와 홍고추, 다진 생강을 넣고 찧는다.
13. 골뱅이 통조림 국물, 레몬즙, 찧은 고추와 생강, 설탕, 새우젓소스를 섞어 골뱅이소스를 만든 뒤, 종지에 담아낸다.
14. 기름을 두른 팬에 채 썬 양배추와 양파, 소금, 후추를 넣고 볶는다.
15. 접시에 양배추볶음을 담고 인스턴트 머리고기를 얹는다.
16. 옥돔대파전을 먹기 좋은 크기로 썰어 접시에 담는다.
17. 칠리소스에 참기름과 연겨자를 넣는다.
18. 머리고기 위에 칠리소스를 얹고 파기름을 뿌려 마무리한다.</t>
  </si>
  <si>
    <t>&lt;레이먼킴 - 레이먼 스테이크&gt;
●재료
부챗살, 강황가루, 우유, 방울토마토, 시금치,
아로니아, 호박즙, 발사믹드레싱, 고추냉이,
소금, 후추, 전분, 밀가루, 고춧가루, 달걀,
양파, 청양고추, 버터, 맛술, 마늘
●조리방법
1. 부챗살은 물기를 제거하고 고추냉이를 사이에 발라 겹겹이 붙인다.
2. 부챗살에 소금과 후추로 간 한다.
3. 겹겹이 쌓은 부챗살을 고기망치로 두드려 넓게 편다.
4. 두 개의 볼에 전분과 밀가루를 넣은 뒤, 한 쪽에는 강황가루를, 한 쪽에는 고춧가루를 넣고 섞어 강황튀김옷과 고추튀김옷을 만든다.
5. 달걀물에 우유를 넣는다.
6. 부챗살에 고추튀김옷&gt;달걀물&gt;강황튀김옷&gt;달걀물&gt;강황튀김옷&gt;고추튀김옷을 순서대로 입힌다.
7. 튀김옷을 입힌 부챗살을 기름에 튀겨 컨트리 스테이크를 만든다.
8. 양파를 채 썬다.
9. 청양고추를 잘게 썬다.
10. 버터를 녹인 팬에 채 썬 양파와 잘게 썬 청양고추, 맛술, 우유를 넣고 볶아 화이트소스를 만든다.
11. 마른 팬에 방울토마토를 굽다가, 시금치와 으깬 마늘을 넣고 볶는다.
12. 볶던 채소에 아로니아와 호박즙, 발사믹드레싱을 넣고 볶는다.
13. 컨트리 스테이크의 기름기를 뺀다.
14. 기름을 넉넉히 두른 팬에 컨트리 스테이크와 버터를 넣고 굽는다.
15. 접시에 볶은 채소를 담는다.
16. 접시에 컨트리 스테이크를 올린 뒤, 화이트소스를 얹어 마무리한다.</t>
  </si>
  <si>
    <t>냉장고를 부탁해 시즌 1, 165화</t>
  </si>
  <si>
    <t>&lt;정지선 - 안질리나 딤섬&gt;
●재료
시금치, 부챗살, 홍두깨살, 부추, 사과,
고춧가루, 대파 흰 부분, 다진 생강, 청양고추,
달걀, 양파, 버터, 밀전분, 전분, 참기름, 식용유, 설탕
●조리방법
1. 고춧가루, 대파 흰 부분, 다진 생강에 뜨거운 기름을 넣어 고추기름을 낸다.
2. 끓는 물에 시금치를 넣어 삶는다.
3. 부챗살은 물기를 제거한다.
4. 핸드블렌더에 부챗살과 홍두깨살, 청양고추, 달걀을 넣고 간다.
5. 부추와 양파를 잘게 썬다.
6. 잘게 썬 채소, 간 소고기, 버터를 버무려 딤섬 소를 만든다.
7. 딤섬 소에 고추기름을 넣는다.
8. 밀전분에 시금치 삶은 물을 넣고 반죽한다.
9. 딤섬 소에 참기름을 넣고 버무린다.
10. 딤섬 반죽에 식용유를 넣어가며 반죽한 뒤, 딤섬 피를 만든다.
11. 딤섬 피에 딤섬 소를 넣고 모양을 잡아 찜기에 찐다.
12. 물기를 뺀 부챗살에 설탕을 묻힌다.
13. 설탕을 묻힌 부챗살을 기름에 튀겨 육포를 만든다.
14. 육포를 먹기 좋은 크기로 썬다.
15. 사과를 적당한 크기로 썬 뒤, 설탕을 뿌려 기름에 튀긴다.
16. 접시에 육포와 사과튀김을 담는다.
17. 접시에 딤섬을 담아 마무리한다.</t>
  </si>
  <si>
    <t>&lt;샘킴 - 샨티샨티~ 카레 라자냐♬&gt;
●재료
강황가루, 우둔살, 부챗살, 닭가슴살소시지,
카레가루, 방울토마토, 시금치, 우유, 토마토소스,
코코넛밀크스무디, 밀가루, 달걀, 양파, 마늘,
홍고추, 소금, 후추, 버터
●조리방법
1. 핸드블렌더에 밀가루, 달걀, 강황가루, 물을 넣고 갈아 강황반죽을 만든다.
2. 핸드블렌더에 우둔살과 부챗살, 닭가슴살소시지를 넣고 간다.
3. 마른 팬에 잘게 썬 양파를 볶는다.
4. 볶던 양파에 편마늘, 잘게 썬 홍고추, 간 소고기와 닭가슴살소시지, 소금, 카레가루, 후추를 넣고 볶는다.
5. 볶던 재료에 적당한 크기로 썬 방울토마토를 넣고 볶는다.
6. 볶던 재료에 시금치를 넣고 볶아 소고기채소카레볶음을 만든다.
7. 강황반죽을 밀대로 넓게 민 뒤, 적당한 크기로 썰어 라자냐 면을 만든다.
8. 끓는 물에 소금을 넣고, 라자냐 면을 삶는다.
9. 마른 팬에 버터와 밀가루를 넣고 볶아 루를 만든 뒤, 우유를 넣어 베샤멜소스를 만든다.
10. 베샤멜소스에 토마토소스를 넣어 로제소스를 만든다.
11. 그릇에 로제소스&gt;라자냐 면&gt;소고기채소카레볶음&gt;로제소스&gt;라자냐 면&gt;소고기채소카레볶음&gt;후추&gt;로제소스를 순서대로 담는다.
12. 카레 라자냐를 오븐에 굽는다.
13. 팬에 버터, 밀가루, 우유를 넣고 베샤멜소스를 만든다.
14. 베샤멜소스에 코코넛밀크스무디를 넣어 코코넛크림소스를 만든다.
15. 카레 라자냐를 오븐에서 꺼내 코코넛크림소스를 올리고, 다시 오븐에 굽는다.
16. 카레 라자냐를 토치로 직화해 마무리한다.</t>
  </si>
  <si>
    <t>&lt;정호영 - 카레맛~ 궁금해 혀니♬&gt;
●재료
연어, 카레가루, 우둔살, 방울토마토, 강황가루,
부추, 토마토소스, 소금, 후추, 밀가루, 양파,
당근, 달걀, 버터, 설탕, 간장, 즉석밥,
고춧가루, 식초, 참기름, 깨
●조리방법
1. 연어는 적당한 크기로 썬 뒤, 소금과 후추로 간 한다.
2. 밀가루와 카레가루를 섞은 뒤, 연어에 묻힌다.
3. 핸드블렌더에 우둔살, 양파, 당근을 넣고 간다.
4. 기름을 두른 팬에 간 우둔살과 채소를 넣고 볶는다.
5. 핸드블렌더에 방울토마토를 넣고 간 뒤, 볶던 재료에 넣고 함께 볶는다.
6. 볶던 재료에 카레가루와 강황가루를 넣고 볶아 토마토드라이카레를 만든다.
7. 양파는 채 썰고, 부추는 적당한 크기로 썬다.
8. 기름을 두른 팬에 카레가루를 입힌 연어를 굽는다.
9. 연어스테이크와 토마토드라이카레에 버터를 넣는다.
10. 토마토드라이카레에 토마토소스, 설탕, 간장을 넣는다.
11. 기름을 두른 팬에 달걀프라이를 만든다.
12. 전자레인지에 즉석밥을 돌린다.
13. 고춧가루, 간장, 식초, 설탕, 참기름, 깨를 섞어 양념을 만든다.
14. 잘게 썬 부추와 채 썬 양파에 양념을 넣고 무쳐 부추무침을 만든 뒤, 그릇에 담는다.
15. 접시에 밥을 담고, 토마토드라이카레와 카레연어스테이크를 담는다.
16. 밥 위에 달걀프라이를 얹어 마무리한다.</t>
  </si>
  <si>
    <t>&lt;김풍 - 너마늘 위한 치킨&gt;
●재료
토종닭, 카레가루, 조미료, 무,
다진 마늘, 다진 생강, 소금, 달걀,
밀가루, 전분, 설탕, 물엿, 식초
●조리 방법
1. 토종닭을 해체한다.
2. 해체한 닭에 칼집을 넣는다.
3. 칼집을 낸 닭에 카레가루와 조미료를 넣는다.
4. 3에 다진 마늘, 생강즙을 넣고 버무린다.
5. 양념한 닭에 소금, 달걀, 밀가루, 전분을 넣고 섞어 튀김옷을 입힌다.
6. 튀김옷을 입힌 닭을 기름에 튀긴다.
7. 마른 팬에 다진 마늘, 생강즙, 설탕, 물엿, 뜨거운 물을 넣고 끓여 마늘소스를 만든다.
8. 무를 채 썬다.
9. 끓는 물에 채 썬 무와 식초를 넣고 절인다.
10. 절이던 무에 소금과 설탕을 넣는다.
11. 튀기던 닭을 건진 뒤, 전자레인지에 넣어 속살을 익힌다.
12. 전자레인지에서 익힌 닭을 마늘소스에 버무린다.
13. 절인 무채를 체에 밭쳐 물기를 뺀 뒤, 얼음물에 담가 식힌다.
14. 절인 무채를 종지에 담는다.
15. 마늘치킨을 접시에 담아낸다.</t>
  </si>
  <si>
    <t>냉장고를 부탁해 시즌 1, 166화</t>
  </si>
  <si>
    <t>&lt;정호영 - Touch 닭 body~♬&gt;
●재료
토종닭, 표고버섯 우린 물, 돼지 배받이살,
청란, 표고버섯, 대파, 전분, 양파, 맛술,
간장, 청주, 즉석밥, 마요네즈, 후추
●조리 방법
1. 토종닭을 해체한다.
2. 끓는 물에 닭 몸통을 넣고 끓여 닭육수를 낸다.
3. 닭다리를 발골한다.
4. 닭육수에 닭다리뼈와 표고버섯 우린 물을 넣고 끓인다.
5. 핸드블렌더에 대파, 닭가슴살, 돼지 배받이살, 청란을 넣고 간다.
6. 간 고기에 전분을 넣고 한 번 더 갈아 닭완자반죽을 만든다.
7. 닭완자를 빚은 뒤, 닭육수에 넣고 익힌다.
8. 닭날개에 전분을 묻힌 뒤, 기름에 튀긴다.
9. 닭다리살을 석쇠에 올리고 토치로 직화한다.
10. 팬에 표고버섯과 대파, 양파, 직화한 닭다리살을 적당한 크기로 썰어 넣고 볶는다.
11. 맛술, 간장, 청주를 3:1:1 비율로 섞어 스키야키소스를 만든다.
12. 볶던 재료에 스키야키소스를 넣고 조린다.
13. 닭날개튀김을 건져내 기름기를 뺀다.
14. 닭육수에 익힌 닭완자와 닭날개튀김을 스키야키에 넣는다.
15. 닭스키야키를 전골냄비에 옮겨 담는다.
16. 전자레인지에 돌린 즉석밥을 그릇에 담는다.
17. 청란과 마요네즈를 섞어 달걀소스를 만든 뒤, 종지에 담아낸다.
18. 닭스키야키에 후추를 넣어 마무리한다.</t>
  </si>
  <si>
    <t>&lt;유현수 - 입맛 잡어&gt;
●재료
잡어, 소주, 돼지 배받이살, 갈치속젓,
무시래기, 무, 부시리, 전복, 무말랭이장아찌,
깻잎된장무침, 조미료, 다진 마늘, 밀가루,
참기름, 고추, 대파, 고추장, 고춧가루, 식초, 소금,
즉석밥, 깨, 양파, 당근, 청양고추, 다진 생강, 설탕
●조리 방법
1. 잡어를 적당한 크기로 썬다.
2. 기름을 두른 팬에 적당한 크기로 썬 잡어, 다진 마늘, 밀가루를 넣어 볶는다.
3. 볶은 잡어를 토치로 직화한 뒤, 소주를 넣고 한 번 더 직화한다.
4. 볶은 잡어에 뜨거운 물을 부은 뒤, 핸드블렌더로 간다.
5. 간 잡어를 체에 밭쳐 거른다.
6. 돼지 배받이살을 얇게 썬다.
7. 참기름을 두른 냄비에 갈치속젓과 돼지 배받이살을 넣어 볶는다.
8. 볶은 갈치속젓과 돼지 배받이살에 간 잡어, 뜨거운 물을 넣고 끓인다.
9. 불린 무시래기의 잎을 적당한 크기로 썰어 넣고 함께 끓인다.
10. 적당한 크기로 썬 무, 고추, 대파를 넣은 뒤 고추장, 고춧가루를 더해 잡어매운탕을 만든다.
11. 부시리의 껍질만 떼어낸다.
12. 식초와 소금을 넣은 끓는 물에 부시리껍질과 전복을 데친다.
13. 전자레인지에 즉석밥을 데운다.
14. 무말랭이장아찌와 깻잎된장무침을 잘게 썬 뒤 식초, 참기름, 깨를 넣어 소스를 만든다.
15. 양파, 대파, 당근, 청양고추를 채 썬다.
16. 데친 부시리껍질과 전복을 얼음물에 담가 식힌 후, 적당한 크기로 썬다.
17. 부시리껍질과 전복, 채 썬 채소에 소스를 넣고 무쳐 부시리껍질무침을 만든다.
18. 접시에 부시리껍질무침을 담는다.
19. 잡어매운탕에 조미료, 생강즙, 설탕을 넣고 끓인다.
20. 그릇에 밥을 담는다.
21. 잡어매운탕을 뚝배기그릇에 옮겨 담아낸다.</t>
  </si>
  <si>
    <t>&lt;정지선 -돔레이더&gt;
●재료
참돔, 무, 소주, 고추장아찌, 딸기잼,
앵두, 잣, 전분, 대파, 당근,
다진 생강, 후추, 케첩, 설탕
●조리 방법
1. 참돔을 해체한다.
2. 참돔살에 격자무늬로 칼집을 낸다.
3. 손질한 참돔살과 아가미에 전분을 묻힌다.
4. 전분을 묻힌 참돔살과 아가미를 기름에 튀긴다.
5. 튀긴 참돔살과 아가미를 건져내 기름기를 뺀다.
6. 무, 대파, 당근을 채 썬 뒤 전분에 버무린다.
7. 전분에 버무린 채소를 기름에 튀긴 뒤 체에 밭쳐 기름기를 뺀다.
8. 기름을 두른 팬에 다진 생강을 넣고 소주로 불을 내 익힌다.
9. 익힌 생강에 고추장아찌국물, 딸기잼을 넣고 졸여 간장소스를 만든다.
10. 팬에 손질된 앵두를 넣고 졸인다.
11. 간장소스에 후추를 넣는다.
12. 졸인 앵두에 소주, 잣, 케첩, 설탕을 넣고 졸여 앵두소스를 만든다.
13. 접시에 참돔살튀김과 아가미튀김을 올린다.
14. 앵두소스에 전분물을 넣어 농도를 조절한다.
15. 참돔살튀김 위에 간장소스와 앵두소스를 각각 붓는다.
16. 참돔튀김에 채소튀김을 곁들인다.</t>
  </si>
  <si>
    <t>&lt;이연복 - 울금 캐비지&gt;
●재료
군고구마, 우둔살, 건표고버섯, 삶은 양배추,
은행, 두유, 사과즙, 울금가루, 사과, 채 썬 양배추,
키위식초, 마늘, 간장, 후추, 버터, 양파,
밀가루, 당근, 올리브오일
●조리방법
1. 군고구마의 껍질을 벗겨낸다.
2. 우둔살과 불린 건표고버섯은 잘게 썰고, 마늘은 으깬다.
3. 기름을 두른 팬에 잘게 썬 우둔살과 건표고버섯, 으깬 마늘을 넣고 볶는다.
4. 볶던 우둔살에 간장, 후추를 넣는다.
5. 군고구마에 볶은 우둔살을 넣은 뒤 함께 으깬다.
6. 5를 삶은 양배추에 올린 뒤 돌돌 말아 양배추롤을 만든다.
7. 양배추롤을 꼬치로 고정시킨다.
8. 기름을 두른 팬에 은행을 굽는다.
9. 버터를 녹인 냄비에 잘게 썬 양파를 넣고 볶는다.
10. 볶던 양파에 밀가루, 두유, 사과즙을 넣고 섞는다.
11. 10에 울금가루를 넣어 울금소스를 만든다.
12. 울금소스에 소금으로 간 한다.
13. 기름을 두른 팬에 양배추롤을 굽는다.
14. 사과와 당근을 채 썬다.
15. 채 썬 사과와 당근에 채 썬 양배추, 올리브오일, 키위식초를 넣고 버무려 샐러드를 만든다.
16. 접시에 울금소스를 담은 뒤, 구운 양배추롤과 은행을 올린다.
17. 샐러드와 울금양배추롤을 함께 낸다.</t>
  </si>
  <si>
    <t>냉장고를 부탁해 시즌 1, 167화</t>
  </si>
  <si>
    <t>&lt;미카엘 - 시나몬 아로니아 비스킷&gt;
●재료
호박즙, 사과즙, 사과, 대추청, 패션프루트주스,
현미누룽지, 계피가루, 아로니아가루,
흑설탕, 군고구마, 레몬, 달걀
●조리방법
1. 호박즙과 사과즙을 각각 팬에 넣고 끓인다.
2. 끓이던 사과즙에 씨를 빼고 손질한 사과를 넣고 졸인다.
3. 끓이던 호박즙에 적당한 크기로 썬 레몬을 넣고 졸인다.
4. 졸이던 사과즙에 대추청을 넣는다.
5. 레몬과 함께 졸이던 호박즙에 패션프루트주스를 넣는다.
6. 핸드블렌더에 현미누룽지를 넣고 간다.
7. 간 현미누룽지를 두 개의 볼에 나눠 담는다.
8. 달걀흰자로 머랭을 친다.
9. 현미누룽지가루에 각각 계피가루와 아로니아가루를 넣은 뒤, 흑설탕을 넣는다.
10. 아로니아누룽지가루에 머랭을 섞어 아로니아비스킷반죽을 만든다.
11. 원형틀에 적당한 크기로 썬 군고구마를 넣는다.
12. 원형틀에 아로니아비스킷반죽을 넣는다.
13. 계피누룽지가루에 머랭을 섞어 계피비스킷반죽을 만든다.
14. 원형틀에 계피비스킷반죽을 넣는다.
15. 비스킷반죽 위에 적당한 크기로 썬 군고구마를 올린다.
16. 비스킷반죽을 오븐에 넣고 굽는다.
17. 오븐에 구운 비스킷을 원형틀에서 빼낸 뒤, 접시에 담는다.
18. 계피비스킷 위에 호박소스, 조린 레몬과 패션프루트를 올린다.
19. 사과대추소스에 조린 사과 위에 아로니아 비스킷을 올린다.
20. 사과대추소스를 접시에 플레이팅 해 마무리한다.</t>
  </si>
  <si>
    <t>&lt;샘킴 - 고기말이~ 히트다 히트!&gt;
●재료
당근, 오징어닭가슴살스테이크, 우둔살, 군고구마,
흑설탕, 사과, 마늘, 소금, 홍고추, 간장, 참기름,
깨, 당근, 후추, 식초, 올리브오일,
다진 생강, 레몬즙, 대파
●조리방법
1. 기름을 두른 팬에 채 썬 당근과 다진 마늘, 소금, 잘게 썬 홍고추를 넣고 볶는다.
2. 핸드블렌더에 오징어닭가슴살스테이크를 넣고 간다.
3. 볶던 재료에 간 오징어닭가슴살스테이크, 간장, 참기름, 깨를 넣고 볶는다.
4. 우둔살을 얇게 썬다.
5. 얇게 썬 우둔살을 고기망치로 두드려 넓게 편다.
6. 넓게 편 우둔살에 볶은 당근과 군고구마를 넣고 돌돌 만 뒤, 이쑤시개로 고정한다.
7. 기름을 두른 팬에 고기말이를 굽는다.
8. 고기말이에 소금, 후추로 간 한다.
9. 잘게 썬 홍고추, 간장, 식초, 올리브오일, 다진 마늘, 다진 생강, 흑설탕, 참기름, 레몬즙을 섞어 드레싱을 만든다.
10. 고기말이를 토치로 직화한다.
11. 고기말이를 고정하던 이쑤시개를 제거한 뒤, 접시에 담는다.
12. 고기말이 위에 드레싱을 뿌린다.
13. 사과와 대파를 채 썬다.
14. 고기말이에 채 썬 양배추와 사과, 대파를 곁들인다.
15. 잘게 부순 깨를 뿌려 마무리한다.</t>
  </si>
  <si>
    <t>&lt;레이먼킴 - 버거킴&gt;
●재료
우둔살, 오징어닭가슴살스테이크, 통밀빵, 군고구마,
두유, 채 썬 양배추, 키위식초, 사과, 사과즙,
배즙, 오디즙, 마늘, 소금, 전분, 마요네즈,
고추냉이, 청양고추, 양파, 케첩
●조리방법
1. 적당한 크기로 썬 우둔살과 오징어닭가슴살스테이크를 핸드블렌더에 넣고 간다.
2. 간 재료에 통밀빵, 잘게 썬 마늘, 후추, 소금을 넣고 치대어 패티반죽을 만든다.
3. 패티반죽의 모양을 잡은 뒤, 기름을 두른 팬에 굽는다.
4. 볼에 군고구마, 통밀빵, 전분, 두유를 넣고 치대어 빵반죽을 만든다.
5. 빵반죽의 모양을 잡은 뒤, 기름을 두른 팬에 굽는다.
6. 채 썬 양배추에 키위식초를 넣는다.
7. 볼에 마요네즈, 고추냉이를 넣고 섞은 뒤, 채 썬 사과와 청양고추를 넣는다.
8. 7에 소금, 키위식초를 섞은 채 썬 양배추를 넣고 버무려 코울슬로를 만든다.
9. 사과즙, 배즙, 오디즙, 키위식초를 섞어 건강주스를 만든다.
10. 기름을 두른 팬에 통으로 썬 양파를 굽는다.
11. 구운 빵을 반으로 가른 뒤, 케첩을 뿌린다.
12. 케첩을 뿌린 빵 위에 패티와 코울슬로를 올린다.
13. 코울슬로 위에 구운 양파, 케첩을 뿌린 빵을 얹어 햄버거를 만든다.
14. 얼음잔에 건강주스를 담아 함께 낸다.</t>
  </si>
  <si>
    <t>&lt;샘킴 - 어서 와~ 이런 바칼라는 처음이지?&gt;
●재료
고등어살, 손질가자미, 다진 소고기, 아스파라거스,
그린 빈, 애호박, 파프리카, 그라냐노면, 냉동 감자튀김,
안초비, 케이퍼, 모차렐라 치즈, 방울토마토,
페코리노 치즈, 생크림, 치아바타, 루콜라,
파르미지아노 레지아노 치즈, 소금, 양파, 레몬즙,
당근, 마늘, 후추, 올리브오일, 화이트와인,
●조리방법
1. 기름을 두른 팬에 고등어살과 손질가자미를 함께 굽는다.
2. 소금물에 아스파라거스와 그린 빈을 넣고 데친다.
3. 냄비에 다진 소고기와 소금, 뜨거운 물을 넣고 끓여 소고기육수를 만든다.
4. 애호박과 양파, 파프리카를 적당한 크기로 썰어 그릴팬에 굽는다.
5. 핸드블랜더에 마늘과 올리브오일을 넣고 갈아 마늘오일을 만든다.
6. 데친 아스파라거스와 그린 빈을 건져내 식힌다.
7. 그린 빈과 아스파라거스를 데친 물에 그라냐노면과 냉동 감자튀김을 삶는다.
8. 데친 아스파라거스와 그린 빈을 적당한 크기로 썰어 채소를 굽던 그릴팬에 넣고 함께 굽는다.
9. 볼에 안초비 기름을 따라내고, 안초비를 다진다.
10. 볼에 안초비 기름과 다진 안초비, 레몬즙, 마늘오일, 케이퍼, 적당한 크기로 썬 모차렐라 치즈와 방울토마토를 넣고 페코리노 치즈를 갈아 넣어 안초비드레싱을 만든다.
11. 핸드블랜더에 구운 고등어살과 가자미살, 생크림, 간 페코리노 치즈, 삶은 감자튀김을 넣고 갈아 바칼라를 만든다.
12. 기름을 두른 팬에 잘게 썬 당근과 마늘, 양파, 다진 소고기와 불린 포르치니버섯, 소금, 후추, 올리브오일, 마늘오일, 화이트와인, 소고기육수를 넣고 볶아 라구소스를 만든다.
13. 채소를 굽던 그릴팬에 치아바타를 함께 굽는다.
14. 구운 채소를 안초비드레싱에 버무려 안초비샐러드를 만든다.
15. 안초비샐러드와 치아바타를 접시에 담은 뒤, 구운 치아바타 위에 바칼라를 올린다.
16. 15 위에 마늘오일과 후추, 루콜라, 간 페코리노 치즈를 얹는다.
17. 삶은 그라냐노면을 건져 라구소스에 넣고 볶아 라구 그라냐노 파스타를 만든다.
18. 라구 그라냐노 파스타에 구운 애호박과 간 페코리노 치즈를 넣고 볶는다.
19. 접시에 라구 그라냐노 파스타를 담은 뒤, 간 페코리노 치즈를 뿌린다.
20. 라구 그라냐노 파스타와 바칼라, 안초비샐러드에 간 파르미지아노 레지아노 치즈를 뿌려 완성한다.</t>
  </si>
  <si>
    <t>냉장고를 부탁해 시즌 1, 168화</t>
  </si>
  <si>
    <t>&lt;토니정 - 알파고&gt;
●재료
소고기 안심, 이탈리아소금, 트러플오일,
각종 허브, 건 포르치니버섯, 팩 레드와인,
트러플 탈리아텔레면, 버터, 생크림,
아시아고 치즈, 페코리노 치즈,
아스파라거스, 양파, 후추, 소금
●조리방법
1. 양파를 잘게 썬다.
2. 소고기 안심에 이탈리아소금과 후추, 트러플오일로 밑간한다.
3. 핸드블랜더에 각종 허브, 건 포르치니버섯, 물을 넣고 간다.
4. 간 재료를 뭉쳐 훈연칩을 만든 뒤, 찜기에 넣고 가열해 태운다.
5. 볼에 팩 레드와인을 부은 뒤, 면포를 넣어 적신다.
6. 팩 레드와인에 적신 면포로 밑간한 안심을 감싼다.
7. 훈연칩을 태워 둔 찜기에 면포로 감싼 안심을 넣고 훈연한다.
8. 끓는 물에 소금을 넣는다.
9. 소금물에 트러플 탈리아텔레면을 넣고 삶는다.
10. 삶던 면에 얼음물을 넣는다.
11. 삶은 트러플 탈리아텔레면을 체에 밭쳐 물기를 뺀다.
12. 냄비에 버터와 잘게 썬 양파를 넣고 볶는다.
13. 양파를 볶던 팬에 물에 불린 포르치니 버섯, 화이트와인을 넣고 볶는다.
14. 볶던 재료에 삶은 트러플 탈리아텔레면, 포르치니 버섯을 불린 물, 생크림, 아시아고 치즈, 간 페코리노 치즈를 넣고 볶아 크림파스타를 만든다.
15. 훈연한 안심 스테이크를 적당한 크기로 썬다.
16. 크림파스타를 접시에 담는다.
17. 크림파스타를 담은 접시에 안심 스테이크를 올리고 아스파라거스를 올린다.
18. 크림파스타와 안심 스테이크에 트러플오일을 뿌려 마무리한다.</t>
  </si>
  <si>
    <t>&lt;이연복 - 알짜배기 두부&gt;
●재료
두부, 애호박, 알배추, 그린 빈,
다진 소고기, 아스파라거스, 파스타면,
스리라차소스, 스위트칠리소스, 굴소스,
자숙새우, 양파, 대파, 고춧가루, 마늘, 간장, 식초
●조리방법
1. 기름에 두부를 넣어 통째로 튀긴다.
2. 애호박, 양파, 알배추를 적당한 크기로 썬다.
3. 적당한 크기로 썬 채소를 끓는 물에 데친다.
4. 대파를 적당한 크기로 썰어 기름에 튀긴 뒤, 고춧가루를 넣어 고추기름을 만든다.
5. 데친 채소를 체에 밭쳐 거른 뒤, 찬물에 헹궈 식힌다.
6. 식힌 채소를 얼음물에 담가 차갑게 만든다.
7. 얼음물에 담갔던 데친 알배추의 물기를 짠 뒤, 접시에 담는다.
8. 얼음물에 담갔던 채소를 체에 밭쳐 물기를 뺀다.
9. 고추기름을 체에 밭쳐 건더기를 걸러낸다.
10. 그린 빈과 대파는 잘게 썰고, 마늘은 으깬다.
11. 고추기름을 두른 팬에 손질한 채소와 다진 소고기, 간장을 넣고 볶는다.
12. 아스파라거스를 적당한 크기로 썬다.
13. 볶던 재료에 적당한 크기로 썬 아스파라거스를 넣고 함께 볶는다.
14. 파스타면을 삶는다.
15. 볼에 스리라차소스, 스위트칠리소스, 굴소스, 식초, 고추기름을 넣고 섞어 비빔소스를 만든다.
16. 튀긴 두부를 건져 윗부분을 편평하게 잘라낸다.
17. 튀긴 두부의 속을 파낸다.
18. 파낸 두부의 속을 으깬다.
19. 볶던 재료에 으깬 두부와 뜨거운 물, 고추기름을 넣고 끓여 두부소스를 만든다.
20. 삶은 파스타면을 건져 찬물에 헹궈 식힌다.
21. 비빔소스에 손질한 아스파라거스와 데친 채소, 차가운 파스타면을 넣고 버무린다.
22. 속을 파낸 튀긴 두부에 완성된 파스타를 넣는다.
23. 데친 알배추가 담긴 접시 위에 두부소스를 얹는다.
24. 두부소스 위에 파스타로 속을 채운 두부튀김을 올린다.
25. 자숙새우를 곁들여 마무리한다.</t>
  </si>
  <si>
    <t>&lt;유현수 - 두부 맛있또&gt;
●재료
두부, 자숙새우, 완두콩, 파프리카, 애호박,
양송이버섯, 들기름&amp;참기름, 수제된장, 루콜라,
연두부, 생크림, 냉동 고구마, 들깻가루, 판도로,
전분, 달걀, 양파, 설탕
●조리방법
1. 두부를 으깬다.
2. 으깬 두부에 소금을 넣는다.
3. 핸드블랜더에 자숙새우와 완두콩을 넣고 간다.
4. 으깬 두부에 간 자숙새우와 완두콩을 넣고 치대어 만두소를 만든다.
5. 만두소를 동그랗게 빚은 뒤, 전분에 굴린다.
6. 전분에 굴린 만두에 달걀흰자를 입힌 뒤, 다시 전분에 굴린다.
7. 두부굴림만두를 찜기에 넣고 찐다.
8. 파프리카, 애호박, 양파를 적당한 크기로 썬다.
9. 핸드블랜더에 적당한 크기로 썬 채소를 넣고 갈다가 양송이버섯을 더해 간다.
10. 들기름&amp;참기름을 두른 팬에 간 채소와 수제된장, 뜨거운 물을 넣고 볶는다.
11. 볶던 재료에 잘게 다진 루콜라를 넣고 볶아 된장소스를 만든다.
12. 차갑게 만든 볼에 연두부, 설탕, 생크림을 넣고 섞는다.
13. 연두부크림을 냉동실에 넣어둔다.
14. 차갑게 만든 볼에 얼음을 넣는다.
15. 믹서기에 적당한 크기로 썬 냉동 고구마와 두부를 넣고 간다.
16. 얼음 위에 볼을 올린 뒤, 간 고구마와 두부를 넣고 치댄다.
17. 16에 차갑게 만든 연두부크림을 조금씩 넣어가며 계속 치대어 두부젤라또를 만든다.
18. 접시에 된장소스를 담는다.
19. 된장소스 위에 적당한 크기로 썬 루콜라와 들기름&amp;참기름, 들깻가루를 올린다.
20. 판도로를 적당한 크기로 썰어 유리잔에 담는다.
21. 판도로가 담긴 유리잔에 두부젤라또를 담는다.
22. 두부젤라또 위에 꿀을 뿌린다.
23. 두부굴림만두를 접시에 담아 마무리한다.</t>
  </si>
  <si>
    <t>&lt;미카엘 - 생오취리&gt;
●재료
소고기 등심, 홀그레인 머스터드, 베이컨, 귀리,
가나 땅콩, 파르메산 치즈가루, 토마토, 상추, 파프리카,
파슬리, 후추, 올리브 오일, 식초, 소금, 양파, 마늘
●조리방법
1. 소고기 등심 위에 비닐을 덮은 뒤, 고기망치로 두드려 얇게 편다.
2. 얇게 편 등심에 후추, 올리브 오일을 뿌린다.
3. 볼에 홀그레인 머스터드와 식초를 넣고 섞어 드레싱을 만든다.
4. 얇게 편 등심에 드레싱을 바른다.
5. 드레싱을 바른 등심을 비닐로 덮어 다시 한 번 두드린 뒤, 냉동실에 넣어둔다.
6. 베이컨을 오븐에 넣고 굽는다.
7. 물에 불린 귀리, 가나 땅콩가루, 파르메산 치즈가루, 소금을 섞어 크루통 반죽을 만든다.
8. 기름을 두른 팬에 크루통 반죽을 구워 크루통을 만든다.
9. 토마토와 상추를 적당한 크기로 썬다.
10. 볼에 적당한 크기로 썬 토마토와 상추, 얇게 저민 양파, 올리브오일, 소금을 넣고 버무려 샐러드를 만든다.
11. 접시에 샐러드를 담은 뒤, 얇게 저민 파프리카를 올린다.
12. 냉동실에 넣어둔 등심을 4등분 한 뒤, 샐러드 위에 올린다.
13. 얇게 저민 양파와 파프리카를 얹는다.
14. 구운 크루통을 적당한 크기로 썰어 올린 뒤, 후추를 뿌린다.
15. 볼에 파슬리, 올리브오일, 잘게 썬 마늘을 넣고 버무려 드레싱을 만든 뒤, 소고기샐러드 위에 뿌린다.
16. 구운 베이컨과 얇게 저민 파프리카를 소고기샐러드 위에 올려 마무리한다.</t>
  </si>
  <si>
    <t>냉장고를 부탁해 시즌 1, 169화</t>
  </si>
  <si>
    <t>&lt;오세득 - 맛있는 소고기렌당&gt;
●재료
소고기 등심, 강황가루, 계피가루, 코코넛밀크,
레몬, 브로콜리, 가나 새우가루, 시토, 양파, 고춧가루,
다진 생강, 소금, 다진 마늘, 청양고추, 올리브오일, 홍고추
●조리방법
1. 강판에 양파를 간다.
2. 가나 절구에 고춧가루, 다진 생강, 간 양파를 넣고 찧듯이 섞는다.
3. 소고기 등심을 적당한 크기로 썬다.
4. 적당한 크기로 썬 등심에 소금을 뿌린다.
5. 기름을 두른 냄비에 찧은 재료와 다진 마늘, 강황가루, 계피가루를 넣고 볶는다.
6. 볶던 재료에 간 한 등심을 넣고 볶는다.
7. 볶던 재료에 청양고추, 코코넛밀크를 넣고 끓인다.
8. 끓이던 재료에 계피가루와 강황가루, 고춧가루를 넣는다.
9. 끓이던 재료에 레몬껍질을 넣고 졸여 렌당을 만든다.
10. 브로콜리를 적당한 크기로 썬다.
11. 끓는 소금물에 브로콜리를 넣고 데친다.
12. 데친 브로콜리를 건져 올리브오일을 넣고 버무린 뒤, 그릴팬에 굽는다.
13. 냄비에 올리브오일과 다진 마늘을 넣고 끓여 마늘오일을 만든다.
14. 홍고추와 청양고추를 잘게 썬다.
15. 마늘오일에 잘게 썬 고추와 가나 새우가루, 시토를 넣고 섞어 소스를 만든다.
16. 구운 브로콜리에 소스를 넣고 버무려 접시에 담아낸 뒤, 레몬즙을 뿌린다.
17. 렌당에 코코넛밀크를 더해가며 졸인다.
18. 즉석밥을 접시에 담아낸다.
19. 렌당을 미니냄비에 담은 뒤, 미니화로 위에 올려 낸다.</t>
  </si>
  <si>
    <t>&lt;김풍 - 가나 가즈아~&gt;
●재료
닭다리, 가나 새우가루, 레드팜 오일, 토마토 페이스트,
치킨스톡, 게맛살, 푸푸가루, 코코넛밀크, 양파,
다진 생강, 달걀, 전분, 소금, 후추
●조리방법
1. 닭다리에 칼집을 넣는다.
2. 칼집을 넣은 닭다리를 기름에 튀긴다.
3. 핸드블랜더에 통마늘과 양파, 다진 생강, 가나 새우가루, 레드팜 오일을 넣는다.
4. 3에 토마토 페이스트를 넣고 간다.
5. 냄비에 간 재료와 물을 넣고 끓여 수프를 만든다.
6. 튀긴 닭다리를 물에 삶는다.
7. 7에 치킨스톡을 넣는다.
8. 달걀흰자와 전분을 섞어 튀김반죽을 만든 뒤, 게맛살을 넣고 버무린다.
9. 튀김반죽에 버무린 게맛살을 기름에 튀긴다.
10. 게맛살튀김을 건져내 기름기를 뺀다.
11. 냄비에 푸푸가루와 물을 넣은 뒤, 끓이면서 저어 푸푸 반죽을 만든다.
12. 수프에 닭육수와 닭다리를 넣고 끓인다.
13. 13에 소금과 게맛살튀김, 후추를 넣는다.
14. 가나 절구에 뜨거운 물을 부은 뒤, 푸푸 반죽을 넣는다.
15. 푸푸 반죽을 찧어 푸푸를 만든다.
16. 수프에 코코넛밀크를 넣고 끓인다.
17. 접시에 푸푸를 담고, 수프를 부어 마무리한다.</t>
  </si>
  <si>
    <t>&lt;레이먼킴 - 나이스! 라이스~&gt;
●재료
인스턴트 사골곰탕, 쌀, 토마토 페이스트, 버터스프레이,
레드팜 오일, 파프리카, 토마토, 소고기 등심, 스테이크시즈닝,
강황가루, 가나 새우가루, 팜너트 통조림, 시토 소스,
양파, 청양고추, 통마늘, 다진 생강
●조리방법
1. 냄비에 인스턴트 사골곰탕, 불린 쌀을 넣고 끓인다.
2. 쌀을 끓이던 냄비에 잘게 썬 양파와 토마토 페이스트를 넣는다.
3. 다른 냄비에 적당한 크기로 썬 양파를 넣은 뒤, 버터스프레이를 뿌린다.
4. 볶던 양파에 레드팜 오일을 넣고 볶는다.
5. 파프리카를 적당한 크기로 썰어 쌀을 끓이던 냄비에 넣는다.
6. 핸드블랜더에 토마토를 넣고 간다.
7. 다른 핸드블랜더에 레드팜 오일에 볶은 양파와 청양고추, 통마늘, 다진 생강을 넣는다.
8. 끓이던 쌀에 다진 생강을 넣는다.
9. 핸드블랜더에 넣은 채소를 간다.
10. 기름을 두른 팬에 적당한 크기로 썬 소고기 등심과 스테이크시즈닝을 넣고 볶는다.
11. 볶던 등심에 간 토마토와 간 채소를 넣고 볶는다.
12. 등심볶음과 끓이던 쌀에 강황가루와 가나 새우가루를 넣는다.
13. 끓이던 쌀에 등심볶음을 넣고 졸여 졸로프 라이스를 만든다.
14. 남은 등심볶음에 인스턴트 사골곰탕과 팜너트 통조림을 넣고 끓여 팜너트 스튜를 만든다.
15. 그릇에 팜너트 스튜를 담는다.
16. 종지에 시토를 담는다.
17. 그릇에 졸로프 라이스를 담고 팜너트 스튜와 시토를 함께 낸다.</t>
  </si>
  <si>
    <t>&lt;레이먼킴 - 죽빙&gt;
●재료
누룽지, 오징어, 애호박, 쑥떡, 멍게젓, 청포도,
꿀, 수수부꾸미, 딸기, 블루베리, 마늘, 맛술,
소금, 청양고추, 깨, 참기름, 대파, 레몬
●조리 방법
1. 끓는 물에 잘게 부순 누룽지를 넣고 끓인다.
2. 적당한 크기로 썬 오징어의 뼈를 제거하고 핸드블랜더에 넣어 간다.
3. 마른 팬에 잘게 썬 애호박과 간 오징어를 넣고 볶는다.
4. 볶던 재료에 편마늘과 맛술을 넣는다.
5. 쑥떡을 적당한 크기로 썬다.
6. 핸드블랜더에 쑥떡을 넣고 간 뒤, 끓이던 누룽지에 넣는다.
7. 6에 볶은 오징어와 애호박을 넣고 함께 끓인다.
8. 끓이던 재료에 뜨거운 물을 더한 뒤, 핸드블랜더로 갈아 죽을 만든다.
9. 죽에 소금으로 간 한다.
10. 핸드블랜더에 멍게젓과 청양고추를 넣고 간다.
11. 간 멍게젓에 깨와 참기름을 넣고 섞어 양념장을 만든다.
12. 종지에 양념장을 담고 잘게 썬 대파를 올린다.
13. 핸드블랜더에 청포도를 넣고 간다.
14. 간 청포도에 꿀을 넣고 다시 한 번 간다.
15. 간 청포도를 체에 밭쳐 건더기와 즙을 걸러낸다.
16. 수수부꾸미에서 팥만 골라낸다.
17. 팥에 꿀을 넣고 버무린다.
18. 믹서기에 얼음을 넣고 간다.
19. 청포도즙에 레몬즙을 넣은 뒤, 종지에 담아낸다.
20. 그릇에 간 청포도&gt;간 얼음&gt;팥&gt;간 얼음&gt;간 청포도&gt;팥을 순서대로 담아 팥빙수를 만든다.
21. 팥빙수에 잘게 썬 딸기를 얹는다.
22. 팥빙수에 블루베리를 올리고 잘게 썬 레몬껍질을 뿌린다.
23. 그릇에 죽을 담고 잘게 썬 레몬껍질을 뿌린다.
24. 죽 위에 잘게 썬 대파를 올려 마무리한다.</t>
  </si>
  <si>
    <t>냉장고를 부탁해 시즌 1, 170화</t>
  </si>
  <si>
    <t>&lt;오세득 - 수비드 레이서&gt;
●재료
연어, 애호박, 갈치, 누룽지, 아보카도, 모과청,
청포도, 딸기, 올리브오일, 소금, 대파, 달걀,
통후추, 레몬즙, 화이트와인, 연겨자
●조리 방법
1. 연어를 적당한 크기로 썬다.
2. 비닐백에 올리브오일을 붓고, 소금으로 간 한 연어를 넣는다.
3. 볼에 뜨거운 물과 찬물을 섞어 미지근한 물(약 47℃)을 만든 뒤, 연어를 넣은 비닐팩을 담가 수비드한다.
4. 애호박을 슬라이스한 뒤, 소금을 뿌리고 올리브오일에 버무린다.
5. 그릴팬에 애호박을 굽는다.
6. 갈치의 살을 발라낸다.
7. 기름을 두른 팬에 잘게 썬 대파를 볶는다.
8. 대파를 볶던 팬에 적당한 크기로 썬 갈치살을 넣는다.
9. 볶던 갈치살에 달걀과 소금을 넣는다.
10. 갈치살과 애호박에 후추를 뿌린다.
11. 볶은 갈치살에 불린 누룽지를 넣고 볶아 갈치볶음밥을 만든다.
12. 아보카도를 손질한다.
13. 손질한 아보카도를 얇게 썬다.
14. 구운 애호박 위에 얇게 썬 아보카도를 올린다.
15. 수비드한 연어를 체에 밭쳐 기름을 뺀다.
16. 구운 애호박과 얇게 썬 아보카도 위에 수비드한 연어를 올린다.
17. 구운 애호박&gt;얇게 썬 아보카도&gt;수비드한 연어를 차례로 계속해서 쌓아 레이어드한다.
18. 레이어드한 연어와 채소의 가장자리를 잘라낸 뒤, 접시에 담는다.
19. 양파를 채 썬다.
20. 기름을 두른 팬에 채 썬 양파와 통후추, 레몬즙을 넣고 볶는다.
21. 볶던 재료에 레드와인과 화이트와인을 넣고 졸여 와인소스를 만든다.
22. 와인소스를 체에 밭쳐 건더기를 걸러낸다.
23. 와인소스에 레몬즙, 올리브오일, 모과청, 연겨자, 손질한 청포도와 딸기를 넣고 섞는다.
24. 레이어드한 연어&amp;채소 위에 과일소스를 뿌린다.
25. 그릇에 갈치볶음밥을 담아낸다.</t>
  </si>
  <si>
    <t>&lt;토니정 - 베리베리 맛있게&gt;
●재료
꽃게, 귤차 티백, 페퍼민트차 티백, 오징어, 누룽지,
딸기, 블루베리, 모과청, 아보카도, 체리, 청포도, 화이트와인,
식용유, 밀가루, 양파, 레몬즙, 마요네즈, 소금, 연겨자
●조리 방법
1. 꽃게를 손질해 적당한 크기로 자른다.
2. 달군 찜기에 화이트와인을 부어 끓인다.
3. 끓이는 화이트와인에 귤차 티백과 페퍼민트차 티백을 넣는다.
4. 찜기에 손질한 꽃게와 오징어를 넣고 찐다.
5. 물과 식용유, 밀가루, 잘게 부순 누룽지를 섞어 누룽지튀일반죽을 만든다.
6. 누룽지튀일반죽을 팬에 굽는다.
7. 믹서기에 꼭지를 제거한 딸기와 블루베리를 넣는다.
8. 딸기와 블루베리를 넣은 믹서기에 물과 화이트 와인, 모과청, 얼음을 넣고 갈아 베리베리주스를 만든다.
9. 양파를 잘게 썬다.
10. 핸드블랜더에 손질한 아보카도와 다진 양파, 레몬즙, 마요네즈, 소금을 넣고 갈아 아보카도무스를 만든다.
11. 찐 꽃게를 밀대로 밀어 게살을 발라내고, 찐 오징어는 적당한 크기로 썬다.
12. 게살과 찐 오징어를 잘게 다진다.
13. 볼에 잘게 다진 게살&amp;오징어, 다진 양파, 소금, 연겨자, 레몬즙을 넣는다.
14. 13에 올리브오일과 후추를 넣고 섞어 게살 타르타르를 만든다.
15. 접시에 원형틀을 올린 뒤, 게살 타르타르와 아보카도무스를 담는다.
16. 원형틀을 제거한 뒤, 누룽지튀일을 곁들인다.
17. 베리베리주스를 잔에 따른다.
18. 체리와 청포도를 곁들여 마무리한다.</t>
  </si>
  <si>
    <t>&lt;토니유 - 골든 크랩&gt;
●재료
모과청, 꽃게, 오징어, 누룽지, 통조림 참치, 멍게젓,
감말랭이, 양상추, 단감, 체리, 페퍼민트차 티백, 양파,
간장, 전분, 달걀, 레몬즙, 설탕, 식초
●조리 방법
1. 양파를 채 썬다.
2. 냄비에 채 썬 양파와 모과청, 간장, 물을 넣고 끓인다.
3. 꽃게의 내장을 발라낸다.
4. 꽃게를 밀대로 밀어 게살을 발라낸다.
5. 오징어를 적당한 크기로 썬다.
6. 핸드블랜더에 누룽지를 넣고 간다.
7. 간 누룽지를 체에 밭쳐 곱게 거른다.
8. 핸드블랜더에 고운 누룽지가루와 게살, 오징어, 통조림 참치를 넣고 갈아 게살반죽을 만든다.
9. 살을 발라낸 게 다리에 전분을 묻힌 뒤, 게살반죽을 뭉쳐 붙인다.
10. 게살반죽 위에 누룽지가루를 입히고 기름에 튀긴다.
11. 꽃게 등딱지를 물에 씻어낸 뒤, 안쪽에 전분을 묻힌다.
12. 남은 게살반죽에 게살을 더하고, 게내장과 즉석밥을 넣는다.
13. 멍게젓을 잘게 다진다.
14. 게내장밥에 잘게 다진 멍게젓을 넣고 섞는다.
15. 게 등딱지에 게내장밥을 담은 뒤, 전분-&gt;달걀-&gt;전분을 순서대로 묻혀 찜기에 넣고 찐다.
16. 감말랭이를 잘게 썬다.
17. 양파와 모과청을 넣고 끓인 간장소스를 체에 밭쳐 건더기는 걸러낸다.
18. 팬에 간장소스와 잘게 썬 감말랭이, 물, 레몬즙, 설탕을 넣고 졸여 감소스를 만든다.
19. 게튀김을 건져 기름기를 뺀다.
20. 양상추와 얇게 저민 단감, 식초, 잘게 썬 체리, 페퍼민트차 가루, 레몬즙을 섞어 단감샐러드를 만든다.
21. 게 등딱지에 담아서 찐 게내장밥과 게튀김, 감소스를 접시에 담고 단감샐러드를 얹어 마무리한다.</t>
  </si>
  <si>
    <t>&lt;샘킴 - 샘표 한상&gt;
●재료
국거리용 소고기, 무, 어묵, 삼겹살, 매실액,
멸치, 가지, 간 우둔살, 매생이, 김, 올리브오일,
통마늘, 소금, 양파, 당근, 청양고추, 간장, 설탕,
참기름, 고춧가루, 고추장, 후추, 다진 생강,
물엿, 대파, 홍고추, 밀가루, 맛술, 즉석밥
●조리방법
1. 핸드블랜더에 올리브오일과 통마늘을 넣고 갈아 마늘오일을 만든다.
2. 기름을 두른 냄비에 통마늘과 국거리용 소고기를 넣고 볶는다.
3. 볶던 소고기에 적당한 크기로 썬 무와 소금을 넣는다.
4. 3에 뜨거운 물을 붓고 끓여 소고기육수를 낸다.
5. 양파와 당근을 채 썬 뒤, 기름을 두른 팬에 볶다가 소금으로 간 한다.
6. 볶던 채소에 적당한 크기로 썬 어묵을 넣고 함께 볶는다.
7. 볶던 재료에 적당한 크기로 썬 청양고추와 마늘오일을 넣는다.
8. 볶던 재료에 고춧가루와 간장, 설탕, 참기름을 더해 어묵볶음을 만든다.
9. 볼에 간장과 설탕, 삼겹살, 고춧가루, 고추장, 매실액, 마늘오일을 넣고 버무려 고추장불고기를 만든다.
10. 고추장불고기에 후추, 참기름, 다진 생강, 물엿을 넣고 버무린다.
11. 청양고추와 대파를 썰어 고추장불고기에 넣고 버무린다.
12. 볼에 고추장과 참기름, 적당한 크기로 썬 청양고추, 멸치를 넣고 버무려 멸치고추장무침을 만든다.
13. 청양고추와 홍고추를 적당한 크기로 썰어 고추장불고기에 넣는다.
14. 가지를 길게 썬 뒤, 밀가루를 묻혀 기름에 튀긴다.
15. 팬에 마늘오일과 간 우둔살, 소금, 간장, 맛술을 넣고 볶은 뒤, 참기름을 더해 양념을 만든다.
16. 튀긴 가지와 양념, 잘게 썬 대파와 참기름을 버무려 가지무침을 만든다.
17. 그릴팬에 고추장불고기를 굽는다.
18. 팬에 마늘오일과 참기름, 국거리용 소고기, 소금을 넣고 볶다가 소고기육수를 넣고 끓인다.
19. 끓이던 재료를 체에 밭쳐 건더기를 걸러낸 뒤, 매생이를 넣고 끓여 매생이국을 만든다.
20. 매생이국에 소금과 간장으로 간 한다.
21. 김을 구운 뒤 적당한 크기로 찢는다.
22. 즉석밥을 전자레인지에 돌린다.
23. 구운 김과 멸치고추장무침, 어묵볶음을 각각 접시에 담는다.
24. 매생이국을 그릇에 담는다.
25. 가지무침과 고추장불고기, 밥을 각각 접시에 담는다.
26. 밥과 고추장불고기, 매생이국, 멸치고추장무침, 어묵볶음, 가지무침을 함께 낸다.</t>
  </si>
  <si>
    <t>냉장고를 부탁해 시즌 1, 171화</t>
  </si>
  <si>
    <t>&lt;정호영 - 맘스텔라&gt;
●재료
가지, 무, 조기, 해물다시팩, 우유, 참치액,
양파, 청양고추, 대파, 고춧가루, 간장, 다진 마늘,
청주, 소금, 버터, 설탕, 달걀, 밀가루, 홍고추, 깨, 즉석밥
●조리방법
1. 가지를 길게 자른 뒤, 찜기에 넣고 찐다.
2. 무를 적당한 크기로 썰어 냄비에 깐 뒤, 조기를 올린다.
3. 양파와 청양고추를 적당한 크기로 썰어 조기 위에 올린다.
4. 대파를 적당한 크기로 썬다.
5. 해물다시팩에 뜨거운 물을 부어 해물육수를 낸다.
6. 해물육수에 고춧가루, 간장, 다진 마늘, 청주, 소금을 넣어 양념을 만든다.
7. 조기에 양념을 붓고 조린다.
8. 버터를 전자레인지에 돌려 녹인다.
9. 볼에 설탕과 달걀흰자를 넣고 섞어 머랭을 만든다.
10. 머랭에 달걀노른자와 밀가루를 넣고 섞어 카스텔라 반죽을 만든다.
11. 카스텔라 반죽에 우유와 녹인 버터를 넣는다.
12. 달군 팬에 녹인 버터를 넣고 한번 닦아낸 뒤, 카스텔라 반죽을 붓고 뚜껑을 덮어 익힌다.
13. 카스텔라를 돌돌 말아 김발로 고정한다.
14. 조기매운탕에 참치액을 넣는다.
15. 찐 가지를 꺼내 물기를 짠다.
16. 볼에 찐 가지, 적당한 크기로 썬 대파와 홍고추, 깨를 넣는다.
17. 16에 참치액과 참기름, 다진 마늘, 소금을 넣고 무쳐 가지무침을 만든다.
18. 접시에 가지무침을 담는다.
19. 전자레인지에 넣고 돌린 즉석밥을 그릇에 담는다.
20. 카스텔라를 적당한 크기로 썰어 접시에 담는다.
21. 조기매운탕에 잘게 썬 대파를 올린다.
22. 밥과 가지무침, 카스텔라, 조기매운탕을 함께 낸다.</t>
  </si>
  <si>
    <t>&lt;김풍 - 허니버터치&gt;
●재료
멸치, 다시마, 무, 국물용 멸치, 꿀, 표고버섯,
참치액, 파스타면, 느타리버섯, 어린잎채소, 버터,
다진 마늘, 화이트와인, 소금, 마늘, 들기름,
간장, 청양고추, 후추
●조리방법
1. 멸치의 대가리와 내장을 제거한다.
2. 끓는 물에 다시마와 무, 국물용 멸치를 넣고 우린다.
3. 버터를 녹이던 팬에 잘게 다진 마늘과 꿀, 화이트와인을 넣어 허니버터를 만든다.
4. 끓는 물에 표고버섯 불린 물과 참치액을 넣은 뒤, 파스타면을 넣고 삶는다.
5. 삶던 파스타면에 소금을 넣는다.
6. 손질한 멸치를 체에 밭친 뒤, 멸치육수에 담가 익힌다.
7. 물에 불린 표고버섯을 적당한 크기로 썬다.
8. 느타리버섯은 적당한 크기로 찢고, 마늘은 잘게 다진다.
9. 팬에 들기름을 두르고, 다진 마늘과 간장, 손질한 버섯을 넣고 볶는다.
10. 볶던 재료에 삶은 파스타면과 멸치육수를 넣고 볶아 멸치파스타를 만든다.
11. 멸치파스타에 잘게 썬 청양고추를 넣는다.
12. 멸치육수에 담가 익힌 멸치를 허니버터에 넣고 버무려 허니버터멸치를 만든다.
13. 접시에 어린잎채소를 담고, 허니버터멸치를 올린다.
14. 멸치파스타에 후추와 참기름을 넣은 뒤, 접시에 담아 마무리한다.</t>
  </si>
  <si>
    <t>&lt;정지선 - 차이나는 비빔면&gt;
●재료
새송이버섯, 파스타면, 양배추물, 새우젓, 통조림옥수수,
잔멸치, 어묵, 마늘장아찌, 양상추, 소금, 대파,
다진 생강, 전분, 청양고추, 후추, 설탕
●조리방법
1. 새송이버섯을 적당한 크기로 썬다.
2. 적당한 크기로 자른 새송이버섯에 파스타면을 꽂는다.
3. 양배추물을 끓이다가 소금을 넣고, 새송이버섯에 꽂은 파스타면을 삶는다.
4. 팬에 기름을 넉넉하게 두른 뒤, 길게 자른 대파를 넣고 튀겨 파기름을 낸다.
5. 파기름에 다진 생강과 새우젓을 넣는다.
6. 통조림옥수수에 전분을 묻힌다.
7. 전분을 묻힌 옥수수알을 기름에 튀긴 뒤, 건져내 기름기를 뺀다.
8. 잔멸치를 기름에 튀긴 뒤, 건져내 기름기를 뺀다.
9. 어묵을 채 썬다.
10. 채 썬 어묵에 전분을 묻힌 뒤, 기름에 튀긴다.
11. 어묵튀김을 건져내 얼음물에 넣고 식힌다.
12. 마늘장아찌를 적당한 크기로 썬다.
13. 파기름에 면수를 넣는다.
14. 끓이던 파기름에 잘게 썬 청양고추를 넣는다.
15. 삶은 파스타면을 건져낸 뒤, 얼음물에 담가 식힌다.
16. 파기름을 체에 밭쳐 건더기를 걸러낸다.
17. 파스타면에 파기름을 넣고 버무린 뒤, 후추를 넣어 파기름비빔면을 만든다.
18. 양상추를 채 썬다.
19. 접시에 채 썬 양상추를 담고, 파기름비빔면을 올린다.
20. 파기름비빔면 위에 적당한 크기로 썬 마늘장아찌와 파기름을 뿌린다.
21. 20 위에 설탕과 후추를 뿌린다.
22. 옥수수알튀김에 소금을 넣고 섞는다.
23. 접시에 옥수수알튀김을 담아낸다.</t>
  </si>
  <si>
    <t>&lt;샘킴 - 참치 언더파~&gt;
●재료
소갈비, 살라미, 인스턴트 사골곰탕, 참치,
쪽파, 바비큐소스, 파르메산치즈, 리코타치즈,
모차렐라 치즈, 통밀빵, 플레인 요거트, 홀스래디시,
라임, 베트남고추, 아보카도, 발사믹식초, 애플민트,
마늘, 즉석밥, 올리브오일, 양파, 후추, 소금, 레몬
●조리방법
1. 마늘을 잘게 다진다.
2. 소갈비살을 적당한 크기로 썬다.
3. 기름을 두른 팬에 잘게 다진 마늘과 소갈비살을 넣고 볶는다.
4. 볶던 소갈비에 잘게 썬 살라미를 넣고 볶는다.
5. 볶던 재료에 즉석밥을 넣고 볶아 볶음밥을 만든다..
6. 볶음밥에 인스턴트 사골곰탕 국물을 넣는다.
7. 핸드블랜더에 마늘과 올리브오일을 넣고 갈아 마늘오일을 만든다.
8. 참치를 적당한 크기로 썬 뒤, 마늘오일에 버무린다.
9. 쪽파의 적당한 크기로 썬 뒤, 기름을 두른 그릴팬에 굽는다.
10. 굽던 쪽파에 바비큐소스를 바른다.
11. 쪽파를 굽는 그릴팬에 양파를 함께 굽는다.
12. 볶음밥에 파르메산치즈를 갈아 넣는다.
13. 볶음밥에 리코타치즈를 넣고 섞는다.
14. 볶음밥에 후추와 모차렐라치즈를 넣고 식힌다.
15. 핸드블렌더에 통밀빵을 갈아 빵가루를 만든다.
16. 볶음밥을 동그랗게 뭉친 뒤, 전분&gt;달걀물&gt;빵가루를 순서대로 입히고 기름에 튀겨 아란치니를 만든다.
17. 플레인 요거트와 홀스래디시, 소금, 후추, 레몬즙을 섞은 뒤, 라임껍질을 갈아 넣어 요거트소스를 만든다.
18. 기름을 두른 팬에 마늘오일에 버무린 참치를 굽는다.
19. 석쇠에 베트남고추를 굽다가, 구운 참치를 올려 고추향을 입힌다.
20. 구운 쪽파를 접시에 담는다.
21. 아보카도를 적당한 크기로 썰어 쪽파 위에 올린다.
22. 볼에 바비큐소스와 발사믹식초, 레몬즙, 올리브오일을 넣고 섞어 소스를 만든다.
23. 참치타다키를 적당한 크기로 썰어 아보카도 위에 올린다.
24. 참치타다키 위에 소스를 뿌리고 구운 양파를 곁들인다.
25. 그릇에 요거트소스를 담은 뒤, 아란치니를 올린다.
26. 아란치니 위에 라임껍질과 파르메산치즈를 갈아 올린다.
27. 참치타다키 위에 잘게 썬 애플민트와 레몬즙을 뿌려 마무리한다.</t>
  </si>
  <si>
    <t>냉장고를 부탁해 시즌 1, 172화</t>
  </si>
  <si>
    <t>&lt;치로 - 스피드 스퀴드&gt;
●재료
통밀빵, 오징어, 쪽파, 리코타치즈, 애플민트,
파르메산치즈, 적양파, 아보카도, 라임, 마늘,
올리브오일, 소금, 후추, 레몬, 레드와인, 식초, 설탕
●조리방법
1. 통밀빵을 큐브모양으로 썬다.
2. 큐브모양으로 썬 통밀빵을 오븐에 구워 크루통을 만든다.
3. 오징어는 다리를 잘라낸다.
4. 오징어의 몸통을 잘게 썬다.
5. 팬에 으깬 마늘과 올리브오일을 넣고 굽는다.
6. 쪽파 흰 부분을 잘게 썬다.
7. 마늘을 굽던 팬에 잘게 썬 쪽파 흰 부분과 오징어를 넣고 볶는다.
8. 볶던 재료에 소금과 후추로 간 한다.
9. 볼에 리코타치즈와 볶은 오징어, 잘게 썬 애플민트를 넣고 레몬껍질과 파르메산치즈를 갈아 넣어 소를 만든다.
10. 소에 크루통을 넣는다.
11. 통오징어의 몸통 안에 소를 채워 넣는다.
12. 소을 채운 오징어를 나무꼬치로 고정한 뒤, 올리브오일과 후추를 뿌린다.
13. 마른 그릴팬에 소을 채운 오징어를 굽는다.
14. 굽던 오징어를 오븐에 넣고 굽는다.
15. 적양파를 적당한 크기로 썬다.
16. 끓는 물에 소금을 넣고, 적양파를 넣어 데친다.
17. 16에 레드와인과 식초, 설탕을 넣고 끓인다.
18. 핸드블랜더에 손질한 아보카도와 잘게 썬 쪽파, 라임즙, 후추를 넣는다.
19. 구운 오징어를 그릴팬에 옮겨 담은 뒤, 올리브오일을 뿌리고 뚜껑을 덮어 익힌다.
20. 재료를 넣은 핸드블랜더에 올리브오일을 넣고 갈아 아보카도소스를 만든다.
21. 아보카도소스를 체에 곱게 걸러낸다.
22. 아보카도소스를 짤주머니에 넣고, 접시에 플레이팅 한다.
23. 데친 적양파를 건져낸 뒤, 소금과 올리브오일에 버무린다.
24. 아보카도소스 위에 적양파를 올린다.
25. 아보카도를 적당한 크기로 썬 뒤, 레몬즙과 후추를 뿌리고 접시에 플레이팅한다.
26. 애플민트를 곁들인다.
27. 구운 오징어의 나무꼬치를 제거한다.
28. 접시에 구운 오징어를 담아 마무리한다.</t>
  </si>
  <si>
    <t>&lt;레이먼킴 - 월드클래스 삼합&gt;
●재료
소갈비, 블랙트러플소금, 통밀빵, 선드라이드 토마토,
파르메산 치즈, 씻은 김치, 스리라차소스, 애플민트,
고량주, 통조림 옥수수, 적양파, 아보카도, 크림치즈,
블랙트러플오일, 블랙트러플페이스트, 블랙트러플,
고추냉이크림, 관자, 대파, 레몬, 소금, 버터
●조리방법
1. 소갈비는 뼈를 발라내고 반으로 접어 두툼하게 만든 뒤, 두드려 넓게 편다.
2. 반으로 접은 소갈비를 조리용 실로 묶어 고정한다.
3. 소갈비에 블랙트러플소금으로 간 한다.
4. 대파를 적당한 크기로 썬 뒤, 석쇠에 올린다.
5. 석쇠에 올린 대파를 직화한다.
6. 통밀빵을 슬라이스 한 뒤, 마른 팬에 굽는다.
7. 핸드블랜더에 구운 통밀빵과 선드라이드 토마토, 파르메산 치즈, 씻은 김치, 스리라차소스를 넣고 갈아 로메스코소스를 만든다.
8. 애플민트를 적당한 크기로 썬 뒤, 고량주에 재운다.
9. 마른 팬에 통조림 옥수수를 굽는다.
10. 적양파를 잘게 다진다.
11. 핸드블랜더에 손질한 아보카도와 다진 적양파를 넣고 간다.
12. 간 아보카도에 구운 옥수수와 레몬즙, 소금을 넣어 과카몰레를 만든다.
13. 볼에 크림치즈와 블랙트러플오일, 블랙트러플페이스트, 잘게 썬 블랙트러플, 블랙트러플소금을 넣고 섞어 트러플치즈소스를 만든다.
14. 트러플크림소스에 레몬즙을 더한다.
15. 볼에 크림치즈와 고추냉이크림, 소금을 넣고 섞어 고추냉이치즈소스를 만든다.
16. 뜨거운 물에 레몬즙과 레몬, 소금을 넣고 끓인 뒤, 관자를 데친다.
17. 데친 관자를 건져 식힌다.
18. 기름을 두른 팬에 소갈비를 굽다가 버터를 넣는다.
19. 구운 통밀빵 위에 트러플치즈소스와 고추냉이치즈소스를 올린다.
20. 접시에 소스를 올린 통밀빵과 과카몰레, 로메스코소스를 담는다.
21. 대파 칼솟타다의 껍질을 벗겨낸 뒤, 로메스코소스 위에 올린다.
22. 구운 소갈비스테이크의 실을 풀고 반으로 자른다.
23. 트러플치즈소스와 고추냉이치즈소스 위에 각각 소갈비스테이크를 올린다.
24. 구운 소갈비를 반으로 자른 뒤, 트러플크림치즈소스와 고추냉이크림치즈소스 위에 올린다.
25. 과카몰레 위에 데친 관자를 올린다.
26. 접시에 고량주에 재운 애플민트를 담은 뒤, 토치로 불을 붙여 낸다.</t>
  </si>
  <si>
    <t>&lt;루퍼트 - 세리볼 나이스샷&gt;
●재료
다시마, 무, 쪽파, 선드라이드 토마토, 통조림 게살,
배추김치, 아보카도, 안창살, 맛술, 소금, 설탕,
식용유, 참기름, 양파, 대파, 레몬
●조리방법
1. 뜨거운 물에 맛술과 다시마, 소금, 설탕, 식용유를 넣고 끓인다.
2. 끓이던 재료에 참기름을 넣는다.
3. 양파는 채 썰고, 무는 얇게 썬 뒤 끓이던 재료에 넣고 끓인다.
4. 대파를 길게 썰어 마른 그릴팬에 굽는다.
5. 쪽파는 뿌리를 잘라내고 그릴팬에 함께 굽는다.
6. 볼에 잘게 다진 선드라이드 토마토와 통조림 게살을 넣는다.
7. 구운 대파와 쪽파를 잘게 썰어 볼에 함께 담고, 소금을 더해 섞는다.
8. 7에 참기름과 김칫국물을 넣어 소를 만든다.
9. 끓이던 재료를 체에 밭쳐 건더기만 걸러내고, 양파와 무만 꺼내 잘게 다진다.
10. 소에 잘게 다진 양파와 무를 섞는다.
11. 아보카도를 손질한 뒤, 기름을 두른 그릴팬에 굽는다.
12. 구운 아보카도를 적당한 크기로 썰어 소에 넣고 섞는다.
13. 소에 레몬즙을 더한다.
14. 안창살에 소금과 후추로 간한 뒤, 기름을 두른 그릴팬에 굽는다.
15. 배추김치의 잎만 잘라낸다.
16. 랩 위에 김치 잎을 넓게 편다.
17. 넓게 편 김치 위에 소를 올린 뒤, 동그랗게 모양을 잡아 김치볼을 만든다.
18. 김치볼의 랩을 벗겨내고 그릇에 담는다.
19. 굽던 안창살에 김칫국물을 넣는다.
20. 김칫국물을 넣고 구운 안창살을 김치볼과 함께 담는다.
21. 김칫국물과 참기름을 뿌려 마무리한다.</t>
  </si>
  <si>
    <t>&lt;이연복&amp;김풍 - 연복풍 완자&gt;
: 그린 빈 볶음을 곁들인 팔보완자 &amp; 얼큰탕
●재료
해물다시팩, 무, 그린 빈, 브로콜리, 양송이버섯,
새송이버섯, 가지, 소고기 안심, 돼지고기 어깨살,
간 닭고기, 닭허벅지살, 대구맛후리카케, 라유,
야키니쿠소스, 말린 새우, 미소된장, 명란젓, 표고버섯,
가리비다시마소스, 우동면, 대게다리살, 시금치
●조리방법
1. 끓는 물에 해물다시팩과 적당한 크기로 썬 무, 고추를 넣고 끓여 해물육수를 낸다.
2. 그린 빈을 손질한 뒤, 기름에 튀기듯 볶는다.
3. 양파와 브로콜리를 적당한 크기로 썬다.
4. 양송이버섯과 새송이버섯을 적당한 크기로 썬다.
5. 가지와 소고기 안심을 적당한 크기로 썬 뒤, 기름에 튀긴다.
6. 튀긴 가지와 안심을 건져내 기름기를 뺀다.
7. 믹서기에 돼지고기 어깨살과 간 닭고기, 닭허벅지살, 대구맛후리카케, 통마늘, 다진 생강을 넣고 간다.
8. 간 고기에 전분을 넣고 치댄다.
9. 8에 후추와 대구맛후리카케, 달걀흰자를 넣고 치대 완자반죽을 만든다.
10. 완자반죽을 동그란 모양으로 커다랗게 뭉친 뒤, 기름에 튀긴다.
11. 익힌 그린 빈을 체에 밭쳐 기름기를 뺀다.
12. 대파는 잘게 썰고 마늘은 으깬다.
13. 기름을 두른 팬에 라유와 잘게 썬 대파, 으깬 마늘, 익힌 그린 빈, 야키니쿠소스, 해물육수를 넣고 볶는다.
14. 기름을 두른 팬에 말린 새우를 넣고 볶다가 미소된장, 적당한 크기로 썬 채소, 야키니쿠소스, 명란젓, 튀긴 안심과 가지, 해물육수를 넣고 볶아 완자소를 만든다.
15. 채 썬 양파를 볶던 그린 빈과 함께 볶는다.
16. 대파와 마늘, 돼지고기 어깨살, 무, 표고버섯을 적당한 크기로 썬다.
17. 기름을 두른 팬에 돼지고기 어깨살과 대파, 고춧가루, 간장을 넣고 볶는다.
18. 볶던 재료에 손질한 표고버섯과 무를 넣은 뒤, 해물육수를 더해 끓인다.
19. 끓이던 재료에 가리비다시마소스를 넣는다.
20. 끓는 물에 우동면을 넣고 삶는다.
21. 끓이던 재료에 대게다리살과 시금치를 넣는다.
22. 튀긴 완자를 건져 기름기를 뺀다.
23. 완자의 윗부분을 잘라낸 뒤, 속을 파낸다.
24. 속을 파낸 완자를 기름에 다시 한 번 튀긴다.
25. 튀긴 완자의 속에 완자소를 채운다.
26. 접시에 완자를 올린 뒤, 그린 빈 볶음을 담는다.
27. 그릇에 우동탕을 담아 마무리한다.</t>
  </si>
  <si>
    <t>냉장고를 부탁해 시즌 1, 173화</t>
  </si>
  <si>
    <t>&lt;모토카와&amp;정호영 - 추바라시&gt;
●재료
식빵, 해물다시팩, 양송이버섯, 브로콜리,
오렌지, 소고기 안심, 달걀, 우유, 블루치즈,
파르미지아노 치즈, 간 닭고기, 방울토마토,
어니언프라이, 멘쯔유, 우동 쯔유,
마늘간장소스, 아보카도, 금가루
●조리방법
1. 오븐에 식빵을 넣고 굽는다.
2. 끓는 물에 해물다시팩을 넣고 끓여 해물육수를 낸다.
3. 마늘과 양송이버섯은 편 썰고, 브로콜리는 적당한 크기로 썬다.
4. 끓는 올리브오일에 편마늘과 양송이버섯, 브로콜리, 오렌지껍질을 넣고 끓인다.
5. 소고기 안심에 소금과 후추를 뿌린 뒤, 끓이던 올리브오일에 넣고 익힌다.
6. 달걀흰자와 노른자를 분리한다.
7. 달걀노른자와 우유를 섞은 뒤, 체에 곱게 걸러내 달걀찜반죽을 만든다.
8. 잘게 썬 블루치즈와 구운 식빵을 그릇에 담는다.
9. 달걀찜반죽을 그릇에 담은 뒤, 파르미지아노 치즈를 갈아 올린다.
10. 찜기에 달걀찜반죽을 넣고 찐다.
11. 양파를 채 썬다.
12. 볼에 달걀과 달걀껍데기, 간 닭고기, 채 썬 양파를 넣는다.
13. 11에 잘게 썬 당근과 방울토마토, 어니언프라이를 넣고 손으로 으깨듯 섞는다.
14. 끓이던 해물육수에서 해물다시팩을 건져낸 뒤, 섞은 재료를 넣고 끓인다.
15. 올리브오일에 익힌 안심을 건져 마른 팬에 굽는다.
16. 멘쯔유와 우동 쯔유, 마늘간장소스를 섞어 쯔유소스를 만든다.
17. 굽던 안심에 쯔유소스를 부어 졸인 뒤, 쯔유소스는 해물육수에 넣고 안심은 식힌다.
18. 올리브오일에 익힌 재료들을 건져내 잘게 썬다.
19. 볼에 달걀흰자를 넣고 치대어 머랭을 만든다.
20. 끓이던 올리브오일을 체에 곱게 걸러 잔에 담고, 머랭을 올린다.
21. 해물육수에 끓이던 재료를 체에 걸러 국물만 팬에 담는다.
22. 21에 손질한 아보카도와 올리브오일에 익힌 브로콜리, 양송이버섯을 넣어 콩소메수프를 만든다.
23. 콩소메수프에 전분물을 넣어 농도를 조절한다.
24. 달걀찜 위에 콩소메수프를 붓는다.
25. 적당한 크기로 썬 안심을 콩소메수프 위에 얹는다.
26. 콩소메수프 위에 올리브오일에 익힌 오렌지껍질을 뿌린다.
27. 올리브오일과 머랭이 담긴 소스에 금가루를 뿌린다.</t>
  </si>
  <si>
    <t>&lt;유현수 - 추추테일러&gt;
●재료
스키야키소스, 고기소스, 인삼, 대추, 무,
소고기 안심, 데친 고사리, 들깻가루, 양배추,
브로콜리니, 시금치, 팽이버섯, 가리비다시마소스,
후머스, 콘수프, 당근드레싱, 금가루
●조리방법
1. 마늘을 으깬다.
2. 양파와 대파, 당근을 적당한 크기로 썬다.
3. 냄비에 으깬 마늘과 적당한 크기로 썬 채소, 밀가루, 뜨거운 물, 스키야키소스, 고기소스, 인삼, 대추를 넣고 끓여 꼬리곰탕소스를 만든다.
4. 무를 적당한 크기로 썰어 끓이던 재료에 넣는다.
5. 무를 원통모양으로 썬다.
6. 소고기 안심에 원형틀로 동그란 구멍을 낸다.
7. 구멍을 낸 소고기 안심에 소금과 후추로 밑간한 뒤, 밀가루를 묻힌다.
8. 원통모양 무에 밀가루를 묻히고, 소고기 안심 구멍에 끼워 소꼬리 모양을 만든다.
9. 쿠킹포일로 안심 테두리를 감싼 뒤, 기름에 튀긴다.
10. 찜기에 나무젓가락과 튀긴 안심을 넣는다.
11. 나무젓가락에 토치로 불을 붙인 뒤, 찜기 뚜껑을 덮어 안심을 훈연한다.
12. 기름을 두른 팬에 다진 마늘과 데친 고사리를 넣고 볶는다.
13. 핸드블렌더에 들깻가루와 물을 넣고 간 뒤, 볶던 고사리에 넣는다.
14. 끓는 물에 손질한 양배추와 브로콜리니, 시금치를 넣고 데친 뒤, 얼음물에 담가 식힌다.
15. 꼬리곰탕소스에서 인삼만 건져낸 뒤, 밀가루를 묻혀 튀긴다.
16. 튀긴 인삼을 건져내 기름기를 뺀다.
17. 데친 시금치의 물기를 짠 뒤, 고사리를 볶던 팬에 넣는다.
18. 볶던 재료에 팽이버섯을 넣는다.
19. 데친 브로콜리니와 양배추의 물기를 짠 뒤, 식초와 고춧가루, 가리비다시마소스, 소금을 넣고 버무려 김치를 만든 뒤, 접시에 담아낸다.
20. 훈연한 안심의 쿠킹포일을 벗겨낸다.
21. 안심을 마른 그릴팬에 굽는다.
22. 꼬리곰탕소스를 종지에 담는다.
23. 후머스와 콘수프를 섞어 접시에 플레이팅 한다.
24. 접시에 고사리시금치볶음을 담는다.
25. 접시에 당근드레싱을 뿌리고 안심 스테이크를 담는다.
26. 튀긴 인삼에 금가루를 뿌린 뒤, 접시에 올려 마무리한다</t>
  </si>
  <si>
    <t>&lt;벤자민 - K.F.C.(Korean Fried Chicken)&gt;
●재료
달걀, 닭허벅지살, 레드와인식초, 스리라차소스,
무, 팬케이크가루, 우유, 고추맛후리카케, 시치미,
유자향시치미, 아보카도, 빵가루
●조리방법
1. 양파를 적당한 크기로 썬다.
2. 믹서기에 적당한 크기로 썬 양파와 소금, 된장, 고추장, 달걀흰자, 후추를 넣고 갈아 된장소스를 만든다.
3. 닭허벅지살을 두드려 넓게 편다.
4. 넓게 편 닭허벅지살에 후추와 소금으로 밑간한다.
5. 밑간한 닭허벅지살을 된장소스에 버무려 재운다.
6. 냄비에 설탕과 레드와인식초, 고추장, 스리라차소스, 다진 생강, 다진 마늘을 넣고 끓여 고추장소스를 만든다.
7. 고추장소스에 참기름을 더한다.
8. 무를 잘게 썬다.
9. 잘게 썬 무에 설탕과 청주, 식초를 넣고 절인다.
10. 볼에 팬케이크가루와 우유, 고추맛후리카케를 넣고 섞어 팬케이크반죽을 만든다.
11. 다른 볼에 밀가루와 시치미, 유자향시치미, 소금을 섞어 튀김옷을 만든다.
12. 된장소스에 재운 닭허벅지살에 튀김옷을 입힌 뒤, 기름에 튀긴다.
13. 기름을 두른 팬에 팬케이크반죽을 굽는다.
14. 치킨을 건져내 기름기를 뺀다.
15. 치킨을 다시 한 번 기름에 튀긴 뒤, 건져내 기름기를 뺀다.
16. 기름을 두른 팬에 손질한 아보카도를 넣고 굽는다.
17. 빵가루를 튀긴다.
18. 튀긴 빵가루와 대파를 잘게 썬다.
19. 치킨에 고추장소스를 바른다.
20. 19에 튀긴 빵가루와 대파, 고추맛후리카케를 뿌린다.
21. 팬케이크 위에 치킨을 올린다.
22. 치킨 위에 구운 아보카도를 올린 뒤, 고춧가루를 뿌려 접시에 담아낸다.
23. 치킨 위에 절인 무를 올려 마무리한다.</t>
  </si>
  <si>
    <t>&lt;레이먼킴 - 투가스&gt;
●재료
금태, 데친 시금치, 완두콩, 인스턴트 설렁탕,
소고기 안심, 디종 머스터드, 우유, 빵가루,
스테이크소스, 미네스트로네수프, 타르타르소스,
양파, 소금, 후추, 고추냉이, 밀가루, 달걀, 버터,
통마늘, 케첩, 청양고추, 마요네즈, 레몬
●조리방법
1. 끓는 물에 양파를 데친다.
2. 금태의 살을 발라낸다.
3. 양파를 데치던 냄비에 데친 시금치와 완두콩, 물을 넣고 끓인다.
4. 끓이던 채소의 물을 모두 따라낸 뒤, 인스턴트 설렁탕을 넣고 끓인다.
5. 소고기 안심에 소금과 후추로 밑간한다.
6. 밑간한 소고기 안심에 디종 머스터드를 발라 겹겹이 쌓는다.
7. 금태살에 소금으로 밑간한 뒤, 고추냉이를 바르고 다른 금태살을 붙여 샌드한다.
8. 겹겹이 쌓은 소고기 안심과 금태살에 밀가루를 입힌다.
9. 8에 우유를 넣은 달걀물 &gt; 밀가루 &gt; 달걀물 &gt; 빵가루를 순서대로 입힌다.
10. 설렁탕과 함께 끓이던 채소를 핸드블렌더로 곱게 갈아 채소수프를 만든다.
11. 팬에 버터를 두른 뒤, 밀가루를 넣고 볶아 루를 만든다.
12. 채소수프에 루와 우유를 넣고 끓인다.
13. 기름을 넉넉히 두른 팬에 통마늘을 넣어 마늘향을 낸 뒤, 튀김옷을 입힌 소고기 안심과 금태살을 넣고 튀기듯 굽는다.
14. 루에 스테이크소스와 미네스트로네수프, 케첩, 물을 넣고 섞어 데미글라스소스를 만든다.
15. 잘게 썬 청양고추와 마요네즈, 타르타르소스, 레몬즙, 소금을 넣고 섞어 수제타르타르소스를 만든다.
16. 굽던 안심가스와 금태가스에 버터를 넣는다.
17. 접시에 안심가스소스와 금태가스소스를 담는다.
18. 소스 위에 각각 안심가스와 금태가스를 올려 마무리한다.</t>
  </si>
  <si>
    <t>냉장고를 부탁해 시즌 1, 174화</t>
  </si>
  <si>
    <t>&lt;정호영 - 프리하새우&gt;
●재료
불고기용 돼지고기, 고구마, 토마토즙, 토마토,
스리라차소스, 참치액, 두부, 식빵, 우유, 마,
새우, 사과, 플레인요거트, 양배추, 달걀,
다진 마늘, 식용유, 청양고추, 고추장, 전분,
설탕, 밀가루, 기름, 고춧가루, 레몬, 마요네즈,
●조리방법
1. 끓는 물에 달걀을 넣고 삶는다.
2. 냄비에 다진 마늘과 식용유, 불고기용 돼지고기를 넣고 볶는다.
3. 볶던 재료에 적당한 크기로 썬 고구마를 넣는다.
4. 핸드블랜더에 토마토즙과 적당한 크기로 썬 토마토를 넣고 간다.
5. 볶던 재료에 간 토마토와 물, 스리라차소스, 잘게 썬 청양고추, 고추장을 넣고 끓여 나베를 만든다.
6. 끓이던 나베에 참치액을 넣는다.
7. 두부를 깍둑썰기 한 뒤, 전분을 묻혀 기름에 튀긴다.
8. 튀긴 두부를 나베에 넣고 끓이다가 설탕을 더한다.
9. 테두리를 잘라낸 식빵을 믹서기에 넣고 갈아 빵가루를 만든다.
10. 밀가루와 달걀, 우유, 간 마를 섞어 튀김반죽을 만든다.
11. 손질한 새우에 칼집을 넣고, 다섯 마리를 꼬치에 끼워 고정한다.
12. 새우에 튀김반죽을 묻히고 빵가루를 입힌 뒤, 기름에 튀긴다.
13. 나베에 고춧가루를 넣는다.
14. 간 사과와 레몬즙, 간 레몬껍질, 플레인요거트, 마요네즈, 설탕, 삶은 달걀을 섞어 수제타르타르소스를 만든다.
15. 나베를 뚝배기에 옮겨 담고 끓인다.
16. 접시에 채 썬 양배추와 타르타르소스를 담은 뒤, 꼬치를 제거한 새우가스를 올려 마무리한다.</t>
  </si>
  <si>
    <t>&lt;유현수 - 폼나는 조식&gt;
●재료
통조림연어, 토마토, 양배추, 상추, 깻잎,
토마토즙, 새우, 완두콩, 타르타르소스,
볶은 땅콩, 오리엔탈드레싱, 딸기, 달걀,
전분, 밀가루, 소금, 올리브오일, 설탕,
●조리방법
1. 달걀의 끝부분만 깨서 껍데기 원형을 살리고 달걀속은 빼낸다.
2. 달걀물을 체에 밭쳐 곱게 거른다.
3. 달걀물에 통조림연어를 넣고 섞는다.
4. 달걀컵에 달걀껍데기를 담고, 속에 연어달걀물을 채운다.
5. 4를 찜기에 넣은 뒤, 키친타월로 덮고 찐다.
6. 마른 팬에 손질한 토마토를 굽는다.
7. 물과 전분, 밀가루, 소금을 섞어 라이스페이퍼반죽을 만든다.
8. 기름을 바른 접시에 라이스페이퍼반죽을 동그랗게 붓고, 랩으로 덮는다.
9. 라이스페이퍼반죽을 전자레인지에 넣고 돌린다.
10. 전자레인지에서 익힌 라이스페이퍼를 꺼내 얼음물에 담가 식힌다.
11. 양배추와 상추, 깻잎을 채 썬다.
12. 핸드블랜더에 토마토즙과 설탕을 넣고 갈아 토마토폼소스를 만든다.
13. 뜨거운 물에 새우와 완두콩을 넣어 데친 뒤, 얼음물에 넣어 식힌다.
14. 라이스페이퍼에 채 썬 채소와 타르타르소스, 데친 새우를 넣고 돌돌 말아 새우스프링롤을 만든다.
15. 접시에 타르타르소스로 플레이팅한 뒤, 구운 토마토와 새우스프링롤을 올린다.
16. 잘게 간 볶은땅콩과 오리엔탈드레싱을 뿌린다.
17. 딸기의 꼭지를 제거한 뒤, 곁들인다.
18. 새우스프링롤 위에 채 썬 채소와 토마토폼소스를 올린다.
19. 연어달걀찜을 곁들여 마무리한다.</t>
  </si>
  <si>
    <t>&lt;오세득 - 수플레가 모닝?&gt;
●재료
우유, 딸기, 프랑크소시지, 양상추, 메이플시럽,
식빵, 사과, 식혜, 꿀, 달걀, 밀가루, 설탕,
올리브오일, 레몬, 당근, 다진 생강, 버터, 소금
●조리방법
1. 달걀흰자와 노른자를 분리한다.
2. 달걀노른자를 휘저어 푼 뒤, 밀가루를 섞는다.
3. 달걀흰자에 설탕을 넣어가며 쳐서 머랭을 만든다.
4. 밀가루를 넣은 달걀노른자에 머랭을 조금씩 넣어가며 섞어 수플레팬케이크반죽을 만든다.
5. 기름을 두른 팬에 수플레팬케이크반죽을 올린 뒤, 뚜껑을 덮고 약불에서 서서히 익힌다.
6. 우유를 끓인 뒤, 레몬즙을 넣는다.
7. 끓인 우유를 체에 밭쳐 리코타치즈를 만든다.
8. 수플레팬케이크 위에 반죽을 한 번 더 올리고, 다시 익힌다.
9. 딸기를 적당한 크기로 썬 뒤, 설탕과 레몬즙을 섞는다.
10. 프랑크소시지에 칼집을 넣은 뒤, 뜨거운 물에 넣고 데친다.
11. 볼에 달걀을 푼다.
12. 양상추를 채 썬다.
13. 팬에 메이플시럽을 넣고 끓인다.
14. 한 팬에는 달걀물을 넣어 에그스크램블을 만들고, 한 팬에는 식빵을 넣어 굽는다.
15. 사과를 적당한 크기로 썬다.
16. 핸드블랜더에 사과와 식혜를 넣는다.
17. 16에 당근과 다진 생강을 넣고 갈아 채소주스를 만든다.
18. 에그스크램블에 버터와 채 썬 양상추를 넣고, 소금으로 간 한다.
19. 접시에 수플레팬케이크와 설탕에 절인 딸기, 에그스크램블을 담는다.
20. 구운 식빵을 썰어 접시에 올린다.
21. 끓인 메이플시럽을 수플레팬케이크 위에 뿌린다.
22. 채소주스를 체에 거른다.
23. 데친 프랑크소시지를 마른 팬에 굽는다.
24. 구운 프랑크소시지를 접시에 담아낸다.
25. 리코타치즈에 소금과 꿀을 넣고 섞은 뒤, 접시에 담아낸다.
26. 채소주스를 곁들인다.</t>
  </si>
  <si>
    <t>&lt;김풍 - 나도 어디서 꿀리진 않魚&gt;
●재료
토마토즙, 잣, 그린올리브, 크림치즈,
콩테치즈, 깻잎, 차돌박이, 오겹살, 쌈무, 김
●조리방법
1. 기름을 두른 냄비에 잘게 썬 대파와 으깬 마늘, 토마토즙을 넣고 끓여 토마토탕을 만든다.
2. 핸드블렌더에 마늘과 잣, 그린올리브, 크림치즈, 콩테치즈, 깻잎, 올리브오일을 넣고 갈아 깻잎페스토를 만든다.
3. 핸드블렌더에 차돌박이와 오겹살, 통마늘, 후추, 맛술을 넣고 간다.
4. 마른 팬에 잘게 썬 대파와 간 고기, 소금을 넣고 볶는다.
5. 볶던 재료에 밥과 깻잎페스토를 넣고 볶아 볶음밥을 만든다.
6. 볶음밥과 쌈무, 김, 간 당근으로 물고기초밥을 만든다.
7. 쌈무로 만든 물고기 꼬리와 몸통을 얹어 물고기 초밥을 만든다.
8. 접시에 볶음밥을 담아 마무리한다.</t>
  </si>
  <si>
    <t>냉장고를 부탁해 시즌 1, 175화</t>
  </si>
  <si>
    <t>&lt;샘킴 - 치즈 쇼타임~마!&gt;
●재료
오이고추, 오겹살, 차돌박이, 인스턴트 고기산적,
슬라이스 훈제오리, 오이, 플레인 요거트,
슬라이스 체더치즈, 배, 발사믹드레싱, 파슬리
●조리방법
1. 기름을 두른 그릴팬에 손질한 양파와 오이고추를 굽는다.
2. 전분과 달걀, 물을 섞어 튀김반죽을 만든다.
3. 양파를 적당한 크기로 썰어 튀김반죽을 입힌 뒤, 소금과 후추로 간 한다.
4. 튀김반죽을 입힌 양파를 기름에 튀긴다.
5. 기름을 두른 팬에 잘게 썬 양파를 볶는다.
6. 핸드블렌더에 오겹살과 차돌박이, 인스턴트 고기산적, 슬라이스 훈제오리를 넣고 갈아 패티반죽을 만든다.
7. 패티반죽에 볶은 양파를 넣고 소금과 후추로 간 한다.
8. 기름을 두른 팬에 적당한 크기로 떼어낸 패티반죽을 굽는다.
9. 양파튀김을 건져 기름기를 뺀다.
10. 양파와 오이 껍질을 잘게 썬다.
11. 볼에 잘게 썬 양파와 오이, 플레인 요거트, 레몬즙, 소금, 후추를 넣고 섞는다.
12. 굽던 패티 위에 슬라이스 체더치즈를 올린다.
13. 발사믹드레싱과 간 배, 올리브오일, 레몬즙, 잘게 썬 오이와 구운 오이고추, 후추를 넣고 섞어 소스를 만든다.
14. 접시에 양파튀김과 생양파를 담는다.
15. 생양파 위에 구운 양파 &gt; 치즈를 올린 패티 &gt; 구운 양파 &gt; 치즈를 올린 패티 순으로 쌓는다.
16. 16에 쇠꼬치를 꽂아 고정한다.
17. 종지에 소스를 담는다.
18. 고춧가루와 파슬리를 뿌려 마무리한다.</t>
  </si>
  <si>
    <t>&lt;이연복 - 곤짜장&gt;
●재료
통조림간장골뱅이, 곤약면, 오겹살, 애호박, 식빵,
슬라이스 닭가슴살, 잣, 슬라이스 체더치즈,
인스턴트 짜장가루, 양배추, 오이
●조리방법
1. 냄비에 통조림간장골뱅이 국물을 따라낸다.
2. 통조림간장골뱅이 국물에 곤약면과 레몬즙을 넣고 조린다.
3. 기름을 두른 팬에 적당한 크기로 썬 오겹살을 넣고 볶는다.
4. 양파와 애호박을 적당한 크기로 썬다.
5. 볶던 오겹살에 양파를 넣고 볶는다.
6. 밀대로 민 식빵의 테두리를 잘라낸 뒤, 정사각형 모양으로 자른다.
7. 핸드블렌더에 슬라이스 닭가슴살과 달걀, 전분, 버터를 넣고 갈아 닭가슴살반죽을 만든다.
8. 닭가슴살반죽에 잣을 넣고 섞는다.
9. 슬라이스 체더치즈를 뭉친 뒤, 닭가슴살반죽으로 감싼다.
10. 식빵 사이에 닭가슴살반죽을 넣어 샌드한 뒤, 기름에 튀긴다.
11. 멘보샤를 건져 기름기를 뺀다.
12. 간장골뱅이국물에 조린 곤약면을 체에 밭쳐 물기를 뺀다.
13. 볶던 재료에 간장과 인스턴트 짜장가루를 넣고 볶아 짜장양념을 만든다.
14. 짜장양념에 전분물을 넣는다.
15. 양배추를 채 썬 뒤, 접시에 담는다.
16. 멘보샤를 건져낸 뒤, 접시에 담는다.
17. 채 썬 양배추 위에 케첩과 마요네즈를 뿌린다.
18. 오이를 채 썬다.
19. 접시에 곤약면을 담는다.
20. 곤약면 위에 짜장양념을 올린 후, 채 썬 오이를 얹어 마무리한다.</t>
  </si>
  <si>
    <t>&lt;미카엘 - 치킨 치즈 스마일&gt;
●재료
맥주, 크림치즈, 큐브닭가슴살, 다이어트도시락,
닭가슴살 소시지, 슬라이스 훈제닭가슴살, 인스턴트 감자튀김,
그린올리브, 사과, 칠리소스, 라즈베리잼, 상추, 오이, 오렌지
●조리방법
1. 소금을 넣은 끓는 물에 달걀을 삶는다.
2. 끓는 물에 잘게 썬 당근을 넣고 삶는다.
3. 밀가루를 체에 걸러 곱게 친다.
4. 밀가루에 달걀노른자와 올리브오일, 맥주를 넣고 섞어 튀김반죽을 만든다.
5. 달걀흰자에 소금을 넣고 쳐서 머랭을 만든다.
6. 튀김반죽에 머랭을 넣고 섞는다.
7. 냉동한 크림치즈를 적당한 크기로 썰어 밀가루를 묻힌다.
8. 큐브닭가슴살에 레몬즙을 넣은 뒤, 밀가루를 묻힌다.
9. 밀가루를 묻힌 크림치즈와 큐브닭가슴살에 튀김반죽을 입혀 기름에 튀긴다.
10. 다이어트도시락에서 완두콩과 옥수수만 골라낸다.
11. 닭가슴살과 닭가슴살 소시지, 인스턴트 감자튀김을 적당한 크기로 썰어 볼에 담는다.
12. 볼에 완두콩과 옥수수, 잘게 썬 그린올리브, 소금, 후추를 넣는다.
13. 12에 마요네즈와 잘게 썬 사과를 넣고 섞어 샐러드를 만든다.
14. 삶은 달걀의 껍데기를 깐다.
15. 샐러드에 삶은 당근을 넣는다.
16. 다이어트도시락의 각종 채소와 잘게 썬 양파, 칠리소스를 섞은 뒤, 원형틀 안에 넣는다.
17. 칠리소스와 라즈베리잼을 섞어 소스를 만든다.
18. 치즈튀김과 닭가슴살튀김을 건져 기름기를 뺀다.
19. 접시에 상추와 치즈튀김, 닭가슴살튀김을 담는다.
20. 샐러드에 삶은 달걀을 으깨 넣고 섞은 뒤, 접시에 담는다.
21. 오이를 슬라이스한 뒤, 플레이팅한다.
22. 오렌지를 적당한 크기로 썰어 플레이팅한다.
23. 그린올리브로 토끼모양을 만든 뒤, 샐러드 위에 올려 마무리한다.</t>
  </si>
  <si>
    <t>&lt;이연복 - 연볶면&gt;
●재료
손질새우, 낙지, 표고버섯, 차돌박이, 목살,
쪽파, 돼지불고기 양념, 깻잎, 대파, 밀가루,
고춧가루, 청양고추, 양파, 당근, 마요네즈
●조리방법
1. 대파 흰 부분을 잘게 썬다.
2. 마른 찜기에 잘게 썬 대파를 넣고 뚜껑을 덮은 뒤 가열한다.
3. 밀가루와 물을 섞어 면반죽을 만든 뒤, 젖은 행주를 덮어 숙성한다.
4. 끓는 기름에 손질한 대파와 고춧가루를 넣고 끓여 고추기름을 낸다.
5. 고추기름에 청양고추를 넣는다.
6. 손질새우와 낙지를 적당한 크기로 썬다.
7. 적당한 크기로 썬 새우와 낙지를 데친다.
8. 데친 새우와 낙지를 체에 밭쳐 물기를 뺀다.
9. 양파, 표고버섯, 당근, 차돌박이, 목살, 쪽파를 적당한 크기로 썬다.
10. 고추기름을 체에 밭쳐 건더기를 걸러낸다.
11. 기름을 두른 팬에 고추기름을 붓는다.
12. 면반죽을 밀대로 얇게 민다.
13. 면반죽을 썰어 면을 뽑은 뒤, 기름에 튀긴다.
14. 고추기름을 두른 팬에 손질한 차돌박이와 목살, 쪽파를 넣고 볶다가 화이트와인을 넣는다.
15. 14에 손질한 채소들, 돼지불고기 양념, 고추장을 넣고 볶아 볶음짬뽕소스을 만든다.
16. 대파를 태우는 찜기에 볶음짬뽕소스를 담은 그릇을 얹은 뒤, 데친 새우와 낙지를 넣고 섞는다.
17. 찜기의 뚜껑을 닫아 볶음짬뽕소스에 불향을 입힌다.
18. 튀긴 면을 건져 기름기를 뺀다.
19. 깻잎을 채 썬다.
20. 종지에 마요네즈를 담는다.
21. 그릇에 튀긴 면을 담는다.
22. 훈연한 볶음짬뽕소스 위에 채 썬 깻잎을 얹어 낸다.</t>
  </si>
  <si>
    <t>냉장고를 부탁해 시즌 1, 176화</t>
  </si>
  <si>
    <t>&lt;정지선 - 볶출어람&gt;
●재료
목살, 인스턴트 떡갈비, 표고버섯, 깻잎,
오이, 김, 멸치액젓, 낙지볶음소스, 즉석밥,
설탕, 다진 생강, 소금, 대파, 마늘,
청양고추, 후추, 청주
●조리방법
1. 즉석밥을 물에 헹궈 전분기를 뺀 뒤, 체에 밭쳐 물기를 뺀다.
2. 마른 팬에 설탕을 녹인 뒤, 뜨거운 물을 섞어 캐러멜소스를 만든다.
3. 캐러멜소스에 다진 생강과 소금을 섞는다.
4. 목살과 인스턴트 떡갈비를 잘게 썬다.
5. 대파, 마늘, 청양고추를 잘게 썬다.
6. 표고버섯과 깻잎을 적당한 크기로 썬다.
7. 오이를 적당한 크기로 썬 뒤, 속을 파낸다.
8. 씻어서 물기를 뺀 밥을 체에 밭쳐 기름에 튀긴다.
9. 밥튀김의 기름기를 뺀다.
10. 김에 캐러멜소스를 묻힌 뒤, 기름에 튀긴다.
11. 손질한 표고버섯에 캐러멜소스를 묻힌 뒤, 기름에 튀긴다.
12. 기름을 두른 팬에 손질한 대파와 마늘, 청양고추, 멸치액젓을 넣고 볶는다.
13. 12에 손질한 목살과 인스턴트 떡갈비, 낙지볶음소스, 후추, 청주를 넣고 볶는다.
14. 접시에 밥튀김을 깔고 김튀김과 표고버섯튀김을 얹는다.
15. 접시에 속을 파낸 오이를 담은 뒤, 속에 깻잎을 깐다.
16. 속을 파낸 오이와 접시에 고기볶음을 담아 마무리한다.</t>
  </si>
  <si>
    <t>&lt;정호영 - 안심하고 튀겼새우&gt;
●재료
다시마, 국물용 멸치, 스테이크용 안심, 통조림햄,
표고버섯, 차돌박이, 손질새우, 맥주, 마늘, 소금,
후추, 즉석밥, 맛술, 청주, 간장, 설탕, 식초, 케첩,
마요네즈, 밀가루, 튀김가루, 달걀, 청양고추
●조리방법
1. 끓는 물에 다시마와 국물용 멸치를 넣고 끓여 육수를 낸다.
2. 마늘을 편 썬 뒤, 찬물에 담가 아린 맛을 뺀다.
3. 스테이크용 안심을 고기망치로 두드려 넓게 편 후, 소금과 후추로 밑간한다.
4. 통조림햄을 적당한 크기로 썬다.
5. 표고버섯에 칼집을 넣어 모양을 낸다.
6. 차돌박이에 손질새우를 올린 뒤, 돌돌 만다.
7. 손질한 안심과 통조림햄, 표고버섯, 차돌박이로 만 새우에 밀가루를 묻힌다.
8. 전자레인지에 즉석밥을 넣고 돌린다.
9. 팬에 육수와 맛술, 청주, 간장, 설탕을 넣어 데리야키소스를 만든다.
10. 설탕과 식초, 케첩, 마요네즈를 섞어 마요소스를 만든다.
11. 편마늘을 튀긴 뒤, 기름기를 뺀다.
12. 밀가루와 튀김가루, 맥주, 얼음물을 섞어 튀김반죽을 만든다.
13. 안심에 튀김반죽을 묻힌 뒤, 튀긴다.
14. 튀김반죽을 튀겨 덴카스를 만든다.
15. 차돌박이로 만 새우와 통조림햄에 튀김반죽을 묻힌 뒤, 튀긴다.
16. 튀김과 덴카스를 건져 기름기를 뺀다.
17. 즉석밥을 그릇에 담은 뒤, 데리야키소스를 뿌린다.
18. 차돌박이새우튀김과 햄튀김을 한 번 더 튀긴 뒤, 건져 기름기를 뺀다.
19. 안심튀김을 한 번 더 튀긴다.
20. 차돌박이새우튀김을 적당한 크기로 썬 뒤, 마요소스에 버무려 접시에 담아낸다.
21. 안심튀김을 건져 적당한 크기로 썬 뒤, 밥 위에 얹고 덴카스를 뿌린다.
22. 달걀을 기름에 튀긴다.
23. 달걀튀김을 건져 안심튀김 위에 얹는다.
24. 달걀튀김 위에 잘게 썬 청양고추를 올린 뒤, 데리야키소스를 뿌려 마무리한다.</t>
  </si>
  <si>
    <t>&lt;김풍 - 두고보샤&gt;
●재료
조미료, 두부, 차돌박이, 손질새우, 표고버섯,
콩나물, 쪽파, 오이, 달걀, 대파, 통마늘, 고춧가루,
전분, 소금, 후추, 간장, 식초, 설탕, 다진 마늘
●조리방법
1. 기름을 두른 팬에 달걀과 조미료를 넣고 휘저어 스크램블을 만든다.
2. 끓는 기름에 대파와 통마늘, 고춧가루를 넣어 고추기름을 만든다.
3. 두부를 가로로 썬 뒤, 기름에 튀긴다.
4. 볼에 스크램블을 담아 식힌다.
5. 핸드블렌더에 차돌박이와 달걀흰자, 전분, 소금, 후추를 넣고 간다.
6. 간 재료에 손질새우를 넣고 다시 한 번 간다.
7. 스크램블과 간 재료를 섞어 새우반죽을 만든다.
8. 튀긴 두부를 건져 정사각형 모양으로 자른다.
9. 튀긴 두부 사이에 새우반죽을 넣고 샌드한 뒤, 이쑤시개로 고정해 튀긴다.
10. 표고버섯 사이에 새우반죽을 넣고 샌드한 뒤, 튀긴다.
11. 뜨거운 물에 콩나물을 넣고 데친다.
12. 간장과 고춧가루, 식초, 설탕, 잘게 썬 쪽파를 섞어 양념장을 만든다.
13. 양념장에 다진 마늘을 넣는다.
14. 지퍼백에 오이를 넣고 두드린 뒤, 잘게 썰어 양념장에 넣는다.
15. 데친 콩나물을 접시에 담는다.
16. 두부멘보샤를 건져 이쑤시개를 제거한 뒤, 접시에 담는다.
17. 표고버섯멘보샤를 건져 접시에 담는다.
18. 오이를 넣은 양념장을 얹고, 고추기름을 뿌려 마무리한다.</t>
  </si>
  <si>
    <t>&lt;유현수 - 파스타가 캐비아&gt;
●재료
옥돔, 애호박, 감자, 수제양파와인, 베이컨,
트러플페스토, 디포리, 가츠오부시, 고다치즈,
사발라면, 생크림, 캐비아, 양파, 소금, 후추
●조리방법
1. 옥돔의 살만 발라낸다.
2. 채칼로 애호박을 슬라이스한다.
3. 옥돔살 위에 슬라이스한 애호박을 얹은 뒤, 끝부분을 잘라낸다.
4. 애호박을 얹은 옥돔살을 찜기에 넣고 찐다.
5. 양파를 채 썬 뒤, 기름을 두른 팬에 넣고 볶는다.
6. 감자를 채 썬 뒤, 볶던 양파와 함께 볶는다.
7. 볶던 양파와 감자에 소금으로 간 하고, 수제양파와인과 잘게 썬 베이컨을 넣는다.
8. 7에 트러플페스토와 후추를 넣고 볶아 트러플양파볶음을 만든다.
9. 끓는 물에 디포리와 가츠오부시를 넣고 끓여 해물육수를 낸 뒤, 건더기만 걸러낸다.
10. 육수에 고다치즈를 넣고 끓여 해물치즈육수를 만든다.
11. 10을 핸드블렌더로 간다.
12. 끓는 물에 사발라면의 면을 넣고 익힌다.
13. 익힌 사발라면의 면을 찬물에 헹궈 식힌다.
14. 해물치즈육수에 생크림을 넣고 끓인다.
15. 사발라면 면을 해물치즈육수에 버무린다.
16. 접시에 트러플양파볶음을 담는다.
17. 캐비아를 절구로 빻은 뒤, 면에 넣고 섞는다.
18. 트러플양파볶음 위에 해물치즈육수와 캐비아에 버무린 면을 얹는다.
19. 면 위에 애호박옥돔찜을 얹는다.
20. 해물치즈육수에 캐비아를 넣고 끓인 뒤, 소금 간을 해 캐비아소스를 만든다.
21. 접시에 캐비아소스를 부어 낸다.</t>
  </si>
  <si>
    <t>냉장고를 부탁해 시즌 1, 177화</t>
  </si>
  <si>
    <t>&lt;샘킴 - 돈 코스&gt;
●재료
호두, 아몬드, 잣, 푸아그라, 생크림, 발사믹식초,
파프리카, 애호박, 송화버섯, 이베리코 목살, 굴소스,
아보카도, 생바질, 관자, 캐비아, 설탕, 양파, 대파,
마늘, 올리브오일, 소금, 후추, 식초, 레몬, 버터
●조리방법
1. 핸드블렌더에 호두와 아몬드, 잣을 넣고 간다.
2. 간 견과류를 체에 밭친 뒤, 끓는 물에 데쳐 기름을 뺀다.
3. 데친 견과류를 설탕에 버무린 뒤, 오븐에 굽는다.
4. 볼에 푸아그라와 생크림을 넣고, 끓는 물 위에서 중탕하며 섞는다.
5. 발사믹식초에 설탕을 넣고 졸여 발사믹크림을 만든 뒤, 식혀둔다.
6. 생크림을 얼음물 위에 얹고 설탕을 넣은 뒤 거품기로 젓는다.
7. 기름을 두른 팬에 손질한 파프리카와 애호박을 굽는다.
8. 양파를 반으로 썬 뒤, 모양을 살려 기름에 튀긴다.
9. 대파 흰 부분을 채 썬 뒤, 기름에 튀긴다.
10. 튀긴 양파와 대파를 건져둔다.
11. 핸드블렌더에 마늘과 올리브오일을 넣고 갈아 마늘오일을 만든다.
12. 기름을 두른 팬에 마늘오일과 손질한 송화버섯을 넣고 볶는다.
13. 송화버섯에는 소금과 후추로, 굽던 파프리카와 애호박에는 소금으로 간 한다.
14. 볶던 송화버섯에 식초를 넣고 볶는다.
15. 이베리코 목살에 소금으로 간 한 뒤, 기름을 두른 팬에 굽는다.
16. 이베리코 목살스테이크에 후추를 뿌린다.
17. 팬에 굴소스, 마늘오일, 올리브오일, 발사믹식초, 잘게 썬 구운 파프리카를 넣고 볶아 발사믹소스를 만든다.
18. 아보카도를 손질한 뒤, 적당한 크기로 썰어 접시에 깔고 소금과 후추, 올리브오일을 뿌린다.
19. 아보카도 위에 레몬즙을 뿌린다.
20. 끓는 기름에 생바질을 넣고 튀긴다.
21. 바질기름에 적당한 크기로 썬 관자를 넣어 익힌다.
22. 바질기름에 익한 관자를 아보카도 위에 얹고 후추를 뿌린다.
23. 송화버섯볶음에 버터를 넣고 녹인다.
24. 관자 위에 송화버섯소스를 뿌리고 튀긴 대파와 캐비아를 얹는다.
25. 발사믹크림에 파프리카를 넣은 발사믹소스를 섞은 뒤 뿌린다.
26. 차게 굳힌 생크림에 푸아그라를 녹인 생크림을 섞어 푸아그라무스를 만든다.
27. 잔에 설탕에 버무려 구운 견과류를 담고, 푸아그라무스를 얹는다.
28. 푸아그라무스 위에 잘게 썬 배를 얹는다.
29. 접시에 튀긴 양파와 튀긴 대파, 이베리코 목살스테이크, 송화버섯볶음과 발사믹크림을 섞은 발사믹소스를 담아낸다.</t>
  </si>
  <si>
    <t>&lt;오세득 - 타조가 조타&gt;
●재료
송화버섯, 만가닥버섯, 베이컨, 파프리카 파우더,
타조고기, 생크림, 쪽파, 고다치즈, 사워크림, 양파,
소금, 후추, 대파, 밀가루, 버터, 간장, 달걀, 레몬
●조리방법
1. 양파를 채 썬다.
2. 두 개의 팬에 버터를 두른 뒤, 채 썬 양파를 넣고 볶는다.
3. 볶던 양파에 소금과 후추로 간 한다.
4. 송화버섯과 만가닥버섯, 대파 흰 부분을 잘게 썬다.
5. 볶던 양파에 각각 손질한 채소들을 넣고 볶는다.
6. 볶던 채소에 적당한 크기로 썬 베이컨을 넣고 볶는다.
7. 밀가루와 파프리카 파우더를 섞는다.
8. 타조고기를 고기망치로 두드려 얇게 편다.
9. 타조고기에 소금과 후추로 간을 한 뒤 길게 채 썬다.
10. 타조고기에 파프리카 파우더를 섞은 밀가루를 묻힌 뒤, 볶던 채소에 넣고 버터를 더한다.
11. 10에 생크림을 넣고 끓여 타조 스트로가노프를 만든다.
12. 타조 스트로가노프에 소금과 간장으로 간 한다.
13. 핸드블렌더에 달걀, 우유, 레몬즙, 밀가루를 넣고 섞어 스패츨 반죽을 만든다.
14. 스패츨 반죽을 체에 내려 스패츨을 만든 뒤, 끓는 물에 익힌다.
15. 볶던 채소와 베이컨에 스패츨과 다진 쪽파를 넣고 볶는다.
16. 그릇에 볶은 스패츨을 담고 고다치즈를 갈아서 뿌린다.
17. 스패츨 위에 타조 스트로가노프를 얹고, 다진 쪽파를 뿌린다.
18. 사워크림과 다진 쪽파를 한 번 더 올려 마무리한다.</t>
  </si>
  <si>
    <t>&lt;레이먼킴 - 돈스테이크&gt;
●재료
두유, 감자, 아스파라거스, 타조고기, 바질,
로즈메리, 베이컨, 파프리카 파우더, 토마토소스,
송화버섯, 만가닥버섯, 수제된장, 흑맥주, 슬라이스 치즈,
대파, 양파, 당근, 소금, 후추, 밀가루, 마늘, 버터
●조리방법
1. 끓는 기름에 대파를 넣어 파기름을 낸다.
2. 양파를 채 썬다.
3. 기름을 두른 냄비에 채 썬 양파를 넣고 볶는다.
4. 냄비에 두유를 넣고 끓인다.
5. 감자와 당근, 아스파라거스를 적당한 크기로 썬 뒤 끓는 두유에 넣고 익힌다.
6. 타조고기를 적당한 크기로 손질한 뒤, 소금과 후추로 간 한다.
7. 끓는 파기름을 불에서 내린 뒤, 타조고기를 넣어 튀긴다.
8. 파기름에 튀긴 타조고기를 기름을 두른 팬에 굽는다.
9. 가열하던 찜기에 바질과 로즈메리를 넣은 뒤 타조스테이크를 올려 훈연한다.
10. 적당한 크기로 썬 베이컨을 볶던 양파에 넣고 함께 볶는다.
11. 적당한 크기로 썬 타조고기를 밀가루에 묻힌 뒤, 볶던 양파와 베이컨에 넣고 함께 볶는다.
12. 11에 파프리카 파우더를 넣는다.
13. 12에 편마늘과 토마토소스, 손질한 송화버섯과 만가닥버섯, 수제된장, 흑맥주와 물을 넣고 끓인다.
14. 끓이던 각종 재료를 체에 밭쳐 건더기를 걸러낸 뒤 국물만 끓인다.
15. 팬에 버터와 밀가루를 넣고 볶아 루를 만든다.
16. 끓이던 국물에 루를 넣어 타조스튜소스를 만든다.
17. 타조스튜소스에 소금으로 간 한다.
18. 두유에 익힌 채소를 건져낸 뒤 물에 헹군다.
19. 접시에 두유에 익힌 감자&gt;슬라이스 치즈&gt;아스파라거스&gt;슬라이스 치즈&gt;당근&gt;슬라이스 치즈 순으로 켜켜이 쌓는다.
20. 치즈와 채소를 토치로 직화한다.
21. 훈연한 타조스테이크를 적당한 크기로 썰어 올린 뒤, 타조스튜소스를 붓는다.
22. 타조스튜에서 건져낸 송화버섯을 얹어 마무리한다.</t>
  </si>
  <si>
    <t>&lt;김풍 - 비먹부먹&gt;
●재료
황태채, 멸치액젓, 건새우, 다시마, 대패삼겹살,
굴소스, 쯔유, 건표고버섯, 짬뽕면, 대파, 고춧가루,
식용유, 들기름, 마늘, 맛술, 간장, 후추, 식초, 소금, 레몬
●조리방법
1. 끓는 기름에 대파와 고춧가루를 넣어 고추기름을 낸다.
2. 팬에 식용유와 들기름을 넣는다.
3. 2에 으깬 마늘을 넣고 볶는다.
4. 볶던 마늘에 불린 황태채를 넣고 볶는다.
5. 볶던 황태채에 멸치액젓과 건새우, 뜨거운 물, 다시마를 넣고 끓여 육수를 낸다.
6. 대패삼겹살을 적당한 크기로 썬다.
7. 고추기름을 두른 팬에 대패삼겹살을 볶는다.
8. 볶던 대패삼겹살에 으깬 마늘과 맛술을 넣는다.
9. 8에 굴소스, 간장, 쯔유, 후추, 잘게 썬 대파, 식초를 넣고 볶아 비빔양념을 만든다.
10. 육수에 건표고버섯 불린 물을 넣는다.
11. 육수에 식초와 쯔유를 넣는다.
12. 마른 팬에 불린 건표고버섯과 굴소스, 간장, 맛술, 식초, 소금, 후추를 넣고 볶는다.
13. 볶은 건표고버섯에 고추기름을 넣는다.
14. 끓는 물에 짬뽕면을 삶는다.
15. 육수는 체에 밭쳐 국물만 뚝배기에 옮겨 담는다.
16. 그릇에 익힌 면을 담고 쯔유를 넣어 섞는다.
17. 면 위에 비빔양념과 건표고버섯볶음을 얹는다.
18. 레몬슬라이스를 함께 낸다.</t>
  </si>
  <si>
    <t>냉장고를 부탁해 시즌 1, 178화</t>
  </si>
  <si>
    <t>&lt;오세득 - 팟타이가 맛있돔&gt;
●재료
파스타면, 건새우, 옥돔, 표고버섯,
대패삼겹살, 굴소스, 발사믹식초, 메이플시럽,
소금, 마늘, 달걀, 후추, 맛술, 다진 마늘, 간장,
고추, 대파, 홍고추, 고춧가루
●조리방법
1. 소금을 넣은 물에 파스타면을 삶는다.
2. 끓는 기름에 편마늘과 건새우를 넣고 끓여 새우기름을 낸다.
3. 팬에 새우기름을 두른 뒤, 손질한 옥돔살을 넣고 굽는다.
4. 굽던 옥돔살에 적당한 크기로 썬 표고버섯을 넣고 볶는다.
5. 달걀로 에그스크램블을 만든다.
6. 볶던 옥돔과 버섯에 에그스크램블과 대패삼겹살을 넣고 볶다가 소금과 후추로 간 한다.
7. 6에 맛술과 다진 마늘을 넣고 볶는다.
8. 굴소스와 간장, 발사믹식초, 메이플시럽을 섞어 소스를 만든다.
9. 삶은 파스타면을 건져 물기를 뺀다.
10. 볶던 재료에 파스타면과 소스, 통고추를 넣어 함께 볶는다.
11. 채 썬 대파 흰 부분과 잘게 썬 홍고추를 넣고 함께 볶아 옥돔팟타이를 만든다.
12. 통고추는 빼내고, 접시에 옥돔팟타이를 담아낸다.
13. 옥돔팟타이에 고춧가루를 뿌려 마무리한다.</t>
  </si>
  <si>
    <t>&lt;샘킴 - 고기의 품격&gt;
●재료
소고기등심, 애호박, 감자, 우유, 표고버섯, 새송이버섯,
발사믹식초, 아몬드, 호두, 홀그레인머스터드, 파르메산치즈가루,
화이트식초, 방울토마토, 소금, 버터, 밀가루, 올리브오일,
후추, 양파, 마늘, 설탕, 레몬
●조리방법
1. 애호박을 슬라이스 한 뒤, 기름을 두른 그릴팬에 굽는다.
2. 감자를 슬라이스 한 뒤, 냄비에 넣고 뜨거운 물을 부어 끓인다.
3. 익히던 감자에 소금을 넣는다.
4. 팬에 버터를 녹인 뒤, 밀가루를 넣고 섞어 루를 만든다.
5. 루에 우유를 넣어 베샤멜소스를 만든다.
6. 감자에 베샤멜소스를 넣고 끓여 감자수프를 만든다.
7. 핸드블렌더에 적당한 크기로 썬 표고버섯과 새송이버섯을 넣고 간다.
8. 기름을 두른 팬에 간 버섯을 볶는다.
9. 소고기등심에 올리브오일과 소금, 후추로 간 한다.
10. 그릴팬에 밑간 한 소고기등심을 굽는다.
11. 양파를 채 썬 뒤, 기름에 튀긴다.
12. 튀긴 양파를 건져낸 뒤, 통마늘을 튀긴다.
13. 튀긴 양파채와 마늘에 발사믹식초, 후추를 넣고 섞는다.
14. 갈아서 볶은 버섯을 감자수프에 넣고 끓여 버섯감자수프를 만든다.
15. 갈아서 볶은 버섯의 나머지에 버터를 넣는다.
16. 핸드블렌더에 아몬드와 호두를 넣고 간다.
17. 버터를 넣은 볶은 버섯에 간 견과류를 넣는다.
18. 랩 위에 구운 애호박을 깔고, 발사믹식초에 버무린 튀긴 양파와 마늘을 올린다.
19. 19 위에 등심스테이크를 올린 뒤 홀그레인머스터드를 바르고 간 버섯볶음을 얹어 돌돌 만다.
20. 애호박으로 만 등심스테이크를 오븐에 굽는다.
21. 버섯감자수프에 파르메산치즈가루를 넣고 섞은 뒤, 그릇에 담아내고 간 견과류를 뿌린다.
22. 화이트식초와 올리브오일, 발사믹식초, 설탕, 방울토마토, 레몬즙, 홀그레인머스터드를 섞어 드레싱을 만든다.
23. 접시에 드레싱을 담고, 발사믹식초에 버무린 튀긴 양파와 마늘을 올린다.
24. 발사믹식초와 올리브오일을 섞어 발사믹오일을 만든다.
25. 드레싱을 담은 접시에 구운 애호박으로 만 등심스테이크를 올린다.
26. 발사믹오일과 간 견과류를 뿌려 마무리한다.</t>
  </si>
  <si>
    <t>&lt;미카엘 - 파이팅롤&gt;
●재료
감자, 표고버섯, 채끝살, 애호박, 상추, 총각김치,
발사믹식초, 화이트식초, 어린잎 채소, 당근, 양파,
마늘, 버터, 소금, 후추, 고추장, 올리브오일
●조리방법
1. 감자와 당근을 동그랗게 모양 낸 뒤, 끓는 물에 삶는다.
2. 표고버섯을 슬라이스 한 뒤, 기름을 두른 팬에 볶는다.
3. 볶던 표고버섯에 채 썬 양파, 편마늘, 버터, 소금, 후추를 넣고 볶는다.
4. 채끝살을 고기망치로 두드려 얇게 편다.
5. 얇게 편 채끝살에 소금과 후추로 간 한 뒤, 고추장을 바른다.
6. 5에 표고버섯볶음을 올려 돌돌 만 뒤, 이쑤시개로 고정한다.
7. 기름을 두른 팬에 채끝버섯롤을 굽는다.
8. 삶은 감자와 당근을 건져내 마른 팬에 굽는다.
9. 애호박을 동그랗게 모양낸 뒤, 함께 굽는다.
10. 구운 채소에 버터와 후추, 소금을 넣고 볶는다.
11. 상추를 적당한 크기로 썬 뒤, 강판에 간 총각김치와 채 썬 양파, 소금, 올리브오일을 넣고 버무려 총각김치샐러드를 만든다.
12. 총각김치샐러드에 발사믹식초를 넣는다.
13. 총각김치샐러드에 화이트식초를 넣는다.
14. 접시에 총각김치샐러드를 담는다.
15. 구운 채끝버섯롤을 전자레인지에 넣고 익힌다.
16. 채끝버섯롤을 적당한 크기로 썬다.
17. 마른 팬에 채끝버섯롤을 한 번 더 굽는다.
18. 접시에 구운 채소와 어린잎 채소를 담는다.
19. 채끝버섯롤을 담아낸다.</t>
  </si>
  <si>
    <t>&lt;레이먼킴 - 푸딩이 최고당&gt;
●재료
카카오 70% 초콜릿, 우유, 땅콩버터, 식빵,
초콜릿, 건무화과, 건살구, 귤, 청포도, 두유,
참외, 설탕, 버터, 달걀, 청양고추
●조리방법
1. 볼에 카카오 70% 초콜릿을 넣고 중탕한다.
2. 냄비에 설탕과 버터를 넣고 녹이다가 우유와 땅콩버터를 넣어 땅콩 캐러멜 소스를 만든다.
3. 식빵은 테두리를 잘라내고 잘게 썬다.
4. 달걀물을 만든다.
5. 달걀물에 설탕과 우유를 섞는다.
6. 초콜릿과 건무화과, 건살구를 잘게 썬다.
7. 설탕과 우유를 섞은 달걀물에 잘게 썬 식빵을 넣는다.
8. 볼에 올리브오일을 바른 뒤, 달걀물에 적신 식빵&gt;잘게 썬 초콜릿과 건과일&gt;달걀물에 적신 식빵을 켜켜이 담는다.
9. 8을 전자레인지에 넣고 돌린다.
10. 귤을 슬라이스 한 뒤, 껍질을 벗겨낸다.
11. 청포도를 잘게 썬다.
12. 손질한 귤과 청포도에 설탕을 뿌리고 토치로 직화해 캐러멜라이즈한다.
13. 전자레인지에서 브레드푸딩을 꺼내 랩으로 싸둔다.
14. 냄비에 두유와 우유, 칼집을 낸 청양고추를 넣고 끓인다.
15. 14에 녹인 초콜릿을 넣고 끓여 멕시코식 핫초콜릿을 만든다.
16. 잔에 멕시코식 핫초콜릿을 담는다.
17. 카카오 70% 초콜릿을 갈아 가루를 낸다.
18. 브레드푸딩에 초콜릿가루를 묻혀 그릇에 담는다.
19. 브레드푸딩과 멕시코식 핫초콜릿 위에 캐러멜라이즈한 귤을 올린다.
20. 브레드푸딩이 담긴 그릇에 땅콩 캐러멜 소스를 담고, 캐러멜라이즈한 청포도를 곁들인다.
21. 참외를 채 썬다.
22. 채 썬 참외에 설탕을 뿌리고 토치로 직화해 캐러멜라이즈한다.
23. 브레드푸딩 위에 캐러멜라이즈한 참외를 올려 마무리한다.</t>
  </si>
  <si>
    <t>냉장고를 부탁해 시즌 1, 179화</t>
  </si>
  <si>
    <t>&lt;토니정 - 티라미수코리아&gt;
●재료
카카오 70% 초콜릿, 코코넛과자, 우유,
자몽청, 사과, 설탕, 버터, 청주, 달걀,
화이트와인, 레몬
●조리방법
1. 절구에 카카오 70% 초콜릿을 넣고 빻는다.
2. 다른 절구에 코코넛과자를 넣고 빻는다.
3. 핸드블렌더에 빻은 코코넛과자를 넣고 곱게 간다.
4. 마른 팬에 설탕과 뜨거운 물을 넣고 끓이다가 버터, 빻은 초콜릿을 넣고 녹인다.
5. 녹인 초콜릿에 우유와 청주, 달걀노른자를 넣고 섞는다.
6. 달걀흰자로 머랭을 치다가 설탕을 넣고 계속해서 친다.
7. 녹인 초콜릿에 머랭을 섞어 초콜릿무스를 만든다.
8. 컵에 코코넛과자가루&gt;초콜릿무스&gt;코코넛과자가루&gt;초콜릿무스를 켜켜이 담아 초코티라미수를 만든다.
9. 초코티라미수 위에 초콜릿을 갈아 올린다.
10. 초코티라미수를 냉동실에 넣어둔다.
11. 화이트와인과 자몽청, 레몬즙, 얇게 썬 사과를 섞어 디저트와인을 만든 뒤, 잔에 담아낸다.
12. 초코티라미수와 디저트와인을 함께 낸다.</t>
  </si>
  <si>
    <t>&lt;이연복 - 나이스~튜&gt;
●재료
갈치, 감자, 아스파라거스, 우유, 땅콩버터,
슬라이스 체더치즈, 명란젓, 금태, 매실청,
샹라장, 방울토마토, 시금치, 소금, 후추, 전분,
양파, 청양고추, 대파, 마늘, 케첩, 레몬, 당근
●조리방법
1. 갈치를 손질한 뒤, 소금과 후추로 간 한다.
2. 손질한 갈치에 전분을 입히고 기름을 두른 팬에 굽는다.
3. 감자와 양파, 아스파라거스, 청양고추, 대파, 마늘을 잘게 썬다.
4. 냄비에 손질한 채소와 우유, 땅콩버터, 슬라이스 체더치즈를 넣고 끓여 스튜를 만든다.
5. 적당한 크기로 썬 방울토마토를 스튜에 넣고 끓인다.
6. 명란젓을 잘게 다진다.
7. 스튜에 잘게 다진 명란젓을 넣는다.
8. 금태의 살을 발라낸 뒤, 적당한 크기로 썬다.
9. 금태살에 전분을 묻혀 기름에 튀긴다.
10. 마른 팬에 케첩, 물, 레몬즙, 매실청, 샹라장, 채 썬 양파와 당근, 아스파라거스, 방울토마토를 넣고 끓여 탕수소스를 만든다.
11. 끓이던 스튜에 구운 갈치를 넣는다.
12. 시금치를 적당한 크기로 썰어 스튜에 넣는다.
13. 접시에 스튜를 담는다.
14. 그릇에 탕수소스를 담는다.
15. 금태튀김을 탕수소스 위에 올려 마무리한다.</t>
  </si>
  <si>
    <t>&lt;유현수 - 라돌체비타&gt;
●재료
닭, 아스파라거스, 삶은 달걀, 슬라이스 체더치즈,
방울토마토, 자몽청, 카카오 100% 초콜릿, 두유,
청포도, 참외, 짜장라면, 두릅, 블랙올리브, 소금,
마요네즈, 양파, 버터, 밀가루, 된장, 설탕, 식초
●조리방법
1. 닭을 손질해 닭가슴살만 발라낸다.
2. 핸드블렌더에 닭가슴살과 소금, 마요네즈를 넣고 간다.
3. 아스파라거스를 얇게 슬라이스한 뒤, 얼음물에 담가둔다.
4. 삶은 달걀의 노른자와 슬라이스 체더치즈를 섞는다.
5. 동그란 그릇에 랩을 덮은 뒤, 슬라이스한 아스파라거스를 촘촘히 올린다.
6. 5 위에 간 닭가슴살을 올리고 치즈를 섞은 노른자로 속을 채운다.
7. 랩을 말아 알 모양을 만든 뒤, 끓는 물에 삶는다.
8. 마른 팬에 잘게 썬 양파와 적당한 크기로 썬 방울토마토를 넣고 볶다가 자몽청을 넣는다.
9. 냄비에 버터, 밀가루, 된장, 카카오 100% 초콜릿을 넣고 섞어 초코된장소스를 만든다.
10. 초코된장소스에 두유와 설탕을 넣고 섞는다.
11. 믹서기에 얼음, 청포도, 속을 파낸 참외, 방울토마토를 넣고 갈아 참외가스파초를 만든다.
12. 초코된장소스를 체에 밭쳐 곱게 거른 뒤, 짜장수프를 넣고 섞는다.
13. 접시에 초코된장소스와 자몽토마토소스를 담는다.
14. 슬라이스한 참외와 아스파라거스에 식초, 자몽청, 소금을 넣는다.
15. 14에 잘게 썬 청포도와 두릅을 넣어 샐러드를 만든다.
16. 소스가 담긴 접시에 참외두릅샐러드를 올린다.
17. 삶은 닭고기알의 랩을 벗겨낸 뒤, 참외두릅샐러드 위에 얹는다.
18. 참외가스파초를 잔에 담는다.
19. 블랙올리브를 곁들여 마무리한다.</t>
  </si>
  <si>
    <t>&lt;레이먼킴 - 술 당길 만두 하지&gt;
●재료
두부, 새우, 우유, 삼겹살, 소고기안심,
부추, 쌈장, 만두피, 데친 시금치, 굴소스,
파르메산치즈가루, 모차렐라치즈, 양파, 대파,
당근, 마늘, 맛술, 버터, 밀가루, 다진 마늘,
쌈장, 후추, 소금, 간장, 식초, 연겨자
●조리방법
1. 두부를 적당한 크기로 썬 뒤, 전자레인지에 넣고 돌린다.
2. 양파를 잘게 다진다.
3. 칼집을 낸 대파와 당근을 냄비에 넣고, 기름을 두른 뒤 새우를 넣는다.
4. 3에 으깬 마늘과 맛술, 물을 넣고 끓여 새우육수를 낸다.
5. 냄비에 채 썬 양파를 볶다가 버터와 밀가루를 넣어 루를 만든다.
6. 루에 우유를 넣어 베샤멜소스를 만든다.
7. 삼겹살을 적당한 크기로 썬 뒤, 핸드블렌더에 넣고 간다.
8. 다른 핸드블렌더에 소고기안심과 삼겹살을 함께 넣고 간다.
9. 소고기와 함께 간 삼겹살을 다진 양파와 함께 섞는다.
10. 전자레인지에서 익힌 두부를 삼겹살소와 양파를 섞은 소고기삼겹살소에 각각 담는다.
11. 부추를 새우육수에 데친다.
12. 데친 부추를 잘게 썬다.
13. 삼겹살소와 소고기삼겹살소에 데친 부추와 다진 마늘을 각각 넣는다.
14. 삼겹살소에 쌈장과 후추를 넣고 치댄다.
15. 만두피에 삼겹살소를 넣어 만두를 빚는다.
16. 기름을 두른 팬에 삼겹살만두를 굽다가, 뚜껑을 덮어 속까지 익힌다.
17. 끓이던 베샤멜소스에 데친 시금치를 잘라 넣는다.
18. 새우는 껍데기를 벗겨내고 잘게 다진 뒤, 소고기삼겹살소에 넣고 굴소스로 양념한다.
19. 청양고추를 잘게 썬다.
20. 청양고추에 칼집을 낸 뒤, 새우육수에 넣는다.
21. 잘게 썬 청양고추를 새우고기소에 넣고 섞는다.
22. 만두피에 새우고기소를 넣고 빚은 뒤, 새우육수에 넣고 삶는다.
23. 베샤멜소스에 새우육수를 넣는다.
24. 베샤멜소스에 소금으로 간 한다.
25. 베샤멜소스에 파르메산치즈가루를 넣는다.
26. 새우육수에서 새우를 건져내 껍데기를 벗겨낸다.
27. 간장, 식초, 연겨자를 섞어 양념간장을 만든 뒤, 종지에 담는다.
28. 새우육수에서 삶은 새우만두를 꺼내 그릇에 담고, 베샤멜소스와 모차렐라치즈를 올린다.
29. 삼겹살군만두를 양념간장과 함께 그릇에 담아낸다.
30. 토치로 모차렐라치즈를 직화해 새우만두 그라탕을 완성한다.</t>
  </si>
  <si>
    <t>냉장고를 부탁해 시즌 1, 180화</t>
  </si>
  <si>
    <t>&lt;미카엘 - 불금 가즈아!&gt;
●재료
소갈빗살, 우유, 데친 시금치, 파르메산치즈가루,
부추, 요거트드레싱, 양파, 마늘, 버터, 후추,
밀가루, 소금, 청양고추, 레몬, 다진 마늘
●조리방법
1. 양파를 채 썬다.
2. 마늘을 편으로 썬다.
3. 팬에 버터를 두른 뒤, 채 썬 양파와 편마늘을 넣고 볶는다.
4. 소갈빗살에 소금과 후추로 간한 뒤, 기름을 두른 그릴팬에 굽는다.
5. 볶던 양파와 마늘에 밀가루를 넣어 루를 만든다.
6. 루에 우유를 조금씩 넣어가며 익혀 베샤멜소스를 만든다.
7. 데친 시금치를 잘게 다진다.
8. 잘게 썬 시금치를 베샤멜소스에 넣고, 우유를 부어가며 익히다가 소금으로 간한다.
9. 잘게 썬 청양고추와 우유, 파르메산치즈가루를 더한다.
10. 구운 소갈빗살을 오븐용 그릇에 담는다.
11. 소갈빗살 위에 시금치크림볶음을 올린다.
12. 11에 달걀을 올린 뒤 오븐에 넣어 익힌다.
13. 부추를 잘게 썬다.
14. 요거트드레싱, 레몬즙, 잘게 썬 부추, 다진 마늘을 섞어 요거트소스를 만든다.
15. 오븐에서 소갈빗살과 함께 익힌 시금치크림볶음을 꺼낸 뒤 요거트소스를 올리고, 후추를 뿌려 마무리한다.</t>
  </si>
  <si>
    <t>&lt;김풍 - 냉쌈온쌈&gt;
●재료
멸치액젓, 소고기안심, 골뱅이, 달래, 쌈채소,
양파, 고춧가루, 간장, 설탕, 식초, 참기름,
다진 마늘, 후추, 밀가루, 전분, 소금, 깨
●조리방법
1. 양파를 채 썬다.
2. 채 썬 양파를 얼음물에 담가 아린 맛을 뺀다.
3. 고춧가루, 멸치액젓, 간장, 설탕, 식초, 참기름, 다진 마늘, 후추를 섞어 양념장을 만든다.
4. 양념장에 물엿을 넣는다.
5. 소고기안심을 적당한 크기로 썬다.
6. 소고기안심에 참기름, 간장, 설탕을 넣고 버무린다.
7. 골뱅이의 표면을 거칠게 만든다.
8. 밀가루와 전분, 물을 섞어 만든 반죽에 다진 마늘과 소금을 넣어 간한다.
9. 골뱅이에 반죽을 묻혀 기름에 튀긴다.
10. 튀긴 골뱅이를 건져 기름기를 뺀다.
11. 달래를 적당한 크기로 썬다.
12. 달래와 아린 맛을 뺀 양파에 양념장을 섞어 달래양념장을 만든다.
13. 접시에 양념한 소고기육회를 담고 달걀노른자를 얹는다.
14. 접시에 골뱅이튀김을 담는다.
15. 밥에 소금과 참기름으로 간한 뒤 그릇에 담는다.
16. 밥과 육회에 깨를 뿌린다.
17. 쌈채소를 곁들인다.</t>
  </si>
  <si>
    <t>&lt;유현수 - 오윤기 쌈밥&gt;
●재료
인스턴트 사골곰탕, 두부, 부추, 맛타리버섯,
오이, 소고기고추장볶음, 명란젓, 파르메산치즈가루,
감자, 골뱅이, 춘장, 적겨자잎, 알배추잎, 소고기안심,
육포, 꽈리고추, 즉석밥, 소금, 전분, 마요네즈,
된장, 양파, 물엿, 깨
●조리방법
1. 전자레인지에 즉석밥을 넣고 돌린다.
2. 인스턴트 사골곰탕을 끓인다.
3. 두부, 부추, 맛타리버섯을 적당한 크기로 썰어 사골곰탕에 넣고 끓인다.
4. 오이를 얇게 슬라이스 한 뒤, 소금에 절인다.
5. 두부를 으깬다.
6. 으깬 두부에 소고기고추장볶음을 올리고 동그랗게 뭉친 뒤, 전분을 묻혀 기름에 튀긴다.
7. 밥에 으깬 명란, 마요네즈, 파르메산치즈가루를 섞는다.
8. 7을 동그랗게 뭉친 뒤, 전분을 묻힌다.
9. 전분을 묻힌 명란밥을 채 썬 감자로 싼 뒤, 기름에 튀긴다.
10. 골뱅이를 적당한 크기로 썬다.
11. 마른 팬에 적당한 크기로 썬 골뱅이와 된장을 넣고 볶는다.
12. 소금에 절인 오이를 물에 헹군 뒤, 물기를 짠다.
13. 잘게 다진 양파를 팬에 볶는다.
14. 볶던 양파에 밥과 춘장을 넣고 볶는다.
15. 접시에 적겨자잎과 알배추잎을 깔고, 그 위에 춘장쌈밥과 감자명란쌈밥을 올린다.
16. 밥에 된장에 볶은 골뱅이를 넣고 동그랗게 뭉친 뒤, 절인 오이로 감싼다.
17. 소고기안심을 고기망치로 두드려 얇게 펴고, 소금으로 간 한다.
18. 육포를 믹서기에 갈아 육포보푸라기를 만든다.
19. 밥에 소고기고추장볶음을 넣고 동그랗게 뭉친 뒤, 얇게 편 소고기로 감싼다.
20. 소고기쌈밥을 토치로 직화한 뒤 접시에 담고, 육포보푸라기를 올린다.
21. 잘게 썬 부추와 꽈리고추에 물엿과 깨를 넣고 버무린다.
22. 두부쌈 위에 양념한 부추, 파, 꽈리고추를 올린다.
23. 사골된장국을 그릇에 담아낸다.</t>
  </si>
  <si>
    <t>&lt;이연복 - 복칼로리 피자&gt;
●재료
닭가슴살, 돼지목살, 인스턴트 양송이수프, 브리치즈,
스트링치즈, 게맛살, 샐러드 채소, 딸기, 블루베리,
메이플시럽, 아보카도, 올리브오일, 소금, 밀가루, 다진 마늘,
대파, 양파, 설탕, 맛술, 간장, 후추, 버터, 케첩, 레몬
●조리방법
1. 밀가루에 올리브오일, 뜨거운 물, 소금을 넣고 익반죽 한다.
2. 비닐을 넓게 펼친 뒤 밀가루, 소금을 뿌려둔다.
3. 닭가슴살을 얇게 포 뜬 뒤, 밀가루와 소금을 묻힌다.
4. 닭가슴살을 비닐로 덮은 뒤 밀대로 밀어 납작하게 편다.
5. 반죽을 넓게 펴 도우를 만든다.
6. 기름을 두른 팬에 도우를 굽는다.
7. 밀가루를 묻힌 닭가슴살을 기름을 두른 팬에 굽는다.
8. 적당한 크기로 썬 돼지고기 목살에 다진 마늘, 대파, 양파를 썰어 넣는다.
9. 7에 설탕, 맛술, 간장을 넣고 양념한 뒤, 팬에 볶다가 후추를 넣는다.
10. 팬에 버터, 다진 양파를 넣고 볶다가 인스턴트 양송이 수프를 넣는다.
11. 7에 브리치즈, 스트링치즈, 밀가루를 넣어 볶아 크림소스를 만든다.
12. 구운 도우를 그릇에 담는다.
13. 도우 위에 케첩을 뿌린다.
14. 도우 위에 구운 닭가슴살과 돼지목살볶음을 올린다.
15. 돼지목살 위에 크림소스를 올린 뒤 잘게 찢은 게맛살을 얹는다.
16. 피자 위에 브리치즈, 스트링치즈를 올린다.
17. 피자를 오븐에 넣어 치즈를 녹인다.
18. 샐러드 채소, 딸기, 블루베리를 접시에 담는다.
19. 올리브오일, 메이플시럽, 레몬즙을 섞어 드레싱을 만든 뒤 샐러드에 뿌린다.
20. 오븐에서 꺼낸 피자에 아보카도를 올린다.
21. 아보카도를 올린 피자를 토치로 직화해 마무리한다.</t>
  </si>
  <si>
    <t>냉장고를 부탁해 시즌 1, 181화</t>
  </si>
  <si>
    <t>&lt;오세득 - 도리아랑&gt;
●재료
바나나우유, 돼지목살, 생초콜릿, 꿀, 인스턴트 양송이수프,
우유, 게맛살, 딸기, 블루베리, 살구잼, 스트링치즈, 달걀,
밀가루, 설탕, 즉석밥, 소금, 버터, 생초콜릿,
●조리방법
1. 달걀노른자에 밀가루, 설탕, 바나나우유를 섞어 커스터드크림을 만든다.
2. 커스터드크림을 전자레인지에 넣고 돌린다.
3. 기름을 두른 팬에 달걀을 넣고 에그 스크램블을 만들어 따로 담아놓는다.
4. 대파, 양파를 잘게 다져 팬에 볶는다.
5. 돼지목살을 적당한 크기로 썬다.
6. 재료를 볶던 팬에 돼지목살, 에그 스크램블, 밥, 소금, 버터를 넣는다.
7. 볼에 달걀노른자와 생초콜릿, 밀가루를 넣고 섞는다.
8. 달걀흰자를 섞어 거품을 낸 뒤 달걀과 밀가루를 섞은 초콜릿을 섞어 초콜릿 반죽을 만든다.
9. 초콜릿 반죽에 식용유를 넣은 뒤 컵에 담는다.
10. 전자레인지에 돌린 커스터드크림을 얼음물에 올려 차게 식힌다.
11. 초콜릿반죽을 전자레인지에 넣고 돌린다.
12. 커스터드크림에 꿀을 넣고 섞는다.
13. 전자레인지에 돌린 초콜릿 케이크를 꺼낸다.
14. 초콜릿 케이크를 적당한 크기로 나눈다.
15. 냄비에 밀가루, 버터를 넣고 볶아 루를 만든다.
16. 루에 양송이수프, 우유, 게맛살을 넣고 끓여 크림소스를 만든다.
17. 딸기를 적당한 크기로 썬다.
18. 유리컵에 커스터드크림&gt;딸기&gt;초콜릿 케이크&gt;블루베리 순으로 층층이 쌓는다.
19. 커스터드크림에 살구잼을 넣어 초콜릿 케이크 위에 올린다.
20. 믹서기에 설탕을 넣고 갈아 슈가파우더를 만든 뒤 초콜릿 컵케이크 위에 뿌린다.
21. 무쇠팬에 크림소스를 깔고 볶음밥&gt;크림소스&gt;잘게 찢은 스트링치즈를 올린다.
22. 무쇠팬 위에 다른 무쇠팬을 달궈 올린 뒤 토치로 가열해 치즈를 녹인다.</t>
  </si>
  <si>
    <t>&lt;샘킴 - 전주행&gt;
●재료
돼지목살, 연두부, 즉석밥, 설탕, 대파, 양파,
홍고추, 고춧가루, 고추장, 간장, 후추, 참기름,
다진 마늘, 맛술, 물엿, 된장, 설탕, 달걀, 케첩
●조리방법
1. 돼지목살을 적당한 크기로 썬다.
2. 기름을 두른 팬에 목살과 설탕을 넣고 볶는다.
3. 대파, 양파, 홍고추를 팬에 넣고 함께 볶는다.
4. 3에 고춧가루를 넣는다.
5. 볶던 재료에 고추장, 간장, 후추, 참기름, 다진 마늘, 맛술, 물엿을 넣는다.
6. 기름을 두른 냄비에 돼지목살, 된장, 설탕, 양파를 넣는다.
7. 6에 물을 부은 뒤 채 썬 홍고추, 고춧가루, 간장을 넣어 끓인다.
8. 볼에 달걀을 넣고 부드럽게 풀어준다.
9. 달걀물에 대파를 잘게 썰어 넣는다.
10. 기름을 두른 팬에 달걀물을 부어 굽는다.
11. 된장찌개에 파를 썰어 넣는다.
12. 달걀을 말아준 뒤, 달걀물을 더 부어 익힌다.
13. 전자레인지에 즉석밥을 넣고 돌린다.
14. 달걀을 한 번 더 말아준다.
15. 달걀말이를 썰어 접시에 담는다.
16. 종지에 케첩을 따로 낸다.
17. 제육볶음을 접시에 담는다.
18. 된장찌개를 양은냄비에 담은 뒤 연두부를 썰어 넣는다.
19. 즉석밥을 그릇에 따로 담아낸다.</t>
  </si>
  <si>
    <t>&lt;정호영 - 집밥 정선생&gt;
●재료
돼지목살, 즉석 황태국밥, 게맛살, 블루베리, 컵시리얼,
샐러드 채소, 쌀, 고추장, 고춧가루, 간장, 물엿, 설탕,
다진 마늘, 맛술, 양파, 대파, 소금, 마요네즈, 홍고추, 참기름, 깨
●조리방법
1. 뚝배기에 불린 쌀, 물을 넣고 밥을 짓는다.
2. 돼지목살을 고기망치로 두드린 뒤 적당한 크기로 썬다.
3. 고추장, 고춧가루, 간장, 물엿, 설탕을 넣고 섞는다.
4. 4에 다진 마늘, 맛술을 넣은 뒤 돼지목살을 넣어 재워둔다.
5. 양파, 대파를 썰어 기름을 두른 팬에 볶는다.
6. 채소를 볶던 팬에 제육볶음양념에 재운 목살을 넣고 볶는다.
7. 석쇠에 대파를 올린 뒤 제육볶음을 올려 굽는다.
8. 석쇠에 구운 제육볶음을 팬에 넣고 한 번 더 볶는다.
9. 냄비에 물, 황태국밥 수프를 넣고 끓여 황태육수를 만든다.
10. 달걀물에 설탕, 소금, 잘게 찢은 게맛살을 넣고 섞는다.
11. 달걀물에 황태육수를 넣고, 잘게 썬 대파를 넣는다.
12. 뚝배기에 달걀물을 넣고 익힌다.
13. 뚝배기에 뚜껑을 덮어 익힌다.
14. 볼에 게맛살, 시리얼, 블루베리, 마요네즈, 샐러드 채소를 넣고 버무려 게살샐러드를 만든다.
15. 제육볶음을 접시에 담고, 잘게 썬 홍고추, 참기름, 깨를 뿌린다.
16. 달걀찜에 잘게 썬 대파, 홍고추, 깨, 참기름을 뿌려 완성한다.</t>
  </si>
  <si>
    <t>&lt;샘킴 - 이츠 대파타임&gt;
●재료
소고기등심, 핫소스, 밀가루, 달걀, 청양고추,
전분, 마늘, 양파, 대파, 소금, 후추, 고춧가루,
간장, 맛술, 설탕, 올리브오일, 레몬
●조리방법
1. 핸드블렌더에 밀가루, 달걀을 넣고 갈아 면반죽을 만든다.
2. 그릴 팬에 청양고추를 넣고 올리브오일을 뿌려 굽는다.
3. 소고기등심을 먹기 좋은 크기로 잘라, 전분을 묻힌다.
4. 기름을 두른 팬에 전분을 묻힌 소고기등심을 굽는다.
5. 마늘, 양파, 대파를 썬 뒤, 기름을 두른 팬에 볶는다.
6. 볶던 채소에 소금, 후추로 간한다.
7. 적당한 크기로 썬 대파를 끓는 기름에 넣어 파기름을 낸다.
8. 볶던 채소에 파기름을 넣고, 파기름을 낸 대파는 건져낸다.
9. 파기름에 고춧가루를 넣어 고추기름을 낸다.
10. 면반죽을 밀대로 민 뒤, 적당한 크기로 썰어 면을 뽑는다.
11. 볶던 채소에 구운 소고기등심을 넣고, 간장, 맛술, 설탕, 고춧가루, 파기름을 냈던 대파를 넣고 볶는다.
12. 소금을 넣은 물에 면을 넣고 삶는다.
13. 삶은 면을 볶던 재료와 함께 볶아 볶음면을 만든다.
14. 구운 청양고추를 적당한 크기로 썬 뒤, 올리브오일과 후추, 핫소스, 레몬즙을 넣고 절인다.
15. 대파를 채 썬다.
16. 접시에 볶음면을 담고, 채 썬 대파를 올린다.
17. 그릇에 구운 청양고추 절임을 담아낸다.
18. 볶음면에 깨를 뿌리고, 레몬을 곁들여 마무리 한다.</t>
  </si>
  <si>
    <t>냉장고를 부탁해 시즌 1, 182화</t>
  </si>
  <si>
    <t>&lt;유현수 - 갓다니엘 정식&gt;
●재료
김, 소고기등심, 우유, 슬라이스 모차렐라치즈, 육포,
불닭컵라면, 짜장컵라면, 즉석밥, 소금, 통후추, 양파,
청양고추, 라면, 버터
●조리방법
1. 김을 뜨거운 물에 불린다.
2. 핸드블렌더에 즉석밥, 뜨거운 물, 소금을 넣고 갈아 떡반죽을 만든다.
3. 대파를 적당한 크기로 썬 뒤, 원형 모양을 살려 한 겹씩 벗겨낸다.
4. 대파를 소금물에 데친다.
5. 데친 대파를 얼음물에 담가둔다.
6. 지퍼백에 떡반죽을 넣고, 모서리를 잘라 짤주머니를 만든다.
7. 떡반죽으로 대파의 속을 채워 대파떡을 만든다.
8. 지퍼백에 통후추를 넣고 고기망치로 두드려 부순다.
9. 마른 팬에 소고기등심을 굽다가 소금으로 간 한다.
10. 채 썬 양파와 청양고추를 팬에 볶다가 후춧가루, 우유를 넣어 후추크림소스를 만든다.
11. 끓는 물에 라면을 삶는다.
12. 후추크림소스에 슬라이스 모차렐라치즈를 넣는다.
13. 12에 불린 김을 넣는다.
14. 육포를 잘게 다져 후추크림소스에 넣는다.
15. 구운 소고기등심을 적당한 크기로 썬다.
16. 꼬치에 소고기등심&gt;대파떡&gt;소고기등심&gt;대파떡 순서로 꽂는다.
17. 기름을 두른 팬에 소고기대파떡꼬치를 굽는다.
18. 불닭소스와 짜장소스를 섞어 불닭짜장소스를 만든다.
19. 불닭짜장소스를 소고기대파떡꼬치에 발라가며 굽는다.
20. 삶은 라면을 얼음물에 담가 식힌다.
21. 후추크림소스에 삶은 라면과 버터를 넣고 볶아 후추김파스타를 만든다.
22. 접시에 후추김파스타를 담는다.
23. 소고기대파떡꼬치에 불닭라면플레이크, 후추를 뿌린다.</t>
  </si>
  <si>
    <t>&lt;레이먼킴 - 레옹 정식&gt;
●재료
삼겹살, 소고기등심, 옥수수과자, 슬라이스 모차렐라치즈,
족발, 상추, 즉석밥, 양파, 소금, 후추, 달걀, 깨, 식초,
대파, 청양고추, 라면
●조리방법
1. 즉석밥을 전자레인지에 넣고 돌린다.
2. 양파를 잘게 다진다.
3. 삼겹살, 소고기등심을 썰어 핸드블렌더에 넣고 간다.
4. 핸드블렌더에 옥수수과자를 넣고 간다.
5. 간 삼겹살, 소고기등심에 간 옥수수과자와 소금, 후추를 넣는다.
6. 5에 달걀물을 넣고 섞어 고기반죽을 만든다.
7. 밥에 소금과 후추, 깨로 간 한 뒤 삼각형 모양으로 뭉쳐 기름을 두른 팬에 굽는다.
8. 넓게 편 고기반죽 위에 구운 밥, 슬라이스 모차렐라치즈를 올린 뒤 고기반죽으로 감싼다.
9. 기름을 두른 팬에 삼각고기밥을 굽는다.
10. 식초를 넣은 물에 라면 면을 삶는다.
11. 삶은 라면을 얼음물에 담가둔다.
12. 양파, 대파, 청양고추를 썰어 기름을 두른 팬에 볶는다.
13. 볶던 채소에 라면수프, 족발을 넣고 볶는다.
14. 볶던 재료에 물을 넣고 끓여 족발국물을 만든다.
15. 면수에 달걀을 넣어 수란을 만든다.
16. 끓이던 족발국물에 건더기수프를 넣는다.
17. 삼각고기밥 위에 슬라이스 모차렐라치즈를 올려 굽는다.
18. 족발국물에 삶은 라면 면을 넣고 끓인다.
19. 족발라면을 그릇에 담는다.
20. 족발라면 위에 수란을 올린다.
21. 상추를 올린 접시에 삼각고기밥을 담아낸다.</t>
  </si>
  <si>
    <t>&lt;김풍 - 카르옹나라&gt;
●재료
삼겹살, 쌍화음료, 우유, 슬라이스 모차렐라치즈,
컵라면, 전분, 밀가루, 소금, 간장, 맛술, 양파, 마늘,
버터, 후추, 청양고추
●조리방법
1. 전분과 밀가루, 소금에 뜨거운 물을 넣고 익반죽을 한다.
2. 반죽을 동그랗게 빚어 옹심이를 만든다.
3. 삼겹살을 잘게 썬다.
4. 삼겹살에 쌍화음료를 넣고 버무린다.
5. 4에 간장, 맛술, 전분을 넣고 섞은 뒤 기름에 튀기듯이 볶는다.
6. 채 썬 양파와 으깬 마늘을 팬에 넣는다.
7. 6에 버터, 후추, 밀가루, 간장, 소금을 넣고 볶다가 물을 넣고 끓인다.
8. 끓이던 채소에 우유와 라면수프를 넣어 카르보나라 소스를 만든다.
9. 카르보나라 소스에 옹심이를 넣고 익힌다.
10. 청양고추를 핸드블렌더에 간 뒤, 옹심이 카르보나라에 넣는다.
11. 팬에 슬라이스 모차렐라치즈, 우유를 넣고 끓여 치즈소스를 만든다.
12. 옹심이 카르보나라를 그릇에 담고, 볶은 삼겹살과 치즈소스를 올린다.</t>
  </si>
  <si>
    <t>&lt;정호영 - 게 섞어라&gt;
●재료
찐 꽃게, 총각김치, 통조림햄, 소고기안심, 삶은 옥수수,
멸치볶음, 굴소스, 모차렐라치즈, 즉석밥, 버터, 밀가루, 설탕,
고추장, 고춧가루, 굴소스, 대파, 후추, 달걀
●조리방법
1. 끓는 물에 멸치볶음을 데친다.
2. 찐 꽃게의 살을 발라낸다.
3. 기름을 두른 팬에 잘게 썬 총각김치와 밥을 넣고 볶는다.
4. 통조림햄, 소고기안심을 잘게 썰어 기름을 두른 팬에 볶는다.
5. 두 개의 팬에 버터를 녹인다.
6. 버터를 녹인 팬에 밀가루와 뜨거운 물을 넣고 끓여 루를 만든다.
7. 버터를 녹인 다른 팬에 삶은 옥수수알과 설탕을 넣고 볶는다.
8. 볶던 밥에 데친 멸치볶음과 고추장, 고춧가루, 굴소스를 넣는다.
9. 8에 잘게 썬 대파, 볶은 햄과 소고기를 넣고 함께 볶는다.
10. 루에 게살을 넣고 소금, 후추로 간한 뒤, 모차렐라치즈를 넣고 끓여 게살크림소스를 만든다.
11. 총각김치볶음밥을 밥그릇에 눌러 담아 모양을 잡는다.
12. 마른 팬에 총각김치볶음밥을 그릇째 뒤집어 올려 누룽지를 만든다.
13. 달걀흰자에 설탕을 넣고 머랭을 친다.
14. 달걀노른자에 머랭을 넣고 섞어 달걀반죽을 만든다.
15. 버터를 녹인 팬에 달걀반죽을 넣고, 볶은 햄과 소고기, 머랭을 올려 굽는다.
16. 15를 반으로 접어 익힌다.
17. 그릇에 총각김치볶음밥을 담는다.
18. 총각김치볶음밥에 게살크림소스를 담는다.
19. 총각김치볶음밥 위에 달걀 디저트를 올린다.
20. 버터에 볶은 삶은 옥수수알을 뿌려 마무리한다.</t>
  </si>
  <si>
    <t>냉장고를 부탁해 시즌 1, 183화</t>
  </si>
  <si>
    <t>&lt;김형석 - 꽃게를 든 남자&gt;
●재료
삶은 옥수수, 찐 꽃게, 토마토소스, 칼국수라면, 약밤, 검은콩두유,
통조림햄, 김치, 굴소스, 양파, 대파, 당근, 마늘, 된장, 달걀,
소금, 후추, 올리브오일, 버터, 즉석밥
●조리방법
1. 삶은 옥수수의 알을 발라낸다.
2. 비닐팩에 찐 꽃게와 적당한 크기로 썬 양파, 대파, 당근과 마늘을 넣고 고기망치로 두드려 으깬다.
3. 기름을 두른 냄비에 으깬 꽃게와 채소, 물을 넣고 끓여 육수를 낸다.
4. 육수에 된장을 넣고 끓인다.
5. 4에 토마토소스, 칼국수라면 면을 넣고 끓여 비스크소스를 만든다.
6. 달걀흰자를 분리한다.
7. 달걀흰자로 머랭을 친 뒤, 소금, 후추, 검은콩두유를 넣고 섞는다.
8. 핸드블렌더에 삶은 약밤, 검은콩두유를 넣고 갈아 밤페이스트를 만든다.
9. 머그잔으로 비닐백의 모양을 잡은 뒤, 올리브오일을 바른다.
10. 비닐백에 밤페이스트를 담은 뒤, 머랭을 넣고 밀봉한다.
11. 10을 끓는 물에 넣고 익힌다.
12. 양파, 통조림햄, 김치를 잘게 썰어 기름을 두른 팬에 넣고 볶는다.
13. 볶던 재료에 밥을 넣고 볶다가 굴소스, 소금, 후추로 간 한다.
14. 비스크소스를 믹서기에 넣고 간다.
15. 믹서기에 간 비스크소스를 체에 걸러 한 번 더 끓인다.
16. 비스크소스에 버터, 삶은 옥수수알을 넣고 끓인다.
17. 끓는 물에 익힌 몽블랑달걀찜을 전자레인지에 넣고 한 번 더 익힌다.
18. 그릇에 김치볶음밥을 담는다.
19. 김치볶음밥 위에 몽블랑달걀찜을 올린다.
20. 비스크소스를 따로 담아낸다.</t>
  </si>
  <si>
    <t>&lt;이연복 - 꽃게길만 걷자&gt;
●재료
김치, 찐 꽃게, 소고기안심, 수제육포, 인스턴트 만두,
닭갈비, 굴소스, 삶은 약밤, 쑥개떡, 대파, 고춧가루, 마늘,
간장, 청주, 즉석밥, 참기름, 다진 마늘, 맛술, 레몬
●조리방법
1. 끓는 기름에 적당한 크기로 썬 대파, 고춧가루를 넣어 고추기름을 낸다.
2. 압력솥에 김치, 물을 넣고 끓인다.
3. 찐 꽃게의 살을 발라낸다.
4. 으깬 마늘, 잘게 썬 대파를 기름을 두른 팬에 볶는다.
5. 소고기안심과 불린 수제육포를 적당한 크기로 썬다.
6. 적당한 크기로 썬 소고기안심과 수제육포를 핸드블렌더에 넣고 간다.
7. 볶던 채소에 간 소고기와 육포, 간장, 청주를 넣고 볶은 뒤 김치를 끓이던 압력솥에 넣는다.
8. 7에 인스턴트 만두를 넣고 뚜껑을 닫아 푹 끓인다.
9. 불린 수제육포와 닭갈비, 대파를 잘게 썬 뒤 기름을 두른 팬에 볶는다.
10. 볶던 재료에 굴소스를 넣고 볶는다.
11. 삶은 약밤을 잘게 썬다.
12. 잘게 썬 삶은 약밤에 밥, 참기름, 볶은 재료를 넣고 비빈다.
13. 비빈 밥을 그릇에 담고 게살을 올린 뒤, 찜기에 넣고 찐다.
14. 고추기름을 체에 거른다.
15. 잘게 썬 대파, 다진 마늘, 간장, 맛술, 레몬즙, 고추기름을 넣어 간장소스를 만든다.
16. 간장소스를 종지에 담는다.
17. 찐 밥을 뚝배기에 옮겨 담은 뒤, 한 번 더 익힌다.
18. 기름을 두른 팬에 쑥개떡을 튀기듯 굽는다.
19. 압력솥에서 끓인 김치전골을 뚝배기에 옮겨 담는다.
20. 김치전골에 구운 쑥개떡을 올려 마무리한다.</t>
  </si>
  <si>
    <t>&lt;오세득 - 구구닭&gt;
●재료
인스턴트 만두, 닭갈비, 쑥개떡, 수제육포, 부추겉절이,
칼국수라면, 마늘, 청주, 대파, 양파, 청양고추, 홍고추,
밀가루, 튀김가루, 설탕, 간장, 식초, 고춧가루, 다진 마늘
●조리방법
1. 인스턴트 만두소를 분리한다.
2. 으깬 마늘, 적당한 크기로 썬 대파와 양파, 만두소에 청주, 물을 넣고 끓여 육수를 낸다.
3. 팬에 닭갈비, 청주, 자른 대파와 양파를 넣고 볶는다.
4. 쑥개떡을 잘게 썰어 닭갈비에 넣고 볶는다.
5. 닭갈비에 끓인 육수를 넣어 물닭갈비를 만든다.
6. 물닭갈비에 잘게 썬 청양고추, 홍고추를 넣는다.
7. 믹서기에 수제육포를 넣고 간다.
8. 밀가루, 튀김가루, 물을 섞어 반죽을 만들고, 부추겉절이를 잘라 넣는다.
9. 반죽에 간 육포를 넣고 섞는다.
10. 기름을 두른 팬에 부추육포반죽을 올려 부친다.
11. 청양고추, 홍고추, 양파를 잘게 다진다.
12. 11에 설탕, 간장, 식초, 고춧가루를 넣고 섞어 간장소스를 만든 뒤, 종지에 담는다.
13. 끓는 물에 칼국수라면 면을 삶는다.
14. 다진 마늘과 고춧가루를 섞어 양념을 만든 뒤, 물닭갈비에 넣는다.
15. 삶은 칼국수면을 물닭갈비에 넣고 완성한다.</t>
  </si>
  <si>
    <t>&lt;레이먼킴 - 최용수테이크&gt;
●재료
도미, 송이토마토, 수제된장, 수제고추장, 토마토소스, 감자,
아스파라거스, 칼국수면, 스트링치즈, 양파, 마늘, 청양고추,
소금, 전분, 후추, 레몬, 버터, 밀가루, 올리브오일, 설탕, 대파
●조리방법
1. 도미 머리를 잘라 기름을 두른 압력솥에 넣고 굽는다.
2. 구운 도미 머리에 적당한 크기로 썬 양파, 으깬 마늘, 청양고추, 송이토마토를 넣는다.
3. 2에 청주와 맛술, 끓는 물을 붓고 끓이다가 수제된장, 수제고추장, 토마토소스를 넣은 뒤 압력솥 뚜껑을 닫고 푹 끓인다.
4. 도미의 뼈를 발라낸 뒤, 도미 껍질에 칼집을 낸다.
5. 칼집을 낸 도미에 뜨거운 물을 부어 데친다.
6. 데친 도미를 얼음물에 담가둔다.
7. 도미의 물기를 제거하고 소금으로 간 한 뒤, 전분을 묻힌다.
8. 기름을 두른 팬에 전분을 묻힌 도미를 굽는다.
9. 적당한 크기로 썬 감자와 아스파라거스에 소금, 후추로 간한 뒤 도미를 굽던 팬에 함께 굽는다.
10. 끓는 물에 칼국수면을 삶는다.
11. 찜기에 물, 레몬즙과 레몬을 넣고 끓인다.
12. 찜기에 구운 도미를 넣고 찐다.
13. 마른 팬에 버터, 밀가루를 넣어 루를 만든다.
14. 압력솥에서 도미 머리를 건져 내고 육수를 핸드블렌더로 간 뒤, 루를 넣고 섞어 토마토고추장소스를 만든다.
15. 삶은 칼국수면에 올리브오일을 넣고 버무린 뒤 그릇에 담는다.
16. 구운 감자 위에 스트링치즈를 올린 뒤, 토치로 직화해 치즈를 녹인다.
17. 16을 구운 도미 배 사이에 넣는다.
18. 토마토고추장소스에 설탕을 더한 뒤, 칼국수면 위에 뿌린다.
19. 18에 도미스테이크를 올린 뒤 구운 아스파라거스를 곁들인다.
20. 도미스테이크에 올리브오일을 뿌린다.
21. 도미스테이크에 잘게 썬 대파를 올려 마무리한다.</t>
  </si>
  <si>
    <t>냉장고를 부탁해 시즌 1, 184화</t>
  </si>
  <si>
    <t>&lt;김형석 - 테린우스&gt;
●재료
자반고등어, 전복, 아스파라거스, 카망베르치즈, 크림치즈,
트러플페스토, 말린 채소칩, 명이나물, 파프리카, 무, 트러플오일, 올리브오일,
식초, 버터, 소금, 레몬, 마늘, 양파, 간장, 맛술, 설탕, 대파, 달걀
●조리방법
1. 자반고등어를 적당한 크기로 썬다.
2. 끓는 물에 올리브오일과 식초, 버터를 넣은 뒤 손질한 고등어를 넣고 데친다.
3. 고등어를 데치는 물에 소금을 넣는다.
4. 전복의 살과 내장을 분리한다.
5. 고등어를 데치는 냄비에 전복살을 넣은 뒤, 레몬즙을 더해 삶는다.
6. 데친 고등어의 뼈를 발라낸다.
7. 마른 팬에 마늘, 전복내장을 넣은 뒤, 올리브오일을 넣고 볶는다.
8. 볶던 재료에 적당한 크기로 썬 양파, 간장, 맛술, 설탕, 물, 대파를 넣고 끓여 간장소스를 만든다.
9. 올리브오일과 식초, 버터를 넣은 끓는 물에 적당한 크기로 썬 아스파라거스와 대파를 데친다.
10. 카망베르치즈와 크림치즈를 섞는다.
11. 고등어살, 달걀물, 트러플페스토를 핸드블렌더에 넣고 간다.
12. 말린 채소칩을 핸드블렌더에 넣고 간다.
13. 원형틀에 명이나물을 올리고, 트러플페스토를 더해 간 고등어와 데친 아스파라거스, 대파를 얹는다.
14. 원형틀에 채 썬 파프리카를 얹는다.
15. 14 위에 삶은 전복을 올리고 트러플페스토를 더해 간 고등어를 얹은 뒤, 명이나물로 감싸 찜기에 넣고 찐다.
16. 무를 오각형 막대모양으로 손질한다.
17. 접시에 체에 곱게 거른 초록색 채소칩가루를 뿌린다.
18. 섞은 치즈를 아이스크림 스쿱으로 동그랗게 모양낸 뒤, 채소칩가루 위에 얹는다.
19. 모양을 낸 무에 초록색 채소칩가루와 갈색 채소칩가루를 묻힌 뒤, 치즈볼에 축구공 무늬를 찍는다.
20. 찜기에 익힌 고등어테린을 반으로 자른다.
21. 끓이던 간장소스를 체에 밭쳐 국물만 걸러낸 뒤, 한 번 더 끓인다.
22. 간장소스에 물을 넣는다.
23. 접시에 고등어테린을 올린다.
24. 간장소스에 버터를 넣고 녹인 뒤, 고등어테린 위에 뿌린다.
25. 고등어테린에 갈색 채소칩가루와 트러플오일을 뿌려 완성한다.</t>
  </si>
  <si>
    <t>&lt;샘킴 - 독수리 세트&gt;
●재료
삼겹살, 낙지, 굴소스, 깻잎, 소고기, 콩나물, 전복, 쪽파,
칼국수면, 마늘, 대파, 양파, 홍고추, 청양고추, 다진 마늘,
간장, 고춧가루, 설탕, 맛술, 고추장, 즉석밥, 달걀
●조리방법
1. 끓는 기름에 통마늘을 튀긴다.
2. 대파와 삼겹살을 적당한 크기로 썰어 기름을 두른 팬에 볶는다.
3. 낙지 다리를 적당한 크기로 잘라 볶던 재료와 함께 볶는다.
4. 3에 채 썬 양파, 홍고추, 청양고추, 다진 마늘, 간장, 고춧가루, 굴소스, 설탕, 맛술, 채 썬 깻잎을 넣고 볶아 낙지삼겹살볶음을 만든다.
5. 소고기를 적당한 크기로 썰어 핸드블렌더에 넣고 간다.
6. 기름을 두른 팬에 다진 마늘, 간 소고기, 고추장, 간장을 넣고 볶는다.
7. 소고기고추장볶음을 종지에 담고, 다진 쪽파를 올린다.
8. 기름을 두른 팬에 간 소고기, 다진 마늘, 다진 양파, 콩나물을 넣고 볶는다.
9. 9에 굴소스, 다진 홍고추, 밥을 넣고 볶다가 적당한 크기로 썬 전복, 달걀, 다진 쪽파를 넣어 전복소고기볶음밥을 만든다.
10. 전복소고기볶음밥을 뚝배기에 옮겨 담은 뒤, 한 번 더 익힌다.
11. 칼국수면을 삶은 뒤, 소고기고추장볶음을 넣고 볶는다.
12. 접시에 낙지삼겹살볶음을 담은 뒤, 볶은 칼국수면을 곁들인다.
13. 12에 다진 쪽파를 올린다.
14. 전복소고기볶음밥에 튀긴 통마늘을 올려 마무리한다.</t>
  </si>
  <si>
    <t>&lt;오세득 - 오복쟁반&gt;
●재료
삼겹살, 인스턴트 들깨삼계탕, 전복, 쪽파, 절인 복분자, 표고버섯,
양파즙, 굴소스, 소고기, 낙지, 깻잎, 우동면, 달걀, 양파, 청주,
고추장, 간장, 홍고추, 대파, 고춧가루, 청양고추
●조리방법
1. 삼겹살을 적당한 크기로 썰어 냄비에 볶는다.
2. 볶던 삼겹살에 인스턴트 들깨삼계탕 국물만 넣고 끓인다.
3. 끓는 물에 전복을 데친다.
4. 데친 전복의 살과 내장을 발라낸다.
5. 적당한 크기로 썬 쪽파를 전골냄비에 담는다.
6. 데친 전복살에 칼집을 낸 뒤 적당한 크기로 썰어 전골냄비에 담는다.
7. 끓는 물에 달걀을 삶는다.
8. 기름을 두른 팬에 데친 전복내장을 볶는다.
9. 볶던 전복내장에 다진 양파, 절인 복분자, 청주, 고추장을 넣고 끓여 전복내장고추장을 만든다.
10. 전골냄비에 적당한 크기로 썬 표고버섯을 담는다.
11. 끓이던 육수에 양파즙, 간장, 굴소스를 넣는다.
12. 소금으로 간 한 소고기를 그릴팬에 구운 뒤, 적당한 크기로 썰어 전골냄비에 담는다.
13. 낙지다리를 고기망치로 두드려 부드럽게 만든 뒤, 전골냄비에 담는다.
14. 홍고추와 깻잎을 적당한 크기로 썰어 전골냄비에 담는다.
15. 볼에 적당한 크기로 썬 대파와 식용유, 고춧가루를 담고 전자레인지에 돌려 고추기름을 낸다.
16. 끓인 전복내장고추장을 핸드블렌더에 넣고 간 뒤, 참기름을 더한다.
17. 전복내장고추장에 고추기름을 넣는다.
18. 끓이던 육수를 전골냄비에 붓고 끓인다.
19. 우동면에 끓는 물을 부어 데친 후 전골냄비에 담는다.
20. 삶은 달걀의 껍데기를 벗겨 전골냄비에 담는다.
21. 전복내장고추장을 종지에 담는다.
22. 잘게 썬 청양고추를 전복내장고추장 위에 올려 마무리한다.</t>
  </si>
  <si>
    <t>&lt;이연복 - 불닭 카리스마&gt;
●재료
닭, 우유, 컵우동, 양배추, 삶은 메추리알, 아스파라거스,
연두부, 차돌박이, 쪽파, 고춧가루, 대파, 밀가루, 전분,
소금, 달걀, 양파, 고추장, 설탕, 간장, 물엿, 식초
●조리방법
1. 기름에 고춧가루와 적당한 크기로 썬 대파를 넣고 끓여 고추기름을 낸다.
2. 밀가루, 전분, 소금, 물, 달걀물, 식용유를 섞어 튀김반죽을 만든다.
3. 닭은 뼈를 발라낸 뒤, 튀김반죽을 입혀 기름에 튀긴다.
4. 달걀, 우유, 물, 컵우동소스를 섞어 달걀물을 만든다.
5. 큰 그릇 안에 작은 그릇을 넣은 뒤, 달걀물을 붓는다.
6. 달걀물이 담긴 그릇을 전자레인지에 돌려 달걀찜을 만든다.
7. 양파는 채 썰고, 양배추, 청양고추, 대파는 잘게 썬다.
8. 고추기름을 체에 밭쳐 거른다.
9. 팬에 고추기름을 두른 뒤, 손질한 채소를 넣고 볶는다.
10. 볶던 채소에 고추장, 고춧가루, 설탕, 간장, 물, 삶은 메추리알, 적당한 크기로 썬 아스파라거스를 넣고 볶는다.
11. 연두부에 십자(十)로 칼집을 낸 뒤, 기름에 튀긴다.
12. 뜨거운 물에 데친 우동면과 적당한 크기로 썬 차돌박이를 볶던 채소에 넣고 함께 볶는다.
13. 닭튀김을 체에 밭쳐 기름을 뺀다.
14. 볶던 재료에 닭튀김을 넣고 볶아 불닭을 만든다.
15. 간장, 물엿, 식초, 고추기름, 잘게 다진 쪽파를 섞어 소스를 만든다.
16. 양배추를 채 썰어 그릇에 담는다.
17. 채 썬 양배추 위에 연두부튀김을 올리고 소스를 뿌린다.
18. 전자레인지에 익힌 달걀찜을 꺼내 작은 그릇을 빼낸 뒤, 닭튀김을 올린다.
19. 닭튀김이 담긴 달걀찜그릇에 불닭도 함께 담아낸다.</t>
  </si>
  <si>
    <t>냉장고를 부탁해 시즌 1, 185화</t>
  </si>
  <si>
    <t>&lt;정호영 - 오~ 야식 코리아♬&gt;
●재료
컵우동, 청양고추, 소고기등심, 양념돼지목살, 방울토마토,
양배추, 진미채, 샐러드채소, 밀가루, 후추, 전분, 양파, 마늘,
고춧가루, 케첩, 간장, 물엿, 설탕, 고추장, 튀김가루, 달걀
●조리방법
1. 끓는 물에 우동면을 삶는다.
2. 청양고추를 석쇠에 올려 직화한다.
3. 소고기등심과 양념돼지목살을 핸드블렌더에 넣고 간다.
4. 간 고기에 밀가루와 후추를 넣고 치대어 패티 반죽을 만든다.
5. 삶은 우동면에 컵우동소스로 간한 뒤, 전분을 섞는다.
6. 우동면을 원형틀에 넣고 구워 우동번을 만든다.
7. 패티 반죽을 빚어 모양 잡은 뒤, 기름을 두른 팬에 굽는다.
8. 기름을 두른 팬에 슬라이스한 양파를 굽는다.
9. 구운 청양고추와 방울토마토를 핸드블렌더에 넣고 간다.
10. 기름을 두른 팬에 다진 마늘, 고춧가루, 케첩, 뜨거운 물, 간 청양고추와 방울토마토, 간장, 물엿, 설탕, 고추장을 넣고 끓여 소스를 만든다.
11. 소스에 구운 패티와 물을 넣고 조린다.
12. 씻어서 불린 진미채에 컵우동소스로 간한 뒤, 튀김가루를 묻혀 기름에 튀긴다.
13. 양배추를 채 썰어 물에 담가둔다.
14. 우동번 위에 샐러드채소&gt;방울토마토&gt;패티&gt;구운 양파&gt;패티 순으로 올린다.
15. 달걀프라이를 만든다.
16. 패티 위에 채 썬 양배추를 올리고, 진미채튀김과 우동번을 곁들인다.
17. 버거 위에 달걀프라이를 올려 완성한다.</t>
  </si>
  <si>
    <t>&lt;김풍 - 입에 불나게&gt;
●재료
청양고추, 셀러리, 컵우동, 느타리버섯,
게맛살, 방울토마토, 쪽파, 홍고추, 마늘,
설탕, 소금, 전분, 즉석밥
●조리방법
1. 핸드블렌더에 청양고추, 홍고추, 마늘, 적당한 크기로 썬 셀러리를 넣고 간다.
2. 기름을 두른 팬에 간 채소를 넣고 볶는다.
3. 볶던 재료에 설탕을 넣고 볶는다.
4. 볶던 재료에 컵우동소스로 간한 뒤 느타리버섯을 넣는다.
5. 소금을 넣은 뜨거운 물에 게맛살을 담가둔다.
6. 방울토마토를 반으로 자른 뒤, 볶던 재료에 넣고 볶아 칠리소스를 만든다.
7. 게맛살을 게 집게 모양으로 자른다.
8. 게맛살에 전분을 입혀 기름에 튀긴다.
9. 즉석밥을 전자레인지에 넣고 돌린다.
10. 볶던 칠리소스에 게맛살튀김을 넣고 볶아 칠리크랩을 만든다.
11. 즉석밥을 그릇에 따로 담아낸다.
12. 칠리크랩을 그릇에 담는다.
13. 잘게 썬 쪽파를 칠리크랩 위에 올려 마무리한다.</t>
  </si>
  <si>
    <t>&lt;유현수 - 청양냉면&gt;
●재료
소고기안심, 청양고추, 인스턴트 떡갈비,
부추, 오이, 양배추, 총각김치, 열무김치,
사과, 달걀, 소금, 밀가루, 식초, 설탕
●조리방법
1. 끓는 물에 소고기안심과 달걀을 넣고, 소금을 더해 삶는다.
2. 청양고추에 십자(十)로 길게 칼집을 낸다.
3. 칼집을 낸 청양고추 안에 인스턴트 떡갈비를 넣어 청양고추소박이를 만든다.
4. 청양고추소박이에 밀가루와 달걀물을 묻혀 기름에 튀긴다.
5. 적당한 크기로 썬 청양고추를 믹서기에 넣은 뒤, 뜨거운 물을 더한다.
6. 5에 적당한 크기로 썬 부추를 넣고 간다.
7. 간 청양고추와 부추를 체에 밭쳐 즙만 걸러낸다.
8. 밀가루, 전분, 소금, 청양고추즙을 섞어 반죽한 뒤, 면포로 덮어 숙성시킨다.
9. 오이, 양배추, 씻은 총각김치를 채 썬다.
10. 열무김치를 적당한 크기로 썬다.
11. 열무김치국물에 물, 얼음, 식초, 설탕, 총각김치국물을 넣어 냉면육수를 만든다.
12. 사과와 오이를 강판에 간다.
13. 간 사과와 오이를 면포에 넣고 즙을 낸 뒤, 냉면육수에 넣는다.
14. 냉면육수에 간 청양고추와 부추를 넣는다.
15. 숙성시킨 청양고추반죽을 밀대로 얇게 민다.
16. 얇게 민 청양고추반죽을 가늘게 썰어 청양고추면을 만든다.
17. 청양고추면을 끓는 물에 삶는다.
18. 청양고추소박이튀김을 접시에 담아낸다.
19. 삶은 청양고추면을 얼음물에 담가 차게 만든다.
20. 삶은 소고기안심을 적당한 크기로 썬다.
21. 그릇에 채 썬 채소와 김치를 넣은 뒤, 삶은 달걀과 소고기안심을 얹는다.
22. 그릇에 청양고추면을 담은 뒤 냉면육수를 부어 마무리한다.</t>
  </si>
  <si>
    <t>&lt;이연복 - 대박나새우&gt;
●재료
알배추, 양송이버섯, 팽이버섯, 다진 소고기,
듀록 삼겹살, 쯔유, 인스턴트 가츠오육수, 새우살, 게맛살,
식용 색소, 어란, 떡볶이 떡, 칠리소스, 다진 생강, 청주,
전분, 버터, 달걀, 청양고추, 홍고추, 케첩, 레몬, 설탕
●조리방법
1. 뚝배기에 물과 알배추를 넣고 끓인다.
2. 적당한 크기로 썬 양송이버섯, 팽이버섯, 다진 소고기를 뚝배기에 넣는다.
3. 2에 적당한 크기로 썬 듀록 삼겹살, 쯔유, 인스턴트 가츠오육수, 물을 넣고 끓인다.
4. 새우살을 으깬다.
5. 게맛살을 잘게 다진다.
6. 다진 새우와 게맛살에 다진 생강, 청주, 전분, 녹인 버터를 넣고 섞어 딤섬소를 만든다.
7. 달걀흰자에 빨간색 식용 색소를 넣고 핸드블렌더로 섞는다.
8. 달걀흰자에 검정색 식용 색소를 넣고 핸드블렌더로 섞는다.
9. 색을 입힌 달걀흰자로 지단을 구워 빨간색, 검정색 달걀피를 만든다.
10. 달걀노른자로 지단을 구워 노란색 달걀피를 만든다.
11. 색색깔의 달걀피에 다진 딤섬소을 넣고 빚어 찜기에 찐다.
12. 어란을 잘게 썰어 딤섬 위에 올린다.
13. 뚝배기에 끓이던 재료에 떡볶이 떡을 넣고 끓인다.
14. 13에 잘게 썬 청양고추와 홍고추를 올린다.
15. 칠리소스, 케첩, 레몬즙, 설탕을 섞어 소스를 만든 뒤 종지에 담아낸다.</t>
  </si>
  <si>
    <t>냉장고를 부탁해 시즌 1, 186화</t>
  </si>
  <si>
    <t>&lt;최석이 - 우리집에 와규~&gt;
●재료
생강, 와규등심, 감귤, 다진마늘, 팽이버섯,
파프리카, 시금치, 대파, 후추, 소금, 간장,
식초, 청주, 맛술, 올리브오일, 참기름
●조리방법
1. 생강을 잘게 다진다.
2. 다진 생강을 물에 담가둔다.
3. 대파 흰 부분을 채 썬다.
4. 채 썬 대파의 일부분을 얼음물에 담가둔다.
5. 남은 채 썬 대파에 전분을 묻힌 뒤 기름에 튀긴다.
6. 튀긴 대파를 체에 밭쳐 기름기를 뺀다.
7. 와규등심에 후추과 소금으로 간한 뒤 석쇠에 올려 직화한다.
8. 감귤의 껍질을 벗긴다.
9. 간장, 식초, 물, 감귤즙, 감귤을 섞는다.
10. 냄비에 청주와 맛술을 넣고 끓인다.
11. 감귤간장소스에 끓인 청주와 맛술을 섞어 감귤폰즈소스를 만든다.
12. 석쇠에 구운 와규등심을 얇게 포 뜬다.
13. 포를 뜬 와규등심에 다진마늘을 바른다.
14. 와규등심에 팽이버섯을 올리고 돌돌 만다.
15. 와규등심에 채 썬 파프리카와 얼음물에 담가둔 파채를 각각 올리고 돌돌 만다.
16. 팬에 올리브오일과 참기름을 넣고 끓인다.
17. 와규채소말이를 접시에 담고 감귤폰즈소스를 뿌린다.
18. 깨를 으깬 뒤, 와규채소말이 위에 뿌린다.
19. 다진 생강과 잘게 썬 시금치를 와규채소말이 위에 뿌린다.
20. 기름을 두른 팬에 시금치를 볶다가 소금, 후추로 간 한다.
21. 끓인 올리브오일&amp;참기름을 와규채소말이 위에 뿌리고, 볶은 시금치와 파채튀김을 곁들인다.
22. 와규채소말이에 후추를 뿌려 마무리한다.</t>
  </si>
  <si>
    <t>&lt;오세득 - 최고양&gt;
●재료
양갈비, 레몬그라스, 커민, 파프리카가루, 고수가루,
딸기, 녹차 아이스크림, 민트젤리, 새우젓, 케이퍼, 올리브,
마늘, 올리브오일, 레몬, 청양고추, 양파, 대파, 소금
●조리방법
1. 양갈비는 막을 벗겨내고 적당한 크기로 썬다.
2. 절구에 불린 레몬그라스와 마늘, 올리브오일을 넣고 빻는다.
3. 지퍼백에 손질한 양갈비와 빻은 재료, 커민, 파프리카가루, 고수가루를 넣은 뒤 주물러 재워둔다.
4. 핸드블렌더에 딸기를 넣고 간다.
5. 기름을 두른 팬에 간 딸기와 녹차 아이스크림을 넣고 끓인다.
6. 핸드블렌더에 끓인 재료와 민트젤리, 레몬 껍질을 넣고 간 뒤, 팬에 한 번 더 끓여 녹차민트딸기소스를 만든다.
7. 절구에 새우젓, 케이퍼, 잘게 썬 청양고추를 넣고 빻는다.
8. 7에 올리브와 올리브오일을 넣고 빻아 올리브 타프나드를 만든다.
9. 올리브 타프나드에 소금을 더한다.
10. 양파는 채 썰고 대파는 잘게 썬다.
11. 재워둔 양갈비에 손질한 채소를 넣고 주무른다.
12. 기름을 두른 팬에 양갈비와 채소를 굽는다.
13. 구운 양갈비를 먹기 좋게 손질한 뒤 토치로 직화한다.
14. 접시에 구운 양갈비를 올린 뒤 녹차민트딸기소스를 곁들인다.
15. 올리브 타프나드에 새우젓을 더해 빻는다.
16. 녹차민트딸기소스 위에 올리브 타프나드를 올린 뒤 레몬즙, 소금, 올리브오일을 뿌려 완성한다.</t>
  </si>
  <si>
    <t>&lt;김풍 - 오케이 마초샌드&gt;
●재료
페페론치노, 듀록 삼겹살, 쯔유, 커민, 파프리카가루,
오렌지주스, 케이퍼, 코코아가루, 에멘탈치즈, 대파,
고춧가루, 라면, 맛술, 후추, 전분, 양파, 버터, 레몬, 설탕, 마요네즈
●조리방법
1. 끓는 기름에 적당한 크기로 썬 대파, 고춧가루, 페페론치노를 넣고 고추기름을 낸다.
2. 고추기름에 마늘을 넣고 끓인다.
3. 끓는 물에 라면을 삶는다.
4. 듀록 삼겹살을 적당한 크기로 썬다.
5. 듀록 삼겹살에 쯔유, 커민, 파프리카가루, 맛술, 후추를 넣고 버무린다.
6. 고추기름을 체에 밭쳐 거른다.
7. 삶은 라면을 팬에 납작하게 깔고 끓는 기름을 부어 튀긴다.
8. 양념한 삼겹살에 전분을 묻힌다.
9. 냄비에 삶은 라면을 납작하게 깔고 전분을 묻힌 삼겹살을 올린 뒤, 끓는 기름을 부어 튀긴다.
10. 양파를 채 썬다.
11. 고추기름을 두른 팬에 채 썬 양파를 볶다가 오렌지주스, 케이퍼, 버터, 레몬즙을 넣고 끓여 오렌지케이퍼소스를 만든다.
12. 튀긴 초면을 건져내 기름기를 뺀다.
13. 코코아가루에 뜨거운 물을 부어 녹인 뒤 설탕을 더해 끓인다.
14. 13에 마요네즈를 섞어 마요네즈초콜릿소스를 만든다.
15. 삼겹살을 올린 초면에 에멘탈치즈를 갈아 올린다.
16. 15 위에 초면을 덮어 샌드한다.
17. 오렌지케이퍼소스와 마요네즈초콜릿소스를 각각 담아낸다.</t>
  </si>
  <si>
    <t>&lt;샘킴 - 타코 판타지아♬&gt;
●재료
할라페뇨라임원액, 고수, 커민, 라임, 사워크림, 렐리시,
케이퍼, 토마토, 아보카도, 파프리카가루, 틸라피아, 블랙올리브,
샬롯, 토르티야, 루콜라, 양상추, 설탕, 고춧가루, 다진 마늘,
간장, 대파, 양파, 청양고추, 소금, 레몬, 올리브오일, 밀가루, 달걀, 후추
●조리방법
1. 핸드블렌더에 할리페뇨라임원액, 고수, 커민, 설탕, 고춧가루, 다진 마늘, 간장,
적당한 크기로 썬 대파를 넣고 간다.
2. 간 재료에 라임즙을 넣는다.
3. 양파를 잘게 썬다.
4. 간 재료에 잘게 썬 양파를 넣고 한 번 더 갈아 할라페뇨고수소스를 만든다.
5. 기름을 두른 그릴팬에 슬라이스한 양파와 청양고추를 굽는다.
6. 굽던 양파와 청양고추, 할라페뇨고수소스에 각각 소금을 더한다.
7. 사워크림에 레몬즙, 렐리시, 다진 케이퍼, 올리브오일, 잘게 썬 양파를 넣고 섞어 사워크림소스를 만든다.
8. 토마토와 양파, 고수를 잘게 썰어 섞는다.
9. 8에 잘게 썬 아보카도를 넣는다.
10. 밀가루에 달걀, 물, 파프리카가루를 넣고 섞어 튀김반죽을 만든다.
11. 틸라피아를 적당한 크기로 썬 뒤, 튀김반죽을 입힌다.
12. 핸드블렌더에 블랙올리브를 넣고 간다.
13. 간 블랙올리브와 구운 양파, 잘게 썬 샬롯, 레몬즙, 소금, 올리브오일, 후추를 섞어 양파절임을 만든다.
14. 튀김반죽을 입힌 틸라피아를 기름에 튀긴다.
15. 틸라피아튀김을 건져낸 뒤, 소금과 커민을 넣고 버무린다.
16. 슬라이스한 토마토를 그릴팬에 굽는다.
17. 구운 청양고추를 적당한 크기로 썬 뒤 토마토, 양파, 고수, 아보카도와 섞는다.
18. 17에 올리브오일, 후추, 레몬즙을 더해 토마토살사를 만든다.
19. 양상추를 잘게 썬다.
20. 마른 팬에 토르티야를 굽는다.
21. 접시에 구운 토마토와 양파절임을 담고, 루콜라를 올린다.
22. 구운 토르티야 위에 토마토살사&gt;틸라피아튀김&gt;사워크림소스&gt;할라페뇨고수소스를 올린다.
23. 타코에 잘게 썬 고수, 양상추를 올린다.
24. 적당한 크기로 썬 라임을 곁들여 마무리한다.</t>
  </si>
  <si>
    <t>냉장고를 부탁해 시즌 1, 187화</t>
  </si>
  <si>
    <t>&lt;미카엘 - 살몬 판타지아♬&gt;
●재료
연어, 오미자원액, 너트메그홀, 사프란, 월계수잎,
샬롯, 오레가노홀, 냉동 콜리플라워, 냉동 아스파라거스,
냉동 그린빈, 냉동 브로콜리, 래디시, 애플민트, 아보카도,
케이퍼, 크림치즈, 엔다이브, 사워크림, 소금, 라임, 후추,
화이트와인, 사프란, 당근, 버터, 마늘
●조리방법
1. 연어의 살과 껍질을 분리한다.
2. 연어 껍질에 소금, 후추로 간한 뒤 오븐에 넣고 굽는다.
3. 냄비에 화이트와인, 오미자원액, 간 너트메그, 사프란을 넣는다.
4. 3에 월계수잎, 샬롯, 소금, 오레가노홀, 후추를 넣고 끓인다.
5. 끓이던 재료에 적당한 크기로 자른 연어를 넣고 약한 불에서 천천히 익힌다.
6. 마른 팬에 냉동 콜리플라워, 냉동 아스파라거스, 냉동 그린빈,
냉동 브로콜리와 적당한 크기로 썬 당근, 버터를 넣고 볶는다.
7. 볶던 채소에 뜨거운 물을 더한 뒤, 잘게 썬 마늘과 후추를 넣는다.
8. 익히던 연어에 너트매그홀을 넣는다.
9. 슬라이스한 래디시와 애플민트를 얼음물에 담가둔다.
10. 핸드블렌더에 아보카도, 케이퍼, 소금, 크림치즈를 넣고 갈아 아보카도무스를 만든다.
11. 화이트와인에 수비드한 연어를 건져낸다.
12. 오븐에 구운 연어 껍질을 꺼내 남은 살을 모두 발라낸 뒤, 한 번 더 굽는다.
13. 접시에 엔다이브를 올린 뒤, 아보카도무스와 수비드 연어를 담고 소금을 뿌린다.
14. 볶은 채소에 사워크림을 섞은 뒤 접시에 담는다.
15. 화이트와인에 익힌 샬롯과 슬라이스한 래디시, 애플민트와 라임 껍질을 갈아 올린다.
16. 오븐에 구운 연어 껍질을 곁들인다.</t>
  </si>
  <si>
    <t>&lt;레이먼킴 - 캡틴 아메리카&gt;
●재료
닭고기, 셀러리, 우유, 월계수잎, 오레가노홀, 파슬리,
스파게티면, 베이킹파우더, 라임, 옥수수전분, 냉동 애플망고,
링곤베리잼, 애플민트, 양파, 당근, 맛술, 밀가루, 소금,
설탕, 버터, 달걀, 청양고추
●조리방법
1. 압력솥에 기름을 두른다.
2. 양파를 채 썬다.
3. 채 썬 양파를 압력솥에 넣는다.
4. 지퍼백에 적당한 크기로 썬 당근, 닭고기를 넣고 고기망치로 두드려 으깬다.
5. 압력솥에 으깬 닭고기와 당근, 셀러리, 우유, 맛술, 월계수잎, 오레가노홀, 파슬리를 넣는다.
6. 5에 뜨거운 물을 넣은 뒤, 뚜껑을 덮어 끓여 닭육수를 낸다.
7. 스파게티면을 지퍼백에 넣고 잘게 부순다.
8. 끓는 물에 부순 스파게티면을 삶는다.
9. 밀가루에 베이킹파우더와 소금을 섞는다.
10. 달걀물에 식용유, 설탕, 버터를 넣고 섞는다.
11. 베이킹파우더와 소금을 넣은 밀가루에 달걀물을 섞어 케이크반죽을 만든다.
12. 케이크반죽에 라임 껍질을 갈아 넣은 뒤, 머그컵에 넣는다.
13. 케이크반죽을 전자레인지에 넣고 돌린다.
14. 믹서기에 설탕, 옥수수전분, 라임즙을 넣고 갈아 라임아이싱을 만든다.
15. 청양고추를 석쇠에 올려 직화한다.
16. 팬에 냉동 애플망고, 라임즙, 링곤베리잼, 잘게 썬 애플민트를 넣고 볶는다.
17. 핸드블렌더에 볶은 재료를 넣고 갈아 애플망고소스를 만든다.
18. 전자레인지에서 라임케이크를 꺼내 랩으로 싸둔다.
19. 구운 청양고추를 잘게 썰어 종지에 담는다.
20. 애플망고소스를 그릇에 담는다.
21. 애플망고소스 위에 라임케이크를 올리고, 라임아이싱을 바른다.
22. 스파게티면을 삶던 냄비에서 면수를 덜어낸다.
23. 22에 닭육수를 넣고 끓여 치킨누들수프를 만든다.
24. 그릇에 치킨누들수프를 담아낸다.</t>
  </si>
  <si>
    <t>&lt;유현수 - 부산행&gt;
●재료
조기, 백합, 건고사리, 다시마, 무, 건표고버섯,
아프리카고추양념장, 멸치액젓, 고수, 셀러리, 산초가루,
간장, 건새우, 고춧가루, 아사이베리가루, 양파, 맛술, 소금,
고추장, 다진 마늘, 밀가루, 달걀, 간장, 식초, 물엿, 즉석밥, 레몬
●조리방법
1. 양파를 채 썬다.
2. 맛술을 넣어 끓인 물에 손질한 조기를 넣고 데친다.
3. 기름을 두른 팬에 채 썬 양파, 백합을 넣고 볶다가 뜨거운 물, 소금,
불린 건고사리, 다시마를 넣고 끓여 백합육수를 낸다.
4. 무를 얇게 슬라이스한 뒤, 채 썬다.
5. 데친 조기의 살을 발라낸다.
6. 백합육수를 체에 밭쳐 육수만 걸러낸 뒤, 채 썬 무, 조기살, 고추장,
다진 마늘, 고춧가루, 불린 건표고버섯을 넣고 끓인다.
7. 끓이던 재료에 아프리카고추양념장, 맛술, 멸치액젓을 넣는다.
8. 백합의 살을 발라낸다.
9. 밀가루에 달걀노른자, 잘게 썬 고수를 넣는다.
10. 9에 잘게 썬 셀러리, 산초가루, 백합살, 아프리카고추양념장을 넣고 섞어 반죽을 만든다.
11. 기름을 두른 팬에 반죽을 적당한 크기로 부친다.
12. 아프리카고추양념장, 간장, 식초를 넣어 양념장을 만든다.
13. 접시에 물엿을 바른다.
14. 물엿을 바른 접시에 조기뼈를 올린 뒤, 고춧가루를 뿌린다.
15. 믹서기에 건새우를 간다.
16. 조기뼈 위에 체에 거른 건새우가루를 뿌린다.
17. 건새우가루 위에 아사이베리가루를 뿌린다.
18. 조기무조림을 그릇에 담고 건새우가루를 뿌린다.
19. 즉석밥을 그릇에 담는다.
20. 접시에 백합고수전을 담고, 레몬 슬라이스를 곁들인다.</t>
  </si>
  <si>
    <t>&lt;김풍 - 풍식 두비두밥♬&gt;
●재료
해물육수팩, 돼지목살, 굴소스, 두부, 건새우,
오이, 홍고추, 청양고추, 마늘, 대파, 가장, 설탕,
고춧가루, 식초, 소금, 후추, 즉석밥
●조리방법
1. 핸드블렌더에 홍고추, 청양고추, 마늘, 대파를 넣고 간다.
2. 기름을 끓이던 팬에 간 채소를 넣고 볶는다.
3. 냄비에 간장, 해물육수팩을 넣는다.
4. 끓이던 간장소스에 뜨거운 물, 설탕을 넣고 끓인다.
5. 핸드블렌더에 돼지목살을 넣고 간다.
6. 볶던 채소에 간 돼지목살, 고춧가루, 굴소스를 넣고 볶는다.
7. 볶던 재료에 설탕과 간장소스를 넣는다.
8. 두부를 적당한 크기로 썬 뒤, 기름에 튀긴다.
9. 끓는 물에 해물육수팩, 건새우를 넣고 해물육수를 낸다.
10. 오이를 얇게 슬라이스 한다.
11. 볶던 재료에 두부튀김, 식초를 넣고 두부덮밥소스를 만든다.
12. 해물육수를 체에 밭쳐 거른 뒤, 소금을 넣고 끓인다.
13. 해물육수를 그릇에 담고, 후추, 슬라이스한 오이를 넣어 중국식 오이탕을 만든다.
14. 접시에 즉석밥과 두부덮밥소스를 담아낸다.</t>
  </si>
  <si>
    <t>냉장고를 부탁해 시즌 1, 188화</t>
  </si>
  <si>
    <t>&lt;정호영 - 한현민 Go! 현민 Go!&gt;
●재료
고사리무침, 돼지 뒷다리살, 조미료, 만두,
고등어, 애호박, 굴소스, 대파, 고춧가루,
청주, 양파, 즉석밥, 청양고추, 간장, 달걀, 전분
●조리방법
1. 끓는 기름에 적당한 크기로 썬 대파를 넣는다.
2. 1에 고춧가루를 넣고 끓여 고추기름을 낸다.
3. 고사리무침을 지퍼백에 넣고 고기망치로 두드려 으깬다.
4. 물을 끓이던 압력솥에 으깬 고사리무침을 넣고 끓인다.
5. 고사리무침에 적당한 크기로 썬 돼지 뒷다리살, 다진 마늘, 조미료, 으깬 만두를 넣고 익힌다.
6. 고추기름을 체에 밭쳐 거른다.
7. 고등어의 가시를 발라낸다.
8. 기름을 두른 팬에 고등어를 넣고, 소금으로 간 한 뒤 굽는다.
9. 구운 고등어에 청주를 넣고 불을 붙여 비린내를 날린다.
10. 대파, 애호박, 양파를 잘게 썬다.
11. 기름을 두른 팬에 손질한 채소와 밥을 넣고 볶는다.
12. 굽던 고등어를 으깬 뒤, 볶음밥에 넣고 함께 볶는다.
13. 고등어볶음밥에 소금과 잘게 썬 청양고추를 넣고 볶는다.
14. 압력솥에 익힌 재료를 팬에 옮겨 담고 뜨거운 물, 간장, 고춧가루, 고추기름을 더해 끓여 고사리육개장을 만든다.
15. 핸드블렌더에 고사리육개장을 넣고 간 뒤, 팬에 넣고 한 번 더 끓인다.
16. 고사리육개장에 조미료를 더한다.
17. 고등어볶음밥에 굴소스, 달걀을 넣고 볶는다.
18. 고등어볶음밥에 고춧가루, 고추기름을 더한다.
19. 고사리육개장에 전분물을 넣어 농도를 조절한 뒤, 뚝배기에 옮겨 담는다.
20. 고사리육개장에 잘게 썬 청양고추, 고춧가루를 올린다.
21. 접시에 고등어볶음밥을 담아낸다.</t>
  </si>
  <si>
    <t>&lt;유현수 - 한국인의 밥상&gt;
●재료
김치, 양파즙, 해물육수팩, 고추장아찌, 조미료,
돼지목살, 닭가슴살, 훈제오리, 인스턴트 동그랑땡,
낙지젓, 어묵, 라이스페이퍼, 설탕, 식초, 즉석밥,
간장, 청양고추, 대파, 마늘, 고춧가루, 다진 마늘, 홍고추
●조리방법
1. 냄비에 김치, 설탕, 식초, 물을 넣고 끓인다.
2. 끓이던 김치에 양파즙을 더해 묵은지를 만든다.
3. 즉석밥을 전자레인지에 넣고 돌린다.
4. 냄비에 물, 해물육수팩, 간장, 설탕을 넣고 끓인다.
5. 간장소스에 적당한 크기로 썬 청양고추를 넣는다.
6. 기름을 두른 팬에 적당한 크기로 썬 대파, 으깬 마늘, 고추장아찌, 조미료, 고춧가루를 넣고 볶는다.
7. 돼지목살, 닭가슴살, 훈제오리, 인스턴트 동그랑땡을 적당한 크기로 썬다.
8. 7을 볶던 채소에 넣고 함께 볶는다.
9. 볶던 재료에 뜨거운 물을 넣고 끓인다.
10. 9에 묵은지를 넣고 끓여 묵은지얼큰탕을 만든다.
11. 낙지젓을 물에 씻는다.
12. 핸드블렌더에 씻은 낙지젓, 잘게 썬 어묵을 넣고 간다.
13. 라이스페이퍼를 뜨거운 물에 불린 뒤, 적당한 크기로 썬 어묵과 간 낙지&amp;어묵을 넣고 감싼다.
14. 13을 라이스페이퍼로 한 번 더 감싼 뒤, 튀김가루를 묻혀 기름에 튀긴다.
15. 묵은지얼큰탕에 다진 마늘, 고춧가루, 잘게 썬 홍고추, 청양고추를 넣는다.
16. 묵은지얼큰탕을 뚝배기에 옮겨 담고, 고춧가루를 더한다.
17. 핸드블렌더에 홍고추와 청양고추를 넣고 간 뒤, 종지에 담는다.
18. 간장소스를 체에 밭쳐 건더기를 걸러낸다.
19. 종지에 간장소스를 더해 양념장을 만든다.
20. 즉석밥을 그릇에 담는다.
21. 낙지어묵튀김을 건져 기름을 뺀다.
22. 간장소스를 그릇에 담고, 잘게 썬 홍고추와 청양고추를 넣는다.
23. 22 위에 낙지어묵튀김을 담아 간장낙지장을 만든다.</t>
  </si>
  <si>
    <t>&lt;미카엘 - 아재볼&gt;
●재료
느타리버섯, 양송이수프 분말, 다진 돼지고기,
다진 소고기, 양파즙, 애호박, 토마토소스, 고추장아찌,
튀김가루, 양파, 달걀, 청양고추, 후추, 소금, 고춧가루, 고추장
●조리방법
1. 기름을 두른 팬에 잘게 썬 느타리버섯, 양파, 양송이수프 분말을 넣고 볶는다.
2. 볼에 잘게 썬 양파, 다진 돼지고기, 다진 소고기, 달걀, 잘게 썬 청양고추를 넣는다.
3. 2에 물을 더한 양송이수프 분말, 후추, 소금을 넣고 치댄다.
4. 고기반죽을 동그랗게 뭉쳐 미트볼을 만든다.
5. 미트볼에 튀김가루를 묻힌 뒤, 기름에 튀긴다.
6. 양파즙, 물, 소금을 섞는다.
7. 애호박을 길게 슬라이스한 뒤, 양파즙&gt;튀김가루&gt;양파즙을 순서대로 묻힌다.
8. 애호박을 기름에 튀긴다.
9. 핸드블렌더에 토마토소스, 소금, 후추, 고춧가루를 넣고 간다.
10. 볶던 채소에 토마토소스와 고추장을 넣고 끓여 매운 토마토소스를 만든다.
11. 매운 토마토소스를 그릇에 담고, 튀긴 미트볼을 올린다.
12. 고추장아찌를 잘게 썬 뒤, 미트볼 위에 뿌린다.
13. 접시에 애호박칩을 담고, 고춧가루를 뿌린다.</t>
  </si>
  <si>
    <t>&lt;샘킴 - 원 펀치 쓰리 코스&gt;
●재료
가지, 토마토소스, 오레가노, 생모차렐라치즈,
파르메산치즈, 방울토마토, 칵테일새우, 바질페스토,
소고기채끝, 아보카도, 블랙트러플, 프로슈토, 트러플 오일,
밀가루, 당근, 양파, 소금, 마늘, 식초, 설탕, 전분, 즉석밥, 후추, 대파
●조리방법
1. 슬라이스한 가지에 밀가루를 묻혀 기름에 튀기듯 굽는다.
2. 적당한 크기로 썬 당근, 양파에 뜨거운 물을 넣고 끓여 채소육수를 낸다.
3. 구운 가지에 토마토소스를 바른 뒤, 소금, 오레가노를 뿌린다.
4. 가지 위에 잘게 썬 생모차렐라치즈를 올린 뒤, 돌돌 만다.
5. 가지치즈말이 위에 토마토소스를 올리고 파르메산치즈를 갈아 뿌린 뒤, 오븐에 넣고 굽는다.
6. 기름을 두른 팬에 잘게 썬 방울토마토를 넣고 불을 붙여 익힌다.
7. 6에 잘게 썬 마늘과 통마늘, 채소육수, 토마토소스를 넣고 끓여 소스를 만든다.
8. 기름을 두른 팬에 잘게 썬 양파, 소금, 식초, 설탕을 넣고 볶는다.
9. 대파와 가지를 채 썬 뒤, 전분을 묻혀 기름에 튀긴다.
10. 파채&amp;가지채튀김을 체에 밭쳐 기름기를 뺀다.
11. 마른 팬에 즉석밥과 채소육수를 넣는다.
12. 기름을 두른 팬에 적당한 크기로 썬 칵테일새우를 넣고 볶는다.
13. 칵테일새우를 볶던 팬에 채소육수와 섞은 즉석밥, 바질페스토, 파르메산치즈를 넣고 끓여 새우바질리소토를 만든다.
14. 소고기채끝을 직사각형 모양으로 자른 뒤, 소금과 후추로 간 한다.
15. 기름을 두른 팬에 소고기채끝을 구워 스테이크를 만든다.
16. 핸드블렌더에 껍질을 벗긴 아보카도를 넣고 간다.
17. 오븐에 구운 가지치즈말이를 접시에 담고, 파채&amp;가지채튀김을 올린다.
18. 새우바질리소토를 그릇에 담고, 파채&amp;가지채튀김을 올린다.
19. 그릇에 채끝스테이크, 볶은 양파, 간 아보카도, 채 썬 블랙트러플을 올린 뒤, 트러플오일을 뿌린다.</t>
  </si>
  <si>
    <t>냉장고를 부탁해 시즌 1, 189화</t>
  </si>
  <si>
    <t>&lt;오세득 - 아임 파인다이닝, 앤드 유?&gt;
●재료
바질페스토, 피스타치오페스토, 코코넛워터, 소고기등심,
블루베리잼, 아보카도, 방울토마토, 스리라차소스, 커민,
코리앤더, 통밀식빵, 블랙트러플, 셀러리, 달걀, 레몬, 소금,
버터, 당근, 즉석밥, 양파, 레드와인, 맛술, 연겨자, 후추
●조리방법
1. 달걀노른자에 레몬즙과 소금을 넣는다.
2. 1에 버터를 넣은 뒤, 끓는 물이 담긴 냄비 위에서 중탕해 홀랜다이즈소스를 만든다.
3. 홀랜다이즈소스에 바질페스토와 피스타치오페스토를 넣고 섞어 피스타치오퓨레를 만든다.
4. 코코넛워터를 끓이다가 강판에 간 당근과 소금을 넣고 익힌다.
5. 핸드블랜더에 코코넛워터에 익힌 당근과 버터, 코코넛워터를 넣고 간 뒤, 즉석밥을 넣고 다시 갈아 당근 퓨레를 만든다.
6. 기름을 두른 팬에 채 썬 양파와 잘게 썬 소고기등심을 넣고 볶는다.
7. 볶던 재료에 레드와인, 맛술, 연겨자, 소금을 넣고 볶아 레드와인소스를 만든 뒤, 체에 밭쳐 건더기를 걸러낸다.
8. 레드와인소스에 버터를 녹여가며 섞은 뒤, 블루베리잼을 더한다.
9. 소고기등심에 소금, 후추로 간 한 뒤, 기름을 두른 팬에 굽는다.
10. 잘게 썬 아보카도를 체에 밭쳐 으깬다.
11. 잘게 썬 양파, 으깬 아보카도, 레몬즙, 잘게 썬 방울토마토, 소금, 스리라차소스를 섞어 과카몰레를 만든다.
12. 과카몰레에 커민과 코리앤더를 넣는다.
13. 통밀식빵을 직사각형 모양으로 자른 뒤, 마른 팬에 굽는다.
14. 접시에 피스타치오퓨레를 담는다.
15. 구운 식빵 사이에 과카몰레를 넣고 샌드한 뒤, 접시에 올린다.
16. 접시에 구운 양파와 등심스테이크를 올린다.
17. 등심스테이크 위에 블랙트러플을 갈아 올린다.
18. 셀러리를 슬라이스해서 얼음물에 담갔다 뺀 뒤, 등심스테이크에 곁들인다.
19. 당근퓨레를 체에 밭쳐 내린다.
20. 등심스테이크 위에 레드와인 소스를 뿌린다.
21. 접시에 당근퓨레를 담아 마무리한다.</t>
  </si>
  <si>
    <t>&lt;이연복 - 으라차차찜&gt;
●재료
소고기등심, 스리라차소스, 굴소스, 방울토마토,
가지, 대파, 고춧가루, 마늘, 양파, 간장, 설탕,
화이트와인, 청양고추, 밀가루, 전분, 달걀
●조리방법
1. 끓는 기름에 대파와 고춧가루를 넣고 끓여 고추기름을 낸다.
2. 기름을 두른 팬에 적당한 크기로 썬 대파와 으깬 마늘을 넣고 볶는다.
3. 소고기등심에 촘촘하게 칼집을 낸 뒤, 적당한 크기로 썬다.
4. 볶던 채소에 칼집을 낸 소고기등심을 넣고 함께 볶는다.
5. 볶던 재료에 적당한 크기로 썬 양파, 간장, 스리라차소스, 굴소스, 설탕, 화이트와인을 넣는다.
6. 물이 자작하게 담긴 압력솥에 방울토마토를 넣고 끓이다가 볶은 소고기&amp;채소를 넣는다.
7. 6에 잘게 썬 청양고추를 넣고 압력솥 뚜껑을 닫아 찐다.
8. 가지를 적당한 크기로 썬다.
9. 밀가루, 전분, 물, 달걀물, 식용유을 섞어 튀김옷을 만든다.
10. 가지에 튀김옷을 묻힌 뒤, 기름에 튀긴다.
11. 고추기름을 체에 밭쳐 걸러낸다.
12. 스리라차소스와 굴소스, 설탕, 레몬즙, 고추기름을 섞어 튀김소스를 만든다.
13. 튀김소스를 종지에 담아낸다.
14. 가지튀김을 체에 밭쳐 기름기를 뺀다.
15. 채 썬 대파에 밀가루를 묻혀 기름에 튀긴다.
16. 그릇에 가지튀김&gt;스리라차 소고기찜&gt;파채튀김 순서대로 담는다.
17. 16에 소고기찜 국물을 듬뿍 담아 마무리한다.</t>
  </si>
  <si>
    <t>&lt;레이먼킴 - 맛있스리라~&gt;
●재료
소고기채끝, 갈릭솔트, 머스터드파우더, 칵테일새우, 우유,
스리라차소스, 살라미, 양송이버섯, 어니언파우더, 방울토마토,
오렌지, 유자음료, 진, 밀가루, 달걀, 양파, 버터, 후추, 소금, 설탕, 레몬, 대파
●조리방법
1. 소고기채끝에 깊은 칼집을 넣어 고기를 넓게 편 뒤, 고기망치로 두드린다.
2. 소고기채끝에 갈릭솔트와 머스터드파우더를 뿌리고, 전분을 묻힌다.
3. 소고기채끝 위에 칵테일새우를 올린 뒤, 돌돌 만다.
4. 4에 밀가루를 묻힌다.
5. 달걀물에 우유와 스리라차소스를 넣고 섞는다.
6. 새우를 넣은 소고기에 스리라차달걀물&gt;밀가루를 순서대로 입힌 뒤, 기름에 튀기듯이 구워 프라이드 스테이크를 만든다.
7. 기름을 두른 팬에 채 썬 양파와 살라미를 넣고 볶는다.
8. 7에 버터와 밀가루를 넣고 볶다가 스리라차소스를 넣어 스리라차루를 만든다.
9. 스리라차루에 뜨거운 물을 넣고 조린다.
10. 스리라차루에 우유를 넣는다.
11. 10에 양송이버섯, 어니언파우더, 후추, 방울토마토를 넣고 볶아 스리라차 크림소스를 만든다.
12. 스리라차 크림소스에 소금을 더한다.
13. 오렌지에 칼집을 낸 뒤, 즙을 짜고 과육을 파낸다.
14. 칵테일 잔 입에 설탕을 묻힌 뒤, 얼음을 담는다.
15. 칵테일 셰이커에 얼음, 오렌지즙&amp;과육, 유자음료, 스리라차소스, 설탕, 진을 넣고 흔든다.
16. 오렌지 스리라차 칵테일을 설탕이 묻은 잔에 담은 뒤, 레몬 슬라이스를 곁들인다.
17. 프라이드 스테이크를 굽던 팬에 버터와 스리라차소스를 넣고 조린다.
18. 접시에 스리라차크림소스를 담은 뒤, 프라이드 스테이크를 올린다.
19. 프라이드 스테이크 위에 잘게 썬 대파를 뿌려 마무리한다.</t>
  </si>
  <si>
    <t>&lt;샘킴- 요~으리의 고수&gt;
●재료
곤약면, 파스타면, 태국고추, 홍새우, 새우, 다진 돼지고기,
굴소스, 피시소스, 차돌박이, 오이냉국, 단무지, 인스턴트 냉면육수,
고수, 숙주, 팟타이소스, 대파, 홍고추, 소금, 고춧가루, 후추, 설탕,
간장, 식초, 참기름, 양파, 깨, 레몬
●조리방법
1. 곤약면을 끓는 물에 삶은 뒤, 얼음물에 담가둔다.
2. 파스타면을 끓는 물에 삶는다.
3. 기름을 두른 팬에 잘게 썬 대파, 홍고추, 태국고추, 홍새우껍질을 넣고 볶은 뒤 홍새우껍질만 건져낸다.
4. 볶던 채소에 손질한 새우와 홍새우, 다진 돼지고기를 넣은 뒤, 소금, 고춧가루, 후추를 넣고 볶는다.
5. 굴소스, 피시소스, 설탕, 물을 섞어 소스를 만든다.
6. 차돌박이에 소스를 바른 뒤, 석쇠에 직화한다.
7. 석쇠에 굽던 차돌박이에 후추, 소금으로 간 한다.
8. 파스타면을 삶는 면수에 새우를 데친다.
9. 데친 새우를 잘게 썰어 오이냉국에 담가둔다.
10. 간장, 식초, 고춧가루, 설탕을 섞는다.
11. 10에 참기름을 더해 간장소스를 만든다.
12. 채 썬 양파, 단무지, 오이, 곤약면을 간장소스에 넣어 버무린 뒤 인스턴트 냉면육수, 잘게 썬 고수를 넣고 섞는다.
13. 볶던 재료에 숙주, 굴소스, 채 썬 양파, 피시소스, 팟타이소스, 깨를 넣는다.
14. 볶던 재료에 삶은 파스타면, 고춧가루를 넣고 볶아 팟타이를 만든다.
15. 곤약면 무침에 깨를 뿌린 뒤, 데친 새우를 넣고 버무린다.
16. 그릇에 곤약면 무침을 담은 뒤, 그릇을 얼음물 위에 올려 차게 만든다.
17. 팟타이를 그릇에 담은 뒤, 구운 차돌박이를 올린다.
18. 팟타이에 고수를 얹는다.
19. 팟타이에 레몬슬라이스를 곁들인다.
20. 곤약면 무침에 데친 새우와 오이냉국을 부어 마무리한다.</t>
  </si>
  <si>
    <t>냉장고를 부탁해 시즌 1, 190화</t>
  </si>
  <si>
    <t>&lt;유현수 - 으리으리한 항아~으리!&gt;
●재료
소갈비, 전복, 대추청, 양지육수, 누룽지, 쌍화탕,
소고기장조림, 청양고춧가루, 알배추, 소면, 저염명란젓,
뱅어포, 매운 냉면소스, 인스턴트 냉면육수, 쪽파, 달걀노른자장,
깻잎, 전분, 설탕, 다진 마늘, 청양고추, 밀가루, 소금, 달걀
●조리방법
1. 소갈비에 촘촘하게 칼집을 낸 뒤, 고기망치로 두드려 부드럽게 만든다.
2. 손질한 소갈비에 전분을 묻혀 기름에 튀긴다.
3. 튀긴 갈비를 끓는 물에 넣은 뒤, 설탕, 전복을 넣는다.
4. 3에 다진 마늘, 대추청을 넣은 뒤, 양지육수를 넣고 끓여 갈비찜을 만든다.
5. 갈비찜에 누룽지, 쌍화탕, 소고기장조림을 넣는다.
6. 갈비찜에 청양고춧가루, 적당한 크기로 썬 알배추를 넣은 뒤, 뚜껑을 닫고 끓인다.
7. 소면을 끓는 물에 삶는다.
8. 기름을 두른 팬에 저염명란젓, 청양고추를 굽는다.
9. 뱅어포를 기름에 튀긴다.
10. 밀가루, 소금, 물을 섞어 반죽을 만든다.
11. 반죽을 밀대로 넓게 편 뒤, 항아리 입구 크기에 맞게 자른다.
12. 항아리에 갈비찜을 담은 뒤, 반죽으로 항아리 입구를 덮는다.반죽에 달걀물을 바른 뒤,
항아리갈비찜을 오븐에 넣어 익힌다.
13. 삶은 소면을 찬물에 헹군 뒤, 그릇에 담는다.
14. 소면 위에 매운 냉면소스, 인스턴트 냉면육수, 잘게 썬 쪽파, 구운 저염명란젓,
달걀노른자장, 뱅어포튀김을 올려 명란비빔국수를 만든다.
15. 명란비빔국수에 잘게 썬 깻잎, 청양고추, 얼음을 올린다.
16. 항아리갈비찜을 오븐에서 꺼낸 뒤, 밀가루 반죽을 토치로 직화한다.</t>
  </si>
  <si>
    <t>&lt;김풍 - 사나이 가는 길에 기죽지 마라♬&gt;
●재료
태국고추, 청양고춧가루, 중국고춧가루, 쯔유, 멸치,
삼겹살, 토마토, 쌍화탕, 월계수잎, 굴소스, 알배추,
양송이버섯, 감자, 쌀국수면, 청경채, 고수, 버터, 마늘,
청양고추, 대파, 다진 생강, 된장, 통후추, 즉석밥, 식초
●조리방법
1. 기름을 넉넉하게 두른 팬에 버터를 넣는다.
2. 버터를 녹인 기름에 으깬 마늘과 청양고추를 넣고 볶는다.
3. 대파 흰 부분을 칼등으로 으깬 뒤 적당한 크기로 썬다.
4. 볶던 채소에 대파, 태국고추, 청양고춧가루, 다진 생강, 중국고춧가루를 넣는다.
5. 볶던 재료에 식초, 쯔유, 간장으로 간 한다.
6. 볶던 재료에 된장을 넣는다.
7. 볶던 재료에 멸치와 뜨거운 물을 넣고 끓여 마라탕을 만든다.
8. 마라탕에 태국고추를 더해 끓인다.
9. 적당한 크기로 썬 삼겹살을 체에 밭친 뒤, 마라탕에 넣어 데친다.
10. 마라탕에 적당한 크기로 썬 토마토와 쌍화탕을 넣는다.
11. 마라탕에 월계수잎, 굴소스를 넣는다.
12. 마라탕에 적당한 크기로 썬 알배추, 양송이버섯을 넣는다.
13. 마라탕에 통후추를 넣는다.
14. 기름을 두른 팬에 잘게 썬 태국고추와 으깬 마늘, 굴소스, 중국고춧가루를 넣고 볶아 고추기름을 낸다.
15. 즉석밥을 전자레인지에 넣고 돌린다.
16. 감자를 채 썬 뒤, 물에 담가 전분기를 뺀다.
17. 채 썬 감자를 고추기름에 넣고 볶는다.
18. 감자채볶음에 식초, 쯔유를 넣는다.
19. 마라탕에 불린 쌀국수면, 청경채, 고수를 넣고 끓인다.
20. 마라탕을 그릇에 담는다.
21. 즉석밥을 그릇에 따로 담는다.
22. 감자채볶음을 그릇에 담아 마무리 한다.</t>
  </si>
  <si>
    <t>&lt;정호영 - 불짬뽕 드새우&gt;
●재료
전복, 태국고추, 청양고춧가루, 차돌박이, 고추기름, 알배추,
청경채, 홍새우, 숙주, 조갯살, 굴소스, 칼국수면, 새우,
양지육수, 목이버섯, 쪽파, 매운 냉면소스, 양상추, 홍고추,
청양고추 ,양파, 대파, 간장, 다진 마늘, 후추, 소금, 맛술, 케첩, 설탕
●조리방법
1. 전복을 끓는 물에 삶는다.
2. 믹서기에 홍고추, 청양고추, 태국고추, 청양고춧가루, 뜨거운 물을 넣고 간다.
3. 기름을 두른 팬에 차돌박이, 채 썬 양파와 대파를 넣고 볶다가 고추기름을 넣는다.
4. 3에 간 고추, 적당한 크기로 썬 알배추와 청경채, 홍새우, 숙주, 조갯살을 넣고 볶다가 간장, 굴소스로 간 한다.
5. 칼국수면을 끓는 물에 삶는다.
6. 손질한 새우를 끓는 물에 삶는다.
7. 삶은 전복은 껍데기를 떼어내고 살만 적당한 크기로 썬다.
8. 마른 팬에 삶은 전복살, 삶은 새우, 채 썬 양파를 넣어둔다.
9. 볶던 재료에 삶은 전복살을 넣고 함께 볶다가 양지육수, 다진 마늘,
굴소스, 후추, 소금, 맛술을 넣고 끓여 차돌박이짬뽕을 만든다.
10. 차돌박이짬뽕에 목이버섯을 넣는다.
11. 전복과 새우, 양파를 넣어둔 팬에 고추기름을 두르고 볶은 뒤, 잘게 썬 대파와 뜨거운 물,
케첩, 매운 냉면소스, 설탕, 청양고춧가루를 넣고 조려 칠리새우를 만든다.
12. 칠리새우에 잘게 썬 청양고추와 쪽파를 넣는다.
13. 그릇에 양상추를 올린 뒤, 칠리새우를 담는다.
14. 삶은 칼국수면을 찬물에 헹궈 그릇에 담은 뒤, 차돌박이짬뽕을 부어 낸다.</t>
  </si>
  <si>
    <t>&lt;레이먼킴 - 원조 테리우스테이크&gt;
●재료
표고버섯, 베이컨, 소고기등심, 빵, 홀그레인머스터드,
우스터소스, 카옌페퍼, 액상치킨스톡, 토마토소스,
마스카포네치즈, 나라즈케, 이탈리안파슬리, 선드라이드토마토,
양파, 청양고추, 달걀, 밀가루, 후추, 올리브오일
●조리방법
1. 양파를 채 썬다.
2. 표고버섯, 베이컨을 적당한 크기로 썬다.
3. 기름을 두른 팬에 양파, 표고버섯을 볶는다.
4. 청양고추를 석쇠에 올려 직화한다.
5. 적당한 크기로 썬 소고기등심, 베이컨을 핸드블렌더에 넣고 간다.
6. 적당한 크기로 썬 빵을 우유에 적신 뒤, 간 고기와 섞는다.
7. 6에 홀그레인머스터드, 우스터소스, 카옌페퍼, 달걀노른자, 밀가루를 넣고 섞은 뒤 동그랗게 뭉쳐 패티를 만든다.
8. 기름을 두른 팬에 패티를 굽는다.
9. 액상치킨스톡을 뜨거운 물에 풀어 치킨육수를 만든다.
10. 볶던 양파, 표고버섯에 토마토소스, 버터, 치킨육수를 넣고 끓여 그레이비소스를 만든다.
11. 굽던 패티에 그레이비소스를 부어 조린다.
12. 석쇠에 구운 청양고추를 잘게 썬 뒤, 마스카포네치즈, 후추와 함께 섞어 치즈소스를 만든다.
13. 나라즈케에 치즈소스를 올린다.
14. 접시에 치즈소스를 올린 나라즈케를 담은 뒤, 올리브오일, 후추를 뿌린다.
15. 이탈리안파슬리를 잘게 다진다.
16. 접시에 찹스테이크를 담은 뒤, 이탈리안파슬리, 선드라이드토마토를 올려 완성한다.</t>
  </si>
  <si>
    <t>냉장고를 부탁해 시즌 1, 191화</t>
  </si>
  <si>
    <t>&lt;미카엘 - 다이어트는 잊그라&gt;
●재료
소고기등심, 베이컨, 양배추, 페타치즈, 크림치즈, 우유,
브로콜리, 선드라이드토마토, 모차렐라치즈, 새우젓,
파르메지아노치즈, 버터, 식초, 밀가루, 소금, 후추, 당근,
홍고추, 마늘, 고춧가루, 다진 생강, 다진 마늘, 청양고추
●조리방법
1. 적당한 크기로 썬 소고기등심을 기름을 두른 팬에 넣고, 버터를 더해 볶는다.
2. 베이컨, 양배추를 적당한 크기로 썬다.
3. 베이컨을 볶는다.
4. 식초를 더한 끓는 물에 양배추를 넣고 데친다.
5. 볶던 소고기에 밀가루, 소금, 후추를 넣고 볶다가 페타치즈, 크림치즈를 넣는다.
6. 볶던 재료에 우유, 브로콜리, 후추를 넣고 끓인다.
7. 6를 그라탱 그릇에 담고 선드라이드토마토, 모차렐라치즈를 올린 뒤, 오븐에 넣고 굽는다.
8. 볶은 베이컨을 건져 기름을 뺀다.
9. 데치던 양배추에 당근을 넣고 함께 데친 뒤, 건져내 얼음물에 담가둔다.
10. 믹서기에 홍고추, 마늘, 물을 넣고 간다.
11. 10에 고춧가루, 새우젓, 다진 생강즙, 소금, 다진 마늘을 넣어 김치양념을 만든다.
12. 김치양념에 데친 양배추와 당근을 넣고 버무린 뒤, 그릇에 담는다.
13. 양배추김치에 잘게 썬 청양고추를 올린다.
14. 오븐에서 꺼낸 그라탱 위에 잘게 썬 청양고추와 구운 베이컨, 파르메지아노치즈를 갈아 올려 마무리한다.</t>
  </si>
  <si>
    <t>&lt;이연복 - 복덩이&gt;
●재료
전복, 오징어, 새우, 병어, 가지, 달걀간장, 파프리카,
두반장, 소고기등심, 공심채, 맛술, 소금, 대파, 양파,
마늘, 청양고추, 즉석밥, 후추, 달걀, 전분
●조리방법
1. 전복을 끓는 물에 삶는다.
2. 오징어 몸통에 격자로 촘촘하게 칼집을 낸다.
3. 칼집을 낸 오징어와 새우를 끓는 물에 삶는다.
4. 병어의 양쪽에 깊게 칼집을 낸다.
5. 칼집을 낸 병어에 뜨거운 물을 부은 뒤, 맛술을 뿌린다.
6. 손질한 병어에 소금을 뿌린다.
7. 잘게 썬 대파를 병어 위에 올린 뒤, 찜기에 넣고 찐다.
8. 가지를 적당한 크기로 썬 뒤, 기름에 튀긴다.
9. 삶은 전복의 껍데기를 떼어내고 전복살에 칼집을 낸다.
10. 칼집을 낸 전복에 달걀간장, 물, 맛술을 넣고 조린다.
11. 잘게 썬 양파, 파프리카, 대파, 으깬 마늘과 청양고추를 기름을 두른 팬에 넣은 뒤, 두반장을 넣고 볶는다.
12. 소고기등심을 핸드블렌더에 넣고 간다.
13. 볶던 채소에 간 소고기, 고춧가루를 넣고 함께 볶다가 뜨거운 물을 넣고 끓여 소스를 만든다.
14. 기름을 두른 팬에 달걀, 즉석밥을 넣고 볶는다.
15. 삶은 전복을 잘게 썬다.
16. 삶은 오징어와 새우를 잘게 썬다.
17. 잘게 썬 해산물을 달걀볶음밥에 넣고 볶는다.
18. 간장소스에 조린 전복을 적당한 크기로 썬다.
19. 적당한 크기로 썬 공심채를 팬에 볶는다.
20. 잘게 썬 대파와 공심채를 전복볶음밥에 넣고 후추로 간 한다.
21. 전복볶음밥을 그릇에 담는다.
22. 끓이던 소스에 튀긴 가지를 넣은 뒤, 전분물로 농도를 조절한다.
23. 소스를 접시에 담는다.
24. 전복볶음밥 위에 볶은 공심채와 조린 전복을 올린다.
25. 소스 위에 병어찜을 담아낸다.</t>
  </si>
  <si>
    <t>&lt;오세득 - 한방탕&gt;
●재료
미나리, 로브스터, 전복, 관자, 잣, 피스타치오, 참외,
우유, 유자청, 쯔유, 라이스페이퍼, 소금, 양파, 마늘,
당근, 레몬, 화이트와인, 참기름, 깨, 식초, 달걀
●조리방법
1. 소금을 더한 끓는 물에 적당한 크기로 썬 미나리를 데친 뒤, 얼음물에 담가둔다.
2. 끓는 물에 채 썬 양파, 으깬 마늘, 적당한 크기로 썬 당근, 레몬 슬라이스, 화이트와인을 넣는다.
3. 바닷가재에 꼬치를 끼워 모양을 고정한 뒤, 채소를 끓이던 물에 넣고 데친다.
4. 데친 전복의 껍데기를 떼어내고 살에 칼집을 낸다.
5. 관자를 얇게 썬 뒤, 칼집을 낸다.
6. 칼집을 낸 관자, 전복을 끓는 물에 데친 뒤, 얼음물에 담가둔다.
7. 데친 바닷가재를 얼음물에 담가둔다.
8. 마른 팬에 잣과 피스타치오를 볶는다.
9. 참외의 속을 파낸 뒤, 적당한 크기로 썬다.
10. 믹서기에 볶은 잣과 피스타치오, 참외, 우유, 유자청, 쯔유를 넣고 갈아 잣소스를 만든다.
11. 데친 미나리의 물기를 짜낸 뒤, 참기름과 깨를 넣고 버무려 그릇에 담는다.
12. 데친 바닷가재살을 먹기 좋은 크기로 썬 뒤, 그릇에 담는다.
13. 데친 전복, 관자에 쯔유, 유자청을 넣고 버무린 뒤, 그릇에 담는다.
14. 식초를 더한 끓는 물에 달걀을 넣어 수란을 만든다.
15. 소금을 더한 끓는 물에 라이스페이퍼를 데친 뒤, 얼음물에 담가둔다.
16. 라이스페이퍼에 참기름을 버무린 뒤, 그릇에 담는다.
17. 수란을 그릇에 담고 후추를 뿌린다.
18. 잣소스를 그릇에 따로 담아낸다.</t>
  </si>
  <si>
    <t>&lt;오세득 - 낫토 먹고 crab! crab! crab! crab!&gt;
●재료
베이컨, 살치살, 건표고버섯, 메밀면, 김치, 낫토,
냉동 간장게장, 달걀, 옐로우스리라차소스, 양파,
마늘, 청양고추, 홍고추, 간장, 식초, 설탕, 청주,
다진 마늘, 참기름, 연겨자, 즉석밥, 대파
●조리방법
1. 양파를 채 썬다.
2. 마늘은 얇게 편 썰고 청양고추, 홍고추는 잘게 썬다.
3. 볼에 간장, 식초, 설탕, 청주, 잘게 썬 채소를 넣어 간장소스를 만든다.
4. 대파를 채 썬다.
5. 마른 팬에 베이컨을 굽는다.
6. 살치살을 비닐로 덮고 고기망치로 두드려 얇게 편 뒤, 채 썬다.
7. 간장, 다진 마늘, 참기름을 섞어 불고기 양념을 만든 뒤 살치살과 파채에 넣고 버무린다.
8. 뚝배기에 불린 건표고버섯, 양념한 살치살과 파채를 넣고 끓여 파불고기를 만든다.
9. 믹서기에 메밀면을 부숴 넣고 간다.
10. 간 메밀면에 물을 넣어 반죽을 만든 뒤, 기름을 두른 팬에 넣고 부친다.
11. 낫토를 저어준다.
12. 잘게 썬 구운 베이컨과 김치를 낫토에 넣은 뒤 간장소스, 연겨자를 넣고 섞는다.
13. 냉동 간장게장을 밀대로 밀어 살만 발라낸다.
14. 즉석밥을 전자레인지에 넣고 돌린다.
15. 메밀전 위에 낫토김치베이컨을 넣은 뒤, 사각형 모양으로 접는다.
16. 접시 위에 메밀전병을 올린 뒤, 간장게장살과 달걀노른자를 올린다.
17. 16에 간장소스를 뿌린다.
18. 잘게 썬 대파를 메밀전병 위에 올린다.
19. 즉석밥을 따로 담아낸다.</t>
  </si>
  <si>
    <t>냉장고를 부탁해 시즌 1, 192화</t>
  </si>
  <si>
    <t>&lt;김풍 - I'm so sorry 보말 love you♬&gt;
●재료
통삼겹살, 맥주, 커피가루, 멸치육수팩, 전복, 보말,
멜젓소스, 건표고버섯, 액상조미료, 소면, 당근, 대파,
맛술, 멸치육수팩, 들기름, 참기름, 밀가루, 고춧가루,
식초, 다진 마늘, 간장, 전분, 청양고추
●조리방법
1. 압력솥에 적당한 크기로 썬 당근을 깐 뒤 통삼겹살을 넣는다.
2. 1에 맥주, 커피가루를 넣은 뒤 뚜껑을 닫고 익힌다.
3. 대파를 채 썬다.
4. 파채를 맛술을 더한 얼음물에 담가둔다.
5. 끓는 물에 멸치육수팩을 넣어 멸치육수를 낸다.
6. 전복을 손질해 내장을 분리한다.
7. 팬에 들기름, 참기름, 밀가루를 넣어 볶은 뒤 전복내장, 보말을 넣어 함께 볶는다.
8. 7에 맛술을 넣는다.
9. 볶은 전복내장과 보말을 핸드블렌더에 넣고 간다.
10. 간 전복내장과 보말을 팬에 넣는다.
11. 볼에 멜젓소스, 고춧가루를 넣는다.
12. 11에 식초, 다진 마늘, 맛술, 파채를 넣고 섞어 멜젓파무침을 만든다.
13. 간 전복내장과 보말을 볶던 팬에 불린 건표고버섯과 물, 멸치육수를 넣는다.
14. 13에 간장, 액상조미료를 넣고 끓여 국물을 만든다.
15. 국물에 소금 간을 한 뒤, 삶은 소면을 넣고 끓인다.
16. 멸치육수팩을 건져낸 뒤, 전분물을 넣어 농도를 조절한다.
17. 보말국수를 그릇에 담는다.
18. 압력솥에 익힌 돔베고기를 꺼내 적당한 크기로 썬다.
19. 돔베고기를 끓이던 보말국수에 넣고 한 번 더 익힌다.
20. 보말국수 위에 다진 청양고추, 돔베고기를 올린다.
21. 돔베고기 위에 멜젓파무침을 올려 완성한다.</t>
  </si>
  <si>
    <t>&lt;레이먼킴 - 승리의 먹빵&gt;
●재료
식빵, 블랙체리잼, 고체카레, 파르메산 치즈가루,
인스턴트 제육불고기, 베이컨, 자두, 베트남고추,
옐로우스리라차소스, 꿀유자청, 살라미, 버터, 대파, 후추, 밀가루
●조리방법
1. 식빵의 테두리를 잘라낸다.
2. 식빵 위에 블랙체리잼을 바른다.
3. 또 다른 식빵 위에 고체카레를 갈아 올린다.
4. 카레가루와 블랙체리잼 위에 파르메산 치즈가루를 뿌린 뒤, 식빵으로 덮는다.
5. 4를 밀대로 민 뒤, 버터를 두른 팬에 굽는다.
6. 인스턴트 제육불고기와 베이컨을 팬에 굽는다.
7. 대파 흰 부분에 잘게 칼집을 낸 뒤, 제육불고기에 넣고 볶는다.
8. 자두를 잘게 썬다.
9. 구운 베이컨, 베트남고추를 잘게 썬다.
10. 자두, 베이컨, 베트남고추에 옐로우스리라차소스, 꿀유자청을 넣고 섞는다.
11. 10에 후추로 간한다.
12. 대파를 채 썬 뒤, 밀가루를 묻혀 기름에 튀긴다.
13. 구운 식빵을 먹기 좋은 크기로 자른다.
14. 블랙체리잼을 넣은 식빵 위에 살라미, 자두와 베이컨을 올린다.
15. 마른 팬에 살라미를 굽는다.
16. 블랙체리잼을 넣은 식빵 위에 구운 살라미&gt;자두와 베이컨&gt;구운 살리미 순서로 올린다.
17. 살라미 카나페를 도마 위에 플레이팅 한다.
18. 볶은 제육불고기를 석쇠에 올려 직화한다.
19. 파채튀김을 체에 밭쳐 기름을 뺀 뒤 소금으로 간한다.
20. 카레가루를 넣은 식빵 위에 제육불고기, 파채튀김을 올린 뒤 플레이팅 한다.
21. 잘게 썬 대파를 카나페 주변에 뿌려 마무리한다.</t>
  </si>
  <si>
    <t>&lt;이연복 - 꼬막이 빛나는 밤&gt;
●재료
꼬막, 삼겹살, 두부, 양파, 오이, 청양고추,
명란마요네즈, 들기름, 매실액, 소면,
생강즙, 청주, 레몬즙, 간장, 대파, 고춧가루,
고추냉이, 고추장, 식초
●조리방법
1.적당한 크기로 썬 청양고추를 끓는 물에 넣은 뒤 생강즙, 청주, 레몬즙을 넣고 끓인다.
2. 1에 한쪽 껍데기만 제거한 꼬막을 넣어 데친다.
3. 팬에 물, 간장, 매실액을 넣은 뒤 삼겹살을 넣어 조린다.
4. 기름에 적당한 크기로 썬 대파와 고춧가루를 넣고 끓여 고추기름을 낸다.
5. 깍둑썰기한 두부를 기름에 넣고 튀긴다.
6. 대파와 청양고추를 잘게 다진다.
7. 볼에 고추냉이, 명란마요네즈, 매실액을 넣고 섞는다.
8. 7에 다진 청양고추를 넣고 섞는다.
9. 8에 간장을 넣고 섞어 명란마요소스를 만든다.
10. 다진 대파와 청양고추에 고추장, 고춧가루, 매실액, 물, 들기름, 간장을 넣고 섞어 꼬막무침 소스를 만든다.
11. 체에 내린 고추기름을 꼬막무침 소스에 넣고 섞는다.
12. 꼬막무침 소스에 식초, 레몬즙을 넣는다.
13. 데친 꼬막을 얼음물에 넣어 식힌다.
14. 끓는 물에 소면을 삶는다.
15. 튀긴 두부를 건져낸다.
16. 식힌 꼬막에 소스를 넣고 버무려 꼬막무침을 만든다.
17. 간장소스에 조린 삼겹살을 잘게 썬다.
18. 삶은 소면을 얼음물에 헹군 뒤 간장소스에 조린 삼겹살과 섞어준다.
19. 접시에 꼬막무침을 올린다.
20. 채 썬 오이를 소면과 삼겹살에 넣은 뒤, 들기름을 더한다.
21. 그릇에 명란마요소스를 담아낸다.
22. 접시에 두부튀김을 올린다.
23. 소면에 꼬막무침 소스를 넣어 버무린 뒤 접시에 올린다.</t>
  </si>
  <si>
    <t>냉장고를 부탁해 시즌 1, 193화</t>
  </si>
  <si>
    <t>&lt;미카엘 - 화사한 플레이트&gt;
●재료
통베이컨, 새우, 모차렐라치즈, 크림치즈, 바지락,
훈제 닭, 감자, 깻잎, 양파, 애호박, 복숭아,
칼라만시, 김부각, 깻잎장아찌, 막장, 트러플 오일,
버터, 화이트와인, 소금, 후추, 당근, 전분, 청양고추,
마늘, 홍고추, 레몬, 올리브 오일, 간장, 대파
●조리방법
1. 애호박을 얇게 슬라이스 한다.
2. 애호박 위에 얇게 썬 베이컨을 올리고, 막장을 바른 뒤 돌돌 말아준다.
3. 애호박롤을 꼬치에 끼운 뒤, 모차렐라치즈를 올린다.
4. 모차렐라치즈를 올린 애호박롤을 오븐에 넣어 굽는다.
5. 냄비에 버터, 바지락을 넣은 뒤 화이트 와인, 소금, 후추로 간한다.
6. 볶던 바지락에 훈제 닭을 넣은 뒤 물을 붓고 끓여 육수를 낸다.
7. 잘게 썬 당근과 청양고추를 육수에 넣은 뒤 칼라만시, 전분물을 더해 바지락스튜를 만든다.
8. 강판을 이용해 채 썬 감자를 팬에 올려 부친다.
9. 기름을 두른 팬에 새우 머리, 새우 몸통을 올린 뒤 소금, 후추를 뿌려 굽는다.
10. 새우에 마늘, 버터를 넣고 굽는다.
11. 잘게 썬 양파와 홍고추를 구운 새우에 섞은 뒤, 레몬껍질을 갈아 넣는다.
12. 11에 칼라만시, 소금, 후추, 올리브오일, 얇게 썬 복숭아를 넣어 새우샐러드를 만든다.
13. 접시에 깻잎을 깐 뒤 슬라이스한 애호박을 동그랗게 말아 고정시킨다.
14. 새우샐러드를 애호박 안에 넣은 뒤 구운 새우 머리를 올린다.
15. 팬에 부친 감자에 간장을 발라준다.
16. 김부각 위에 크림치즈를 올린 뒤 깻잎장아찌로 감싸 깻잎치즈쌈을 만든다.
17. 부친 감자를 접시에 깔고, 깻잎치즈쌈을 올린다.
18. 그릇에 바지락스튜를 담은 뒤 잘게 썬 대파와 홍고추를 올린다.
19. 오븐에 구운 애호박치즈롤을 접시에 올린다.
20. 잘게 썬 홍고추와 꽃모양으로 썬 당근을 접시 위에 뿌린다.
21. 트러플오일을 뿌려 마무리한다.</t>
  </si>
  <si>
    <t>&lt;정호영 - 장어 is 뭔들&gt;
●재료
장어, 김부각, 바지락, 막장, 김치, 김치만두, 매실액,
통베이컨, 명란마요네즈, 양파, 청양고추, 애호박,
깻잎, 홍고추, 마늘, 대파, 고춧가루, 즉석밥, 맛술,
설탕, 간장, 소금, 후추, 청주, 버터
●조리방법
1. 바지락을 체에 밭쳐 끓는 물에 데친다.
2. 적당한 크기로 썬 홍고추, 마늘, 대파, 장어, 김치만두소를 핸드블렌더에 넣고 간다.
3. 바지락을 데치던 물에 2를 넣고 끓인다.
4. 물에 씻은 김치와 적당한 크기로 썬 장어, 고춧가루를 넣어 장어탕을 만든다.
5. 즉석밥을 전자레인지에 데운다.
6. 냄비에 청주, 매실액, 맛술, 간장, 설탕을 넣고 끓여 데리야키소스를 만든다.
7. 양파, 통베이컨, 애호박, 장어, 김치를 잘게 썬 뒤 팬에 넣어 볶는다.
8. 볶던 장어와 채소에 즉석밥을 넣은 뒤 명란마요네즈를 뿌린다.
9. 김부각을 잘게 부숴 볶음밥에 넣고 소금, 후추로 간한다.
10. 석쇠에 장어를 올리고, 데리야키소스를 발라가며 굽는다.
11. 직화한 장어를 팬에 옮긴 뒤 데리야키소스를 넣어 조린다.
12. 장어탕에 맛술, 설탕, 청주를 넣고 계속해서 끓인다.
13. 장어볶음밥을 무쇠팬에 옮겨 담는다.
14. 장어볶음밥에 버터를 올린다.
15. 장어탕에 채 썬 깻잎, 막장을 넣는다.
16. 장어볶음밥에 채 썬 깻잎을 올린다.
17. 데리야키소스에 조린 장어를 먹기 좋은 크기로 썰어 접시에 올린 뒤 김부각을 함께 낸다.
18. 장어탕에 간장을 넣어 간을 맞춘다.
19. 장어탕을 뚝배기에 옮겨 담는다.</t>
  </si>
  <si>
    <t>&lt;이연복 - 부시리 복치기&gt;
●재료
부시리, 전복, 무늬오징어, 오징어젓갈, 돼지 목살,
굴소스, 파프리카, 액상조미료, 양파, 대파, 마늘, 청주,
달걀, 전분, 고추장, 식초, 맛술, 청양고추, 즉석밥, 소금
●조리방법
1. 돼지 목살을 먹기 좋은 크기로 썬다.
2. 양파, 대파, 마늘을 잘게 썬 뒤 돼지 목살과 함께 볼에 담아둔다.
3. 손질한 부시리를 썰어 믹서기에 넣는다.
4. 3에 액상조미료, 청주, 달걀노른자를 넣고 간다.
5. 간 부시리에 전분을 넣는다.
6. 삶은 전복의 껍데기를 분리한 뒤, 잘게 썬다.
7. 전분을 섞은 간 부시리에 전복을 넣어 부시리패티 반죽을 만든다.
8. 7에 잘게 썬 파프리카를 넣는다.
9. 무늬오징어를 얇게 썰어 돼지 목살과 섞는다.
10. 9에 고추장, 식초, 청주, 맛술, 굴소스를 넣고 버무린다.
11. 양념에 버무린 돼지 목살과 무늬오징어를 팬에 넣고 볶아 두루치기를 만든다.
12. 두루치기에 잘게 썬 청양고추를 넣고 함께 볶는다.
13. 잘게 썬 양파, 굴소스, 액상조미료를 부시리패티 반죽에 넣는다.
14. 기름을 두른 팬에 부시리패티 반죽을 굽는다.
15. 잘게 썬 대파와 달걀을 팬에 넣는다.
16. 15에 즉석밥을 넣은 뒤, 잘게 썬 오징어젓갈을 넣는다.
17. 데친 무늬오징어를 잘게 썰어 볶음밥에 넣고 함께 볶는다.
18. 볶음밥에 굴소스를 넣고 볶는다.
19. 부시리 스테이크에 버터를 더해 구운 뒤 소금으로 간한다.
20. 접시에 오징어젓갈 볶음밥, 부시리 스테이크, 두루치기 순서로 담는다.</t>
  </si>
  <si>
    <t>냉장고를 부탁해 시즌 1, 194화</t>
  </si>
  <si>
    <t>&lt;김풍 - 수박냉면&gt;
●재료
수박, 차돌박이, 돼지 뒷다리살, 부챗살, 토마토, 파프리카,
인스턴트 냉면, 루콜라, 액상조미료, 오이, 상추, 굴소스
대파, 소금, 고춧가루, 간장, 된장, 식초, 레몬, 다진마늘
●조리방법
1. 수박 속을 파낸 후 대파를 자른다.
2. 핸드블렌더에 대파를 넣고 간 뒤, 체에 밭쳐 얼음물에 담가둔다.
3. 핸드블렌더에 토마토를 넣고 간 뒤 볼에 담는다.
4. 수박 과육을 핸드블렌더에 넣고 간다.
5. 간 수박을 체에 밭쳐 즙만 받아낸다.
6. 소금을 넣은 끓는 물에 차돌박이를 데친다.
7. 돼지 뒷다리살과 부챗살을 썰어 함께 데친다.
8. 볼에 고춧가루, 간장, 된장, 식초를 넣고 섞는다.
9. 8에 간 토마토, 수박즙, 설탕, 액상조미료, 얼음을 넣어 냉면육수를 만든다.
10. 냉면육수에 레몬즙을 넣는다.
11. 냉면육수에 간 대파와 다진 마늘을 넣는다.
12. 냉면육수에 굴소스를 넣고 섞는다.
13. 데친 고기를 체에 밭친다.
14. 데친 고기를 얼음물에 담가 놓는다.
15. 끓는 물에 냉면 면을 삶는다.
16. 오이를 채 썰고, 루콜라는 먹기 좋은 크기로 썬다.
17. 삶은 냉면 면을 체에 밭쳐 얼음물에 헹군다.
18. 과육을 파낸 수박 안에 냉면 면을 넣은 뒤 상추, 루콜라, 오이, 고기를 넣는다.
19. 냉면육수를 부어 마무리한다.</t>
  </si>
  <si>
    <t>&lt;샘킴 - Drop the fish&gt;
●재료
붉바리, 루콜라, 감자, 토마토, 발사믹글레이즈,
스위트칠리소스, 파프리카, 생모차렐라 치즈, 양파,
화이트와인, 통후추, 순후추, 버터, 설탕, 레몬, 올리브오일, 소금
●조리방법
1. 잘게 썬 양파를 팬에 넣은 뒤 화이트와인, 통후추, 버터를 넣고 졸여 화이트와인소스를 만든다.
2. 양파를 튀긴 뒤 발사믹글레이즈를 뿌린다.
3. 반으로 자른 파프리카를 석쇠에 올려 굽는다.
4. 토마토를 끓는 물에 데친 뒤 잘게 다진다.
5. 감자를 얇게 슬라이스한 뒤 끓는 물에 익힌다.
6. 팬에 익힌 감자, 생모차렐라 치즈, 물, 설탕을 넣고 끓인다.
7. 6에 버터와 레몬즙을 넣는다.
8. 핸드블렌더에 루콜라, 올리브오일, 소금, 레몬즙을 넣고 갈아 루콜라퓌레를 만든다.
9. 감자와 생모차렐라 치즈에 루콜라퓌레를 넣고 후추로 간한다.
10. 붉바리를 손질해 몸통 살만 분리해낸다.
11. 가시를 발라낸 붉바리의 껍질을 벗겨낸다.
12. 붉바리 살에 칼집을 낸다.
13. 올리브오일을 두른 팬에 붉바리 살을 올린 뒤 후추로 간한다.
14. 붉바리 살을 얇게 포를 떠 접시에 올린다.
15. 석쇠에 구운 파프리카를 얇게 썬 뒤, 붉바리 회에 올린다.
16. 15 위에 루콜라퓌레, 다진 토마토, 레몬즙, 올리브오일, 후추, 소금을 뿌린다.
17. 16에 잘게 썬 루콜라를 올린 뒤 발사믹글레이즈를 뿌린다.
18. 루콜라퓌레를 넣고 익힌 감자와 생모차렐라 치즈를 접시에 올린다.
19. 발사믹글레이즈를 뿌린 튀긴 양파를 올린다.
20. 붉바리 스테이크를 올린다.
21. 붉바리 스테이크에 화이트와인소스를 뿌린다.
22. 붉바리 스테이크에 루콜라퓌레를 올려 마무리한다.</t>
  </si>
  <si>
    <t>&lt;정호영 - Fish Fish Baby♬&gt;
●재료
붉바리, 전복, 아보카도, 감자, 파프리카, 스위트칠리소스,
루콜라, 맛술, 청주, 설탕, 간장, 버터, 튀김가루, 전분
홍고추, 청양고추, 통마늘, 식초, 케첩, 양파
●조리방법
1. 전복을 체에 밭쳐 끓는 물에 데친다.
2. 붉바리를 손질해 반으로 가른다.
3. 붉바리의 반쪽을 냄비에 넣은 뒤 뜨거운 물을 부어 익힌다.
4. 3에 맛술, 청주, 설탕을 넣는다.
5. 붉바리에 간장을 넣은 뒤 쿠킹포일로 덮는다.
6. 아보카도의 껍질을 벗긴 뒤 버터를 두른 팬에 굽는다.
7. 적당한 크기로 썬 감자를 팬에 넣고 굽는다.8. 데친 전복을 찬물에 식힌다.
9. 전복과 버터에 구운 감자, 아보카도를 붉바리 간장조림에 넣고 함께 조린다.
10. 남은 붉바리의 반쪽을 손질해 몸통 살만 분리해낸다.
11. 붉바리 뼈에 튀김가루를 묻힌 뒤 체에 밭쳐 통째로 튀긴다.
12. 붉바리 살의 가시를 발라낸 뒤 먹기 좋은 크기로 썬다.
13. 튀김가루에 전분을 섞고 달걀물을 넣어 튀김옷을 만든다.
14. 붉바리 살에 튀김옷을 입힌 뒤 기름에 튀긴다.
15. 적당한 크기로 썬 홍고추와 통마늘, 식초를 핸드블렌더에 넣고 간다.
16. 15에 케첩, 설탕을 섞어 수제 스위트칠리소스를 만든다.
17. 튀긴 붉바리 뼈를 건져내 그릇에 담는다.
18. 잘게 썬 양파, 파프리카를 팬에 넣는다.
19. 18에 스위트칠리소스와 수제 스위트칠리소스를 넣은 뒤 붉바리 튀김을 넣고 섞는다.
20. 붉바리 뼈튀김 위에 스위트칠리소스에 버무린 붉바리 튀김과 루콜라를 올린다.
21. 붉바리 간장조림에 홍고추, 청양고추를 넣는다.
22. 껍질을 벗긴 붉바리 살을 적당한 크기로 썰어 접시에 담는다.
23. 붉바리 간장조림을 접시에 담아낸다.</t>
  </si>
  <si>
    <t>&lt;유현수 - 청실홍실&gt;
●재료
홍어 날개, 홍어 애, 청국장, 된장, 오리엔탈드레싱,
발사믹식초, 코코넛식초, 다시마육수팩, 비트&amp;무 피클,
양배추, 적양파, 양송이버섯, 당근, 오이, 설탕
●조리방법
1. 홍어 애를 랩으로 감싼다.
2. 랩으로 감싼 홍어 애를 김발에 놓고 돌돌 만 뒤 찜기에 넣는다.
3. 반으로 자른 홍어 날개의 껍질을 벗겨낸다.
4. 홍어 날개에 기름을 바른 뒤 석쇠에 올려 굽는다.
5. 당근, 오이를 얇게 슬라이스한 뒤 구운 홍어 날개 위에 올린다.
6. 당근과 오이를 올린 홍어 날개를 찜기에 넣어 익힌다.
7. 끓는 물에 다시마육수팩을 넣어 끓인다.
8. 달군 팬에 발사믹 식초를 넣어 졸인다.
9. 홍어껍질을 석쇠에 구운 뒤 얼음물에 담가둔다.
10. 팬에 밀가루를 넣은 뒤 다시마 육수, 된장을 넣고 끓인다.
11. 10에 핑크 플랑크톤, 설탕을 넣은 뒤 체에 거른다.
12. 11에 청국장, 잘게 썬 양송이버섯과 적양파를 넣고 끓여 청국장소스를 만든다.
13. 홍어 날개살을 얇게 포를 떠 접시에 담는다.
14. 적양파, 양배추를 얇게 채 썬다.
15. 코코넛식초, 오리엔탈드레싱을 섞어 채 썬 적양파와 양배추에 바른 뒤 접시에 담는다.
16. 구운 홍어 껍질을 얇게 썰어 올린다.
17. 찐 홍어 애를 적당한 크기로 썰어 올린다.
18. 핸드블렌더에 비트&amp;무 피클을 넣고 간 뒤 접시에 올린다.
19. 18에 졸인 발사믹식초를 뿌린다.
20. 접시에 청국장소스를 담는다.
21. 찜기에서 익힌 홍어 스테이크를 청국장소스 위에 올려낸다.</t>
  </si>
  <si>
    <t>냉장고를 부탁해 시즌 1, 195화</t>
  </si>
  <si>
    <t>&lt;레이먼킴 - 최애 홍파스타&gt;
●재료
홍어 날개, 홍어 애, 파스타면, 그린올리브,
블랙올리브, 고추냉이마요네즈, 무, 깻잎,
아스파라거스, 사과, 치킨스톡, 후추, 참기름,
밀가루, 마늘, 대파, 된장, 양파, 소금
●조리방법
1. 홍어 애에 후추, 참기름을 넣고 버무린다.
2. 홍어 애에 밀가루를 묻힌 뒤 팬에 넣고 굽는다.
3. 홍어 애에 고추냉이마요네즈를 더해 굽는다.
4. 끓는 물에 으깬 마늘, 무, 파, 홍어 날개를 넣고 끓여 홍어 육수를 만든다.
5. 홍어 날개의 껍질을 벗겨낸다.
6. 껍질을 벗긴 홍어 날개를 홍어 육수에 넣은 뒤 된장을 풀어준다.
7. 육수에 데친 홍어 날개를 얼음물에 담가 식힌다.
8. 포크를 이용해 홍어 날개의 살만 발라낸다.
9. 살을 발라낸 홍어 날개뼈는 다시 홍어 육수에 넣는다.
10. 치킨스톡을 넣은 끓는 물에 파스타면을 넣고 삶는다.
11. 홍어 육수를 더해 파스타면을 삶는다.
12. 양파, 마늘, 아스파라거스를 손질한 뒤 팬에 넣는다.
13. 12에 블랙올리브, 그린올리브, 홍어 날개살을 넣고 볶는다.
14. 깻잎을 잘게 썬 뒤 팬에 넣고 함께 볶는다.
15. 홍어 날개살과 채소를 넣고 볶던 팬에 홍어 육수를 넣은 뒤 소금으로 간한다.
16. 15에 삶은 파스타면을 넣은 뒤 홍어 육수와 올리브 오일을 넣는다.
17. 사과를 얇게 채 썬다.
18. 구운 홍어 애를 적당한 크기로 썬다.
19. 홍어 파스타를 접시에 담아낸다.
20. 홍어 파스타 위에 구운 홍어 애, 채 썬 사과를 얹어 마무리한다.</t>
  </si>
  <si>
    <t>&lt;오세득 - 안심하소&gt;
●재료
소 안심, 프로방스 허브, 양송이버섯,
아스파라거스, 우유, 버터, 양파, 밀가루,
당근, 소금, 간장, 레드와인
●조리방법
1. 소 안심을 잘게 다진 뒤 물에 넣고 끓여 육수를 낸다.
2. 버터를 두른 팬에 잘게 썬 양파를 넣은 뒤 양송이버섯, 버터, 밀가루를 넣고 볶는다.
3. 2에 우유, 안심 육수를 넣어 끓인다.
4. 3을 믹서기에 넣고 갈아 버섯소스를 만든다.
5. 버섯소스를 체에 거른 뒤 팬에 올려 졸인다.
6. 끓는 물에 프로방스 허브를 넣는다.
7. 잘게 썬 당근과 양파를 6에 넣은 뒤 소금, 간장, 레드와인을 넣고 끓인다.
8. 허브, 채소, 레드와인을 넣고 끓인 물에 안심을 넣어 익힌다.
9. 적당한 크기로 썬 당근과 양파에 소금, 버터를 넣고 버무린다.
10. 적당한 크기로 썬 아스파라거스에 소금, 버터를 넣고 버무린다.
11. 소금, 버터에 버무린 채소들을 오븐에 넣고 굽는다.
12. 버섯소스를 접시에 담는다.
13. 오븐에 구운 양파, 당근, 아스파라거스를 버섯소스 위에 올린다.
14. 적당한 크기로 썬 안심을 버섯소스 위에 올린다.
15. 소금, 후추를 뿌려 마무리한다.</t>
  </si>
  <si>
    <t>&lt;미카엘 - 고급이양&gt;
●재료
양갈비, 무화과, 그릭 요거트, 크림치즈,
프로방스 허브, 갈릭솔트, 통후추, 멸치볶음,
아스파라거스, 석류농축액, 올리브 오일,
밀가루, 버터, 설탕, 청주, 레몬, 후추, 당근
●조리방법
1. 양갈비를 고기망치로 두드린 뒤 갈릭솔트를 뿌려 밑간한다.
2. 밑간한 양갈비를 그릭 요거트에 재워둔다.
3. 팬에 올리브오일을 두른다.
4. 양갈비에 밀가루를 묻힌 뒤 올리브오일을 두른 팬에 튀기듯 굽는다.
5. 버터와 크림치즈를 섞어 동그랗게 만든 뒤 프로방스 허브를 묻혀 냉동실에 넣어둔다.
6. 그릴팬에 당근, 아스파라거스를 올린 뒤 올리브오일을 넣고 굽는다.
7. 팬에 설탕, 물을 넣은 뒤 석류농축액을 넣고 졸인다.
8. 7에 무화과를 넣어 캐러멜라이즈한다.
9. 8에 청주, 버터, 레몬, 레몬즙을 넣고 졸여 무화과소스를 만든다.
10. 구운 아스파라거스를 반으로 가른다.
11. 구운 아스파라거스와 당근에 후추, 올리브오일을 뿌린다.
12. 접시에 아스파라거스와 당근을 올린다.
13. 소스에 조린 무화과를 올린다.
14. 접시에 구운 양갈비와 무화과소스를 올린다.
15. 프로방스 허브를 묻힌 크림치즈볼, 멸치볶음을 꼬치에 끼운 뒤 양갈비에 꽂아낸다.</t>
  </si>
  <si>
    <t>&lt;레이먼킴 - 육개장에 파 하나 놓고 가라&gt;
●재료
소고기 등심, 낙지, 두부, 사골육수, 말린 애호박,
표고버섯, 표고버섯가루, 어간장, 굴소스,
쪽파, 집된장, 무, 마늘, 양파, 청양고추, 대파,
고춧가루, 참기름, 식용유, 다진마늘, 다진생강, 소금
●조리방법
1. 얇게 슬라이스한 무, 마늘을 사골육수에 넣는다.
2. 청양고추, 양파를 잘게 썰어 사골육수에 넣고 끓인다.
3. 2에 표고버섯, 말린 애호박을 넣고 끓인다.
4. 적당한 크기로 썬 대파와 쪽파를 볼에 담아둔다.
5. 집된장을 체에 밭쳐 끓는 물에 풀어준다.
6. 된장 푼 물에 대파와 쪽파를 데친다.
7. 소고기 등심을 얇게 썬다.
8. 믹서기에 고춧가루를 넣고 간다.
9. 팬에 참기름과 식용유를 넣고 섞은 뒤 곱게 간 고춧가루에 넣고 섞는다.
10. 9에 다진 마늘, 다진 생강, 표고버섯가루, 굴소스, 어간장, 소금을 넣고 섞어 양념을 만든다.
11. 길게 썬 두부를 기름을 두른 팬에 넣고 튀긴다.
12. 끓이던 육수에 양념을 넣고 끓여 파개장 국물을 만든다.
13. 된장 푼 물에 데친 대파와 쪽파를 양념과 섞어준다.
14. 얇게 썬 등심을 된장 푼 물에 데친 뒤 양념한 대파, 쪽파와 함께 버무린다.
15. 파개장 국물에 14를 넣고 끓인다.
16. 된장 푼 물에 달걀을 넣어 수란을 만든다.
17. 적당한 크기로 썬 낙지를 체에 밭쳐 된장 푼 물에 데친다.
18. 파개장에 참기름, 고춧가루, 물을 넣고 끓인다.
19. 데친 낙지를 체에 밭쳐 파개장에 넣어 익힌다.
20. 두부튀김의 기름기를 뺀 뒤 잘게 썬다.
21. 파개장을 그릇에 담는다.
22. 파개장에 수란, 참기름, 두부튀김을 넣어 마무리한다.</t>
  </si>
  <si>
    <t>냉장고를 부탁해 시즌 1, 196화</t>
  </si>
  <si>
    <t>&lt;정호영 - 해장이나 잘하세요&gt;
●재료
전복, 삼겹살, 새우, 두부, 묵은지, 사골육수,
북어포, 표고버섯, 굴소스, 들기름, 집된장, 대파,
다진마늘, 고춧가루, 달걀, 밀가루, 양파, 간장,
청양고추, 후추, 소금, 맛술, 홍고추, 설탕
●조리방법
1. 두부를 전자레인지에 넣고 돌린다.
2. 대파의 흰 부분을 적당한 크기로 썬다.
3. 끓는 물에 전복을 데친다.
4. 팬에 북어포 불린 물을 넣은 뒤 삼겹살, 묵은지를 넣고 끓인다.
5. 4에 다진 마늘, 집된장을 넣고 끓인다.
6. 묵은지찜에 간 고춧가루를 넣는다.
7. 묵은지찜에 들기름을 넣는다.
8. 데친 전복을 찬물에 헹군다.
9. 사골육수에 북어포 불린 물을 넣고 끓여 백짬뽕 국물을 만든다.
10. 핸드블렌더에 삼겹살, 대파, 굴소스, 달걀, 밀가루를 넣는다.
11. 전자레인지에 돌린 두부를 으깬 뒤 10에 넣고 함께 간다.
12. 데친 전복을 잘게 썰어 완자반죽에 넣는다.
13. 완자반죽을 적당한 크기로 떼어 백짬뽕 국물에 넣고 익힌다.
14. 새우를 끓는 물에 데친다.
15. 양파, 대파를 적당한 크기로 썬다.
16. 기름을 두른 팬에 대파, 삼겹살, 다진 마늘, 양파, 간장, 표고버섯을 넣고 볶는다.
17. 백짬뽕 국물에 청양고추, 다진 마늘을 넣고 끓인다.
18. 간장에 볶은 삼겹살과 채소를 국물에 넣어 함께 끓인다.
19. 백짬뽕에 후추, 소금, 굴소스, 맛술을 넣고 끓인다.
20. 데친 새우를 체에 밭쳐 백짬뽕에 넣어 익힌다.
21. 대파, 홍고추를 잘게 썬다.
22. 묵은지찜에 설탕, 간장을 넣는다.
23. 묵은지찜을 그릇에 담는다.
24. 묵은지찜에 들기름을 뿌린다.
25. 그릇에 백짬뽕을 담은 뒤 새우를 올린다.
26. 홍고추와 대파를 올려 마무리한다.</t>
  </si>
  <si>
    <t>&lt;이연복 - 연가복&gt;
●재료
낙지, 새우, 전복, 삼겹살, 꽃게, 애호박,
느타리버섯, 은행, 쪽파, 소갈비양념, 대파,
고춧가루, 고추, 청주, 맛술, 다진생강,
밀가루, 달걀, 청양고추, 전분, 소금
●조리방법
1. 기름에 적당한 크기로 썬 대파, 고춧가루, 고추를 넣고 끓여 고추기름을 낸다.
2. 물에 청주, 맛술, 생강즙을 넣고 끓인다.
3. 전복, 새우, 낙지를 손질한 뒤 2의 물에 넣어 삶는다.
4. 볼에 적당한 크기로 썬 삼겹살, 소갈비양념, 밀가루, 달걀흰자를 넣고 버무린다.
5. 기름을 두른 팬에 4의 삼겹살과 은행을 튀기듯이 굽는다.
6. 삼겹살과 은행을 섞어 튀긴 뒤 삼겹살은 다른 팬에 옮기고, 은행은 체에 밭쳐 기름기를 뺀다.
7. 튀긴 은행을 찬물에 헹궈 껍질을 벗긴다.
8. 고추기름을 체에 밭쳐 건더기를 걸러낸다.
9. 삶은 낙지, 전복을 먹기 좋은 크기로 썬다.
10. 애호박, 쪽파, 대파, 청양고추를 썬 뒤 전복, 새우, 낙지와 함께 볶는다.
11. 10에 느타리버섯, 물, 전분물을 넣고 볶다가 튀긴 삼겹살을 넣어 전가복을 만든다.
12. 달걀흰자로 머랭을 친다.
13. 전가복을 그릇에 담는다.
14. 반으로 자른 꽃게를 밀대로 밀어 게살만 발라낸다.
15. 적당한 크기로 썬 대파, 게살을 기름을 두른 팬에 넣고 볶는다.
16. 볶던 게살에 맛술, 은행, 소금을 넣고 볶아 게살소스를 만든다.
17. 게살소스에 생강즙을 넣는다.
18. 게살소스에 전분물을 넣어 농도를 조절한다.
19. 게살소스에 머랭을 섞은 뒤 전가복 위에 올린다.
20. 고추기름을 뿌려 마무리한다.</t>
  </si>
  <si>
    <t>&lt;오세득 - 맛있어서 우럭?&gt;
●재료
말린 우럭, 낙지, 새우, 표고버섯, 느타리버섯,
두부, 사과즙, 양파, 대파, 화이트와인, 마늘,
맛술, 간장, 고춧가루, 설탕, 청주, 소금,
홍고추, 청양고추, 깨
●조리방법
1. 쌀뜨물에 불린 말린 우럭의 머리를 잘라낸다.
2. 양파와 대파를 적당한 크기로 썬 뒤 우럭과 함께 달군 팬에 넣는다.
3. 2에 화이트와인을 넣고 불을 붙여 비린내를 제거한다.
4. 3을 체에 밭친 뒤 뜨거운 물을 붓는다.
5. 핸드블렌더에 마늘, 맛술, 간장을 넣고 간다.
6. 기름을 두른 팬에 5를 넣은 뒤 고춧가루, 달군 기름을 더해 마늘기름을 낸다.
7. 적당한 크기로 썬 대파, 양파를 마늘기름에 넣은 뒤 설탕, 불린 표고버섯물, 우럭을 넣어 조린다.
8. 7에 사과즙, 대파, 느타리버섯을 넣고 조린다.
9. 새우 등에 칼집을 내고, 낙지는 먹기 좋은 크기로 썬다.
10. 끓는 물에 청주를 넣은 뒤 새우, 낙지를 체에 밭쳐 데친다.
11. 데친 새우와 낙지를 우럭조림에 넣는다.
12. 두부를 반으로 자른 뒤 소금으로 간한다.
13. 두부에 밀가루를 묻힌 뒤 기름을 두른 팬에 굽는다.
14. 접시에 구운 두부를 올린 뒤 우럭해물조림을 올린다.
15. 홍고추, 청양고추, 깨를 뿌려 마무리한다.</t>
  </si>
  <si>
    <t>&lt;유현수 - 쌍칼국수&gt;
●재료
소 안심, 삼계탕, 칼국수면, 옥수수, 고수,
굴비고추장, 갈치속젓, 스리라차소스,
땅콩버터, 시저샐러드 드레싱, 땅콩, 부추,
베트남고추, 청양고추, 당근, 후추, 간장,
식초, 대파, 마늘, 설탕, 양파
●조리방법
1. 냄비에 삼계탕 국물을 넣는다.
2. 삼계탕에 들어있던 닭의 살을 발라 넣는다.
3. 적당한 크기로 썬 옥수수를 육수에 넣어 함께 끓인다.
4. 육수에 베트남고추, 청양고추, 당근, 후추, 간장을 넣어 끓인다.
5. 끓는 물에 칼국수면을 넣어 삶는다.
6. 삶던 칼국수면에 식초를 넣어준다.
7. 적당한 크기로 썬 대파, 으깬 마늘, 청양고추를 팬에 태우듯이 굽는다.
8. 태운 채소에 육수를 부은 뒤 반복해서 체에 걸러 국물만 받아낸다.
9. 삶은 칼국수면을 얼음물에 헹군다.
10. 적당한 크기로 썬 소 안심을 고기망치로 두드려 얇게 펴준다.
11. 얇게 편 소 안심을 국물에 넣는다.
12. 국물에 갈치속젓을 넣는다.
13. 양파를 얇게 슬라이스한 뒤 설탕, 식초에 버무려 양파절임을 만든다.
14. 구운 청양고추를 양파절임과 섞는다.
15. 접시에 양파절임, 고수를 함께 담는다.
16. 시저샐러드 드레싱, 깨, 땅콩버터를 섞어 땅콩소스를 만든다.
17. 스리라차소스, 굴비고추장, 식초를 섞어 매운 소스를 만든다.
18. 오븐에 데운 그릇을 꺼낸다.
19. 팬에 땅콩을 볶는다.
20. 얼음물에 넣어놨던 면을 국물에 넣고 함께 끓인다.
21. 삼계탕에 들어있던 닭의 살, 육수에 익힌 마늘, 대파를 국물에 넣는다.
22. 그릇에 면과 국물을 담고 볶은 땅콩을 올린다.
23. 국수에 잘게 썬 부추와 고수를 올려 마무리한다.</t>
  </si>
  <si>
    <t>냉장고를 부탁해 시즌 1, 197화</t>
  </si>
  <si>
    <t>&lt;미카엘 - 누들이닭&gt;
●재료
닭, 닭 안심, 고수, 느타리버섯, 소금,
달걀, 밀가루, 올리브오일, 당근, 양파,
대파, 다진 생강, 통후추, 간장,
청양고추, 레몬, 홍고추
●조리방법
1. 닭을 해체한 뒤 칼집을 낸다.
2. 끓는 물에 손질한 닭을 넣은 뒤 소금으로 간한다.
3. 밀가루에 달걀노른자, 소금, 물을 넣고 반죽한다.
4. 올리브오일을 두른 팬에 적당한 크기로 썬 당근, 양파, 대파, 느타리버섯을 넣고 굽는다.
5. 육수에 구운 채소, 다진 생강, 통후추를 넣는다.
6. 밀대로 민 면반죽을 여러 겹으로 접은 뒤 얇게 썬다.
7. 적당한 크기로 썬 양파를 그릴팬에 굽는다.
8. 닭 안심에 올리브오일, 후추, 소금으로 간한다.
9. 8에 간장을 넣는다.
10. 간한 닭 안심을 그릴팬에 굽는다.
11. 육수에 청양고추를 넣는다.
12. 구운 닭 안심과 육수에 익힌 당근을 건져내 접시에 담는다.
13. 끓는 물에 직접 뽑은 면을 삶는다.
14. 삶은 면을 얼음물에 헹군다.
15. 그릇에 면을 담는다.
16. 달걀물에 육수, 레몬즙을 넣고 섞은 뒤 국물에 넣는다.
17. 면이 담긴 그릇에 국물을 담은 뒤 구운 닭 안심, 고수, 홍고추, 잘게 썬 대파를 올려 마무리한다.</t>
  </si>
  <si>
    <t>&lt;김풍 - 놀리지말라규♡&gt;
●재료
핫케이크 가루, 호두, 아몬드, 잣, 크림치즈,
땅콩버터, 블루베리, 휘핑크림, 사과잼,
아로니아잼, 설탕, 밀가루, 대파
●조리방법
1. 끓는 물에 설탕을 넣는다.
2. 밀가루에 물, 핫케이크 가루를 섞어 반죽한다.
3. 팬에 2의 반죽을 올려 굽는다.
4. 볼에 사과잼, 레몬즙, 휘핑크림을 넣고 섞는다.
5. 반죽의 덜 익은 면에 대파를 놓고 만다.
6. 모양을 잡은 뒤 대파를 빼고 접착된 부분이 잘 달라붙도록 구워준다.
7. 반죽을 하나 더 굽는다.
8. 핸드블렌더에 잣, 호두, 아몬드를 넣고 간 뒤 땅콩버터, 크림치즈, 설탕을 넣고 섞는다.
9. 8에 휘핑크림을 섞어 땅콩크림을 만든다.
10. 팬에 블루베리, 아로니아잼, 설탕을 넣고 졸여 블루베리소스를 만든다.
11. 구운 반죽을 기름에 튀긴다.
12. 나머지 구운 반죽을 동그랗게 말아 모양을 잡는다.
13. 설탕 시럽을 얼음물 위에 놓고 식힌다.
14. 설탕 시럽을 국자 위에 뿌리며 모양을 만든다.
15. 접시에 블루베리소스를 올린다.
16. 구운 반죽 속에 땅콩크림을 채운 뒤 접시에 올린다.
17. 사과잼을 섞은 크림을 올린다.
18. 굳힌 설탕 시럽을 국자에서 떼어낸 뒤 카놀리 위에 올려 마무리한다.</t>
  </si>
  <si>
    <t>&lt;샘킴 - 떠먹으라규♡&gt;
●재료
천도복숭아, 아몬드, 호두, 초콜릿,
크림치즈, 휘핑크림, 설탕, 달걀,
밀가루, 버터, 레몬
●조리방법
1. 팬에 설탕과 물을 넣고 끓인다.
2. 얇게 썬 천도복숭아를 설탕물에 넣어 조린다.
3. 레몬즙에 설탕, 달걀을 넣고 섞어 레몬커드를 만든다.
4. 핸드블렌더에 밀가루와 버터를 갈아 비스킷 반죽을 만든 뒤 얇게 편다.
5. 핸드블렌더에 간 호두와 아몬드를 뜨거운 물에 데친 뒤 설탕에 버무린다.
6. 비스킷 반죽과 설탕에 버무린 견과류를 오븐에 넣어 굽는다.
7. 크림치즈에 설탕, 휘핑크림을 섞어 크림치즈무스를 만든다.
8. 크림치즈무스를 냉동실에 넣어둔다.
9. 설탕물에 조린 천도복숭아에 설탕을 뿌린 뒤 토치로 가열한다.
10. 9를 냉동실에 넣어둔다.
11. 중탕한 레몬커드를 얼음물 위에 놓고 식힌다.
12. 오븐에서 굽던 비스킷 반죽과 견과류를 섞은 뒤 팬에 올려 익힌다.
13. 전분에 물을 섞은 뒤 팬에 올려 굽는다.
14. 13에 레몬 껍질을 갈아 올려 레몬 튀일을 만든다.
15. 원형틀에 반죽과 함께 구운 견과류를 넣는다.
16. 레몬 커드를 접시에 올린다.
17. 냉동실에서 식힌 천도복숭아를 레몬 커드 위에 올린다.
18. 접시 위에 레몬 커드를 두른다.
19. 구운 견과류가 담긴 원형틀 안에 크림치즈무스를 담는다.
20. 천도복숭아 위에 구운 견과류를 올린 뒤 초콜릿을 갈아 올린다.
21. 원형틀을 제거한 뒤 레몬 튀일을 올린다.
22. 초콜릿을 갈아 올려 마무리한다.</t>
  </si>
  <si>
    <t>&lt;김풍 - 가지가지한다&gt;
●재료
가지, 삼겹살, 멸치육수팩, 칼국수면,
멸치액젓, 대파, 다진 마늘, 다진 생강,
간장, 소금, 후추, 전분, 고춧가루, 맛술, 설탕
●조리방법
1. 끓는 물에 멸치육수팩을 넣어 멸치육수를 낸다.
2. 가지에 나무젓가락을 끼운 뒤 돌려가며 칼집을 낸다.
3. 칼집을 낸 가지를 길게 늘여 회오리 가지를 만든다.
4. 대파와 삼겹살을 적당한 크기로 썬 뒤 핸드블렌더에 넣는다.
5. 4에 다진 마늘, 다진 생강, 간장, 소금, 후추를 넣고 간다.
6. 간 삼겹살을 회오리 가지 사이사이에 넣어준다.
7. 회오리 가지에 전분을 묻힌 뒤 찜기에 넣고 찐다.
8. 대파를 잘게 썬다.
9. 팬에 기름을 넉넉하게 두른다.
10. 9에 잘게 썬 대파, 고춧가루, 간장, 멸치액젓, 다진 마늘, 맛술, 설탕을 넣어 소스를 만든다.
11. 끓는 물에 칼국수면을 넣어 삶는다.
12. 전분물을 만든 뒤 소스에 넣어 농도를 조절한다.
13. 삶은 칼국수면을 건져낸 뒤 얼음물에 헹군다.
14. 찐 회오리 가지에 소스를 끼얹는다.
15. 접시에 회오리 가지를 올린 뒤 소스를 붓고, 칼국수면을 함께 낸다.</t>
  </si>
  <si>
    <t>냉장고를 부탁해 시즌 1, 198화</t>
  </si>
  <si>
    <t>&lt;유현수 - 순대 스마일~&gt;
●재료
오징어, 삼겹살, 햄, 인스턴트 주꾸미낙지볶음,
프라이드 어니언, 인스턴트 양송이수프,
사과, 쌈무, 칼국수면, 쥐포 과자, 오징어맛 과자,
달걀, 전분, 다진 마늘, 양파, 후추, 청양고추,
소금, 식초, 설탕, 물엿, 라면수프
●조리방법
1. 끓는 기름에 칼국수면을 튀긴 뒤 건져낸다.
2. 핸드블렌더에 달걀흰자, 적당한 크기로 썬 햄을 넣고 간다.
3. 오징어에 전분을 묻힌다.
4. 3의 오징어 속에 달걀흰자와 함께 간 햄을 넣는다.
5. 인스턴트 주꾸미낙지볶음의 주꾸미를 잘게 썬다.
6. 주꾸미를 햄과 섞은 뒤 오징어 속에 넣는다.
7. 속을 채운 오징어를 나무꼬치를 이용해 고정시킨다.
8. 7과 오징어 다리를 찜기에 넣어 익힌다.
9. 기름을 두른 팬에 다진 마늘, 적당한 크기로 썬 양파와 삼겹살, 후추를 넣고 볶는다.
10. 9에 인스턴트 양송이수프를 넣어 카르보나라 소스를 만든다.
11. 카르보나라 소스에 소금, 잘게 썬 청양고추를 넣는다.
12. 카르보나라 소스를 볼에 옮긴 뒤 달걀노른자와 섞어 농도를 조절한다.
13. 팬에 인스턴트 주꾸미낙지볶음 양념, 물을 넣은 뒤 졸여 매운 소스를 만든다.
14. 사과를 얇게 슬라이스한 뒤 채 썬다.
15. 채 썬 사과에 식초, 설탕, 쌈무 국물, 채 썬 쌈무를 넣어 사과쌈무생채를 만든다.
16. 접시에 카르보나라 소스를 올린 뒤 매운 소스, 프라이드 어니언을 뿌린다.
17. 튀긴 칼국수면을 한 번 더 기름에 튀긴다.
18. 튀긴 칼국수면을 건져낸 뒤 물엿을 뿌린다.
19. 핸드블렌더에 쥐포 과자, 오징어맛 과자를 넣고 간다.
20. 물엿을 바른 튀긴 칼국수면에 간 과자를 묻혀 칼국수 과자를 만든다.
21. 칼국수 과자에 라면수프를 뿌린 뒤 버무린다.
22. 그릇에 칼국수 과자를 담는다.
23. 찜기에서 오징어순대를 꺼낸 뒤 먹기 좋은 크기로 썬다.
24. 오징어순대, 찐 오징어 다리를 카르보나라 소스 위에 올린다.
25. 사과쌈무생채를 접시에 올려 마무리한다.</t>
  </si>
  <si>
    <t>&lt;레이먼킴 - 홍삼드삼&gt;
●재료
오징어, 삼겹살, 홍삼 음료, 홍삼 농축액,
사과, 파인애플식초, 쌈무, 배즙, 견과류,
마늘, 소금, 튀김가루, 양파, 설탕, 레몬즙,
홍고추, 청양고추, 대파, 고추장, 설탕,
참기름, 케첩, 올리브 오일
●조리방법
1. 끓는 물에 홍삼 음료를 넣는다.
2. 홍삼 국물에 으깬 마늘, 소금을 넣고 끓인다.
3. 삼겹살에 칼집을 낸다.
4. 칼집을 낸 삼겹살을 홍삼 국물에 넣고 삶는다.
5. 껍질을 제거한 오징어 몸통을 넓게 펼친다.
6. 넓게 펼친 오징어에 칼집을 넣은 뒤 길게 자른다.
7. 오징어 몸통과 다리에 튀김가루를 묻힌 뒤 기름에 튀긴다.
8. 홍삼 국물에 삶은 삼겹살을 건져낸 뒤 튀김가루를 묻힌다.
9. 튀김가루를 묻힌 삼겹살을 기름에 튀긴다.
10. 양파를 채 썬다.
11. 채 썬 양파를 찬물에 담근 뒤 소금을 뿌린다.
12. 쌈무를 채 썬 뒤 볼에 담아둔다.
13. 사과를 채 썬 뒤 채 썬 쌈무와 양파와 함께 섞는다.
14. 배즙, 홍삼 농축액, 파인애플식초, 소금, 설탕, 레몬즙을 섞어 홍삼 드레싱을 만든다.
15. 채 썬 사과와 쌈무, 양파에 홍삼 드레싱을 넣고 버무린 뒤 그릇에 담는다.
16. 홍고추, 청양고추, 대파, 마늘을 잘게 썬 뒤 올리브오일을 두른 팬에 넣고 볶는다.
17. 16에 홍삼 농축액, 고추장, 물, 설탕을 넣고 끓여 홍삼고추장 소스를 만든다.
18. 홍삼고추장 소스에 파인애플식초를 넣는다.
19. 오징어튀김과 삼겹살튀김을 건져낸다.
20. 홍삼고추장 소스에 참기름, 케첩을 넣는다.
21. 홍삼고추장 소스에 튀긴 오징어와 삼겹살을 넣고 버무린다.
22. 홍삼고추장 소스에 버무린 오삼튀김을 접시에 담는다.
23. 오삼튀김 위에 잘게 부순 견과류를 올려 마무리한다.</t>
  </si>
  <si>
    <t>&lt;미카엘 - 홍카엘&gt;
●재료
홍삼 농축액, 홍삼 음료, 가지, 오징어, 호박즙,
파인애플식초, 파프리카, 플레인 요거트, 애호박,
밀가루, 전분, 식용유, 달걀, 소금, 레몬즙, 마요네즈,
된장, 마늘, 청양고추, 양파, 올리브오일, 후추
●조리방법
1. 냄비에 홍삼 음료를 넣고 끓인다.
2. 가지를 적당한 크기로 썬다.
3. 끓이던 홍삼 음료에 호박즙을 넣는다.
4. 3에 가지, 오징어 몸통을 넣고 데친다.
5. 오징어의 껍질을 제거한 뒤 올리브오일, 소금, 후추로 간한다.
6. 간한 오징어를 그릴팬에 굽는다.
7. 파프리카와 애호박을 적당한 크기로 썬 뒤 그릴팬에 굽는다.
8. 홍삼 국물에 데친 오징어와 가지를 건져낸다.
9. 홍삼 국물에 데친 오징어를 잘게 썬 뒤 전분을 섞은 밀가루를 묻힌다.
10. 홍삼 국물에 데친 가지에 전분을 섞은 밀가루를 묻힌다.
11. 오징어와 가지를 기름에 튀긴다.
12. 튀긴 오징어와 가지를 건져내 기름을 뺀다.
13. 식용유에 달걀, 소금, 레몬즙을 넣은 뒤 핸드블렌더로 섞어준다.
14. 그릴팬에 구운 오징어와 채소를 꺼낸다.
15. 마요네즈에 홍삼 농축액, 잘게 썬 마늘을 넣고 섞는다.
16. 15에 플레인 요거트를 넣어 홍삼요거트 소스를 만든다.
17. 홍삼요거트 소스에 잘게 썬 청양고추를 올린다.
18. 된장, 마요네즈, 홍삼 농축액, 플레인 요거트를 섞어 홍삼 된장 소스를 만든다.
19. 양파, 구운 파프리카와 애호박, 구운 오징어를 적당한 크기로 썰어 볼에 담는다.
20. 홍삼 농축액과 파인애플식초를 섞어 홍삼 드레싱을 만든 뒤 오징어 샐러드에 뿌려준다.
21. 얇게 썬 마늘을 오징어 샐러드에 넣고 버무린 뒤 소금과 후추로 간한다.
22. 오징어 샐러드를 접시에 담는다.
23. 오징어 샐러드에 오징어튀김과 가지튀김을 곁들여 마무리한다</t>
  </si>
  <si>
    <t>&lt;이연복 - 팟타이 피플&gt;
●재료
전복, 꼴뚜기, 갈치, 새우, 명란젓, 다마리 간장,
고수, 가래떡, 모차렐라 치즈, 스리라차 소스,
두반장, 밀가루양파, 대파, 마늘, 청양고추, 대파, 레몬
●조리방법
1. 밀가루에 물을 섞어 만두피 반죽을 만든다.
2. 밀가루에 뜨거운 물을 섞어 면 반죽을 만든다.
3. 면 반죽에 마른 행주를 덮어 숙성시킨다.
4. 갈치살을 발라낸 뒤 밀가루를 묻혀 굽는다.
5. 가래떡을 잘게 썬다.
6. 막을 제거한 명란젓에 가래떡, 모차렐라 치즈를 섞어 만두소를 만든다.
7. 만두피 반죽을 밀대로 밀어 만두피를 만든다.
8. 만두피에 만두소를 넣어 떡만두를 만든다.
9. 떡만두를 기름에 튀긴다.
10. 전복, 꼴뚜기를 끓는 물에 데친다.
11. 데친 전복의 껍데기를 떼어낸다.
12. 양파, 대파, 마늘을 잘게 썬 뒤 기름을 두른 팬에 볶는다.
13. 12에 새우, 데친 꼴뚜기를 넣고 볶는다.
14. 데친 전복을 적당한 크기로 썬 뒤 팬에 넣고 함께 볶는다.
15. 얇게 민 면 반죽을 접은 뒤 적당한 두께로 썬다.
16. 끓는 물에 면을 넣고 삶는다.
17. 볶던 채소와 해산물에 다마리 간장을 넣는다.
18. 볶던 재료에 스리라차 소스, 두반장을 넣는다.
19. 잘게 썬 청양고추와 대파를 팬에 넣는다.
20. 삶은 면을 건져 팬에 넣고 볶아 팟타이를 만든다.
21. 팟타이에 레몬즙을 넣고 볶는다.
22. 접시에 팟타이를 담는다.</t>
  </si>
  <si>
    <t>냉장고를 부탁해 시즌 1, 199화</t>
  </si>
  <si>
    <t>&lt;샘킴 - 샘나는 볶음면&gt;
●재료
채끝살, 꽃게튀김, 살구&amp;아몬드 크림치즈,
인스턴트 우동, 아보카도, 고수, 무화과, 그릭요거트,
다마리 간장,바나나칩, 유자후추, 휘핑크림, 밀가루,
버터, 설탕, 달걀, 양파, 대파, 마늘, 고춧가루,
맛술, 레몬, 올리브오일
●조리방법
1. 핸드블렌더에 바나나칩을 넣고 간다.
2. 핸드블렌더에 밀가루, 버터, 설탕을 넣고 갈아 쿠키 반죽을 만든다.
3. 쿠키 반죽에 간 바나나칩을 섞은 뒤 종이포일에 올려 얇게 편다.
4. 쿠키 반죽을 오븐에 넣고 굽는다.
5. 얼음물 위에 올린 볼에 휘핑크림, 설탕을 넣고 섞어준다.
6. 밀가루에 물, 달걀을 섞어 튀김 반죽을 만든다.
7. 적당한 크기로 썬 양파, 대파, 아보카도에 튀김옷을 입힌 뒤 기름에 튀긴다.
8. 고수에 튀김옷을 입힌 뒤 기름에 튀긴다.
9. 살구&amp;아몬드 크림치즈에 휘핑한 크림을 넣고 섞는다.
10. 핸드블렌더에 손질한 아보카도를 넣고 간다.
11. 모양을 살린 아보카도 껍질에 그릭요거트, 잘게 썬 무화과를 넣는다.
12. 11에 살구&amp;아몬드 크림, 간 아보카도를 넣은 뒤 냉동실에 넣어둔다.
13. 끓는 물에 꽃게튀김을 넣어 육수를 낸다.
14. 대파, 마늘을 잘게 썬 뒤 기름을 두른 팬에 넣는다.
15. 14에 고춧가루, 다마리 간장, 설탕을 넣고 볶아 양념을 만든다.
16. 채끝살을 적당한 크기로 썬 뒤 밀가루를 묻힌다.
17. 볶던 양념에 밀가루를 묻힌 채끝살, 게 육수, 맛술을 넣고 끓인다.
18. 우동면을 끓는 물에 넣어 삶은 뒤 양념에 넣고 볶는다.
19. 볶음면을 접시에 담는다.
20. 볶음면 위에 채소튀김을 올린다.
21. 레몬을 썰어 접시에 올린다.
22. 얇게 썬 무화과를 쿠키 위에 올린 뒤 레몬 껍질을 갈아 올린다.
23. 토치로 무화과를 살짝 그을려 익힌다.
24. 유자후추, 올리브오일, 레몬즙을 섞어 소스를 만든 뒤 그릇에 담아낸다.
25. 냉동실에서 차게 만든 아보카도 디저트와 무화과 쿠키를 함께 낸다.</t>
  </si>
  <si>
    <t>&lt;오세득 - 찜의 정수&gt;
●재료
소고기 등심, 연어, 베이컨, 퀴노아, 다마리 간장,
레몬청, 베이크드 빈, 돈가스 소스, 사골육수, 바나나칩
고수, 파슬리, 케이퍼, 케이퍼 베리, 그린올리브,
블랙올리브, 사과, 식용유, 소금, 후추, 레드와인,
양파, 당근, 설탕연겨자, 청고추, 홍고추, 올리브오일, 레몬, 버터
●조리방법
1. 압력솥에 기름을 두른다.
2. 적당한 크기로 썬 베이컨을 소금으로 간한 뒤 압력솥에 넣는다.
3. 소고기 등심을 적당한 크기로 썬 뒤 소금으로 간한다.
4, 기름을 두른 팬에 등심을 넣은 뒤 후추를 뿌려 굽는다.
5. 4에 레드와인을 넣어 볶은 뒤 압력솥에 넣는다.
6. 잘게 썬 양파, 당근을 압력솥에 넣는다.
7. 베이크드 빈을 물에 씻은 뒤 압력솥에 넣는다.
8. 7에 잘게 부순 바나나칩, 사골육수, 돈가스 소스를 넣은 뒤 뚜껑을 닫고 찐다.
9. 연어를 적당한 크기로 썬다.
10. 핸드블렌더에 물, 소금, 설탕을 넣고 섞은 뒤 볼에 담는다.
11. 소금, 설탕을 섞은 물에 연어를 넣어 절인다.
12. 끓는 물에 불린 퀴노아를 넣은 뒤 뚜껑을 닫고 익힌다.
13. 볼에 잘게 썬 고수, 파슬리, 케이퍼 베리, 케이퍼를 넣는다.
14. 블랙올리브, 그린올리브를 돌려깎기한 뒤 잘게 다져 넣는다.
15. 14에 다마리 간장, 레몬청을 넣는다.
16. 15에 연겨자를 넣어 연어절임용 드레싱을 만든다.
17. 청고추, 홍고추를 토치로 직화해 껍질을 태운다.
18. 껍질을 벗긴 홍고추와 청고추의 씨를 제거한 뒤 잘게 다진다.
19. 드레싱에 잘게 다진 고추, 올리브오일, 레몬즙, 후추를 넣는다.
20. 잘게 썬 사과, 다진 양파를 드레싱에 넣고 섞는다.
21. 키친타월을 이용해 절인 연어의 물기를 뺀다.
22. 절인 연어를 접시에 올린다.
23. 절인 연어 위에 드레싱을 올린다.
24. 절인 연어에 올리브오일, 후추를 뿌려 낸다.
25. 익힌 퀴노아를 접시에 담는다.
26. 소고기찜에 버터를 넣고 섞는다.
27. 베이크드 빈을 소고기찜 양념에 묻힌 뒤 소고기찜에 넣는다.
28. 달군 접시에 소고기찜을 담아 마무리한다.</t>
  </si>
  <si>
    <t>&lt;정호영 - 말이야~ 아보말이야♬&gt;
●재료
채끝살, 전복, 연어, 고수, 무화과, 아보카도,
단호박, 햄프시드, 아몬드 우유, 휘핑크림,
그릭요거트, 다마리 간장, 방울토마토, 설탕,
레드와인, 맛술, 청주
●조리방법
1. 끓는 물에 방울토마토를 데친다.
2. 핸드블렌더에 얇게 썬 단호박, 아몬드 우유를 넣고 간다.
3. 아몬드 우유와 함께 간 단호박을 체에 밭쳐 곱게 거른다.
4. 3에 휘핑크림, 설탕을 넣고 끓여 단호박 소스를 만든다.
5. 데친 방울토마토의 껍질을 벗겨낸다.
6. 끓는 물에 전복을 데친다.
7. 채끝살을 얇게 썬다.
8. 채끝살을 고기망치로 두드려 넓게 편 뒤 연어를 올린다.
9. 데친 전복을 손질한 뒤 얇게 썬다.
10. 연어를 올린 채끝살에 전복을 넣고 돌돌 만 뒤 이쑤시개로 고정한다.
11. 기름을 두른 팬에 채끝말이를 굽는다.
12. 무화과를 반으로 썬 뒤 믹서기에 넣는다.
13. 12에 손질한 아보카도, 그릭요거트를 넣는다.
14. 13에 얼음을 넣고 갈아 스무디를 만든다.
15. 팬에 레드와인(1), 다마리 간장(1), 물(1), 맛술(1), 청주를 넣고 끓인다.
16. 15에 설탕을 넣고 끓여 간장 소스를 만든다.
17. 단호박 소스에 햄프시드를 넣고 끓인다.
18. 접시에 단호박 소스를 담은 뒤 방울토마토를 올린다.
19. 유리잔에 스무디&gt;그릭요거트&gt;스무디 순서로 담은 뒤 고수를 올린다.
20. 채끝말이를 간장 소스에 넣어 조린다.
21. 4등분한 무화과를 간장 소스에 넣어 함께 조린다.
22. 간장 소스에 조린 채끝말이의 이쑤시개를 제거한다.
23. 채끝말이를 반으로 썬 뒤 단호박 소스 위에 올린다.
24. 단호박 소스 위에 고수를 올린다.
25. 채끝말이에 간장 소스를 뿌린다.
26. 간장 소스에 조린 무화과를 올려 마무리한다.</t>
  </si>
  <si>
    <t>&lt;이연복 - 연장피&gt;
●재료
소 등심, 메로, 총각김치, 돈가스 소스,
고춧잎무침, 고사리볶음, 오이, 부추, 사과,
어간장, 밀가루, 전분, 소금, 달걀, 밀가루,
연겨자, 식초, 설탕, 양파, 당근, 대파, 참기름
●조리방법
1. 밀가루, 전분, 물을 섞어 피 반죽을 만든다.
2. 피 반죽을 접시에 얇게 펼친 뒤 물이 닿지 않게 찐다.
3. 달걀에 소금, 피 반죽을 섞은 뒤 팬에 얇게 펼쳐 굽는다.
4. 달걀지단을 여러 겹으로 접어둔다.
5. 메로의 살만 발라낸다.
6. 적당한 크기로 썬 소 등심에 전분, 달걀물을 묻힌 뒤 기름을 두른 팬에 튀기듯 볶는다.
7. 핸드블렌더에 메로, 밀가루, 달걀물을 넣고 간 뒤 전분을 더해 완자 반죽을 만든다.
8. 완자 반죽을 적당한 크기로 떼어 뜨거운 물에 익힌다.
9. 연겨자, 소금, 식초를 섞어 겨자 소스를 만든다.
10. 겨자 소스에 설탕을 넣는다.
11. 익힌 피를 찬물에 넣어 식힌다.
12. 식힌 피를 접시에서 떼어낸 뒤 적당한 크기로 썬다.
13. 양파, 당근, 대파를 잘게 썬 뒤 어간장을 넣어 볶는다.
14. 13에 볶은 등심, 돈가스 소스, 식초, 부추를 넣고 볶는다.
15. 채 썬 당근과 달걀지단, 고사리볶음, 고춧잎무침을 접시에 올린다.
16. 채 썬 총각김치와 오이를 접시에 올린다.
17. 피에 참기름, 겨자 소스를 넣고 섞는다.
18. 볶은 등심과 채소를 접시에 올린다.
19. 메로 완자를 올린다.
20. 겨자 소스에 버무린 피를 올려 마무리한다.</t>
  </si>
  <si>
    <t>냉장고를 부탁해 시즌 1, 200화</t>
  </si>
  <si>
    <t>&lt;유현수 - 사연장사 만만세♬&gt;
●재료
소 등심, 돼지 목살, 매실장아찌, 도라지볶음,
쑥떡, 콩고물, 닭죽, 고추장, 동그랑땡, 팥빵,
꿀마늘, 식혜, 부추, 다진 마늘, 소금, 전분,
설탕, 청양고추, 튀김가루, 식용유, 물엿, 깨
●조리방법
1. 돼지 목살을 고기망치로 두드려 얇게 편다.
2. 소 등심을 적당한 크기로 썬 뒤 핸드블렌더로 간다.
3. 팬에 다진 마늘, 간 등심, 소금을 넣고 볶는다.
4. 핸드블렌더에 동그랑땡을 넣고 간 뒤 볶은 등심과 섞는다.
5. 4에 잘게 썬 도라지볶음, 전분, 잘게 썬 부추를 넣어 순대소를 만든다.
6. 얇게 편 목살에 전분을 묻힌다.
7. 6에 순대소를 얹은 뒤 돌돌 말아준다.
8. 김발을 이용해 순대의 모양을 다시 잡아준 뒤 찜기에 넣고 찐다.
9. 볶은 등심에 뜨거운 물을 부은 뒤 고추장, 설탕, 꿀마늘, 잘게 썬 청양고추를 넣어 약고추장 소스를 만든다.
10. 튀김가루를 묻힌 쑥떡을 적당한 크기로 썬다.
11. 밀대를 이용해 쑥떡을 얇게 편다.
12. 식혜에 팥빵의 팥을 넣고 끓여 팥 소스를 만든다.
13. 얇게 편 쑥떡에 빵을 올려 반으로 접은 뒤 밀대로 다시 밀어준다.
14. 빵을 넣은 쑥떡을 기름에 튀긴다.
15. 아바이순대에 나무꼬치를 꽂아 모양을 고정시킨다.
16. 기름을 두른 팬에 아바이순대를 굽는다.
17. 컵모양 그릇에 팥 소스를 담는다.
18. 튀긴 쑥떡에 콩고물을 묻혀 쑥인절미 튀김을 만든다.
19. 접시에 팥 소스, 콩고물을 뿌린 쑥인절미 튀김을 올려 낸다.
20. 약고추장 소스에 설탕, 물엿, 깨를 넣는다.
21. 접시에 데운 닭죽을 올린 뒤 잘게 썬 매실장아찌를 올린다.
22. 구운 아바이순대를 적당한 크기로 썰어 닭죽 위에 올린다.
23. 접시에 약고추장 소스를 올린 뒤 참기름을 뿌린다.
24. 잘게 썬 부추를 올려 마무리한다.</t>
  </si>
  <si>
    <t>&lt;오세득 - 김치 잘 먹는 예쁜 누나&gt;
●재료
배추김치, 총각김치, 삼겹살, 옥돔, 오미자 진액,
누룽지, 북어포, 건홍고추, 두부, 김, 식용유,
청주, 후추, 다진생강, 간장, 당근, 청양고추,
양파, 전분, 달걀, 참기름, 깨
●조리방법
1. 적당한 크기로 썬 배추김치에 북어포 불린 물을 붓는다.
2. 1을 랩으로 싼 뒤 전자레인지에 돌린다.
3. 냄비에 불린 누룽지를 넣고 끓여 죽을 만든다.
4. 총각김치의 무청 부분을 잘게 썬 뒤 냄비에 넣고 함께 끓인다.
5. 옥돔을 손질한 뒤 기름을 두른 팬에 굽는다.
6. 옥돔에 청주를 부어 비린내를 날린다.
7. 무청을 넣고 끓이던 죽에 옥돔을 넣어 옥돔김치죽을 만든다.
8. 적당한 크기로 썬 삼겹살을 지퍼백에 넣은 뒤 고기망치로 두드린다.
9. 삼겹살에 후추, 간장, 생강즙, 청주를 더한 뒤 전분을 묻혀 기름에 튀긴다.
10. 적당한 크기로 썬 두부에 전분을 묻힌 뒤 기름에 튀긴다.
11. 당근, 청양고추, 양파를 잘게 썬다.
12. 기름을 두른 팬에 건홍고추, 잘게 썬 채소들을 넣고 볶는다.
13. 총각김치 국물과 오미자 진액을 섞는다.
14. 볶던 채소에 13의 국물을 넣는다.
15. 전자레인지에 익힌 배추김치, 전분물을 더해 탕수 소스를 만든다.
16. 옥돔김치죽에 북어포 불린 물, 달걀노른자, 간장, 참기름을 넣는다.
17. 옥돔김치죽을 그릇에 담은 뒤 깨와 김가루를 올려 마무리한다.
18. 탕수 소스에 튀긴 삼겹살과 두부를 넣고 버무린다.
19. 김치탕수육을 접시에 담아 낸다.</t>
  </si>
  <si>
    <t>&lt;미카엘 - 맛있으면 김~치&gt;
●재료
배추김치, 고구마순김치, 열무물김치,
총각김치, 소 등심, 베이컨, 우유, 부추,
곶감, 올리브오일, 소금, 후추, 양파,
청양고추, 즉석밥, 간장, 레드와인, 버터, 밀가루
●조리방법
1. 올리브오일을 두른 팬에 소 등심을 올린 뒤 소금, 후추를 뿌려 굽는다.
2. 잘게 썬 양파와 베이컨, 청양고추를 볶은 뒤 즉석밥, 김칫국물, 소금, 간장을 넣는다.
3. 잘게 썬 고구마순김치를 팬에 넣고 함께 볶아 김치볶음밥을 만든다.
4. 김치볶음밥에 후추를 뿌린다.
5. 곶감을 잘게 썬다.
6. 김치볶음밥에 잘게 썬 곶감을 넣는다.
7. 넓게 편 배추김치 잎에 김치볶음밥을 올린다.
8. 구운 등심을 적당한 크기로 썬 뒤 김치볶음밥 위에 올린다.
9. 김치볶음밥과 구운 등심을 배추김치로 감싸 김치쌈을 만든다.
10. 배추김치를 적당한 크기로 썬다.
11. 냄비에 배추김치를 깐 뒤 김치쌈을 올린다.
12. 11에 레드와인을 붓는다.
13. 김치쌈 위에 접시를 올린 뒤 뚜껑을 닫고 익힌다.
14. 버터를 녹인 팬에 밀가루, 우유, 열무물김치 국물을 넣고 섞어준다.
15. 김치베샤멜 소스를 접시에 담는다.
16. 총각김치를 잘게 썬 뒤 김치베샤멜 소스 위에 올린다.
17. 김치베샤멜 소스 위에 김치쌈을 올린 뒤 와인과 함께 끓인 김칫국물을 더한다.
18. 김치쌈 위에 부추를 올린다.
19. 김치쌈에 후추를 뿌려 마무리한다.</t>
  </si>
  <si>
    <t>&lt;샘킴 - 함박84&gt;
●재료
돼지목살, 삼겹살, 갈비탕 육수,
훈제 닭다리, 프랑크소시지, 살사소스맛 과자,
간장치킨맛 과자, 버터, 양파, 고추, 소금,
후추, 간장, 밀가루, 다진마늘, 다진생강, 마늘,
참기름, 레몬, 설탕, 올리브오일, 달걀
●조리방법
1. 버터를 전자레인지에 넣어 녹인다.
2. 잘게 썬 양파를 팬에 올려 굽는다.
3. 기름을 두른 그릴팬에 통으로 썬 양파, 고추를 올리고 소금을 뿌려 굽는다.
4. 핸드블렌더에 볶은 양파, 프랑크소시지, 훈제 닭다리, 돼지목살, 삼겹살을 넣고 간다.
5. 패티 반죽에 소금, 후추, 간장을 넣는다.
6. 밀가루, 버터를 볶아 루를 만든 뒤 갈비탕 육수를 넣는다.
7. 6을 두 냄비로 나눈다.
8. 한 냄비에는 살사소스맛 과자, 한 냄비에는 간장치킨맛 과자를 넣고 끓인다.
9. 과자를 건져낸다.
10. 살사치즈 소스, 간장치킨 소스에 소금, 후추로 간한다.
11. 다진 마늘, 생강즙, 잘게 썬 마늘, 참기름, 간장, 레몬즙, 설탕, 올리브오일, 후추를 섞어 소스를 만든다.
12. 끓는 물에 달걀을 넣어 수란을 만든다.
13. 패티 반죽을 적당한 크기로 뭉친 뒤 팬에 굽는다.
14. 달걀노른자에 녹인 버터를 넣어주며 중탕한 뒤 레몬즙, 올리브오일, 소금, 후추를 넣고 섞어 홀랜다이즈 소스를 만든다.
15. 구운 고추를 적당한 크기로 썬 뒤 소스에 넣는다.
16. 접시에 구운 양파를 올린 뒤 살사치즈 소스를 얹는다.
17. 구운 고추를 넣은 소스를 올린다.
18. 함박 스테이크를 간장치킨 소스에 담근다.
19. 간장치킨 소스를 묻힌 함박 스테이크를 접시에 올린다.
20. 구운 고추를 넣은 소스를 한 번 더 뿌린다.
21. 함박스테이크 위에 수란을 올린 뒤 홀랜다이즈 소스를 올려 마무리한다.</t>
  </si>
  <si>
    <t>냉장고를 부탁해 시즌 1, 201화</t>
  </si>
  <si>
    <t>&lt;정호영 - 목살84&gt;
●재료
돼지목살, 명란젓, 콜라, 라면, 어묵탕 육수,
불닭 소스, 훈제 닭다리, 레드와인, 달걀,
홍고추, 대파, 양파, 간장청양고추, 마요네즈,
청주, 맛술, 설탕, 밀가루, 후추, 마늘, 전분
●조리방법
1. 훈제 닭다리를 체에 밭쳐 끓는 물에 데친다.
2. 냄비에 콜라를 넣고 끓인다.
3. 콜라에 적당한 크기로 썬 돼지목살, 레드와인을 넣고 끓인다.
4. 데친 훈제 닭다리살을 찢어 에스프레소 잔에 넣는다.
5. 어묵탕 육수에 달걀물을 섞은 뒤 체에 곱게 거른다.
6. 어묵탕 육수를 섞은 달걀물을 에스프레소 잔에 담는다.
7. 찜기에 에스프레소 잔을 넣고 면포로 덮은 뒤 찐다.
8. 홍고추와 대파 흰 부분을 얇게 썬 뒤 찬물에 담가둔다.
9. 양파도 채 썬 뒤 찬물에 담가둔다.
10. 라면 면을 삶는다.
11. 막을 제거한 명란젓, 청양고추, 마요네즈, 간장을 섞어 명란마요 소스를 만든다.
12. 팬에 청주, 맛술, 설탕, 간장, 불닭 소스를 넣고 끓여 데리야키 소스를 만든다.
13. 콜라에 익힌 돼지목살에 밀가루를 묻힌다.
14. 팬에 밀가루를 묻힌 돼지목살을 올리고, 후추를 뿌려 굽는다.
15. 구운 돼지목살을 데리야키 소스에 넣고 조린다.
16. 대파, 마늘, 양파, 청양고추를 잘게 썰어 데리야키 소스에 넣는다.
17. 삶은 라면을 얼음물에 헹군 뒤 명란마요 소스에 버무린다.
18. 17에 찬물에 담가뒀던 양파, 불닭 소스, 데리야키 소스를 넣고 섞는다.
19. 밀가루에 어묵탕 육수와 섞은 달걀물을 넣고 섞는다.
20. 19를 접시에 올린 뒤 토치로 직화한다.
21. 접시에 달걀찜을 올린 뒤 잘게 썬 홍고추, 청양고추를 올린다.
22. 접시에 명란마요 비빔면, 목살 스테이크를 올린다.
23. 어묵탕 육수에 전분물을 넣어 살짝 끓인 뒤 달걀찜 위에 뿌린다.
24. 찬물에 담가뒀던 대파 흰 부분을 목살 스테이크 위에 올려 마무리한다.</t>
  </si>
  <si>
    <t>&lt;김풍 - 덮밥왕&gt;
●재료
돼지목살, 편의점 편육, 새우젓 양념, 김치,
명란젓, 라면수프, 상추, 들기름, 간장, 맛술,
전분, 밀가루, 대파, 다진마늘, 고춧가루, 즉석밥,
식초, 소금, 물엿, 참기름, 버터, 달걀
●조리방법
1. 잘게 썬 돼지목살에 간장, 맛술, 전분, 밀가루를 넣고 버무린다.
2. 기름을 두른 팬에 1의 고기를 넣고 볶는다.
3. 팬에 잘게 썬 대파, 다진마늘, 고춧가루, 간장, 맛술을 넣고 볶는다.
4. 3에 편육, 잘게 썬 김치를 넣고 함께 볶는다.
5. 전자레인지에 즉석밥을 넣고 돌린다.
6. 팬에 볶던 재료에 뜨거운 물, 식초를 넣고 끓인다.
7. 들기름을 두른 냄비에 적당한 크기로 썬 명란, 대파를 넣고 볶는다.
8. 7에 뜨거운 물을 넣은 뒤 새우젓 양념을 넣는다.
9. 국물에 라면수프를 넣어 끓인다.
10. 국물에 소금을 넣어 간한다.
11. 대파를 잘게 썬 뒤 볼에 담는다.
12. 잘게 썬 대파를 맛술에 담가둔다.
13. 12에 간장, 고춧가루, 다진마늘, 소금, 식초, 물엿을 넣는다.
14. 13에 참기름을 넣어 양념장을 만든다.
15. 상추에 양념장을 넣고 버무려 상추겉절이를 만든다.
16. 전자레인지에서 즉석밥을 꺼낸 뒤, 버터를 넣어 녹인다.
17. 녹인 버터에 달걀, 밀가루를 넣고 섞어 달걀물을 만든다.
18. 가스 불을 끈 뒤 국물에 달걀물을 풀어 명란달걀국을 만든다.
19. 식판에 밥을 담고 덮밥소스를 올린다.
20. 명란달걀국을 국그릇에 담는다.
21. 상추겉절이를 식판에 담아 마무리한다.</t>
  </si>
  <si>
    <t>&lt;레이먼킴 - 내가 이길 소야&gt;
●재료
돼지목살, 족발, 편의점 편육, 갈비탕 육수,
프랑크소시지, 명란젓, 상추, 파인애플맛 탄산음료,
김치, 들기름, 된장고춧가루, 다진마늘, 맛술, 대파,
고추, 홍고추, 마늘, 양파, 당근, 연겨자, 설탕, 식초,
간장, 즉석밥, 달걀, 고추장, 케첩, 물엿, 후추, 마요네즈
●조리방법
1. 적당한 크기로 썬 돼지목살에 된장, 고춧가루, 다진마늘, 맛술을 넣어 양념한다.
2. 들기름을 두른 냄비에 양념한 돼지목살을 넣고 볶는다.
3. 적당한 크기로 썬 대파를 냄비에 넣고 함께 볶는다.
4. 잘게 썬 고추와 마늘을 냄비에 넣은 뒤 갈비탕 육수를 부어 끓인다.
5. 얇게 썬 양파와 당근을 볼에 담은 뒤 파인애플맛 탄산음료를 넣는다.
6. 족발, 편육, 씨를 제거한 고추를 채 썬 뒤 5에 넣는다.
7. 맛술, 연겨자, 설탕, 식초를 섞은 뒤 냉채족발에 뿌린다.
8. 냉채족발에 간장을 넣는다.
9. 전자레인지에 즉석밥을 넣고 돌린다.
10. 들기름을 두른 팬에 달걀물을 붓는다.
11. 명란을 길쭉하게 썬 뒤 달걀 위에 올린다.
12. 반쯤 익은 달걀을 말아준 뒤, 달걀물을 더 부어 익힌다.
13. 달걀을 돌돌 말아 명란달걀말이를 만든다.
14. 프랑크소시지, 양파, 고추, 홍고추, 대파를 적당한 크기로 썬 뒤 팬에 넣는다.
15. 14에 고추장, 설탕, 케첩, 물엿, 후추를 넣고 볶아 소시지야채볶음을 만든다.
16. 해장국에 상추를 찢어 넣는다.
17. 명란달걀말이를 썰어 식판에 담은 뒤 마요네즈, 케첩을 뿌린다.
18. 식판에 소시지야채볶음을 담는다.
19. 들기름을 두른 팬에 김치를 넣고 볶은 뒤 식판에 올린다.
20. 즉석밥, 냉채족발을 식판에 담는다.
21. 해장국을 담아 마무리한다.</t>
  </si>
  <si>
    <t>&lt;김풍 - 소바로우&gt;
●재료
비엔나소시지, 사과잼, 시나몬가루,
옥수수 통조림, 전분, 식용유, 양파,
식초, 물엿, 간장
●조리방법
1. 전분에 물을 넣어 반죽한다.
2. 전분 반죽에 식용유를 넣는다.
3. 비엔나소시지를 으깬다.
4. 팬에 적당한 크기로 썬 양파를 넣고 볶는다.
5. 4에 사과잼, 식초, 물엿, 간장, 옥수수 통조림, 시나몬가루를 넣어 소스를 만든다.
6. 으깬 비엔나소시지에 전분 반죽을 묻힌다.
7. 전분 반죽을 묻힌 비엔나소시지를 기름에 튀긴다.
8. 튀긴 비엔나소시지를 건져낸다.
9. 비엔나소시지에 칼집을 넣어 오징어 모양을 만든다.
10. 튀긴 비엔나소시지를 한 번 더 기름에 튀긴다.
11. 오징어 모양의 비엔나소시지를 끓는 물에 데친다.
12. 튀긴 비엔나소시지를 건져낸 뒤 소스에 넣고 버무린다.
13. 데쳐낸 오징어 모양의 비엔나소시지에 나무꼬치를 꽂는다.
14. 접시에 소바로우를 담은 뒤 오징어 모양의 비엔나소시지 꼬치를 꽂아 낸다.</t>
  </si>
  <si>
    <t>냉장고를 부탁해 시즌 1, 202화</t>
  </si>
  <si>
    <t>&lt;미카엘 - 해비한 소시지&gt;
●재료
비엔나소시지, 치즈맛 육포, 과일맛 탄산주,
해바라기씨, 모둠 견과류, 오이지무침,
달걀, 밀가루, 마요네즈, 후추
●조리방법
1. 끓는 물에 달걀을 삶는다.
2. 달걀의 흰자와 노른자를 분리한다.
3. 달걀흰자로 머랭을 친 뒤 냉장실에 넣어둔다.
4. 비엔나소시지에 칼집을 낸다.
5. 칼집을 낸 비엔나소시지에 해바라기씨와 치즈맛 육포를 넣는다.
6. 핸드블렌더에 모둠 견과류를 넣고 간다.
7. 달걀노른자에 간 견과류, 밀가루를 넣은 뒤 과일맛 탄산주를 섞어 튀김 반죽을 만든다.
8. 냉장실에서 차게 만든 머랭을 튀김 반죽에 넣고 섞는다.
9. 튀김 반죽을 묻힌 비엔나소시지를 기름에 튀긴다.
10. 오이지무침을 물에 씻은 뒤 잘게 썬다.
11. 삶은 달걀의 껍데기를 벗긴다.
12. 비엔나소시지 튀김을 건져낸 뒤 그릇에 담는다.
13. 비엔나소시지를 토끼 모양으로 만들어 곁들인다.
14. 잘게 썬 오이지무침에 마요네즈, 삶은 달걀노른자, 후추를 섞어 타르타르 소스를 만든다.
15. 삶은 달걀흰자를 잘게 썬 뒤 타르타르 소스에 올린다.
16. 비엔나소시지 튀김에 나무꼬치를 꽂아 마무리한다.</t>
  </si>
  <si>
    <t>&lt;이연복 - 등심은 맛있어♬&gt;
●재료
소 등심, 인스턴트 떡갈비, 도가니탕 육수,
옥수수 통조림, 홀그레인 머스터드,
양파크림소스, 모둠 견과류, 기름, 후추,
간장, 전분, 달걀, 버터, 양파, 밀가루, 소금, 대파
●조리방법
1. 두부를 잘게 썬다.
2. 키친타월을 이용해 두부의 물기를 뺀 뒤 기름에 튀긴다.
3. 소 등심을 잘게 썬다.
4. 핸드블렌더에 인스턴트 떡갈비를 넣고 간 뒤 등심과 섞어준다.
5. 4에 후추, 간장, 전분, 달걀물, 홀그레인 머스터드를 넣고 치댄다.
6. 튀긴 두부를 건져낸 뒤 고기 반죽에 넣고 섞는다.
7. 고기 반죽을 뭉쳐 모양을 잡은 뒤 찜기에 넣고 찐다.
8. 버터를 두른 팬에 잘게 썬 양파, 밀가루를 볶아 루를 만든 뒤 옥수수 통조림 국물을 넣는다.
9. 8에 도가니탕 육수, 홀그레인 머스터드를 넣어 크림소스를 만든다.
10. 크림소스에 양파크림소스, 달걀물을 넣고 섞는다.
11. 크림소스에 소금을 넣어 간한다.
12. 크림소스에 전분물, 간 견과류를 넣는다.
13. 찐 사자두 스테이크를 전자레인지에 넣어 익힌다.
14. 접시에 사자두 스테이크를 올린다.
15. 사자두 스테이크를 토치로 직화한다.
16. 접시에 크림소스를 담는다.
17. 대파를 잘게 썬 뒤 사자두 스테이크 위에 올려 마무리한다.</t>
  </si>
  <si>
    <t>&lt;정호영 - 고로케까지 생각했어♬&gt;
●재료
인스턴트 카레, 냉동 군고구마, 옥수수 통조림,
소 등심, 사과, 모둠 견과류, 볶은 캐슈넛,
참치 통조림,망고&amp;요거트맛 초콜릿, 당근,
양파, 맛술, 간장, 밀가루, 버터, 기름, 마요네즈
●조리방법
1. 소 등심, 당근, 양파를 적당한 크기로 썬 뒤 핸드블렌더에 넣고 간다.
2. 기름을 두른 팬에 간 등심을 넣고 볶는다.
3. 2에 맛술, 간장을 넣고 볶는다.
4. 소 등심에 밀가루를 묻힌 뒤 버터를 두른 팬에 넣는다.
5. 4에 양파, 적당한 크기로 썬 당근을 넣고 볶는다.
6. 건더기를 거른 인스턴트 카레를 팬에 넣는다.
7. 적당한 크기로 썬 사과를 카레에 넣는다.
8. 밀가루에 물, 얼음을 넣고 반죽한 뒤 기름에 흩뿌리듯 튀긴다.
9. 튀긴 덴카스를 건져 기름기를 뺀다.
10. 전자레인지에 돌린 냉동 군고구마의 껍질을 벗긴다.
11. 옥수수 통조림, 참치 통조림, 마요네즈를 섞어 참치마요소를 만든다.
12. 껍질을 벗긴 군고구마에 소고기 볶음을 넣는다.
13. 전자레인지에 즉석밥을 돌린다.
14. 군고구마를 치대 모양을 잡은 뒤 참치마요소를 넣고 감싸 참치마요 고로케를 만든다.
15. 소고기 볶음을 넣은 군고구마를 동그랗게 뭉쳐 소고기 고로케를 만든다.
16. 참치마요 고로케, 소고기 고로케에 튀김가루 &gt; 밀가루 반죽 &gt; 덴카스를 묻힌다.
17. 튀김옷을 입힌 고로케를 기름에 튀긴다.
18. 카레에 망고&amp;요거트맛 초콜릿을 넣는다.
19. 카레에 버터를 넣는다.
20. 그릇에 밥, 카레를 담는다.
21. 튀긴 참치마요 고로케와 소고기 고로케를 건져낸 뒤 그릇에 담는다.
22. 비닐팩에 모둠 견과류와 볶은 캐슈넛을 넣고 망치로 부순 뒤 접시에 뿌려낸다.</t>
  </si>
  <si>
    <t>&lt;유현수 - 오골계이득&gt;
●재료
오골계, 오골계 초란, 명란젓, 된장, 간장게장 국물,
팽이버섯, 알배추, 라이스페이퍼, 애호박, 블랙트러플 절임,
청귤청, 그린스리라차 소스, 참기름, 막걸리, 소금,
튀김가루, 참기름, 양파, 홍고추, 고추, 설탕
●조리방법
1. 끓는 물에 반으로 자른 알배추, 소금을 넣고 데친다.
2. 오골계를 해체한다.
3. 오골계의 뼈를 발골해 살만 발라낸다.
4. 오골계살을 고기망치로 두드린다.
5. 오골계살에 튀김가루를 묻힌 뒤 기름에 튀긴다.
6. 데친 알배추, 튀긴 오골계살을 얼음물에 담가 식힌다.
7. 튀긴 오골계살을 잘게 썬다.
8. 튀긴 오골계살에 팽이버섯을 넣고 으깨듯이 버무린다.
9. 팽이버섯에 버무린 오골계살에 참기름, 소금으로 간한다.
10. 데친 알배추에 9를 올린 뒤 동그랗게 감싼다.
11. 10을 찜기에 넣고 찐다.
12. 잘게 썬 애호박, 양파, 홍고추, 고추, 블랙트러플 절임을 팬에 넣고 볶는다.
13. 12에 막걸리를 넣고 볶는다.
14. 13에 된장, 잘게 썬 팽이버섯, 물, 설탕, 참기름을 넣고 볶아 된장 양념을 만든다.
15. 라이스페이퍼를 뜨거운 물에 넣어 불린다.
16. 명란젓을 기름에 굽는다.
17. 불린 라이스페이퍼에 튀김가루를 묻힌 뒤 작은 그릇 위에 올린다.
18. 17에 오골계 초란을 담은 뒤 복주머니 모양으로 감싼다.
19. 오골계 초란을 감싼 라이스페이퍼를 기름에 튀긴다.
20. 구운 명란젓, 잘게 썬 청귤청을 접시에 올린다.
21. 오골계 초란 튀김을 접시에 올린다.
22. 오골계 초란의 노른자, 간장게장 국물, 설탕을 섞어 초란 튀김에 곁들인 뒤 그린스리라차 소스를 더한다.
23. 된장 양념을 뚝배기에 담은 뒤 채 썬 알배추를 올린다.
24. 알배추오골계찜을 된장 양념 위에 올린다.
25. 알배추오골계찜에 참기름을 뿌린 뒤 뚜껑을 닫아 마무리한다.</t>
  </si>
  <si>
    <t>냉장고를 부탁해 시즌 1, 203화</t>
  </si>
  <si>
    <t>&lt;윤종철 - 오골계 국밥&gt;
●재료
오골계, 전복, 된장, 조림 간장, 알배추,
소금, 대파, 양파, 설탕, 즉석밥, 청양고추,
홍고추, 마늘, 고춧가루
●조리방법
1. 오골계를 손질한다.
2. 소금을 넣은 끓는 물에 오골계를 넣어 삶는다.
3. 소금을 넣은 끓는 물에 알배추를 넣고 데친다.
4. 적당한 크기로 썬 양파, 대파를 압력솥에 넣는다.
5. 전복을 압력솥에 넣는다.
6. 데친 알배추를 찬물에 담가둔다.
7. 양파, 대파를 잘게 썬다.
8. 된장에 물, 설탕을 넣고 섞는다.
9. 양파, 대파로 낸 파기름에 된장 양념을 넣고 볶아준다.
10. 즉석밥을 전자레인지에 돌린다.
11. 데친 알배추를 잘게 찢는다.
12. 대파, 청양고추, 홍고추를 얇게 썬다.
13. 잘게 찢은 알배추에 파기름에 볶은 된장 양념을 넣고 버무린다.
14. 13에 대파, 청양고추, 홍고추를 넣어 배추된장무침을 만든다.
15. 조림 간장, 잘게 썬 대파, 마늘, 설탕, 고춧가루를 섞어 양념간장을 만든다.
16. 전자레인지에 돌린 즉석밥을 그릇에 담는다.
17. 삶은 오골계의 살을 발라내 뚝배기에 담는다.
18. 뚝배기에 오골계를 삶은 국물을 붓는다.
19. 양념간장을 그릇에 담아낸다.</t>
  </si>
  <si>
    <t>&lt;샘킴 - 바비큐 Baby~♬&gt;
●재료
통삼겹살, 굴소스, 브로콜리, 팽이버섯,
발사믹 식초, 그린스리라차 소스, 설탕, 소금,
전분, 대파, 홍고추, 고추양파, 마늘, 다진생강,
간장, 케첩, 레몬
●조리방법
1. 통삼겹살을 반으로 자른 뒤 끓는 물에 넣는다.
2. 1에 설탕을 넣어 삶는다.
3. 삶은 통삼겹살을 찜기에 넣고, 소금으로 간한 뒤 찐다.
4. 통삼겹살을 잘게 썬 뒤 전분을 묻힌다.
5. 기름을 두른 팬에 전분을 묻힌 삼겹살을 넣고 튀기듯 볶는다.
6. 대파, 홍고추, 고추, 양파를 얇게 썬다.
7. 으깬 마늘과 채소들을 팬에 넣고 소금으로 간한다.
8. 전분을 묻힌 팽이버섯을 팬에 넣은 뒤 돼지기름을 넣는다.
9. 8에 다진 생강, 간장, 볶은 삼겹살, 돼지고기 육수를 넣고 볶는다.
10. 소금을 넣은 끓는 물에 브로콜리를 데친다.
11. 적당한 크기로 썬 데친 브로콜리, 고춧가루를 팬에 넣고 볶는다.
12. 핸드블렌더에 마늘을 넣고 간다.
13. 볼에 발사믹 식초, 굴소스를 넣는다.
14. 13에 그린스리라차 소스, 간 마늘, 간장, 케첩을 섞어 바비큐 소스를 만든다.
15. 찐 통삼겹살을 그릴팬에 올린 뒤 바비큐 소스를 바른다.
16. 중화풍 삼겹살 볶음을 접시에 담는다.
17. 그릴팬에 굽던 통삼겹살을 토치로 직화한다.
18. 대파를 썰어 석쇠 위에 올린다.
19. 토치로 나무젓가락에 불을 붙인 뒤 대파 위에 통삼겹살을 올린다.
20. 19에 뚜껑을 덮어 훈연한다.
21. 훈연한 통삼겹살 바비큐를 쇠꼬치에 꽂은 뒤 접시에 올린다.
22. 구운 대파, 레몬을 올려 마무리한다.</t>
  </si>
  <si>
    <t>&lt;레이먼킴 - 이 돼지의 끝을 잡고♬&gt;
●재료
돼지 앞다리살, 낙지젓, 명란젓, 된장, 국간장,
매실청, 부추, 그린스리라차 소스, 참기름, 양파 드레싱,
올리브오일참기름, 된장, 다진마늘, 다진생강, 국간장, 맛술,
물엿, 양파, 마늘, 고추, 대파, 달걀, 즉석밥, 레몬즙, 식초, 통깨
●조리방법
1. 돼지 앞다리살의 비계를 분리한 뒤 적당한 크기로 썬다.
2. 올리브오일을 두른 팬에 비계를 구워 돼지기름을 낸다.
3. 비계를 분리한 돼지 앞다리살을 고기망치로 두드린다.
4. 돼지 앞다리살에 촘촘하게 칼집을 넣는다.
5. 손질한 돼지 앞다리살에 후추를 뿌린다.
6. 참기름, 된장, 다진 마늘, 다진 생강, 국간장, 매실청, 맛술, 물엿을 섞어 소스를 만든다.
7. 돼지 앞다리살을 소스에 재워둔다.
8. 양파, 마늘, 고추를 잘게 썬 뒤 팬에 넣고 볶는다.
9. 대파를 잘게 썬 뒤 팬에 넣고 볶는다.
10. 볶던 채소에 돼지기름을 넣고 함께 볶는다.
11. 종이포일에 돼지기름을 바른 뒤 팬에 올린다.
12. 11에 양념한 돼지 앞다리살을 올려 굽는다.
13. 돼지기름에 볶은 채소를 볼에 담는다.
14. 달걀물로 스크램블을 만든 뒤 볶은 채소와 섞어둔다.
15. 팬에 즉석밥, 막을 제거한 명란젓을 넣고 볶는다.
16. 돼지기름에 볶은 채소, 스크램블을 팬에 넣고 함께 볶는다.
17. 16에 낙지젓, 잘게 썬 부추, 참기름을 넣어 젓갈 볶음밥을 만든다.
18. 종이포일을 제거한 뒤 맥적을 팬에 올려 다시 굽는다.
19. 맥적을 석쇠에 올린 뒤 직화한다.
20. 채 썬 대파, 양파를 얼음물에 담가둔다.
21. 그린스리라차 소스, 양파 드레싱, 레몬즙을 섞는다.
22. 21에 얼음물에 담가뒀던 대파와 양파, 식초를 넣어 파무침을 만든다.
23. 젓갈볶음밥을 그릇에 담아 접시에 올린다.
24. 적당한 크기로 썬 맥적을 파무침 위에 올린다.
25. 잘게 썬 대파를 맥적 위에 올린다.
26. 젓갈볶음밥에 깨를 뿌려 마무리한다.</t>
  </si>
  <si>
    <t>&lt;정호영 - 꽃게찜 했다♬&gt;
●재료
꽃게, 굴, 전복, 우유, 양송이버섯, 표고버섯,
굴소스, 트러플소스, 고수, 날치알, 해물육수팩,
파르메산 치즈가루, 토마토, 베트남고추, 달걀,
버터, 밀가루, 양파, 후추, 소금, 간장, 맛술, 전분
●조리방법
1. 끓는 물에 꽃게, 전복을 삶는다.
2. 달걀흰자로 머랭을 친다.
3. 버터와 밀가루를 볶아 루를 만든 뒤 우유를 넣어 크림소스를 만든다.
4. 적당한 크기로 썬 양파를 크림소스에 넣는다.
5. 꽃게알을 발라낸 뒤 꽃게 등딱지를 씻는다.
6. 적당한 크기로 썬 표고버섯, 양송이버섯을 볶은 뒤 크림소스에 넣고 끓인다.
7. 크림소스에 굴소스, 후추, 소금, 파르메산 치즈가루를 넣는다.
8. 7에 뜨거운 물, 굴을 넣어 굴크림수프를 만든다.
9. 굴크림수프에 베트남고추를 넣는다.
10. 굴크림수프에 굴소스, 트러플소스를 넣고 끓인다.
11. 삶은 꽃게를 밀대로 밀어 게살을 발라낸다.
12. 삶은 전복을 잘게 썬다.
13. 게살, 전복, 머랭을 섞은 뒤 꽃게 등딱지에 넣는다.
14. 13을 찜기에 넣어 찐다.
15. 팬에 해물육수, 트러플소스, 굴소스, 간장, 맛술, 전분물을 넣고 섞어 소스를 만든다.
16. 접시에 머랭을 올린 뒤 꽃게 등딱지를 올려 플레이팅한다.
17. 그릇에 굴크림수프를 담는다.
18. 잘게 썬 토마토, 고수를 굴크림수프 위에 올린다.
19. 접시에 꽃게찜을 올린 뒤 소스를 끼얹는다.
20. 꽃게찜 위에 날치알을 올린다.
21. 꽃게찜 위에 트러플소스, 고수를 올려 마무리한다</t>
  </si>
  <si>
    <t>냉장고를 부탁해 시즌 1, 204화</t>
  </si>
  <si>
    <t>&lt;미카엘 - 씨푸드파이터&gt;
●재료
매생이, 전복, 굴, 낙지, 사과, 토마토, 석류,
고수, 애호박, 우유, 유자청, 샐러드 채소,
벌화분, 맥주달걀, 소금, 밀가루, 버터, 후추,
올리브오일, 레몬, 양파, 청양고추, 마늘
●조리방법
1. 맥주에 낙지, 굴, 전복을 넣고 삶는다.
2. 볼에 달걀, 소금, 밀가루를 넣은 뒤 거품기로 섞는다.
3. 2에 우유를 넣고 섞어 반죽을 만든다.
4. 반죽에 매생이를 넣고 간다.
5. 팬에 버터를 두른 뒤 매생이 반죽을 부쳐 매생이 크레페를 만든다.
6. 잘게 썬 애호박을 볶는다.
7. 데친 해산물을 찬물에 식힌다.
8. 전복, 굴, 낙지, 토마토를 잘게 썬다.
9. 8에 볶은 애호박을 섞어준다.
10. 얇게 슬라이스한 사과를 원형틀로 찍어낸 뒤 잘게 썬다.
11. 잘게 썬 사과, 해산물, 채소에 후추, 올리브오일, 레몬즙을 넣어 해산물 샐러드를 만든다.
12. 잘게 썬 고수를 해산물 샐러드에 넣는다.
13. 잘게 썬 양파를 해산물 샐러드에 넣는다.
14. 유자청에 올리브오일, 잘게 썬 청양고추를 넣는다.
15. 14에 후추, 잘게 썬 마늘을 섞어 유자소스를 만든다.
16. 접시에 샐러드 채소를 올린다.
17. 유자소스를 담은 전복 껍데기를 접시에 올린 뒤 석류알을 곁들인다.
18. 매생이 크레페 위에 해산물 샐러드를 올린 뒤 복주머니 모양으로 감싼다.
19. 링모양의 사과를 이용해 복주머니 모양을 고정시킨다.
20. 매생이 크레페를 접시에 올린다.
21. 석류즙에 낙지, 올리브오일을 넣고 섞은 뒤 접시에 올린다.
22. 볶은 애호박을 올리고 벌화분을 뿌려 낸다.</t>
  </si>
  <si>
    <t>&lt;샘킴 - 고수의 고수&gt;
●재료
고수, 살치살, 감자, 바질페스토, 양송이버섯,
표고버섯, 느타리버섯, 석류, 망고, 쌀겨가루,
트러플소스마늘, 소금, 후추, 올리브오일, 달걀,
레몬, 밀가루, 식초, 설탕
●조리방법
1. 감자를 잘게 썬 뒤 끓는 물에 삶는다.
2. 느타리버섯을 석쇠에 구운 뒤 소금으로 간한다.
3. 잘게 썬 마늘, 양송이버섯, 표고버섯을 팬에 넣은 뒤 후추, 소금으로 간한다.
4. 3에 트러플소스를 넣고 볶는다.
5. 석류의 즙을 짜낸다.
6. 석류즙에 올리브오일을 섞어 석류드레싱을 만든다.
7. 달걀노른자를 분리한 뒤 쌀겨가루를 묻힌다.
8. 쌀겨가루를 묻힌 달걀노른자를 기름에 튀긴다.
9. 삶은 감자를 건져낸다.
10. 핸드블렌더에 간 레몬껍질, 잘게 썬 마늘, 올리브오일, 레몬즙, 바질페스토, 고수를 넣고 갈아 고수페스토를 만든다.
11. 삶은 감자에 고수페스토를 섞는다.
12. 얇게 썬 살치살에 밀가루를 묻힌다.
13. 올리브오일을 두른 팬에 밀가루를 묻힌 살치살을 굽는다.
14. 얇게 썬 양송이버섯을 팬에 넣은 뒤 올리브오일, 소금, 후추, 식초를 넣고 볶는다.
15. 볶던 살치살에 소금으로 간한다.
16. 볶은 살치살을 고수페스토, 감자와 섞는다.
17. 튀긴 달걀노른자를 건져낸다.
18. 접시에 버섯샐러드를 담는다.
19. 레몬즙, 올리브오일, 설탕을 섞어 만든 드레싱을 고수에 묻힌 뒤 버섯샐러드 위에 올린다.
20. 버섯샐러드 위에 튀긴 달걀노른자, 얇게 썬 망고를 올린다.
21. 석쇠에 구운 느타리버섯을 버섯샐러드에 올린다.
22. 접시에 원형틀을 올린 뒤 고수페스토에 버무린 감자와 살치살을 넣는다.
23. 석쇠에 고수를 올려 굽는다.
24. 석쇠에 구운 고수를 원형틀 안에 넣는다.
25. 볶은 양송이버섯을 올린다.
26. 석류드레싱을 접시에 올린 뒤 원형틀을 제거한다.</t>
  </si>
  <si>
    <t>&lt;유현수 - 고수테이크&gt;
●재료
고수, 대패삼겹살, 살치살, 트러플소스, 토마토,
망고, 양송이버섯, 바질페스토, 슬라이스 치즈,
닭가슴살 소시지, 냉이, 우유전분, 후추, 소금,
올리브오일, 버터, 와인, 대파, 양파, 밀가루
●조리방법
1. 끓는 물에 대패삼겹살을 데친다.
2. 데친 대패삼겹살에 전분, 후추를 묻힌다.
3. 살치살을 고기망치로 두드린 뒤 소금, 후추로 간한다.
4. 살치살에 전분을 묻힌 대패삼겹살, 고수를 올린 뒤 돌돌 만다.
5. 조리용 실로 묶어 모양을 고정시킨다.
6. 반으로 썬 양송이버섯, 고수스테이크에 올리브오일을 뿌린다.
7. 반으로 썬 토마토의 속을 파낸다.
8. 잘게 썬 닭가슴살 소시지를 토마토 안에 넣은 뒤 슬라이스 치즈를 올린다.
9. 8에 바질페스토를 올린다.
10. 고수스테이크, 양송이버섯, 속을 채운 토마토를 오븐에 넣어 굽는다.
11. 버터를 두른 팬에 잘게 썬 양파를 넣고 볶는다.
12. 강판에 간 석류를 11에 넣고 함께 볶는다.
13. 12에 와인을 넣고 끓여 석류와인소스를 만든다.
14. 잘게 썬 대파와 양파를 볶다가 버터, 우유를 넣고 끓여 크림소스를 만든다.
15. 크림소스에 밀가루를 넣고 섞어준다.
16. 소금을 넣은 끓는 물에 고수를 데친 후, 얼음물에 담가 식힌다.
17. 냉이를 믹서기에 넣고 간다.
18. 간 냉이에 고수를 더해 함께 간다.
19. 간 고수와 냉이를 냄비에 넣은 뒤 뜨거운 물을 붓고 끓여 고수소스를 만든다.
20. 고수소스를 핸드블렌더로 갈아 거품을 낸다.
21. 간 고수와 냉이에 크림소스를 더한 뒤 핸드블렌더로 갈아 고수크림소스를 만든다.
22. 접시에 고수크림소스, 석류와인소스, 바질페스토를 올린다.
23. 손질한 망고를 핸드블렌더에 넣고 간 뒤 접시에 올린다.
24. 오븐에 구운 고수스테이크, 양송이버섯, 토마토에 소금, 후추로 간한다.
25. 구운 양송이버섯, 고수스테이크를 접시에 올린다.
26. 거품을 낸 고수소스를 올린다.
27. 속을 채운 토마토를 접시에 올려 마무리한다.</t>
  </si>
  <si>
    <t>&lt;이연복 - 소울 담아 구워 드림&gt;
●재료
등갈비, 갈치, 닭다리살, 쯔유, 레몬청,
마늘종, 굴소스, 파프리카, 알배추, 애호박,
표고버섯, 쌀, 설탕, 간장, 레몬 대파, 고추,
양파, 마늘, 고춧가루, 당근, 고추장, 들기름
●조리방법
1. 핸드블렌더에 쌀을 갈아 쌀가루를 만든다.
2. 등갈비를 굴소스에 버무린 뒤 쌀가루를 묻힌다.
3. 찜기에 알배추, 등갈비를 넣고 찐다.
4. 갈치의 살만 발라낸다.
5. 종이포일에 기름을 바른 뒤 갈치살을 올린다.
6. 갈치살을 오븐에 넣어 굽는다.
7. 끓는 물에 닭다리살을 넣고 익힌다.
8. 파프리카와 마늘종을 잘게 다진다.
9. 파프리카, 마늘종, 굴소스, 물, 설탕, 쯔유, 레몬청, 간장을 섞어 소스를 만든다.
10. 소스에 레몬즙을 넣는다.
11. 익힌 닭다리살을 얇게 썬다.
12. 대파, 고추, 애호박, 표고버섯, 양파를 잘게 썬다.
13. 마늘을 으깬다.
14. 기름을 두른 팬에 손질한 채소, 고춧가루, 간장을 넣고 볶는다.
15. 14에 닭다리살을 넣고 함께 볶는다.
16. 15에 설탕, 당근, 고추장, 굴소스, 들기름을 넣는다.
17. 오븐에 구운 갈치살을 토치로 직화한다.
18. 알배추찜을 적당한 크기로 썬다.
19. 닭볶음을 그릇에 담은 뒤 알배추찜과 함께 접시에 올린다.
20. 등갈비찜을 알배추찜 위에 올린다.
21. 갈치살을 알배추찜에 올린 뒤 소스를 뿌려 마무리한다.</t>
  </si>
  <si>
    <t>냉장고를 부탁해 시즌 1, 205화</t>
  </si>
  <si>
    <t>&lt;레이먼킴 - 별난 스테이크&gt;
●재료
소고기 안심, 연어, 새우, 말린 국화, 아보카도,
바비큐소스, 시금치, 베트남고추, 로제소스,
양송이버섯, 마늘, 대파, 레몬간장, 물엿, 소금,
후추, 올리브오일, 양파, 화이트와인
●조리방법
1. 끓는 물에 말린 국화, 마늘, 대파를 넣고 끓인다. 2. 1에 레몬, 간장, 물엿을 넣는다.
3. 적당한 크기로 썬 연어를 2에 넣고 데친다.
4. 적당한 크기로 썬 소고기 안심에 소금, 후추로 간한다.
5. 올리브오일을 두른 팬에 양송이버섯, 소고기 안심을 굽는다.
6. 시금치와 양파를 적당한 크기로 썬다.
7. 잘게 다진 새우와 양파를 팬에 넣는다.
8. 잘게 썬 마늘, 시금치를 팬에 넣고 함께 볶는다.
9. 8에 로제소스를 넣고 볶는다.
10. 아보카도를 손질한 뒤 얇게 썬다.
11. 화이트와인을 두른 팬에 아보카도를 굽는다.
12. 아보카도에 바비큐소스를 발라 굽는다.
13. 잘게 썬 아보카도에 소금, 레몬즙, 올리브오일을 뿌린다.
14. 로제시금치볶음을 원형틀에 넣는다.
15. 남은 로제시금치볶음에 베트남고추, 올리브오일을 넣고 볶는다.
16. 레몬즙에 버무린 아보카도, 바비큐소스를 바른 구운 아보카도,
매운 로제시금치볶음을 원형틀에 넣는다.
17. 연어스테이크를 로제시금치볶음 위에 올린다.
18. 적당한 크기로 썬 안심스테이크와 양송이버섯을 아보카도 위에 올린다.
19. 잘게 썬 대파와 레몬껍질을 뿌려낸다.</t>
  </si>
  <si>
    <t>&lt;김풍 - 하얀 닭발이라고~ 까만 닭발이라고♬&gt;
●재료
닭발, 베트남고추, 콜라, 마늘종, 콩나물,
들깻가루, 꿀, 매실청, 굴소스, 치킨스톡,
소금, 마늘, 맛술, 청주, 간장, 다진생강,
전분, 고춧가루, 참기름
●조리방법
1. 소금을 넣은 끓는 물에 치킨스톡과 닭발을 넣고 삶는다.
2. 소금을 넣은 끓는 물에 콩나물을 삶는다.
3. 압력솥에 물, 마늘, 맛술, 청주, 간장, 소금, 생강즙을 넣는다.
4. 삶은 닭발을 압력솥에 넣어 익힌다.
5. 삶은 콩나물을 건져낸다.
6. 삶은 닭발에 전분을 묻힌다.
7. 기름을 두른 팬에 전분을 묻힌 닭발을 넣고 볶는다.
8. 마늘종을 적당한 크기로 썬 뒤 닭발과 함께 볶는다.
9. 8에 콜라, 굴소스, 간장, 베트남고추를 넣고 조린다.
10. 닭발조림에 맛술을 넣는다.
11. 들깻가루, 고춧가루, 매실청, 간장, 꿀, 참기름을 섞어 양념장을 만든다.
12. 접시에 닭발조림을 담는다.
13. 압력솥에 익힌 마늘을 양념장에 넣은 뒤 콩나물 위에 얹는다.
14. 남은 양념장을 종지에 따로 담아낸다.
15. 닭발수육을 콩나물 위에 올린다.</t>
  </si>
  <si>
    <t>&lt;오세득 - 닭발라드&gt;
●재료
닭발, 라조장, 표고버섯, 만가닥버섯, 마늘종,
굴소스, 간장, 다진 생강, 대파, 마늘, 고춧가루,
홍고추, 청양고추, 양파, 설탕, 튀김가루, 들기름
●조리방법
1. 닭발에 칼집을 낸다.
2. 끓는 물에 닭발, 간장, 다진 생강을 넣고 삶는다.
3. 적당한 크기로 썬 대파, 으깬 마늘, 고춧가루에 뜨거운 기름을 부어 고추기름을 낸다.
4. 마늘을 으깬 뒤 잘게 다진다.
5. 마늘종, 대파, 홍고추, 청양고추를 잘게 썬다.
6. 만가닥버섯, 표고버섯, 양파를 잘게 썬다.
7. 고추기름을 체에 밭쳐 건더기를 걸러낸다.
8. 고추기름을 두른 팬에 손질한 채소들을 넣고 볶는다.
9. 라조장, 굴소스, 간장, 설탕을 섞어 소스를 만든 뒤 팬에 넣고 함께 볶는다.
10. 튀김가루, 물을 섞어 튀김옷을 만든다.
11. 데친 닭발에 튀김옷을 입힌 뒤 기름에 튀긴다.
12. 튀긴 닭발을 건져낸 뒤 라조장에 볶은 채소와 함께 볶는다.
13. 닭발튀김에 들기름을 뿌린다.
14. 닭발튀김을 접시에 담아 마무리한다.</t>
  </si>
  <si>
    <t>&lt;유현수 - 양갈비~ Save Us♬&gt;
●재료
양갈비, 귀리우유, 미숫가루, 낙지,
데리야키소스, 찜닭소스, 자숙새우, 매생이,
굴소스, 초콜릿시럽, 허니머스터드 소스, 토마토,
복분자원액, 복분자퓌레, 레드와인, 다진마늘, 양파,
후추, 밀가루, 올리브오일, 대파, 즉석밥, 버터, 올리브오일
●조리방법
1. 끓는 물에 레드와인, 다진 마늘, 양파를 넣고 끓인다.
2. 손질한 양갈비에 귀리우유, 다진 마늘, 미숫가루를 넣고 버무린다.
3. 2에 소금, 후추, 끓인 레드와인을 넣어 재워둔다.
4. 낙지를 고기망치로 두드린 뒤 데리야키소스, 찜닭소스로 양념한다.
5. 양념한 낙지를 그릴팬에 굽는다.
6. 재워둔 고기에 밀가루를 묻혀 그릴팬에 올린 뒤 올리브오일을 뿌려 굽는다.
7. 대파를 잘게 썬다.
8. 낙지를 고기망치로 두드린 뒤 잘게 다지고, 자숙새우는 꼬리를 떼어낸다.
9. 팬에 대파, 다진 낙지, 자숙새우, 즉석밥을 넣고 볶는다.
10. 잘게 다진 매생이를 팬에 넣은 뒤 굴소스, 다진 마늘을 넣고 함께 볶는다.
11. 접시에 초콜릿시럽, 굴소스, 허니머스터드 소스를 뿌린다.
12. 접시에 복분자퓌레를 올린다.
13, 토마토에 칼집을 넣은 뒤 끓는 물에 데친다.
14. 데친 토마토를 얼음물에 넣어 식힌 뒤 껍질을 벗긴다.
15. 토마토를 반으로 갈라 모양을 낸다.
16. 접시에 원형틀을 올린 뒤 매생이낙지 볶음밥을 넣는다.
17. 원형틀을 제거한 뒤 토마토를 올린다.
18. 구운 양갈비에 후추를 뿌린 뒤 허니머스터드 소스, 얇게 썬 대파를 올린다.
19. 구운 양갈비와 낙지를 접시에 올린다.
20. 팬에 잘게 썬 양파, 올리브오일, 복분자원액, 버터를 넣고 졸여 복분자 소스를 만든다.
21. 접시에 복분자 소스를 올린다.</t>
  </si>
  <si>
    <t>냉장고를 부탁해 시즌 1, 206화</t>
  </si>
  <si>
    <t>&lt;미카엘 - 황도 스피릿&gt;
●재료
쌀식빵, 통조림 황도, 블루베리, 코코넛시럽,
초콜릿시럽, 장미꽃잼, 양상추, 배도라지즙, 딸기,
복분자원액, 휘핑크림, 복분자퓌레, 설탕, 레몬, 전분
●조리방법
1. 쌀식빵을 적당한 크기로 썬 뒤 기름에 튀긴다.
2. 끓는 물에 통조림 황도 국물, 블루베리, 설탕, 레몬즙을 넣어 블루베리 소스를 만든다.
3. 황도 국물에 복분자퓌레를 섞은 뒤 팬에 넣고 졸인다.
4. 블루베리 소스, 복분자퓌레를 얼음물 위에 놓고 식힌다.
5. 핸드블렌더에 황도, 코코넛시럽을 넣고 간다.
6. 5에 황도 국물을 더한 뒤 체로 거른다.
7. 6에 전분물을 넣고 졸여 황도시럽을 만든다.
8. 접시 가운데에 그릇을 뒤집어 놓은 뒤 황도시럽을 뿌린다.
9. 접시에 초콜릿시럽을 뿌린다.
10. 핸드블렌더에 장미꽃잼, 양상추, 배도라지즙을 넣고 간 뒤 전분물, 설탕을 넣고 졸인다.
11. 양상추를 섞은 장미꽃잼을 접시 위에 올린다.
12. 기름에 튀긴 쌀식빵을 원형틀로 찍어낸다.
13. 쌀식빵을 블루베리소스에 묻힌 뒤 원형틀 안에 넣는다.
14. 13에 휘핑크림&gt;황도&gt;휘핑크림&gt;블루베리 소스를 묻힌 쌀식빵 순으로 넣는다.
15. 14에 휘핑크림을 올린 뒤 얇게 편다.
16. 접시에 복분자퓌레를 뿌린다.
17. 복분자원액에 버무린 딸기와 블루베리를 케이크 위에 올린다.
18. 그릇을 제거한 뒤 황도 케이크를 올린다.
19. 레몬 껍질을 갈아 올려 마무리한다.</t>
  </si>
  <si>
    <t>&lt;샘킴 - 고샌 끝에 낙이 온다&gt;
●재료
쌀식빵, 고등어, 자숙새우, 낙지, 토마토,
사과, 통조림 황도, 유자조청, 굴소스,
데리야키소스, 양파, 식초, 고춧가루, 참기름,
후추, 소금, 달걀, 올리브오일, 레몬, 대파, 마늘,
청양고추, 물엿, 마요네즈, 깨
●조리방법
1. 끓는 물에 레몬즙을 넣은 뒤 레몬과 낙지를 넣어 데친다.
2. 데친 낙지를 얼음물에 담가둔다.
3. 양파를 잘게 썬 뒤 볼에 담는다.
4. 적당한 크기로 썬 낙지를 양파와 섞는다.
5. 4에 식초, 유자조청, 고춧가루, 참기름, 후추를 넣는다.
6. 5에 토마토, 통조림 황도, 사과를 넣어 낙지초절임을 만든다.
7. 고등어를 손질한 뒤 얇게 썬다.
8. 고등어를 토치로 직화한다.
9. 핸드블렌더에 직화한 고등어, 자숙새우, 올리브오일, 소금, 달걀흰자를 넣고 간다.
10. 고등어패티 반죽에 소금, 후추, 레몬즙을 넣는다.
11. 원형틀에 고등어패티 반죽을 넣어 구운 뒤 원형틀을 제거한다.
12. 그릴팬에 적당한 크기로 썬 양파를 올린 뒤 올리브오일, 소금, 후추를 뿌려 굽는다.
13. 적당한 크기로 썬 대파를 함께 올린 뒤 데리야키소스를 발라가며 굽는다.
14. 팬에 적당한 크기로 썬 대파, 마늘, 청양고추, 고춧가루를 넣고 볶는다.
15. 적당한 크기로 썬 낙지를 팬에 넣은 뒤 물엿, 굴소스를 넣는다.
16. 접시에 구운 대파를 올린다.
17. 구운 대파 위에 낙지볶음을 올린다.
18. 그릴팬에 쌀식빵을 굽는다.
19. 데리야키소스에 마요네즈를 섞는다.
20. 구운 쌀식빵 위에 고등어 패티를 올린다.
21. 고등어 패티에 데리야키소스를 바른 뒤 토마토를 올리고, 후추를 뿌린다.
22. 고등어 샌드위치를 접시에 올린 뒤 깨, 레몬즙을 뿌린다.
23. 고등어 샌드위치에 구운 양파를 올린다.
24. 낙지초절임을 접시에 담는다.</t>
  </si>
  <si>
    <t>&lt;정호영 - 내가 이길 거고등&gt;
●재료
쌀식빵, 고등어, 복분자즙, 통조림 황도,
통조림 골뱅이, 토마토, 사과, 자숙새우,
낙지, 양상추, 복분자퓌레, 달걀, 소금, 설탕,
청주, 맛술, 간장, 후추, 밀가루, 기름, 올리브오일,
식초, 양파, 레몬, 마요네즈
●조리방법
1. 끓는 물에 소금을 넣은 뒤 달걀, 낙지, 자숙새우, 통조림 골뱅이를 삶는다.
2. 팬에 복분자즙, 설탕, 청주, 맛술, 간장을 넣고 졸여 데리야키 소스를 만든다.
3. 고등어를 손질한 뒤 잔가시를 제거한다.
4. 포를 뜬 고등어에 소금, 후추로 간한다.
5. 고등어에 밀가루를 묻힌다.
6. 핸드블렌더에 쌀식빵을 넣고 갈아 쌀빵가루를 만든다.
7. 밀가루를 묻힌 고등어에 달걀물을 입힌 뒤 쌀빵가루를 묻힌다.
8. 쌀빵가루를 묻힌 고등어를 기름에 튀긴다.
9. 핸드블렌더에 통조림 황도를 넣고 간다.
10. 간 황도에 올리브오일, 식초, 소금, 설탕을 넣어 황도 드레싱을 만든다.
11. 적당한 크기로 썬 사과와 양파, 간 황도, 레몬즙, 마요네즈를 갈아 황도마요네즈 소스를 만든다.
12. 삶은 낙지, 자숙새우, 통조림 골뱅이를 얼음물에 넣어 식힌다.
13. 식힌 해산물을 적당한 크기로 썬 뒤 황도 드레싱에 넣는다.
14. 토마토를 얇게 썬다.
15. 랩 위에 얇게 썬 토마토를 올린다.
16. 토마토 위에 황도 드레싱에 버무린 해산물을 올린 뒤 돌돌 말아준다.
17. 적당한 크기로 썬 쌀식빵을 그릴팬에 굽는다.
18. 적당한 크기로 썬 양파를 그릴팬에 굽는다.
19. 구운 쌀식빵에 데리야키 소스를 바른 뒤 구운 양파, 양상추를 올린다.
20. 고등어 튀김을 반으로 썬 뒤 쌀식빵 위에 올린다.
21. 20에 황도마요네즈 소스, 쌀식빵을 올려 샌드위치를 만든다.
22. 고등어 샌드위치를 썰어 접시에 올린다.
23. 접시에 해산물 샐러드를 올린다.
24. 해산물 샐러드에 황도 드레싱과 복분자퓌레를 뿌린다.
25. 삶은 달걀을 으깬 뒤 해산물 샐러드 위에 뿌려 낸다.</t>
  </si>
  <si>
    <t>&lt;김풍 - 파짱쫀&gt;
●재료
불고기용 소고기, 까나리액젓, 라이스페이퍼,
쯔유, 굴소스, 삶은 돼지껍질, 모과청, 들기름,
비빔간장, 대파, 고춧가루, 전분, 달걀, 식초, 레몬
●조리방법
1. 대파를 잘게 썬다.
2. 대파를 채 썬다.
3. 손질한 대파를 찬물에 담가둔다.
4. 끓는 기름에 대파, 고춧가루를 넣어 고추기름을 만든다.
5. 삶은 돼지껍질을 튀긴다.
6. 끓는 물에 불고기용 소고기를 넣고 데친다.
7. 찬물에 담가뒀던 잘게 썬 대파에 비빔간장, 굴소스, 쯔유, 들기름을 넣고 섞는다.
8. 불린 라이스페이퍼에 양념한 대파를 넣고 감싸 파만두를 만든다.
9. 파만두에 전분을 묻힌다.
10. 달걀흰자를 거품기로 풀어준다.
11. 전분을 묻힌 파만두에 달걀흰자를 묻힌 뒤 다시 전분을 묻힌다.
12. 기름을 두른 팬에 파만두를 넣고 뚜껑을 닫아 지진다.
13. 파만두를 지지던 팬에 물을 소량 넣고 뚜껑을 닫아 익힌다.
14. 비빔간장, 까나리액젓, 모과청, 식초, 레몬즙, 고추기름을 섞어 소스를 만든다.
15. 라이스페이퍼를 자른다.
16. 찬물에 담가뒀던 파채의 물기를 뺀 뒤 라이스페이퍼와 섞는다.
17. 얇게 썬 돼지껍질과 소스를 16에 넣는다.
18. 데친 소고기를 17에 넣고 섞어 반짱쫀을 만든다.
19. 반짱쫀에 파만두를 올린 뒤 소스를 뿌린다.</t>
  </si>
  <si>
    <t>냉장고를 부탁해 시즌 1, 207화</t>
  </si>
  <si>
    <t>&lt;레이먼킴 - 대파 Two&gt;
●재료
소고기 등심, 삼치, 관자, 삶은 전복, 삶은 문어,
자숙새우, 멸치육수, 건새우, 국물용 멸치, 밴댕이(디포리),
파뿌리북어대가리, 마늘장아찌, 매실청, 까나리액젓,
국간장, 쯔유, 통후추, 맛술, 대파, 소금, 전분, 달걀,
된장, 다진마늘, 참기름고춧가루, 청양고추
●조리방법
1. 북어대가리, 건새우, 밴댕이(디포리), 국물용 멸치를 팬에 넣는다.
2. 끓는 물에 통후추, 멸치육수, 파뿌리를 넣는다.
3. 북어대가리, 건새우, 밴댕이(디포리), 국물용 멸치에 맛술을 넣어 볶은 뒤 육수에 넣는다.
4. 적당한 크기로 썬 대파의 반을 가른 뒤 끓는 물에 데친다.
5. 대파에 얇게 썬 소고기 등심, 소금을 넣고 함께 데친다.
6. 대파를 채 썬다.
7. 삼치살을 손질한다.
8. 삼치살과 관자는 적당한 크기로 썰고, 자숙새우는 물에 헹군다.
9. 삼치살, 관자, 자숙새우를 믹서기에 넣는다.
10. 9에 전분, 달걀, 소금, 후추를 넣은 뒤 갈아 어묵면 반죽을 만든다.
11. 어묵면 반죽을 지퍼백에 넣은 뒤 모서리를 자른다.
12. 반죽을 짜서 뽑은 어묵면을 육수에 넣어 익힌다.
13. 파채를 육수에 살짝 데친 뒤 어묵면과 함께 꺼낸다.
14. 된장, 마늘장아찌 국물, 다진마늘, 매실청, 고춧가루, 참기름을 섞어 양념을 만든다.
15. 데친 등심과 대파에 양념을 버무려 소고기 파무침을 만든다.
16. 육수에 국간장, 까나리액젓, 쯔유, 잘게 썬 청양고추를 넣는다.
17. 데친 파채와 어묵면을 그릇에 담는다.
18. 삶은 전복을 얇게 썬 뒤 육수에 한 번 더 익힌다.
19. 어묵면 위에 삶은 문어, 삶은 전복을 올린다.
20. 육수를 그릇에 담고, 잘게 썬 대파를 올린다.</t>
  </si>
  <si>
    <t>&lt;이연복 - 오~ 김치 코리아♬&gt;
●재료
불고기용 소고기, 소고기 등심, 전복, 관자,
자숙새우, 주꾸미, 삶은 문어, 멸치육수, 굴소스,
쯔유, 고수, 밴댕이(디포리), 북어대가리, 건새우,
배추김치, 대파, 맛술, 다진생강, 전분, 청양고추,
고춧가루, 설탕, 참기름
●조리방법
1. 멸치육수에 건새우, 밴댕이(디포리), 북어대가리, 대파, 맛술, 생강즙을 넣고 끓인다.
2. 김치 이파리를 물에 씻은 뒤 물기를 짜낸다.
3. 끓는 물에 전복, 주꾸미를 데친다.
4. 믹서기에 소고기 등심, 자숙새우, 관자, 주꾸미, 전분, 굴소스를 넣고 갈아 완자반죽을 만든다.
5. 관자, 삶은 문어, 데친 전복을 얇게 썬 뒤 완자반죽과 섞는다.
6. 데친 주꾸미를 잘게 썰어 완자반죽에 넣는다.
7. 김치 이파리에 완자반죽을 올린 뒤 돌돌 말아 김치쌈을 만든다.
8. 김치쌈을 찜기에 넣고 찐다.
9. 육수를 체에 밭쳐 국물만 받아낸다.
10. 잘게 썬 청양고추를 국물에 넣는다.
11. 불고기용 소고기에 전분을 묻힌 뒤 국물에 넣는다.
12. 완자반죽을 뭉친 뒤 국물에 넣는다.
13. 잘게 썬 전복, 주꾸미를 국물에 넣는다.
14. 잘게 썬 대파를 볼에 담은 뒤 쯔유, 청양고추를 넣는다.
15. 14에 고춧가루, 설탕, 맛술, 참기름을 넣어 양념장을 만든다.
16. 국물에 전분물을 넣어 농도를 조절한다.
17. 찐 김치쌈을 데운 뚝배기에 담는다.
18. 끓인 탕을 뚝배기에 담은 뒤 고수를 올린다.</t>
  </si>
  <si>
    <t>&lt;오세득 - 나 백숙 할래♬&gt;
●재료
소고기 등심, 전복, 관자, 주꾸미, 삶은 문어,
누룽지, 홍삼진액, 고수, 현미식초, 배추김치,
멸치육수, 자숙새우, 버터간장, 참기름, 양파,
대파, 식초, 설탕, 마늘, 홍고추, 청양고추,
참기름, 고춧가루, 연겨자, 통깨
●조리방법
1. 불린 누룽지에 홍삼진액을 섞은 뒤 압력솥에 넣는다.
2. 압력솥에 버터를 넣는다.
3. 전복을 체에 밭쳐 끓는 물에 데친다.
4. 소고기 등심을 잘게 썬다.
5. 등심에 간장, 참기름, 잘게 썬 양파, 대파를 섞은 뒤 압력솥에 넣는다.
6. 압력솥에 자숙새우를 넣는다.
7. 데친 전복, 관자를 얇게 썬다.
8. 삶은 문어 위에 지퍼백을 올린 뒤 고기망치로 두드린다.
9. 문어, 전복, 관자를 압력솥에 넣는다.
10. 멸치육수를 압력솥에 넣는다.
11. 주꾸미를 고기망치로 두드린 뒤 압력솥에 넣는다.
12. 압력솥의 뚜껑을 닫고 익힌다.
13. 잘게 썬 대파, 양파, 고수를 얼음물에 담가둔다.
14. 간장에 현미식초, 식초를 넣는다.
15. 14에 설탕을 넣은 뒤 핸드블렌더로 섞어 고수무침 소스를 만든다.
16. 마늘, 홍고추를 잘게 썬다.
17. 잘게 썬 청양고추, 홍고추, 마늘을 소스에 넣는다.
18. 소스에 참기름을 넣는다.
19. 소스에 고춧가루, 통깨, 연겨자를 넣고 섞는다.
20. 얼음물에 담가뒀던 대파, 양파를 접시에 담은 뒤 소스를 올린다.
21. 소스에 버무린 고수를 올린다.
22. 누룽지백숙을 그릇에 담는다.
23. 배추김치를 접시에 따로 담아낸다.</t>
  </si>
  <si>
    <t>&lt;이연복 - 맵다고 가지 마라&gt;
●재료
삼겹살, 대패삼겹살, 자숙새우, 가지, 춘장,
표고버섯, 양송이버섯, 굴소스, 생강, 그린올리브,
알배추, 마라탕 소스,매운 김치, 중국당면, 고수,
애호박, 쯔유, XO소스, 태국고추, 대파, 고춧가루,
다진생강, 맛술, 전분, 달걀, 양파, 설탕, 식초, 소금
●조리방법
1. 적당한 크기로 썬 대파와 생강을 끓는 기름에 넣는다.
2. 1에 고춧가루를 넣고 끓여 고추기름을 낸다.
3. 믹서기에 적당한 크기로 썬 삼겹살, 자숙새우, 다진생강, 맛술, 전분, 달걀, 쯔유를 넣고 간다.
4. 가지를 편으로 썬다.
5. 전분, 식용유, 물을 섞어 튀김 반죽을 만든다.
6. 간 삼겹살과 새우를 가지 사이에 넣어 가지샌드를 만든다.
7. 가지샌드에 튀김 반죽을 입힌다.
8. 잘게 썬 양파와 대파, 채 썬 생강을 물에 담가둔다.
9. 대패삼겹살에 전분, 달걀물을 넣고 버무린다.
10. 기름을 두른 팬에 대패삼겹살을 넣고 튀기듯이 볶는다.
11. 알배추, 애호박, 표고버섯, 양송이버섯을 잘게 썬 뒤 팬에 넣고 함께 볶는다.
12. 11에 XO소스, 굴소스, 쯔유를 넣는다.
13. 적당한 크기로 썬 매운 김치를 팬에 넣고 볶는다.
14. 팬에 고추기름을 두른 뒤 간 태국고추, 마라탕소스를 넣는다.
15. 14에 물을 넣고 끓여 마라탕소스를 만든다.
16. 마라탕소스에 XO소스를 넣는다.
17. 가지샌드를 기름에 튀긴다.
18. 애호박을 잘게 썬다.
19. 팬에 물기를 뺀 양파와 대파, 애호박, 간 삼겹살과 새우, 춘장, 굴소스를 넣고 볶는다.
20. 잘게 썬 양파와 표고버섯을 팬에 넣고 함께 볶는다.
21. 20에 전분을 넣고 볶아 짜장소스를 만든다.
22. 마라탕소스에 쯔유, 설탕을 넣고 끓인다.
23. 22에 불린 중국당면을 넣는다.
24. 마라탕소스에 물을 넣고 끓인다.
25. 식초, 설탕, 소금을 섞어 생강채 소스를 만든다.
26. 파채를 접시에 올린 뒤 짜장소스를 담는다.
27. 짜장소스 위에 가지샌드튀김을 올린 뒤 그린올리브를 올린다.
28. 볶은 재료들을 그릇에 담고, 중국당면이 든 마라탕을 붓는다.
29. 생강채 소스에 생강채를 넣어 따로 담아낸다.</t>
  </si>
  <si>
    <t>냉장고를 부탁해 시즌 1, 208화</t>
  </si>
  <si>
    <t>&lt;샘킴 - 보헤미안 앤초비&gt;
●재료
소 안심, 다진 소고기, 표고버섯, 허브양념새우,
똠얌꿍소스, 태국고추, 고수, 브로콜리, 앤초비,
그린올리브, 배, 생강, 파스타면, 바비큐소스,
중국고춧가루, 올리브오일, 양파, 마늘, 밀가루, 후추, 소금
●조리방법
1. 올리브오일을 두른 팬에 다진 소고기, 양파를 넣는다.
2. 얇게 썬 표고버섯을 1에 넣은 뒤 뜨거운 물을 부어 끓인다.
3. 적당한 크기로 썬 안심을 고기망치로 두드려 넓게 편다.
4. 핸드블렌더에 마늘, 올리브오일을 넣고 간다.
5. 올리브오일을 두른 냄비에 간 마늘, 허브양념새우를 넣는다.
6. 얇게 썬 안심에 밀가루를 묻힌 뒤 냄비에 넣는다.
7. 6에 똠얌꿍소스, 잘게 부순 태국고추를 넣은 뒤 육수를 넣는다.
8. 똠얌꿍에 후추, 얇게 썬 표고버섯을 넣고 끓인다.
9. 넓게 편 안심을 석쇠에 올린 뒤 바비큐소스를 바른다.
10. 9에 올리브오일, 후추, 소금을 뿌린다.
11. 안심 위에 생강채를 올린다.
12. 양념한 안심에 올리브오일을 뿌려가며 직화한다.
13. 손질한 브로콜리를 끓는 물에 데친 뒤 찬물에 식힌다.
14. 마늘은 편으로 썰고, 태국고추는 잘게 다진다.
15. 올리브오일을 두른 팬에 마늘, 태국고추, 앤초비를 넣고 볶는다.
16. 15에 육수를 넣고 끓여 앤초비소스를 만든다.
17. 잘게 썬 그린올리브를 앤초비소스에 넣는다.
18. 똠얌꿍에 똠얌꿍소스, 허브양념새우를 넣고 끓인다.
19. 채 썬 배를 그릇에 따로 담아낸다.
20. 올리브오일을 두른 팬에 간 마늘, 앤초비, 태국고추, 브로콜리, 후추를 넣고 볶는다.
21. 끓는 물에 파스타면을 넣고 삶는다.
22. 삶은 파스타면을 앤초비소스에 넣고 볶는다.
23. 똠얌꿍을 그릇에 담은 뒤 앤초비 파스타를 올린다.
24. 구운 안심을 접시에 올린 뒤 앤초비&amp;브로콜리 볶음, 고수, 중국고춧가루를 올린다.
25. 똠얌꿍에 고수를 올린다.</t>
  </si>
  <si>
    <t>&lt;김풍 - 생강나는 장어&gt;
●재료
장어, 생강, 쯔유, 베트남고추소스, 굴소스,
알배추, 고수, 마라소스, 중국고춧가루,
청양고춧가루, 하바네로 핫소스, 다진생강,
대파, 간장, 맛술, 설탕, 식초, 전분
●조리방법
1. 기름을 두른 팬에 다진 생강, 중국고춧가루, 청양고춧가루를 넣는다.
2. 잘게 썬 대파를 1에 넣는다.
3. 2에 간장, 맛술, 쯔유, 굴소스, 설탕, 식초, 마라소스, 베트남고추소스를 넣는다.
4. 생강을 채 썬다.
5. 채 썬 생강을 물에 담가둔다.
6. 장어에 칼집을 낸다.
7. 칼집을 낸 장어에 전분을 묻힌다.
8. 전분을 묻힌 장어를 기름에 튀긴다.
9. 반으로 자른 알배추를 찜기에 넣고 찐다.
10. 기름에 튀긴 장어를 꺼낸다.
11. 간장, 쯔유, 설탕, 식초, 물을 섞어 초간장을 만든다.
12. 고수를 잘게 썬다.
13. 장어튀김을 한 번 더 튀긴다.
14. 알배추찜 소스에 하바네로 핫소스를 넣는다.
15. 접시에 찐 알배추를 담은 뒤 매운 소스를 올린다.
16. 잘게 썬 고수 위에 장어튀김을 올린다.
17. 생강채 위에 초간장을 뿌린다.</t>
  </si>
  <si>
    <t>&lt;유현수 - 매워도 안심하으~리&gt;
●재료
소 안심, 표고버섯, XO소스, 마라소스, 굴,
우렁이, 중국고춧가루, 고추기름, 태국고추,
감자, 생강, 허브양념새우, 앤초비, 그린올리브,
토마토, 사과, 파인애플, 요구르트, 플레인요거트,
대파, 소금, 후추, 청양고추, 홍고추, 전분, 양파
●조리방법
1. 잘게 썬 대파, 태국고추를 기름에 넣는다.
2. 소 안심에 소금, 후추로 간한다.
3. 태국고추, 대파를 넣은 기름에 안심을 넣어 익힌다.
4. 3에 고추기름을 넣는다.
5. 청양고추, 홍고추에 칼집을 낸 뒤, 전분을 묻힌다.
6. 전분을 묻힌 고추를 찜기에 넣고 찐다.
7. 감자, 생강을 채 썬 뒤 물에 담가둔다.
8. 기름을 두른 팬에 잘게 썬 대파를 볶는다.
9. 핸드블렌더에 표고버섯, 양파, 홍고추, 청양고추, 대파를 넣고 간다.
10. 9를 팬에 넣고 대파와 함께 볶는다.
11. 10에 XO소스를 넣는다.
12. 11에 마라소스를 넣어 스테이크소스를 만든다.
13. 기름에 익힌 안심을 꺼낸다.
14. 태국고추를 잘게 부순 뒤 기름에 볶는다.
15. 14에 앤초비, 우렁이를 넣고 볶는다.
16. 15에 그린올리브, 뜨거운 물을 넣는다.
17. 16에 잘게 썬 청양고추, 토마토, 굴을 넣고 끓여 앤초비올리브 소스를 만든다.
18. 채 썬 감자와 생강에 전분을 넣고 버무린다.
19. 허브양념새우에 18을 묻혀 튀긴다.
20. 안심에 중국고춧가루를 뿌린 뒤 그릴팬에 굽는다.
21. 믹서기에 플레인요거트, 요구르트, 파인애플, 사과를 넣고 갈아 과일주스를 만든다.
22. 접시에 안심스테이크를 담은 뒤, 매운 소스를 올린다.
23. 찐 고추를 안심스테이크 위에 올린다.
24. 유리잔에 과일주스를 담아낸다.
25. 그릇에 앤초비올리브 소스를 담는다.
26. 25에 생강새우튀김을 올린다.
27. 생강새우튀김 위에 고수를 올린다.</t>
  </si>
  <si>
    <t>&lt;이연복 - 참치 먹고 싶은 사람? 하이!&gt;
●재료
참치, 소 앞다릿살, 알배추, 시금치,
오코노미야키 소스, 유자폰즈소스, 미소,
아보카도, 불고기소스, 가쓰오부시, 팽이버섯,
양송이버섯, 양배추, 채소육수팩, 우동면, 명란젓,
대파, 양파, 전분, 다진 생강, 맛술, 간장,
레몬즙, 설탕, 고춧가루, 다진 마늘, 소금
●조리방법
1. 알배추, 양송이버섯, 팽이버섯, 대파, 양배추를 적당한 크기로 썬 뒤 끓는 물에 데친다.
2. 찜기에 나무젓가락을 넣고 토치로 태운 뒤 참치를 올린다.
3. 2에 가쓰오부시를 넣고 뚜껑을 닫아 참치를 훈연한다.
4. 끓는 물에 채소육수팩, 미소를 넣고 끓인다.
5. 강판에 양파를 간다.
6. 석쇠에 올린 명란젓을 토치로 직화한다.
7. 얇게 썬 아보카도를 석쇠에 올린 뒤 토치로 직화한다.
8. 소 앞다릿살에 전분과 달걀물을 버무린다.
9. 8의 앞다릿살을 기름에 튀기듯이 볶은 뒤 체에 밭쳐 기름을 뺀다.
10. 기름을 두른 팬에 적당한 크기로 썬 대파와 다진 생강을 볶는다.
11. 10에 앞다릿살을 익힌 기름, 데친 채소, 불고기소스, 맛술, 앞다릿살, 간장, 전분물을 넣어 볶는다.
12. 유자폰즈소스에 레몬즙, 설탕을 넣어 타다키소스를 만든다.
13. 끓는 기름에 대파, 고춧가루를 넣어 고추기름을 만든다.
14. 타다키소스에 고추기름, 간 양파를 넣는다.
15. 훈연한 참치를 토치로 직화한 뒤 얼음물에 넣는다.
16. 끓는 물에 우동면을 삶는다.
17. 기름을 두른 팬에 다진 마늘, 시금치, 소금, 오코노미야키 소스를 넣고 볶은 뒤 접시에 담는다.
18. 얼음물에 담가뒀던 참치를 적당한 크기로 썬다.
19. 참치 사이사이에 직화한 아보카도를 넣는다.
20. 아보카도를 넣은 참치 타다키를 시금치 위에 올린다.
21. 삶은 우동면을 얼음물&gt;끓는 물에 차례로 담근 뒤 그릇에 담는다.
22. 우동면 위에 볶은 채소와 앞다릿살을 올린다.
22. 22에 미소국물을 붓는다.
23. 참치 타다키에 소스를 끼얹는다.
24. 잘게 썬 대파를 참치 타다키 위에 올린다.
25. 직화한 명란젓을 적당한 크기로 썬 뒤 미소탕면 위에 올려 낸다.</t>
  </si>
  <si>
    <t>냉장고를 부탁해 시즌 1, 209화</t>
  </si>
  <si>
    <t>&lt;김풍 - 추풍낙엽&gt;
●재료
소 앞다릿살, 우동면, 유자폰즈소스, 쯔유,
토마토, 팽이버섯, 잣, 알배추, 파인애플, 꿀,
식초, 설탕, 소금, 대파, 간장, 달걀, 전분,
다진 마늘, 고춧가루, 기름
●조리방법
1. 끓는 물에 식초, 설탕, 소금을 넣는다.
2. 알배추를 반으로 썬 뒤 1에 넣어 데친다.
3. 데친 알배추를 얼음물에 식힌 뒤 물기를 제거하고, 적당한 크기로 썬다.
4. 파인애플의 껍질을 제거하고, 대파는 얇게 채 썬다.
5. 소 앞다릿살을 적당한 크기로 썬 뒤 유자폰즈소스, 간장, 달걀흰자, 전분을 넣고 버무린다.
6. 데운 물에 앞다릿살을 넣고 약불에 서서히 익힌 뒤 건져낸다.
7. 적당한 크기로 썬 토마토, 식초, 설탕, 파인애플을 핸드블렌더에 넣고 간다.
8. 7에 간장, 유자폰즈소스, 쯔유를 넣어 토마토소스를 만든다.
9. 끓는 기름에 적당한 크기로 썬 대파, 고춧가루, 다진 마늘을 넣어 고추기름을 만든다.
10. 토마토소스에 고추기름을 넣고 간다.
11. 끓는 물에 우동면을 삶는다.
12. 삶은 우동면을 얼음물에 식힌 뒤 그릇에 담고, 데친 알배추를 올린다.
13. 12에 토마토소스를 붓는다.
14. 잘게 썬 대파, 유자폰즈소스, 꿀, 식초, 간장, 다진마늘을 섞어 양념간장을 만든다.
15. 앞다릿살에 팽이버섯, 파채를 올린 뒤 양념간장을 올린다.
16. 15에 뜨거운 기름을 끼얹어 낸다.</t>
  </si>
  <si>
    <t>&lt;샘킴 - 가슴속에 차오르는 연~어♬&gt;
●재료
연어, 양송이버섯, 애호박, 파프리카, 고구마,
닭가슴살, 파인애플, 토마토파스타 소스,
파르메산 치즈, 알프레도파스타 소스, 발사믹크림,
시금치, 아보카도, 잣, 바나나, 마늘, 올리브오일,
소금, 후추, 버터, 기름, 양파, 레몬, 다진 마늘
●조리방법
1. 마늘과 올리브오일을 핸드블렌더에 간 뒤 올리브오일을 두른 팬에 넣는다.
2. 1에 적당한 크기로 썬 양송이버섯, 소금, 올리브오일을 넣고 볶는다.
3. 2에 후추를 넣는다.
4. 양송이버섯에 버터를 넣어 볶은 뒤 볼에 담는다.
5. 올리브오일을 두른 팬에 얇게 썬 파프리카, 소금, 후추를 넣고 볶은 뒤 4의 볼에 담는다.
6. 연어에 올리브오일, 소금, 후추로 간한 뒤 올리브오일을 두른 팬에 굽는다.
7. 고구마를 얇게 썬 뒤 기름에 튀긴다.
8. 적당한 크기로 썬 애호박과 양파, 시금치를 기름에 튀긴다.
9. 튀긴 고구마, 애호박, 양파에 소금으로 간한 뒤 튀긴 시금치를 함께 담는다.
10. 아보카도와 바나나를 체에 밭쳐 으깬다.
11. 10에 레몬즙, 마요네즈, 꿀, 다진 마늘을 넣는다.
12. 11에 설탕을 넣어 아보카도소스를 만든다.
13. 잘게 썬 양파에 토마토파스타 소스를 넣고 볶는다.
14. 13에 볶은 양송이버섯과 파프리카를 넣는다.
15. 14에 파르메산 치즈를 갈아 넣어 토마토소스를 만든다.
16. 파인애플의 껍질을 제거한 뒤 얇게 썬다.
17. 팬에 잣을 볶은 뒤 종이포일을 덮어 잘게 부순다.
18. 알프레도파스타 소스에 간 마늘을 넣고 졸여 크림소스를 만든다.
19. 밀가루를 묻힌 닭가슴살에 소금, 후추로 간한 뒤 올리브오일을 두른 팬에 굽는다.
20. 구운 닭가슴살을 토마토소스에 넣는다.
21. 접시에 튀긴 양파를 올린다.
22. 21에 아보카도소스, 구운 연어, 잘게 부순 잣, 크림소스를 올린 뒤 발사믹크림을 뿌린다.
23. 튀긴 시금치를 접시에 올린다.
24. 접시에 토마토소스를 올린 뒤 튀긴 애호박과 고구마를 올린다.
25. 24에 간 파르메산 치즈&gt;파인애플&gt;토마토소스&gt;간 파르메산 치즈 순서로 올린다.
26. 접시에 닭가슴살과 토마토소스를 올린다.
27. 파르메산 치즈를 갈아 올려 마무리한다.</t>
  </si>
  <si>
    <t>&lt;유현수 - 베이징닭&gt;
●재료
생닭, 오코노미야키 소스, 미소, 가쓰오부시,
알배추, 셀러리, 파프리카, 화이트와인,
스키야키 소스, 콤부차, 채소육수팩, 식빵,
잣, 생강, 데미글라스 소스, 참깨드레싱, 설탕, 간장,
마늘, 전분, 대파, 당근, 맛술, 식초, 고춧가루
●조리방법
1. 끓는 물에 간장, 스키야키 소스, 설탕을 넣는다.
2. 1에 뜨거운 물을 넣는다.
3. 2에 마늘, 생강, 셀러리, 채소육수팩, 데미글라스 소스, 참깨드레싱을 넣는다.
4. 생닭을 손질한다.
5. 전분물을 만든 뒤 손질한 닭에 골고루 발라준다.
6. 닭 몸통에 길게 만 쿠킹포일을 넣은 뒤 끝을 묶어준다.
7. 전분물을 묻힌 닭을 기름에 튀긴다.
8. 튀긴 닭을 기름에 반복해서 넣었다가 뺀다.
9. 튀긴 닭을 간장 국물에 넣어 익힌다.
10. 채 썬 대파를 찬물에 담가둔다.
11. 당근, 셀러리, 파프리카, 알배추를 얇게 채 썬 뒤 접시에 담는다.
12. 팬에 잣, 미소, 오코노미야키 소스, 물, 설탕을 넣어 볶는다.
13. 12를 핸드블렌더에 갈아 잣소스를 만든다.
14. 찬물에 담가뒀던 파채에 맛술, 식초, 설탕, 간장, 고춧가루를 넣어 파무침을 만든다.
15. 잣을 핸드블렌더에 넣고 간 뒤 파무침에 넣는다.
16. 접시에 파무침을 올린 뒤 간 잣, 참기름을 뿌린다.
17. 밀대로 식빵을 얇게 민다.
18. 얇게 민 식빵을 원형틀로 찍어낸다.
19. 찍어낸 식빵을 밀대로 한 번 더 민다.
20. 체에 가쓰오부시를 넣은 뒤 직화한다.
21. 냄비에 직화한 가쓰오부시와 화이트와인을 넣는다.
22. 21에 콤부차를 넣고 끓여 사케를 만든다.
23. 팬에 얇게 민 식빵을 굽는다.
24. 구운 식빵을 나무 찜기에 담아낸다.
25. 간장 국물에 익힌 닭을 꺼내 설탕을 묻힌다.
26. 설탕을 묻힌 닭을 기름에 한 번 더 튀긴다.
27. 튀긴 닭의 쿠킹포일을 제거한 뒤 접시에 올린다.
28. 체를 이용해 가쓰오부시를 걸러낸 뒤 사케만 병에 담아낸다.</t>
  </si>
  <si>
    <t>&lt;유현수 - 나의 사랑 나의 김치&gt;
●재료
배추김치, 총각김치, 인스턴트 곰탕,
멸치육수, 맛간장, 꽃게, 황태, 무말랭이,
고춧가루, 들기름, 국물용 조미료, 두부,
콩가루, 표고버섯, 콩나물, 고춧가루, 설탕,
고추장, 전분, 달걀, 다진 마늘, 깨
●조리방법
1. 불린 쌀을 돌솥에 넣은 뒤 물을 넣는다.
2. 돌솥의 뚜껑을 덮고 익힌다.
3. 총각김치를 씻은 뒤 적당한 크기로 썬다.
4. 들기름을 두른 팬에 총각김치, 인스턴트 곰탕을 넣고 끓인다.
5. 두부를 으깬 뒤 콩가루와 섞어준다.
6. 5를 국물에 넣은 뒤 맛간장을 넣어 비지찌개를 만든다.
7. 불린 무말랭이와 표고버섯을 잘게 썬다.
8. 밥 위에 불린 무말랭이, 표고버섯, 들기름을 넣고 익힌다.
9. 팬에 멸치육수를 넣은 뒤 배추김치를 넣는다.
10. 반으로 가른 꽃게 몸통을 팬에 넣는다.
11. 10에 콩나물, 국물용 조미료, 고춧가루, 배추김치국물, 설탕, 고추장을 넣는다.
12. 불린 황태를 적당한 크기로 자른 뒤 전분을 묻힌다.
13. 찜기에 콩나물과 전분을 묻힌 황태를 넣고 찐다.
14. 찐 황태를 꺼내 전분&gt;달걀흰자&gt;전분 순서로 묻힌 뒤, 다시 찜기에 넣고 찐다.
15. 찐 콩나물을 볼에 담은 뒤 들기름, 으깬 깨를 넣고 버무린다.
16. 김치찜에 청양고추, 맛간장, 다진 마늘을 넣는다.
17. 김치찜에 찐 황태, 전분물을 넣는다.
18. 황태김치찜을 접시에 담는다.
19. 깨와 들기름에 버무린 콩나물을 올려 마무리한다.</t>
  </si>
  <si>
    <t>냉장고를 부탁해 시즌 1, 210화</t>
  </si>
  <si>
    <t>&lt;정호영 - 랄라라♬ 김치라고&gt;
●재료
배추김치, 총각김치, 낙지, 콩나물, 두부,
미소, 들기름, 다마리 간장, 낫토, 느타리버섯,
표고버섯, 쪽파, 삼겹살, 멸치육수, 대파, 청양고추,
참기름, 깨, 달걀, 고춧가루, 설탕
●조리방법
1. 불린 쌀을 뚝배기에 넣는다.
2. 팬에 들기름을 두른 뒤 콩나물을 넣고 볶는다.
3. 불린 쌀에 물, 볶은 콩나물을 넣는다.
4. 팬에 잘게 썬 삼겹살, 들기름, 적당한 크기로 썬 배추김치를 넣고 볶는다.
5. 뚝배기에 4를 넣은 뒤 뚜껑을 덮고 익힌다.
6. 삼겹살은 어슷 썰고, 총각김치는 얇게 썬다.
7. 팬에 삼겹살, 총각김치를 넣고 볶은 뒤 멸치육수를 넣어 끓인다.
8. 표고버섯, 대파, 느타리버섯, 청양고추를 얇게 썬다.
9. 국물에 대파, 표고버섯, 미소, 느타리버섯을 넣어 돈지루를 만든다.
10. 씻은 배추김치와 청양고추를 돈지루에 넣는다.
11. 잘게 썬 배추김치에 참기름, 잘게 썬 쪽파, 깨를 넣고 섞는다.
12. 11에 낫토를 넣어 섞는다.
13. 끓는 물에 두부를 데친다.
14. 데친 두부의 윗면을 동그랗게 파낸 뒤 접시에 올린다.
15. 끓는 물에 낙지를 데친다.
16. 데친 낙지를 잘게 썰어 솥밥에 넣는다.
17. 두부에 김치 낫토, 달걀노른자를 올린다.
18. 다마리 간장에 고춧가루, 설탕, 잘게 썬 대파를 넣어 양념장을 만든다.
19. 돈지루를 그릇에 담은 뒤 쪽파를 올린다.</t>
  </si>
  <si>
    <t>&lt;김풍 - 투면스&gt;
●재료
삼겹살, 깻잎, 콩나물, 들기름, 참치액, 굴소스,
표고버섯, 느타리버섯, 국물용 조미료, 새우, 꽃게,
밀가루, 전분, 식용유, 대파, 다진 마늘, 고춧가루
●조리방법
1. 핸드블렌더에 밀가루, 전분, 참치액을 넣는다.
2. 1에 식용유, 물을 넣고 갈아 면 반죽을 만든다.
3. 삼겹살을 잘게 썰어 팬에 넣는다.
4. 새우의 머리와 껍질을 떼어낸다.
5. 잘게 썬 삼겹살에 들기름, 새우 머리와 껍질, 꽃게 다리, 참치액을 넣고 볶는다.
6. 팬에 대파, 식용유, 다진 마늘, 고춧가루, 들기름, 느타리버섯, 표고버섯, 물을 넣고 끓여 얼큰한 국물을 만든다.
7. 5의 팬에 물을 부어 육수를 낸다.
8. 6의 국물에 콩나물을 넣는다.
9. 육수에 국물용 조미료를 넣는다.
10. 밀가루 위에 면 반죽을 올린 뒤 밀대로 넓게 민다.
11. 면 반죽을 여러 겹으로 접는다.
12. 접은 면 반죽의 두께를 다르게 썰어, 얇은 면과 굵은 면을 만든다.
13. 건더기를 걸러낸 육수에 얇은 면을 삶는다.
14. 굵은 면은 끓는 물에 넣어 삶는다.
15. 국물에 굴소스와 새우살을 넣는다.
16. 육수를 체에 밭쳐 얇은 면과 육수를 분리한다.
17. 면을 삶았던 육수를 국물에 넣는다.
18. 얼음물에 식힌 얇은 면의 물기를 뺀 뒤 그릇에 담는다.
19. 깻잎을 잘게 썬다.
20. 얇은 면 위에 깻잎을 올리고, 들기름을 두른다.
21. 국물을 뚝배기에 담는다.
22. 익힌 굵은 면을 그릇에 따로 담아낸다.</t>
  </si>
  <si>
    <t>&lt;레이먼킴 - 레이면킹&gt;
●재료
매생이, 표고버섯, 느타리버섯, 멸치액젓, 들기름,
다마리 간장, 맛간장, 인스턴트 멸치다시마 육수,
국물용 조미료, 황태, 멸치육수, 쪽파, 사과, 무,
밀가루, 맛술, 대파, 청양고추, 소금, 깨, 식초, 양파,
즉석밥, 다진 생강, 다진 마늘
●조리방법
1. 불린 황태에 밀가루를 묻힌 뒤 토치로 직화한다.
2. 끓는 물에 직화한 황태, 맛술, 인스턴트 멸치다시마 육수, 멸치육수를 넣는다.
3. 2에 대파, 표고버섯, 국물용 조미료, 청양고추를 넣어 육수를 만든다.
4. 매생이를 적당한 크기로 썬 뒤 믹서기에 넣는다.
5. 4에 밀가루, 소금, 뜨거운 물을 넣고 갈아 매생이면 반죽을 만든다.
6. 매생이면 반죽을 밀가루와 함께 치댄다.
7. 매생이면 반죽을 볼로 덮어 숙성시킨다.
8. 잘게 썬 청양고추, 고춧가루, 쪽파, 다마리 간장, 들기름, 맛간장, 깨를 섞어 양념장을 만든다.
9. 끓는 물에 식초, 소금, 잘게 썬 양파, 멸치액젓을 넣고 끓인다.
10. 9를 체에 밭쳐 양파만 건져낸다.
11. 양파와 쪽파를 육수에 데친 뒤 얼음물에 식힌다.
12. 핸드블렌더에 즉석밥, 멸치액젓, 고춧가루, 무, 사과, 다진 생강, 다진 마늘을 넣고 갈아 양념을 만든다.
13. 얼음물에 식힌 양파와 쪽파를 양념에 버무려 양파김치를 만든다.
14. 밀가루 위에 매생이면 반죽을 올린 뒤 밀대로 넓게 민다.
15. 매생이면 반죽을 여러 겹으로 접은 뒤 썰어 면을 만든다.
16. 육수의 건더기를 건져낸 뒤 맛간장을 넣는다.
17. 육수에 매생이면을 넣고 삶는다.
18. 매생이면과 육수를 그릇에 담아낸다.
19. 육수에 익힌 표고버섯을 잘게 썰어 매생이면 위에 올린다.</t>
  </si>
  <si>
    <t>&lt;이연복 - 해선만복&gt;
●재료
새우, 관자, 삶은 문어, 주꾸미, 오징어,
전복, 게살, 오디, 마파소스, 라임청,
파프리카, 송이버섯, 그린빈, 브로콜리,
잣, 대파, 양파, 전분, 소금, 달걀, 밀가루,
된장, 마늘, 설탕, 청양고추, 간장
●조리방법
1. 관자의 딱딱한 부분을 제거한 뒤 반으로 갈라 칼집을 낸다.
2. 새우를 핸드블렌더에 넣고 간다.
3. 잘게 다진 대파와 양파, 간새우, 게살을 섞는다.
4. 3에 전분, 소금, 달걀물을 넣고 섞어 소를 만든다.
5. 밀가루를 묻힌 관자 사이에 소를 채워 넣는다.
6. 기름을 넉넉히 두른 팬에 된장을 넣고 튀긴다.
7. 칼집을 낸 전복을 잘게 썬다.
8. 오징어에 촘촘하게 칼집을 낸다.
9. 오징어, 삶은 문어, 주꾸미, 브로콜리, 파프리카를 잘게 썬 뒤 끓는 물에 데친다.
10. 전분에 물, 달걀물을 넣는다.
11. 10에 식용유를 넣어 튀김반죽을 만든 뒤 관자에 뿌린다.
12. 튀김옷을 입힌 관자를 기름에 튀긴다.
13. 튀긴 된장을 볼에 담는다.
14. 팬에 잘게 썬 대파, 된장을 튀긴 기름, 마늘, 그린빈, 마파소스, 설탕을 넣고 볶는다.
15. 접시에 그린빈볶음을 담는다.
16. 청양고추, 대파, 송이버섯을 잘게 썬 뒤 팬에 넣는다.
17. 16에 데친 해산물과 채소, 간장을 넣고 볶는다.
18. 튀긴 된장에 오디즙을 섞어 소스를 만든다.
19. 해산물채소볶음에 된장소스를 넣어 볶는다.
20. 튀긴 관자를 팬에 넣은 뒤 라임청을 넣고 볶는다.
21. 튀긴 관자와 해산물채소볶음을 접시에 담은 뒤 잣을 뿌린다.</t>
  </si>
  <si>
    <t>냉장고를 부탁해 시즌 1, 211화</t>
  </si>
  <si>
    <t>&lt;오세득 - 저 빠다에 누워♬&gt;
●재료
오징어, 관자, 전복, 주꾸미, 삶은 문어, 게살,
꽈리고추, 셀러리, 이탈리안 파슬리, 삼발 올렉,
스리라차소스, 파인애플, 미니 파프리카,
쌀국수볶음소스, 고수, 대파, 달걀, 버터, 소금,
홍고추, 간장, 다진마늘, 설탕, 전분, 참기름
●조리방법
1. 관자에 촘촘하게 칼집을 낸다.
2. 전복, 오징어에 촘촘하게 칼집을 낸다.
3. 삶은 문어 다리를 고기망치로 두드린다.
4. 삶은 문어 다리를 잘게 썬다.
5. 대파를 잘게 썬 뒤 기름을 두른 팬에 넣어 파기름을 낸다.
6. 5에 달걀을 넣어 볶는다.
7. 6에 게살, 버터, 즉석밥, 소금, 쌀국수볶음소소를 넣어 볶음밥을 만든다.
8. 셀러리, 홍고추, 미니 파프리카, 꽈리고추를 잘게 썬다.
9. 기름을 두른 팬에 손질한 채소를 넣은 뒤 소금으로 간한다.
10. 손질한 해산물에 뜨거운 물을 부어 데친다.
11. 볶던 채소에 데친 해산물을 넣는다.
12. 팬에 삼발 올렉, 스리라차소스, 다진마늘, 간장을 넣고 볶아 칠리소스를 만든다.
13. 먹기 좋은 크기로 썬 파인애플을 볶음밥에 넣고 볶는다.
14. 볶음밥, 해산물볶음, 칠리소스에 후추를 뿌린다.
15. 볶음밥을 접시에 담는다.
16. 칠리소스에 설탕, 버터, 전분물을 넣어 졸인다.
17. 칠리소스에 참기름을 넣는다.
18. 고수를 잘게 썬 뒤 칠리소스에 넣는다.
19. 해산물볶음에 칠리소스를 넣은 뒤 설탕, 버터를 넣고 섞는다.
20. 해산물볶음을 접시에 담는다.
21. 해산물볶음에 고수, 칠리소스를 올려 낸다.</t>
  </si>
  <si>
    <t>&lt;샘킴 - 날아라 슈퍼푸드&gt;
●재료
소 안심, 다진 소고기, 리코타 치즈,
생모차렐라 치즈, 강황가루, 강황물, 송이버섯,
파프리카, 케일, 토란, 유자드레싱, 아로니아가루,
사과, 닭가슴살, 토마토, 토마토홀, 파프리카가루,
파슬리, 바질, 올리브오일, 마늘, 소금, 설탕,
밀가루, 양파, 후추, 레몬
●조리방법
1. 토란을 얇게 썬 뒤 끓는 물에 넣어 삶는다.
2. 올리브오일을 두른 냄비에 다진 소고기, 마늘, 토란 삶은 물을 넣고 끓여 육수를 낸다.
3. 올리브오일에 마늘, 파슬리, 얇게 썬 토마토를 넣는다.
4. 3에 소금, 설탕으로 간한 뒤 랩을 씌운 접시 위에 올린다.
5. 4를 전자레인지에 넣고 돌린다.
6. 파프리카를 적당한 크기로 썬 뒤 그릴팬에 굽는다.
7. 파프리카에 올리브오일, 소금을 뿌려 굽는다.
8. 핸드블렌더에 밀가루, 강황물, 강황가루를 넣는다.
9. 8을 갈아 반죽을 만든 뒤 손으로 치댄다.
10. 소 안심을 적당한 크기로 썬 뒤 팬에 넣는다.
11. 10에 올리브오일, 밀가루, 파프리카가루, 소금, 후추를 넣고 볶는다.
12. 잘게 썬 양파와 구운 파프리카를 팬에 넣고 함께 볶는다.
13. 재료를 볶던 팬에 토란 삶은 물을 넣는다.
14. 13에 육수를 넣는다.
15. 14에 토마토홀을 넣어 토마토소스를 만든다.
16. 반죽을 밀대로 얇게 민다.
17. 얇게 민 반죽을 사각형 모양으로 자른 뒤 끓는 물에 넣어 삶는다.
18. 마늘을 으깬 뒤 올리브오일을 두른 팬에 넣어 볶는다.
19. 얇게 썬 케일을 팬에 넣고 함께 볶는다.
20. 볶은 케일에 소금, 후추로 간한 뒤 볼에 담아둔다.
21. 볶은 케일에 리코타 치즈를 넣고 섞는다.
22. 전자레인지에 돌린 토마토를 21과 섞어준다.
23. 삶은 토란을 체에 밭쳐 으깬 뒤 22에 넣어 소를 만든다.
24. 삶은 반죽을 찬물에 헹군다.
25. 반으로 자른 반죽에 소를 올린 뒤 돌돌 말아 카넬로니를 만든다.
26. 닭가슴살을 넓게 펼친 뒤 고기망치로 두드린다.
27. 올리브오일을 두른 팬에 닭가슴살을 넣은 뒤 소금, 후추, 바질을 뿌려 굽는다.
28. 토마토소스에 리코타 치즈를 넣는다.
29. 접시에 토마토소스를 담은 뒤 카넬로니를 올린다.
30. 카넬로니에 생모차렐라 치즈를 올린 뒤 토치로 직화한다.
31. 구운 닭가슴살을 접시에 올린다.
32. 올리브오일을 두른 팬에 송이버섯을 넣은 뒤 소금을 뿌려 굽는다.
33. 케일을 얇게 채 썬 뒤 볼에 담는다.
34. 케일에 토마토, 채 썬 사과를 넣는다.
35. 아로니아가루, 유자드레싱, 올리브오일을 섞어 아로니아 드레싱을 만든 뒤
볼에 넣고 섞어 샐러드를 만든다.
36. 구운 닭가슴살 위에 샐러드를 올린다.
37. 샐러드에 구운 송이버섯을 올린다.
38. 샐러드 위에 아로니아 드레싱을 뿌린다.
39. 샐러드와 카넬로니에 레몬즙을 뿌려 마무리한다.</t>
  </si>
  <si>
    <t>&lt;미카엘 - 강황장군&gt;
●재료
양갈비, 송이버섯, 강황가루, 셀러리, 토마토,
이탈리안 파슬리, 토마토페이스트, 토마토홀,
마파소스, 후추, 양파, 올리브오일, 당근, 고추,
소금, 달걀, 밀가루, 마늘, 간장
●조리방법
1. 올리브오일을 두른 팬에 잘게 썬 양파를 볶는다.
2. 당근을 잘게 썬 뒤 팬에 넣는다.
3. 셀러리를 잘게 썬 뒤 팬에 넣어 함께 볶는다.
4. 3에 얇게 썬 고추, 토마토홀을 넣어 토마토소스를 만든다.
5. 올리브오일을 두른 팬에 양파, 송이버섯을 넣고 볶는다.
6. 5에 간 양갈비, 소금, 후추, 마파소스를 넣어 만두소를 만든다.
7. 밀가루에 달걀, 강황가루, 물을 섞어 반죽을 만든다.
8. 반죽에 밀가루를 뿌려가며 치댄다.
9. 토마토소스에 소금을 넣는다.
10. 토마토소스에 후추를 넣는다.
11. 반죽을 밀대로 얇게 민다.
12. 얇게 민 반죽을 원형틀로 찍어 만두피를 만든다.
13. 만두피에 만두소를 넣어 만두를 빚는다.
14. 끓는 물에 만두를 넣은 뒤 소금을 넣고 삶는다.
15. 얇게 썬 마늘을 토마토소스에 넣는다.
16. 토마토소스에 소금을 넣어 간한다.
17. 토마토소스에 토마토페이스트, 마파소스, 후추, 간장을 넣는다.
18. 토마토소스에 잘게 썬 이탈리안 파슬리와 토마토를 넣는다.
19. 그릇에 토마토소스를 담는다.
20. 토마토소스 위에 삶은 만두, 이탈리안 파슬리를 올린다.</t>
  </si>
  <si>
    <t>&lt;이연복 - 복믈렛&gt;
●재료
감자, 떡볶이, 모차렐라 치즈, 하바티 치즈,
하몽, 단무지, 만두, 불고기, 양파, 대파, 마늘,
고추장, 간장, 설탕, 전분, 소금, 달걀
●조리방법
1. 양파, 대파, 마늘을 잘게 썬다.
2. 만두는 만두소만 분리하고, 불고기는 잘게 썬다.
3. 떡볶이의 떡과 소시지를 잘게 썬다.
4. 기름을 두른 팬에 손질한 채소를 넣는다.
5. 4에 잘게 썬 떡과 소시지, 만두소, 불고기, 고추장, 간장, 설탕을 넣고 볶는다.
6. 감자를 채 썬 뒤 소금, 설탕, 전분을 넣고 버무린다.
7. 기름을 두른 2개의 팬에 감자를 올려 굽는다.
8. 감자전을 굽던 기름을 또 다른 감자전에 부어가며 굽는다.
9. 감자전 위에 달걀을 올린 뒤 오븐에 넣어 굽는다.
10. 감자전 위에 하바티 치즈를 올린다.
11. 10 위에 볶은 재료들을 올린 뒤 하바티 치즈를 다시 올린다.
12. 오븐에 구운 감자전을 11 위에 올린 뒤 모차렐라 치즈로 덮어준다.
13. 뚜껑용으로 덮은 팬을 토치로 가열한다.
14. 모차렐라 치즈를 토치로 직화한다.
15. 하몽, 단무지를 잘게 썬 뒤 오믈렛 위에 뿌린다.</t>
  </si>
  <si>
    <t>냉장고를 부탁해 시즌 1, 212화</t>
  </si>
  <si>
    <t>&lt;유현수 - 감~자봤쌈&gt;
●재료
감자, 찐 옥수수, 셀러리장아찌, 쌈장,
마스카르포네 치즈, 하몽, 파스타면, 육포,
할루미 치즈, 고추장, 간장, 설탕,
밀가루, 소금, 양파, 대파, 홍고추,
맛술, 후추, 물엿, 올리브오일
●조리방법
1. 할루미 치즈를 그릴팬에 굽는다.
2. 셀러리장아찌 국물에 간장, 설탕을 넣고 끓인다.
3. 구운 할루미 치즈를 먹기 좋은 크기로 썬다.
4. 셀러리장아찌를 잘게 다진 뒤 할루미 치즈 위에 올린다.
5. 끓인 장아찌 국물을 얼음 위에 올려 식힌다.
6. 적당한 크기로 썬 감자, 찐 옥수수를 믹서기에 넣는다.
7. 6에 물을 넣고 간다.
8. 7에 밀가루, 소금을 넣고 섞어 감자전 반죽을 만든다.
9. 기름을 두른 팬에 감자전 반죽을 올려 굽는다.
10. 접시에 감자전을 올린다.
11. 양파, 찐 옥수수, 대파, 홍고추를 잘게 썬 뒤 팬에 넣고 볶는다.
12. 11에 설탕, 쌈장, 맛술을 넣고 볶는다.
13. 12에 마스카르포네 치즈를 넣고 섞어 쌈장마스카르포네를 만든다.
14. 감자전 위에 쌈장마스카르포네를 올린다.
15. 감자전에 하몽을 올린 뒤 후추를 뿌린다.
16. 기름에 파스타면을 넣고 튀겨 그리시니를 만든다.
17. 그리시니에 물엿과 고추장을 바른다.
18. 핸드블렌더에 육포를 넣어 곱게 간다.
19. 그리시니에 간 육포, 설탕을 뿌린 뒤 유리컵에 담는다.
20. 구운 할루미 치즈 위에 장아찌 국물을 붓는다.
21. 감자전 위에 올리브오일을 뿌린다.</t>
  </si>
  <si>
    <t>&lt;샘킴 - 담비 내릴 두부&gt;
●재료
두부, 살라미, 감자, 모차렐라 치즈,
하바티 치즈, 고다 치즈, 살사소스,
시저드레싱, 발사믹 식초, 셀러리장아찌,
케첩, 사과, 전분, 설탕, 당근, 양파, 마늘,
마요네즈, 레몬, 올리브오일
●조리방법
1. 적당한 크기로 썬 두부를 전분에 묻힌 뒤 기름에 튀긴다.
2. 팬에 발사믹 식초, 설탕을 넣어 졸인다.
3. 기름을 두른 냄비에 당근, 양파를 넣고 볶은 뒤 뜨거운 물을 부어 채소 육수를 만든다.
4. 마늘을 잘게 썬 뒤 올리브오일을 두른 팬에 넣고 볶는다.
5. 잘게 썬 살라미를 팬에 넣고 함께 볶는다.
6. 5에 채소 육수를 넣은 뒤 살사소스, 케첩을 넣는다.
7. 튀긴 두부를 팬에 넣고 함께 볶는다.
8. 고다 치즈를 잘게 썬 뒤 두부뇨키에 넣어 볶는다.
9. 셀러리장아찌를 잘게 다진다.
10. 다진 셀러리장아찌에 마요네즈, 시저드레싱, 레몬즙, 올리브오일을 섞어 소스를 만든다.
11. 채 썬 감자에 두부를 으깨어 넣는다.
12. 11에 전분을 섞은 뒤 기름을 두른 팬에 올려 굽는다.
13. 두부감자전 사이에 하바티 치즈를 넣어 익힌다.
14. 원형틀에 두부뇨키를 넣고, 소스를 올린다.
15. 원형틀로 찍어낸 모차렐라 치즈를 두부뇨키 위에 올린다.
16. 모차렐라 치즈를 토치로 직화한다.
17. 적당한 크기로 썬 두부감자전을 접시에 올린다.
18. 얇게 썬 양파, 사과를 볼에 담은 뒤 올리브오일, 발사믹 식초를 넣어 섞는다.
19. 사과샐러드를 두부감자전 위에 올린다.
20. 졸인 발사믹 소스를 뿌려 완성한다.</t>
  </si>
  <si>
    <t>&lt;레이먼킴 - 두부퀸&gt;
●재료
두부, 살라미, 찐 옥수수, 페페론치노,
마스카르포네 치즈, 꿀, 냉동 딸기, 냉동
블루베리, 아몬드, 튀밥, 오렌지맛 사탕,
케첩,전분, 올리브오일, 양파, 설탕, 고추,
홍고추, 후추, 레몬, 대파
●조리방법
1. 두부를 적당한 크기로 썬 뒤 반은 전분에 묻힌다.
2. 나머지 두부를 기름에 튀긴다.
3. 으깬 두부를 믹서기에 넣는다.
4. 으깬 두부에 올리브오일을 조금씩 넣어가며 함께 간다.
5. 간 두부에 냉동 딸기를 넣는다.
6. 5에 마스카르포네 치즈, 꿀을 넣고 갈아 두부무스를 만든다.
7. 유리잔에 냉동 블루베리&gt;두부무스&gt;튀밥&gt;두부무스 순으로 담는다.
8. 아몬드, 오렌지맛 사탕을 으깬 뒤 두부무스 위에 올린다.
9. 두부무스를 얼음 위에 올려 차갑게 만든다.
10. 전분을 묻히지 않고 튀긴 두부를 건져낸다.
11. 전분을 묻힌 두부를 기름에 튀긴다.
12. 기름을 두른 팬에 잘게 썬 양파를 넣고 볶는다.
13. 살라미를 잘게 썬 뒤 팬에 넣어 함께 볶는다.
14. 13에 찐 옥수수를 넣는다.
15. 14에 페페론치노, 설탕, 케첩을 넣는다.
16. 얇게 썬 고추, 홍고추를 팬에 넣고 볶는다.
17. 16에 후추, 물을 넣고 끓여 소스를 만든다.
18. 전분을 묻혀 튀긴 두부와 그냥 튀긴 두부를 한 번 더 기름에 튀긴다.
19. 소스에 레몬즙을 뿌린다.
20. 소스에 전분물을 넣어 농도를 조절한다.
21. 튀긴 두부를 접시에 담은 뒤 소스를 붓는다.
22. 21에 레몬껍질, 후추, 잘게 썬 대파를 올린다.
23. 두부무스에 설탕을 뿌린 뒤 토치로 직화한다.
24. 두부무스에 튀밥을 올린다.
25. 두부무스에 레몬껍질을 갈아 올린다.</t>
  </si>
  <si>
    <t>&lt;김승민 - 인사이덕&gt;
●재료
오리고기, 인스턴트 곰탕, 자몽청, 레몬청, 곶감, 삶은 쥐눈이콩&amp;팥, 데친 브로콜리, 자색 찐고구마, 김, 오징어낙지볶음소스, 식초, 달걀, 맛술, 청주, 간장, 올리브오일, 생강, 즉석밥, 전분, 튀김가루
●조리방법
1. 끓는 물에 식초를 넣는다.
2. 국자를 이용해 1에 달걀을 넣는다.
3. 팬에 인스턴트 곰탕을 넣고 끓인다.
4. 3에 삶은 쥐눈이콩&amp;팥을 넣는다.
5. 곰탕 육수에 자몽청, 레몬청을 넣는다.
6. 곶감을 잘게 썰어 5에 넣는다.
7. 맛술과 청주를 섞어 팬에 넣는다.
8. 7에 낙지오징어볶음소스, 간장을 넣어 조림 소스를 만든다.
9. 오리고기에 전분을 바른다.
10. 오리고기에 자색 찐고구마 올려 말아준다.
11. 10에 전분을 묻힌 뒤, 올리브오일을 두른 팬에 굽는다.
12. 11에 청주를 넣어 불향을 입힌 뒤 뚜껑을 덮는다.
13. 생강을 팬에 넣는다.
14. 13의 팬에 조림 소스를 넣어 조린다.
15. 오리고기 조림에 데친 브로콜리를 넣는다.
16. 전자레인지에 즉석밥을 돌린다.
17. 달걀이 든 냄비를 불에서 내려 익힌다.
18. 생강을 편으로 얇게 썬다.
19. 편으로 썬 생강을 가늘게 채 썬다.
20. 채 썬 생강을 물에 담가 전분기를 뺀다.
21. 탄산수와 튀김가루를 섞어 반죽을 만든 뒤, 김에 묻힌다.
22. 반죽을 묻힌 김을 기름에 튀겨 김 튀김을 만든다.
23. 오리고기 조림을 접시에 담는다.
24. 김 튀김, 채 썬 생강을 오리고기 조림과 함께 담는다.
25. 삶은 달걀의 껍데기를 제거한 뒤, 24에 올린다.</t>
  </si>
  <si>
    <t>냉장고를 부탁해 시즌 1, 213화</t>
  </si>
  <si>
    <t>&lt;정호영 - 광이 나는 함박♬&gt;
●재료
오리고기, 소갈비양념, 스위트 칠리소스, 아이스크림, 감자칩, 설탕, 달걀, 전분, 다진 마늘, 대파, 청주, 양파, 당근, 밀가루, 고춧가루, 케첩, 물엿, 고추장, 물
●조리방법
1. 끓는 물에 설탕을 넣어 시럽을 만든다.
2. 핸드블렌더에 오리고기, 달걀, 전분, 소갈비양념, 다진 마늘을 넣고 갈아 패티 반죽을 만든다.
3. 패티 반죽에 잘게 썬 대파, 전분을 넣어 뭉친다.
4. 뭉친 패티 반죽을 팬에 굽는다.
5. 4에 청주를 넣고 뚜껑을 덮어 익힌다.
6. 대파, 양파, 당근을 채 썰고 밀가루를 넣어 채소튀김 반죽을 만든다.
7. 오리고기를 잘게 썬 뒤, 채소튀김 반죽에 넣는다.
8. 체를 이용해 채소튀김 반죽의 모양을 잡은 뒤, 기름에 튀긴다.
9. 팬에 다진 마늘, 고춧가루, 스위트 칠리소스, 케첩, 설탕, 물, 고추장, 물엿을 넣는다.
10. 9에 땅콩버터맛 아이스크림을 넣어 매운 양념치킨맛 소스를 만든다.
11. 체에서 채소튀김을 떼어내 튀긴다.
12. 접시에 함박 스테이크와 매운 양념치킨맛 소스를 담는다.
13. 채소튀김을 건져낸다.
14. 믹서기에 감자칩을 넣고 간 뒤 채소튀김 위에 뿌린다.
16. 달걀을 기름에 튀긴다.
17. 함박 스테이크에 채소튀김을 덮은 뒤, 튀긴 달걀을 올린다.
18. 17에 설탕 시럽을 뿌린다.
19. 18에 간 감자칩을 뿌린다.
20. 튀긴 달걀을 토치로 직화한다.</t>
  </si>
  <si>
    <t>&lt;오세득 - 마늘 어찌하오리&gt;
●재료
오리고기, 인스턴트 곰탕, 초장, 미숫가루, 들깻가루, 양배추, 양상추, 마늘, 다진 마늘, 생강, 된장, 식초, 설탕, 간장, 들기름, 고춧가루, 청양고추, 물
●조리방법
1. 마늘과 생강을 지퍼백에 넣고 고기망치로 두드려 으깬 뒤, 끓는 물에 넣는다.
2. 냄비에 인스턴트 곰탕, 된장을 넣고 끓인다.
3. 오리고기를 지퍼백에 넣은 뒤, 고기망치로 두드린다.
4. 오리고기를 체에 밭쳐 마늘과 생강을 넣은 물에 데친다.
5. 데친 오리고기를 된장 푼 곰탕에 넣는다.
6. 믹서기에 들깻가루, 미숫가루, 뜨거운 물을 넣고 간다.
7. 6을 체에 곱게 거른 뒤, 된장 푼 곰탕에 넣어 들깨 오리탕을 만든다.
8. 마늘을 지퍼백에 넣고 고기망치로 두드려 으깬다.
9. 으깬 마늘을 볼에 담은 뒤, 식초를 넣는다.
10. 9의 마늘을 지퍼백에 넣어 고기망치로 두드린다.
11. 핸드블렌더로 설탕, 물, 식초, 간장을 섞은 뒤, 으깬 마늘에 넣어 마늘 소스를 만든다.
12. 양배추를 잘게 썬 뒤, 얼음물에 담가둔다.
13. 청양고추, 홍고추를 잘게 썬 뒤 양배추와 섞는다.
14. 13을 접시에 올린 뒤, 마늘 소스를 담아 양배추마늘 무침을 만든다.
15. 들깨 오리탕에 고춧가루, 마늘, 청양고추를 넣는다.
16. 접시에 초장, 볶은 들깻가루, 들기름, 다진 마늘을 넣어 초장 소스를 만든다.
17. 적당한 크기로 썬 양상추를 들깨 오리탕에 넣고 뚜껑을 덮어 끓인다.</t>
  </si>
  <si>
    <t>&lt;김풍 - 너마늘 위한 목살&gt;
●재료
돼지목살, 양배추, 한라봉청, 찹쌀가루, 마늘, 대파, 고춧가루, 맛술, 간장, 후추
●조리방법
1. 끓는 기름에 대파, 고춧가루를 넣어 고추기름을 만든다.
2. 채칼을 이용해 양배추를 채 썬다.
3. 돼지목살을 지퍼백에 넣은 뒤 고기망치로 두드린다.
4. 돼지목살을 적당한 크기로 썬 뒤, 한라봉청을 넣고 버무린다.
5. 4의 돼지목살에 간장, 맛술, 후추, 찹쌀가루를 넣고 버무린다.
6. 5의 돼지목살을 기름에 튀긴다.
7. 마늘을 지퍼백에 넣고 고기망치로 두드려 으깬다.
8. 으깬 마늘을 끓는 물에 30초간 삶는다.
9. 으깬 마늘을 체에 밭쳐 걸러낸 뒤, 얼음물에 담가둔다.
10. 맛술, 으깬 마늘, 간장, 고춧가루, 한라봉청을 넣고 섞는다.
11. 핸드블렌더에 고추기름을 넣고 간 뒤, 10에 넣고 섞어 마늘 소스를 만든다.
12. 튀긴 목살을 체에 밭쳐 건져낸다.
13. 접시에 양배추, 목살 튀김을 올린다.
14. 13에 마늘 소스를 담아 마무리한다.</t>
  </si>
  <si>
    <t>&lt;정호영 - 집밥 먹고 치열~업♬&gt;
●재료
전복 삼계탕, 떡볶이 양념장, 돼지 목살, 국물용 멸치, 반건조 오징어, 배추김치, 건표고버섯, 소 안심, 식초, 소금, 달걀, 쌀, 마늘, 맛술, 청주, 간장, 설탕, 청양고추, 다진 마늘, 후추, 대파, 고추장, 고춧가루, 참기름, 깨, 당근, 라면
●조리방법
1. 끓는 물에 식초, 소금을 넣은 뒤, 체에 밭친 달걀을 넣어 삶는다.
2. 돌솥에 불린 쌀을 넣어 밥을 짓는다.
3. 소 안심을 적당한 크기로 썬다.
4. 끓는 물에 소 안심, 마늘, 맛술, 청주, 불린 건표고버섯, 전복, 간장을 넣는다.
5. 4에 설탕, 청양고추를 넣고 끓여 소고기 장조림을 만든다.
6. 솥밥의 불을 약하게 한 후, 뚜껑을 덮어 뜸을 들인다.
7. 돼지 목살을 적당한 크기로 썬다.
8. 팬에 돼지 목살, 배추김치, 끓는 물을 넣고 끓인다.
9. 8에 다진 마늘을 넣는다.
10. 9에 후추를 넣는다.
11. 10에 잘게 썬 대파, 청양고추를 넣어 갱시기를 만든다.
12. 불린 반건조 오징어의 몸통에 칼집을 낸 뒤, 적당한 크기로 썬다.
13. 적당한 크기로 썬 반건조 오징어를 끓는 물에 데친 후, 찬물에 헹군다.
14. 13의 반건조 오징어에 떡볶이 양념장, 고춧가루, 간장, 설탕, 고추장을 넣는다.
15. 잘게 썬 대파, 청양고추, 당근을 14에 넣는다.
16. 15에 참기름을 넣어 무친 뒤, 깨를 뿌려 오징어무침을 만든다.
17. 삶은 달걀을 건진 후, 껍데기를 벗긴다.
18. 갱시기에 라면수프를 넣는다.
19. 갱시기에 잘게 썬 대파를 넣는다.
20. 갱시기에 라면 면을 넣고 끓인다.
21. 삶은 달걀을 소고기 장조림에 넣고 끓인다.
22. 갱시기를 그릇에 담아낸다.
23. 소고기 장조림을 그릇에 담아낸다.</t>
  </si>
  <si>
    <t>냉장고를 부탁해 시즌 1, 214화</t>
  </si>
  <si>
    <t>&lt;김풍 - 닭개장 먹고 치열스&gt;
●재료
인스턴트 삼계탕, 명이나물 무침, 건표고버섯, 마늘장아찌, 게맛살, 쌀, 청양고추, 대파, 기름, 고춧가루, 간장, 마늘, 양파, 맛술, 달걀, 케첩
●조리방법
1. 냄비에 불린 쌀을 넣어 밥을 짓는다.
2. 인스턴트 삼계탕에 들어있는 닭의 살을 발라낸다.
3. 핸드블렌더에 닭의 살과 밥, 삼계탕 국물을 넣고 간다.
4. 채칼을 이용해 양파를 슬라이스 해 얼음물에 담가둔다.
5. 가위로 청양고추를 잘게 자른다.
6. 가위로 대파를 적당한 크기로 자른다.
7. 냄비밥에 끓는 물을 더 넣는다.
8. 냄비밥에 기름을 넣는다.
9. 팬에 청양고추, 대파, 고춧가루, 간장, 으깬 마늘, 삼계탕 국물, 간 닭의 살과 밥을 넣는다.
10. 불린 건표고버섯을 적당한 크기로 썬 뒤, 9에 넣어 닭개장을 만든다.
11. 믹서기에 마늘장아찌를 넣고 간다.
12. 찬물에 담가둔 양파를 체로 건져낸 뒤, 간 마늘장아찌를 넣는다.
13. 12에 명이나물 무침을 잘라 넣는다.
14. 13에 간장, 맛술, 고춧가루를 넣어 명이나물 양파 무침을 만든다.
15. 닭개장에 고춧가루를 넣는다.
16. 볼에 달걀을 푼 뒤, 잘게 찢은 게맛살을 넣는다.
17. 기름을 두른 팬에 16의 달걀물을 부어 휘젓는다.
18. 종이호일에 17의 달걀을 올려 말아준 후, 종이호일 끝을 묶어준다.
19. 닭개장을 그릇에 담아낸다.
20. 종이호일을 뺀 달걀말이를 접시에 담아낸다.
21. 달걀말이에 케첩을 뿌려 마무리한다.</t>
  </si>
  <si>
    <t>&lt;레이먼킴 - 스테이크 맛있소&gt;
●재료
소 등심, 건표고버섯, 위스키, 콜라, 야채주스, 곰탕, 간장, 설탕, 레몬, 다진 마늘, 다진 생강, 후추, 당근, 올리브오일, 양파, 청양고추, 버터, 밀가루, 소금, 후추, 대파
●조리방법
1. 볼에 콜라, 레몬즙, 간장, 설탕, 다진 마늘, 다진 생강, 후추를 넣는다.
2. 1의 양념에 소 등심을 담가둔다.
3. 양파를 잘게 썬다.
4. 채칼로 당근을 얇게 슬라이스한 뒤 소금, 올리브오일을 넣고 섞는다.
5. 4의 당근을 그릴팬에 굽는다.
6. 잘게 썬 양파, 청양고추, 불린 건표고버섯을 팬에 넣은 뒤, 버터, 위스키를 넣고 볶는다.
7. 6에 밀가루, 야채주스, 곰탕 국물을 넣는다.
8. 7에 소금, 후추를 넣는다.
9. 8에 콜라를 넣어 소스를 만든다.
10. 핸드블렌더에 건표고버섯을 넣고 갈아 표고버섯 가루를 만든다.
11. 양념에 재운 소 등심에 올리브오일을 묻혀 그릴팬에 굽는다.
12. 찜기에 포고버섯 가루를 넣은 뒤, 구운 소 등심을 올려 훈연한다.
13. 접시에 구운 당근을 접어 올린다.
14. 훈연한 소 등심을 구운 당근 위에 올린 뒤, 구운 당근과 소 등심을 반복해서 쌓는다.
15. 대파를 잘게 썬다.
16. 당근과 소 등심을 쌓은 접시에 소스를 올린다.
17. 16에 잘게 썬 대파를 뿌려 마무리한다.</t>
  </si>
  <si>
    <t xml:space="preserve">&lt;이연복 - 소고기, 바로 이 맛 아닙니까!&gt;
●재료
소 안심, 돼지 목살, 게맛살, 한방 배숙, 전복 삼계탕, 명이나물 무침, 건표고버섯, 후추, 소금, 전분, 달걀, 기름, 마늘, 청양고추, 양파, 대파, 고추장, 케첩, 레몬, 물엿
●조리방법
1. 소 안심에 칼집을 잘게 낸다.
2. 1에 명이나물 무침 국물을 넣는다.
3. 핸드블렌더에 돼지 목살, 소 안심, 전복 삼계탕 속 닭의 살, 후추, 소금, 전분, 달걀흰자를 넣고 갈아 고기반죽을 만든다.
4. 전복과 불린 건표고버섯을 잘게 썰어 고기반죽과 함께 치댄다.
5. 칼집을 낸 소 안심에 전분을 묻힌 뒤, 고기반죽&gt;잘게 썬 명이나물 순서로 올린다.
6. 5를 말아서 나무꼬치를 이용해 고정시킨다.
7. 6을 기름에 튀겨 소고기 튀김을 만든다.
8. 그릴팬에 대파를 굽는다.
9. 으깬 마늘, 잘게 썬 청양고추, 양파, 대파, 고추장, 게맛살, 케첩, 한방 배숙, 전복 삼계탕 국물을 넣고 끓여 소스를 만든다.
10. 체를 이용해 소고기 튀김을 건져낸다.
11. 기름에 소고기 튀김을 넣어 한 번 더 튀긴다.
12. 소고기 튀김을 건져낸다.
13. 소스에 명이나물 무침 국물을 넣는다.
14. 13에 레몬즙, 한방배숙, 물엿, 전분물을 넣는다.
15. 대파를 잘게 썬다.
16. 구운 대파를 적당한 크기로 썬 뒤, 접시에 올린다.
17. 16에 소스를 끼얹는다.
18. 17에 소고기 튀김을 올린다,
19. 18에 소스를 올린다.
20. 19에 잘게 썬 대파를 올려 마무리한다.
</t>
  </si>
  <si>
    <t>&lt;김승민 - 오늘의 하이라이트닭&gt;
●재료
양념닭불고기, 맥주, 감자, 방울토마토, 치킨스톡, 멸치육수팩, 오렌지, 벚꽃와인, 아보카도, 스트링치즈, 달걀, 올리브오일, 전분, 양파, 맛술, 간장, 레몬, 당근, 대파, 고추
●조리방법
1. 끓는 물에 멸치육수팩, 치킨스톡을 넣고 끓인다.
2. 달걀노른자를 따로 분리한 뒤 잘 섞어준다.
3. 양념닭불고기를 맥주에 헹군다.
4. 닭불고기를 올리브오일에 버무린 뒤 석쇠에 올려 굽는다.
5. 4를 토치로 직화한다.
6. 직화한 닭불고기를 전분에 버무린다.
7. 스트링치즈를 적당한 크기로 썬다.
8. 전분을 묻힌 닭불고기 안에 스트링치즈를 넣은 뒤 동그랗게 뭉친다.
9. 동그랗게 뭉친 닭불고기에 달걀노른자를 묻힌 뒤 기름에 튀긴다.
10. 오렌지의 즙을 짜낸다.
11. 강판에 양파를 간 뒤 팬에 담는다.
12. 간 양파에 벚꽃와인을 섞어 끓인다.
13. 12에 맛술, 간장을 넣고 끓여 간장소스를 만든다.
14. 얼음 위에 올려 차게 만든 오렌지즙에 레몬즙을 섞는다.
15. 14에 간장소스를 넣어 오렌지폰즈소스를 만든다.
16. 적당한 크기로 썬 감자, 당근을 기름에 튀긴다.
17. 방울토마토를 기름에 튀긴 뒤 건져내 얼음에 식힌다.
18. 튀긴 방울토마토의 껍질을 벗긴다.
19. 팬에 벚꽃와인, 맛술, 껍질을 벗긴 방울토마토를 넣고 끓인다.
20. 19에 육수를 넣어 끓인다.
21. 20에 치킨스톡, 간장, 대파를 넣고 끓인다.
22. 그릇에 오렌지폰즈소스를 담은 뒤 잘게 썬 고추를 올린다.
23. 나베그릇에 튀긴 닭완자를 담는다.
24. 끓이던 소스에 전분물을 넣어 농도를 조절한 뒤 튀긴 감자, 당근을 넣는다.
25. 나베그릇에 소스를 담는다.</t>
  </si>
  <si>
    <t>냉장고를 부탁해 시즌 1, 215화</t>
  </si>
  <si>
    <t>&lt;유현수 - 유씨네 닭갈비&gt;
●재료
생닭, 보이차 분말, 파슬리, 닭가슴살 스테이크, 표고버섯 슬라이스, 인스턴트 삼계탕, 치킨스톡, 동치미, 칠리소스, 비빔라면, 오이, 방울토마토, 핫바, 칼라만시, 밀가루, 대파, 후추, 다진마늘, 청양고추, 양파, 간장, 고추장, 설탕, 식초, 참기름, 연겨자
●조리 방법
1. 생닭을 손질한 뒤 밀가루를 묻힌다.
2. 밀가루를 묻힌 닭을 기름에 튀긴다.
3. 석쇠 사이에 대파를 넣어 굽는다.
4. 튀긴 닭에 후추를 뿌린다.
5. 절구에 보이차 분말을 넣는다.
6. 5에 올리브오일, 파슬리, 다진마늘, 청양고추를 넣고 으깬다.
7. 6에 튀긴 닭을 넣고 버무린 뒤 석쇠에 올린다.
8. 7을 구운 대파 위에 올려 훈연한다.
9. 채 썬 양파, 불린 표고버섯 슬라이스를 팬에 넣어 볶는다.
10. 핫바의 겉부분을 잘게 썬 뒤 팬에 넣어 함께 볶는다.
11. 10에 인스턴트 삼계탕, 간장을 넣고 볶아 닭갈비 소스를 만든다.
12. 비빔라면의 면을 삶은 뒤 얼음물에 헹군다.
13. 믹서기에 동치미 국물, 고추장, 방울토마토를 넣고 간다.
14. 13에 칼라만시, 설탕, 식초, 칠리소스를 넣고 한 번 더 간다.
15. 매운맛 닭가슴살 스테이크를 얇게 썬다.
16. 동치미무, 오이는 얇게 썰고 방울토마토는 반으로 썬다.
17. 차게 식힌 면에 참기름을 넣은 뒤 접시에 담는다.
18. 막국수양념에 연겨자를 넣은 뒤 면 위에 붓는다.
19. 18에 동치미무, 오이, 매운맛 닭가슴살 스테이크, 방울토마토를 올린다.
20. 닭갈비 소스에 구운 닭을 올려 마무리한다.</t>
  </si>
  <si>
    <t>&lt;오세득 - 맛스타&gt;
●재료
소등심, 두릅장아찌, 연근조림, 표고버섯 슬라이스, 양송이버섯, 치킨스톡, 카야잼, 양파, 소금, 후추, 마늘, 고춧가루, 고추, 홍고추, 청양고추, 식초, 간장, 설탕, 맛술, 올리브오일, 참기름, 대파, 레드와인, 연겨자
●조리방법
1. 지퍼백에 소등심을 넣은 뒤 고기망치로 두드려 넓게 편다.
2. 양파와 양송이버섯을 얇게 썬 뒤 기름을 두른 팬에 넣고 볶는다.
3. 2에 소금, 후추, 불린 표고버섯 슬라이스를 넣고 볶는다.
4. 마늘을 으깬 뒤 끓는 기름에 넣는다.
5. 4에 고춧가루를 넣어 고추기름을 낸다.
6. 넓게 편 등심에 버섯볶음을 올린다.
7. 6에 잘게 썬 연근조림을 올리고 소금, 후추로 간한 뒤 돌돌 만다.
8. 기름을 두른 팬에 소고기롤을 굽는다.
9. 고추, 홍고추, 청양고추를 먹기 좋은 크기로 썬다.
10. 고추기름을 두른 팬에 얇게 썬 양파, 고추를 넣고 볶는다.
11. 핸드블렌더에 식초, 간장, 맛술, 설탕, 카야잼을 넣는다.
12. 11에 치킨스톡, 불린 표고버섯물, 올리브오일, 참기름을 넣고 갈아 소스를 만든다.
13. 볶던 양파와 고추에 소스를 넣어 볶는다.
14. 두릅장아찌를 팬에 넣고 함께 볶는다.
15. 대파를 얇게 채 썬다.
16. 파채를 얼음물에 담가둔다.
17. 소고기롤을 먹기 좋은 크기로 썬다.
18. 달군 철판에 레드와인을 넣은 뒤 토치로 가열한다.
19. 소스에 볶은 양파, 고추, 두릅장아찌를 철판에 담는다.
20. 19에 소고기롤을 올린다.
21. 소스에 마늘, 카야잼을 넣는다.
22. 21을 간 뒤 연겨자를 넣고 다시 갈아 파채소스를 만든다.
23. 소고기롤에 고추기름을 끼얹는다.
24. 23에 파채와 파채소스를 올린다.
25. 파채 위에 뜨거운 기름을 끼얹어 낸다.</t>
  </si>
  <si>
    <t>&lt;샘킴 - 소 정말 Mystery♬&gt;
●재료
꽃등심, 채끝살, 감자, 감자과자, 양송이버섯, 치킨스톡, 아보카도, 요거트, 그린올리브, 블루베리, 소시지, 레드와인, 레몬, 올리브오일, 마늘, 소금, 간장, 참기름, 후추, 설탕, 식초, 버터, 밀가루, 달걀
●조리방법
1. 핸드블렌더에 감자과자를 넣고 간다.
2. 핸드블렌더에 요거트, 아보카도를 넣고 간다.
3. 2에 레몬즙, 올리브오일을 섞어 아보카도소스를 만든다.
4. 마늘을 으깬 뒤 올리브오일을 두른 팬에 넣어 볶는다.
5. 핸드블렌더에 양송이버섯을 넣고 간다.
6. 마늘을 볶던 팬에 간 양송이버섯, 소금, 그린올리브, 잘게 썬 소시지를 넣고 볶는다.
7. 6에 간장, 참기름을 넣고 볶는다.
8. 꽃등심과 채끝살에 버섯볶음을 올린 뒤 샌드한다.
9. 8에 소금, 후추로 간한다.
10. 반으로 썬 감자에 촘촘하게 칼집을 낸 뒤 기름에 튀긴다.
11. 감자를 한 번 더 튀긴다.
12. 팬에 레드와인, 블루베리를 넣고 끓인다.
13. 12에 설탕을 넣고 졸여 블루베리소스를 만든다.
14. 양송이버섯, 얇게 썬 마늘을 올리브오일을 두른 팬에 볶는다.
15. 14에 소금, 식초, 치킨스톡, 물, 후추, 버터를 넣어 버섯소스를 만든다.
16. 튀긴 감자를 건져낸 뒤 갈아둔 감자과자에 버무린다.
17. 밀가루, 물, 달걀을 섞어 튀김 반죽을 만든다.
18. 샌드한 소고기에 튀김옷을 입힌 뒤 기름에 튀긴다.
19. 튀긴 소고기를 건져낸 뒤 감자과자를 묻힌다.
20. 19에 다시 튀김옷을 입힌 뒤 감자과자를 묻혀 한 번 더 튀긴다.
21. 접시에 아보카도소스를 올린다.
22. 소고기튀김을 먹기 좋은 크기로 썬 뒤 접시에 올린다.
23. 접시에 버섯소스를 올린 뒤 블루베리소스를 뿌린다.
24. 감자튀김을 접시에 올린다.</t>
  </si>
  <si>
    <t>&lt;레이먼킴 - 멧돼이먼킴&gt;
●재료
멧돼지 뒷다리, 시래기, 말린 뽕잎, 미소, 봄동, 도라지청, 복분자주, 국물용 조미료, 깻잎, 우유, 소주, 생강청, 조청, 다시마, 국물용 멸치. 된장, 참기름, 대파, 청양고추, 고춧가루, 레몬, 마늘, 양파, 고추장, 다진 생강, 다진 마늘, 올리브오일, 들기름
●조리방법
1. 멧돼지 뒷다리의 살을 발라낸다.
2. 발라낸 멧돼지 뒷다릿살을 적당한 크기로 썬다.
3. 멧돼지 뒷다릿살에 지퍼백을 올려 고기망치로 두드린 뒤 칼집을 낸다.
4. 멧돼지 뒷다릿살에 소주를 부은 뒤, 토치로 직화한다.
5. 냄비에 국물용 멸치, 다시마, 물, 불린 시래기, 봄동, 국물용 조미료를 넣고 끓인다.
6. 5의 시래기와 봄동을 건져낸 뒤, 된장을 넣고 버무린다.
7. 팬에 된장에 버무린 시래기와 봄동, 참기름, 시래기와 봄동을 삶은 국물을 넣는다.
8. 7에 잘게 썬 대파와 청양고추, 고춧가루를 넣어 시래기 봄동국을 만든다.
9. 우유에 레몬, 으깬 마늘을 넣은 뒤 직화한 멧돼지 뒷다릿살을 담가둔다.
10. 두 개의 통에 양파, 복분자주를 넣은 뒤, 고추장과 미소를 각각 넣는다.
11. 고추장을 넣은 통에 조청을 넣는다.
12. 고추장과 미소를 넣은 통에 도라지청, 다진 생강, 다진 마늘을 넣고 핸드블렌더로 간다.
13. 고추장 소스와 미소 소스에 설탕을 넣는다.
14. 우유에 담가둔 멧돼지 뒷다릿살을 꺼낸 뒤 고기망치로 두드린다.
15. 고추장 소스와 미소 소스에 각각 멧돼지 뒷다릿살을 넣고 버무린다.
16. 양념된 멧돼지 뒷다릿살을 올리브오일을 두른 그릴팬에 굽는다.
17. 찜기에 말린 뽕잎과 물을 넣는다.
18. 구운 멧돼지 뒷다릿살을 석쇠에 올려 한 번 더 굽는다.
19. 18의 멧돼지 뒷다릿살을 토치로 직화한다.
20. 찜기의 말린 뽕잎 위에 멧돼지 뒷다릿살을 올린 뒤 뚜껑을 덮어 훈연한다.
21. 깻잎을 채 썬다.
22. 훈연한 멧돼지 뒷다릿살을 적당한 크기로 썰어 밥 위에 올린다.
23. 22에 깻잎을 넣고 들기름을 두른다.
24. 고추장 멧돼지 뒷다릿살 위에 고추장 소스를 더 얹는다.
25. 시래기 봄동국을 그릇에 담는다.</t>
  </si>
  <si>
    <t>냉장고를 부탁해 시즌 1, 216화</t>
  </si>
  <si>
    <t>&lt;유현수 - 유씨네 왕족발&gt;
●재료
멧돼지 뒷다리, 시래기, 칡, 말린 뽕잎, 볶은 메뚜기, 갓김치, 칡대추차, 파인애플, 도라지청, 딸기, 오디잼, 감식초, 도라지주, 봄동, 오가피청, 한라봉잼, 도라지, 전분, 간장, 설탕, 다진 마늘, 다진 생강
●조리방법
1. 찜기에 봄동과 시래기를 넣고 찐다.
2. 멧돼지 뒷다리에 칼집을 낸 뒤 껍데기와 살을 떼어낸다.
3. 멧돼지 뒷다리의 무릎뼈를 잘라낸다.
4. 멧돼지 뒷다리에 칼집을 낸다.
5. 멧돼지 뒷다리에 전분을 묻힌다.
6. 전분을 묻힌 멧돼지 뒷다리를 끓는 기름에 넣고 튀긴다.
7. 끓는 물에 칡, 도라지주, 칡대추차, 간장, 설탕, 말린 뽕잎, 도라지, 오가피청을 넣고 끓여 간장 국물을 만든다.
8. 간장 국물에 파인애플, 다진 마늘을 넣는다.
9. 튀긴 멧돼지 뒷다리를 간장 국물에 넣어 삶는다.
10. 딸기를 으깬다.
11. 으깬 딸기에 오디잼을 넣고 버무린다.
12. 얼음물에 담가둔 봄동을 적당한 크기로 뜯는다.
13. 갓김치를 잘게 썬 뒤 으깬 딸기와 오디잼이 담긴 볼에 넣는다.
14. 봄동에 13을 넣고 버무린다.
15. 14에 감식초를 넣는다.
16. 15에 오가피청, 잘게 썬 도라지를 넣는다.
17. 핸드블렌더에 볶은 메뚜기를 넣고 간 뒤, 16에 넣어 메뚜기 봄동 무침을 만든다.
18. 메뚜기 봄동 무침을 접시에 담는다.
19. 멧돼지 뒷다리를 삶은 간장 국물을 팬에 담는다.
20. 체를 이용해 간장 국물의 건더기를 걸러낸다.
21. 간장 국물에 도라지청, 한라봉잼을 넣어 족발 소스를 만든다.
22. 간장 국물에 삶은 멧돼지 뒷다리를 꺼낸 뒤 전분물을 묻혀 기름에 한 번 더 튀긴다.
23. 22의 멧돼지 뒷다리를 꺼내 다시 간장 국물에 넣는다.
24. 족발 소스에 감식초를 넣는다.
25. 족발 소스에 설탕, 생강즙을 넣는다.
26. 찜기에 찐 시래기와 봄동을 접시에 올린다.
27. 간장 국물에 삶은 멧돼지 뒷다리를 건져낸 뒤 전분물을 묻혀 기름에 반복해서 넣었다가 뺀다.
28. 시래기와 봄동 위에 멧돼지 뒷다리를 올린다.
29. 멧돼지 뒷다리에 족발 소스를 뿌려 마무리한다.</t>
  </si>
  <si>
    <t xml:space="preserve">&lt;정호영 - 치즈 앤 더 시티&gt;
●재료
소등심, 베이컨, 바게트, 파프리카, 바나나, 크림치즈, 고추냉이, 슬라이스치즈, 모차렐라치즈, 칠리페퍼소스, 우유, 데미글라스 소스, 더치커피, 밀크 초콜릿, 화이트 초콜릿, 유채나물, 달걀, 설탕, 양파, 후추, 소금, 밀가루, 고춧가루, 즉석밥
●조리 방법
1. 볼에 크림치즈를 담는다.
2. 달걀노른자와 흰자를 분리한다.
3. 크림치즈에 달걀노른자, 설탕을 넣고 섞는다.
4. 달걀흰자에 설탕을 넣은 뒤 머랭을 친다.
5. 4를 얼음이 담긴 볼 위에 올린 뒤 계속해서 머랭을 친다.
6. 크림치즈와 머랭을 섞은 뒤 냉동실에 넣어둔다.
7. 잘게 썬 베이컨, 양파, 파프리카, 맛술을 팬에 넣고 볶는다.
8. 지퍼백에 소등심을 넣은 뒤 고기망치로 두드려 얇게 편다.
9. 얇게 편 소등심에 후추, 소금을 뿌린 뒤 슬라이스치즈, 모차렐라치즈를 넣고 말아준다.
10. 볶던 베이컨과 채소에 데미글라스 소스, 토마토파스타 소스, 칠리페퍼 소스를 넣는다.
11. 바나나를 적당한 크기로 썬 뒤 설탕을 뿌린다.
12. 11의 바나나를 토치로 직화한다.
13. 적당한 크기로 썬 바게트에 더치커피를 부은 뒤 유리잔에 담는다.
14. 냉동실에서 크림치즈를 꺼내 13의 유리잔에 부은 뒤, 직화한 바나나를 올린다.
15. 14에 간 밀크 초콜릿&gt;잘게 부순 화이트 초콜릿&gt;간 밀크 초콜릿 순서로 올린다.
16. 핸드블렌더에 바게트를 넣고 갈아 빵가루를 만든다.
17. 밀가루에 우유, 달걀노른자를 넣어 튀김옷을 만든다.
18. 소등심말이에 튀김옷&gt;빵가루 순서로 묻힌 뒤 기름에 튀긴다.
19. 소스에 고춧가루를 넣는다.
20. 접시에 소스를 담는다.
21. 전자레인지에 돌린 즉석밥과 유채나물을 소스 옆에 올린다.
22. 소고기 튀김을 적당한 크기로 썬 뒤 소스 옆에 올린다.
</t>
  </si>
  <si>
    <t>&lt;이연복 - 극한 짬뽕&gt;
●재료
오징어, 돼지 목살, 삼치, 가자미, 토마토파스타 소스, 크림파스타 소스, 파스타면, 스리라차소스, 해산물칠리소스, 국물용 조미료, 새송이버섯, 표고버섯, 알배추, 칵테일새우, 봄동, 애호박, 대파, 양파, 다진 마늘, 청양고추, 고춧가루, 소금, 전분, 밀가루
●조리방법
1. 껍질을 벗긴 오징어에 칼집을 잘게 낸다.
2. 돼지 목살, 삼치, 가자미, 대파를 잘게 썬 뒤, 기름을 두른 팬에 넣고 볶는다.
3. 볶은 소를 체로 걸러낸다.
4. 양파, 새송이버섯, 칵테일새우, 표고버섯, 대파를 잘게 썬 뒤, 기름을 두른 팬에 넣는다.
5. 4의 팬에 볶아 둔 소를 넣는다.
6. 5에 크림파스타 소스, 스리라차 소스를 넣고 볶는다.
7. 6을 볼에 담아 모차렐라 치즈를 넣고 섞어 소를 만든다.
8. 오징어 몸통에 소를 채워 넣는다.
9. 소를 채운 오징어 끝을 나무꼬치로 고정한다.
10. 끓는 물에 파스타면을 삶는다.
11. 기름을 두른 팬에 적당한 크기로 썬 양파, 돼지 목살, 다진 마늘을 넣는다.
12. 11에 적당한 크기로 썬 애호박, 알배추, 청양고추와 토마토파스타 소스를 넣는다.
13. 12에 칵테일새우, 고춧가루, 면수, 해산물칠리소스, 방울토마토, 소금, 국물용 조미료를 넣어 짬뽕 국물을 만든다.
14. 전분, 밀가루에 물, 기름을 넣어 튀김옷을 만든다.
15. 소를 채운 오징어에 전분&gt;튀김옷 순서로 묻힌 뒤 기름에 튀긴다.
15. 삶은 파스타면을 건져낸 뒤 찬물에 헹군다.
16. 짬뽕 국물에 파스타면을 넣고 끓인다.
17. 오징어 튀김을 건져낸 뒤, 나무꼬치가 꽂혀있던 끝 부분을 잘라낸다.
18. 그릇에 짬뽕을 담은 뒤 오징어 튀김을 세워 마무리한다.</t>
  </si>
  <si>
    <t>&lt;김승민-지라시스시 맛있저염&gt;
●재료
소고기 양지, 건조 매생이, 아이용 된장, 아이용 간장, 명태채, 날치알, 무절임, 동치미, 매실청, 표고버섯, 전복,
새우, 불린 완두콩, 냉이, 연어, 명란젓, 아스파라거스, 가지, 즉석밥, 참깨, 밀가루, 참기름, 청주, 맛술, 달걀
●조리방법
1. 전자레인지에 즉석밥을 넣고 돌린다.
2. 무절임을 잘게 다진다.
3. 2에 날치알을 넣은 뒤 깨를 으깨어 넣는다.
4. 뜨거운 물에 새우, 전복, 불린 완두콩을 넣고 삶는다.
5. 4에 냉이를 넣는다.
6. 연어, 명란젓에 밀가루를 묻힌다.
7. 참기름을 두른 팬에 밀가루를 묻힌 연어와 명란젓을 굽는다.
8. 건조 매생이를 석쇠에 올려 굽는다.
9. 끓는 물에 구운 매생이를 넣어 끓인다.
10. 명태채를 잘게 썬 뒤 매생이 육수에 넣어 끓인다.
11. 10에 아이용 된장을 풀어 매생이장국을 끓인다.
12. 다진 무절임, 날치알, 깨에 즉석밥을 넣는다.
13. 동치미 국물에 매실청을 섞어 단촛물을 만든다.
14. 밥에 단촛물을 섞어준다.
15. 양념한 밥을 원형틀에 넣는다.
16. 15를 랩으로 감싼 뒤 다른 접시로 덮어 뒤집는다.
17. 양념한 밥을 찜기에 넣어 찐다.
18. 아스파라거스, 가지를 잘게 썬다.
19. 18을 기름에 튀긴다.
20. 팬에 소고기 양지, 표고버섯을 넣고 볶는다.
21. 20에 참기름을 넣어 볶는다.
22. 21에 청주(6), 맛술(1), 아이용 간장(1)을 넣고 조린다.
23. 팬에 달걀물을 부어 지단을 부친다.
24. 찐 밥을 접시에 담는다.
25. 지단을 잘게 다진 뒤 밥 위에 올린다.
26. 삶은 해산물과 냉이를 건져낸다.
27. 지단 위에 소고기버섯조림을 올린다.
28. 27에 새우를 올린다.
29. 적당한 크기로 썬 전복을 새우 위에 올린다.
30. 적당한 크기로 썬 구운 명란젓과 연어, 튀긴 아스파라거스와 가지를 올린다.
31. 원형틀을 제거한다.
32. 매생이장국을 그릇에 담는다.</t>
  </si>
  <si>
    <t>냉장고를 부탁해 시즌 1, 217화</t>
  </si>
  <si>
    <t xml:space="preserve">&lt;샘킴 - 특명! 아빠의 도전&gt;
●재료
소 안심, 소고기 양지, 애호박, 파프리카, 아몬드가루, 새우, 틸라피아, 크림치즈, 그라나파다노 치즈, 아스파라거스, 발사믹 글레이즈, 표고버섯, 양송이버섯, 느타리버섯, 휘핑크림, 선드라이드 토마토, 오징어, 전복, 올리브오일, 양파, 당근, 마늘, 즉석밥, 밀가루
●조리 방법
1. 석쇠에 올린 파프리카를 토치로 직화한다.
2. 올리브오일을 두른 두 냄비에 한 쪽엔 양파, 다른 쪽엔 양파, 당근, 마늘을 볶는다.
3. 양파를 볶던 팬에 소고기 양지를 넣은 뒤 두 냄비 모두 물을 넣고 끓여 양지 육수와 채소 육수를 낸다.
4. 핸드블렌더에 표고버섯, 양송이버섯, 느타리버섯을 넣고 간 뒤 팬에 볶는다.
5. 볶던 버섯에 휘핑크림, 그라나파다노 치즈를 갈아 넣는다.
6. 5에 채소 육수, 양지 육수를 넣은 뒤 즉석밥을 넣고 볶는다.
7. 구운 파프리카의 탄 부분을 벗겨낸다.
8. 핸드블렌더에 구운 파프리카, 선드라이드 토마토, 올리브오일을 넣고 간다.
9. 애호박을 얇게 슬라이스한 뒤 그릴팬에 굽는다.
10. 칼집을 낸 오징어, 새우를 핸드블렌더에 넣고 간 뒤 팬에 볶는다.
11. 먹기 좋은 크기로 썬 틸라피아를 10에 넣고 볶는다.
12. 11에 크림치즈를 넣고 섞는다.
13. 구운 애호박을 겹쳐 놓은 뒤 12를 올린다.
14. 올리브오일을 두른 팬에 잘게 썬 아스파라거스를 넣는다.
15. 전복, 소 안심을 적당한 크기로 썬 뒤 밀가루를 묻힌다.
16. 15를 팬에 넣고 볶는다.
17. 16에 버섯리소토를 넣고 볶은 뒤 접시에 담아낸다.
18. 애호박롤을 접시에 올린 뒤 파프리카 소스, 아몬드 가루를 올린다.
19. 아몬드 가루를 토치로 직화한다.
20. 발사믹 글레이즈, 올리브오일을 섞은 뒤 애호박롤에 뿌린다.
21. 버섯리소토에 파프리카 소스를 올린다.
</t>
  </si>
  <si>
    <t>&lt;오세득 - 술풀 때 야식 한다&gt;
●재료
갈매기살, 무, 적양배추, 냉이, 꿀, 그라나파다노 치즈, 스모크 치즈, 파르메산 치즈가루, 고수, 고추피클, 매실청, 파프리카, 전분, 다진생강, 소금, 당근, 청양고추, 참깨, 간장, 식초, 맛술, 참기름, 설탕, 올리브오일, 된장, 연겨자
●조리 방법
1. 그라나파다노 치즈, 스모크 치즈를 간다.
2. 1에 파르메산 치즈가루를 뿌린 뒤 종이포일에 올린다.
3. 종이포일에 올린 치즈를 오븐에 넣어 굽는다.
4. 갈매기살을 얇게 썬다.
5. 4에 전분, 생강즙, 소금을 넣고 버무린다.
6. 전분을 묻힌 갈매기살을 기름에 튀긴다.
7. 기름에 튀긴 갈매기살을 건져낸다.
8. 끓는 물에 소금을 넣은 뒤 냉이를 넣어 데친다.
9. 데친 냉이를 잘게 썬 뒤 갈매기살 튀김과 섞어준다.
10. 얇게 슬라이스한 무를 채 썬다.
11. 채 썬 무를 얼음물에 담가둔다.
12. 적양배추, 파프리카, 당근, 청양고추를 잘게 썬 뒤 얼음물에 담가둔다.
13. 오븐에 구운 치즈 튀일로 와인병을 감싸 모양을 잡는다.
14. 얼음물에 담가뒀던 채소를 접시에 담은 뒤 참깨를 뿌린다.
15. 고수를 잘게 썬 뒤 샐러드 위에 올린다.
16. 고추피클을 잘게 썬 뒤 샐러드 위에 올린다.
17. 핸드블렌더에 간장, 식초, 맛술, 참기름, 설탕, 올리브오일을 넣은 뒤 간다.
18. 17을 샐러드에 뿌린다.
19. 볼에 된장, 꿀, 생강즙, 매실청, 그라나파다노 치즈, 스모크 치즈를 넣는다.
20. 19에 연겨자, 간장을 넣어 된장소스를 만든 뒤 갈매기살 튀김에 넣고 버무린다.
21. 20을 샐러드 위에 올린 뒤 참깨를 뿌린다.
22. 치즈튀일을 접시에 담는다.</t>
  </si>
  <si>
    <t xml:space="preserve">&lt;김풍 - 술맛 찾으러 가자&gt;
●재료
새우, 삼겹살, 알목심, 가지, 새우가루, 해산물버섯가루, 참치액, 두반장, 해선장, 백후추, 쌈채소, 코코넛밀크, 고수, 다진마늘, 고춧가루, 식초, 맛술, 다진생강, 전분, 물엿, 설탕, 참기름
●조리 방법
1. 깊게 칼집을 넣은 가지에 새우가루, 해산물버섯가루를 뿌린 뒤 전자레인지에 돌린다.
2. 기름을 두른 팬에 다진마늘을 볶는다.
3. 2에 두반장, 해선장, 백후추, 참치액, 고춧가루, 식초, 맛술을 넣고 끓여 양념을 만든다.
4. 삼겹살의 비계만 떼어낸다.
5. 핸드블렌더에 삼겹살 비계, 새우, 다진생강, 백후추를 넣는다.
6. 5를 간 뒤 맛술을 넣고 한 번 더 갈아 순대소를 만든다.
7. 순대소는 볼에 담고, 새우를 잘게 썬다.
8. 순대소에 잘게 썬 새우를 넣은 뒤 치댄다.
9. 슬라이스된 알목심에 순대소를 올린 뒤 돌돌 말아 새우순대를 만든다.
10. 새우순대에 전분을 묻힌다.
11. 기름을 두른 팬에 새우순대를 넣고 뚜껑을 닫아 지진다.
12. 전자레인지에 돌린 가지를 넓게 펼쳐 팬에 굽는다.
13. 가지에 양념을 바른다.
14. 팬에 코코넛밀크, 물엿, 설탕, 가지 양념, 전분물을 넣고 끓여 순대 소스를 만든다.
15. 가지에 참기름을 두른다.
16. 가지에 양념을 한 번 더 바른다.
17. 새우순대를 지지던 팬에 물을 넣어 익힌다.
18. 쌈채소를 잘게 썬 뒤 접시에 담는다.
19. 가지 위에 잘게 썬 고수를 올린다.
20. 새우순대를 쌈채소 위에 올린다.
21. 가지구이를 접시에 올린다.
22. 새우순대 위에 소스를 부어 낸다.
</t>
  </si>
  <si>
    <t>&lt;레이먼킴 - 내 발가락 내놔&gt;
●재료
새우, 다진 돼지고기, 강황가루, 나박김치, 김, 고추장, 메밀면, 밀가루, 소금, 올리브오일, 고추, 고춧가루, 다진생강,대파, 설탕, 다진마늘, 레몬, 참기름, 간장, 식초, 양파
●조리 방법
1. 믹서기에 밀가루, 소금, 강황가루, 올리브오일을 넣는다.
2. 1에 물을 넣어가며 간다.
3. 2에 밀가루를 섞어 만두피 반죽을 만든다.
4. 핸드블렌더에 다진 돼지고기, 잘게 썬 고추, 새우를 넣고 간다.
5. 만두소에 고춧가루를 넣고 치댄다.
6. 5에 소금, 밀가루, 다진생강을 넣고 치댄다.
7. 만두피 반죽을 밀대로 얇게 민다.
8. 만두소에 대파를 끼운 뒤 만두피 위에 올린다.
9. 만두피로 만두소를 감싼다.
10. 만두를 찜기에 넣어 찐다.
11. 끓는 물에 메밀면을 삶는다.
12. 고추장에 설탕, 다진마늘, 레몬즙을 섞는다.
13. 나박김치 국물에 12, 참기름, 얼음을 넣어 비빔면 소스를 만든다
14. 삶은 메밀면을 얼음물에 헹군 뒤 비빔면 소스에 넣는다.
15. 비빔면을 접시에 담는다.
16. 냄비에 간장, 식초, 양파, 고추를 넣고 끓인다.
17. 간장에 절인 양파, 얇게 썬 대파를 비빔면 위에 올린다.
18. 간장에 절인 양파를 여러 개 겹쳐 만두 위에 올린다.
19. 만두의 끝부분을 썰어 만두소, 대파가 보이게끔 만든다.
20. 만두 위에 채 썬 김을 올린 뒤 비빔면 위에 올려 낸다.</t>
  </si>
  <si>
    <t>냉장고를 부탁해 시즌 1, 218화</t>
  </si>
  <si>
    <t>&lt;김풍 - 지옥에서 온 손님&gt;
●재료
다진 돼지고기, 돼지 앞다릿살, 카레가루, 감자, 무, 비트, 새우, 가자미살, 표고버섯, 치킨스톡, 소금, 대파, 전분, 다진마늘, 후추, 버터, 고춧가루, 간장, 달걀, 맛술, 식초
●조리 방법
1. 기름을 두른 팬에 돼지 앞다릿살을 넣고 볶는다.
2. 핸드블렌더에 비트, 새우, 다진 돼지고기, 가자미살을 넣는다.
3. 2에 소금, 치킨스톡, 대파, 다진마늘, 전분을 넣고 간다.
4. 3에 버터, 다진 돼지고기를 넣고 치댄다.
5. 4에 후추를 넣고 치댄다.
6. 위생장갑에 식용유를 넣고 골고루 발라준다.
7. 위생장갑에 완자반죽을 넣어 채운다.
8. 7을 찜기에 넣고 찐다.
9. 팬에 볶은 돼지 앞다릿살의 기름, 고춧가루를 넣고 끓여 고추기름을 낸다.
10. 핸드블렌더에 대파를 넣고 간 뒤 고추기름에 넣고 볶는다.
11. 10에 간장을 넣는다.
12. 11에 잘게 썬 표고버섯, 볶은 돼지 앞다릿살을 넣고 볶는다.
13. 핸드블렌더에 무, 비트, 감자를 넣고 간다.
14. 볶던 재료에 13, 다진마늘, 뜨거운 물, 새우 머리, 치킨스톡, 버터를 넣고 끓인다.
15. 끓는 물에 달걀을 삶는다.
16. 비트수프에 맛술, 카레가루, 식초를 넣은 뒤 새우 머리를 건져낸다.
17. 비트수프를 핸드블렌더로 갈아준다.
18. 데운 뚝배기에 비트수프를 담는다.
19. 찐 완자를 위생장갑에서 분리한다.
20. 완자를 비트수프에 넣는다.
21. 완자 위에 달걀노른자를 올린다.</t>
  </si>
  <si>
    <t>&lt;김승민 - 돈플갱어&gt;
●재료
돼지 앞다릿살, 황태채, 으깬 병아리콩, 아몬드가루, 나박김치, 생강청, 소고기 장조림, 커민, 후추, 감자, 단호박, 브로콜리, 체리, 쌀가루, 후추, 버터, 간장, 맛술, 청주, 다진생강, 소금, 레몬
● 조리 방법
1. 믹서기에 황태채를 넣고 뜨거운 물을 붓는다.
2. 돼지 앞다릿살의 비계를 떼어낸다.
3. 후추를 뿌린 돼지 앞다릿살을 석쇠에 올려 굽는다.
4. 황태채, 물을 갈아 만든 황태채 육수를 체에 밭쳐 곱게 거른다.
5. 믹서기에 황태채 육수, 으깬 병아리콩, 아몬드가루를 넣고 간다.
6. 버터를 두른 팬에 병아리콩 수프를 부어 끓인다.
7. 브로콜리, 단호박을 적당한 크기로 썬 뒤 끓는 물에 데친다.
8. 버터를 두른 팬에 체리, 데친 브로콜리와 단호박을 넣어 볶는다.
9. 손질한 감자에 모양을 낸 뒤 슬라이스한다.
10. 9에 쌀가루를 묻힌 뒤 기름에 튀긴다.
11. 간장, 맛술, 청주, 다진생강을 섞어 소스를 만든다.
12. 돼지 앞다릿살에 간장소스를 발라가며 굽는다.
13. 병아리콩 수프에 버터를 넣고 끓인다.
14. 병아리콩 수프에 소금으로 간한다.
15. 구운 돼지 앞다릿살을 적당한 크기로 썬다.
16. 돼지 앞다릿살, 볶은 재료들을 그릇에 담는다.
17. 나박김치에 생강청, 레몬즙을 넣은 뒤 그릇에 담아낸다.
18. 17에 레몬껍질을 갈아 올린다.
19. 종지에 소고기 장조림 국물을 담는다.
20. 19에 커민을 넣는다.
21. 병아리콩 수프를 그릇에 담는다.
22. 21에 아몬드가루를 뿌린다.
23. 아몬드가루를 토치로 직화한다.
24. 날개 모양의 감자칩을 그릇에 올린다.</t>
  </si>
  <si>
    <t>&lt;오세득 - 쌀과 함께&gt;
●재료
부챗살, 돼지 앞다릿살, 메추리알, 감자, 검은콩 두유, 쌀국수면, 쌀가루, 표고버섯, 브로콜리 새싹, 양파, 간장, 후추, 소금, 참기름, 고추, 홍고추
●조리 방법
1. 얇게 썬 감자를 끓는 물에 삶는다.
2. 쌀국수면을 끓는 물에 삶는다.
3. 부챗살의 힘줄을 제거한다.
4. 핸드블렌더에 부챗살, 양파를 넣는다.
5. 4에 메추리알, 쌀가루를 넣고 간다.
6. 5에 간장, 후추, 소금을 넣고 치대어 완자 반죽을 만든다.
7. 중식도에 완자 반죽을 올린 뒤 얇게 편다.
8. 완자 반죽을 떼어 기름에 지진다.
9. 돼지 앞다릿살을 지퍼백에 넣은 뒤 고기망치로 두드린다.
10. 넓게 편 돼지 앞다릿살에 간장, 소금, 후추로 간 한다.
11. 10에 참기름을 바른 뒤 쌀가루를 뿌려준다.
12. 11에 메추리알을 묻힌 뒤 기름을 두른 팬에 굽는다.
13. 표고버섯을 얇게 썬 뒤 팬에 함께 굽는다.
14. 삶은 쌀국수면을 차가운 물에 헹군다.
15. 삶은 감자, 검은콩 두유를 핸드블렌더에 넣고 갈아 두유크림소스를 만든다.
16. 두유크림소스를 체에 곱게 걸러 끓인다.
17. 16에 삶은 쌀국수면, 볶은 표고버섯을 넣고 끓인다.
18. 두유크림파스타, 고기완자에 소금으로 간한다.
19. 육전을 접시에 담는다.
20. 두유크림파스타, 고기완자를 그릇에 담는다.
21. 20에 브로콜리 새싹을 올린다.
22. 간장에 잘게 썬 고추, 홍고추를 올려 낸다.</t>
  </si>
  <si>
    <t>&lt;샘킴 - 킴가네&gt;
● 재료
떡볶이 떡, 소 등심, 돼지갈비양념, 가쓰오부시, 베트남고추, 해시브라운, 오징어, 로제소스, 파프리카, 모차렐라치즈, 새우, 양파, 전분, 고춧가루, 대파, 마늘, 간장, 설탕, 맛술, 후추, 마요네즈, 올리브 오일, 소금, 레몬
● 조리 방법
1. 기름을 두른 팬에 잘게 썬 양파, 파프리카를 넣는다.
2. 1에 로제소스를 넣어 오징어순대 소스를 만든다.
3. 적당한 크기로 썬 소 등심에 전분을 묻힌 뒤 기름을 두른 팬에 넣는다.
4. 3에 잘게 썬 베트남고추, 새우, 고춧가루, 적당한 크기로 썬 대파, 마늘, 채 썬 대파, 간장을 넣고 볶는다.
5. 끓는 물에 떡볶이 떡, 설탕을 넣고 삶는다.
6. 삶은 떡볶이 떡을 건져낸 뒤 찬물에 헹군다.
7. 볶던 재료에 삶은 떡볶이 떡, 맛술을 넣는다.
8. 기름에 튀긴 해시브라운을 건져낸다.
9. 튀긴 해시브라운을 잘게 으깬다.
10. 으깬 해시브라운에 마요네즈, 후추, 모차렐라 치즈를 넣고 섞는다.
11. 오징어 몸통 안에 10을 넣는다.
12. 길게 썬 대파를 석쇠에 올린 뒤 돼지갈비양념을 바른다.
13. 12에 올리브 오일을 뿌려 직화한다.
14. 떡볶이를 접시에 담는다.
15. 기름을 두른 그릴팬에 오징어순대를 올려 소금, 후추로 간한 뒤 굽는다.
16. 레몬즙, 올리브 오일, 돼지갈비양념을 섞어 오일 소스를 만든다.
17. 직화한 대파를 떡볶이 위에 올린다.
18. 오징어 순대 소스를 접시에 올린다.
19. 18의 접시에 구운 오징어순대를 올린다.
20. 19의 오징어순대에 오일 소스와 가쓰오부시를 뿌린다.
21. 파 떡볶이에 참기름, 오일 소스를 뿌려 마무리한다.</t>
  </si>
  <si>
    <t>냉장고를 부탁해 시즌 1, 219화</t>
  </si>
  <si>
    <t>&lt;이연복 - 분식과의 전쟁&gt;
● 재료
떡볶이 떡, 소 등심, 칵테일 새우, 두부, 청경채, 비엔나소시지, 팽이버섯, 통조림 햄, 양송이버섯, 오징어, 건홍합, 바지락, 무, 어묵, 굴소스, 대파, 달걀, 마늘, 고춧가루, 설탕, 된장, 전분, 밀가루
● 조리 방법
1. 끓는 물에 적당한 크기로 썬 무, 건홍합, 바지락을 넣어 육수를 만든다.
2. 달걀을 삶는다.
3. 기름을 두른 팬에 잘게 썬 대파, 으깬 마늘을 넣는다.
4. 핸드블렌더에 소 등심을 넣고 간 뒤 3의 팬에 넣는다.
5. 4에 고춧가루, 육수를 넣어 떡볶이 양념을 만든다.
6. 두부를 적당한 크기로 썬다.
7. 두부와 떡볶이 떡을 양념에 넣어 마파두부 떡볶이를 만든다.
8. 마파두부 떡볶이에 설탕과 굴소스를 넣는다.
9. 기름을 두른 전골냄비에 으깬 마늘, 잘게 썬 대파, 된장, 고춧가루를 넣는다.
10. 9에 통조림 햄, 건더기를 거른 육수를 넣는다.
11. 잘게 썬 비엔나소시지, 양송이버섯, 칵테일 새우를 10에 넣는다.
12. 적당한 크기로 썬 어묵을 11에 넣는다.
13. 12에 팽이버섯을 넣어 된장 부대찌개를 만든다.
14. 소 등심을 적당한 크기로 썬 뒤 밀가루를 묻힌다.
15. 달걀노른자, 밀가루, 전분, 물을 넣고 섞어 튀김 반죽을 만든다.
16. 밀가루를 묻힌 소 등심에 튀김 반죽을 입힌다.
17. 튀김 반죽을 입힌 소 등심을 기름에 튀긴다.
18. 된장 부대찌개 위에 청경채를 올린다.
19. 기름에 튀긴 소 등심을 건져낸다.
20. 적당한 크기로 썬 양배추를 마파두부 떡볶이 위에 올린다.
21. 삶은 달걀을 건져내 찬물에 담가둔다.
22. 튀긴 소 등심을 한 번 더 기름에 튀긴다.
23. 된장 부대찌개에 라면 면을 넣는다.
24. 적당한 크기로 썬 오징어를 23에 넣는다.
25. 기름에 튀긴 소고기 튀김을 건져낸다.
26. 접시에 마파두부 떡볶이, 소고기 튀김을 올린다.
27. 26의 접시에 삶은 달걀을 올려 마무리한다.</t>
  </si>
  <si>
    <t>&lt;정호영 - 후뚜루마뚜루&gt;
● 재료
연어, 인스턴트 훈제통닭, 김밥용 김, 돼지갈비양념, 칵테일 새우, 새우, 오징어, 미니오이, 통조림 햄, 소 갈빗살, 파프리카, 깻잎, 불닭 라면, 슬라이스 치즈, 밀가루, 달걀, 전분, 즉석밥, 참기름
● 조리 방법
1. 핸드블렌더에 적당한 크기로 썬 파프리카를 넣고 간다.
2. 핸드블렌더에 간 파프리카, 칵테일 새우, 밀가루, 달걀흰자, 돼지갈비양념을 넣고 갈아 어묵 반죽을 만든다.
3. 어묵 반죽을 지퍼백에 넣은 뒤 모서리를 자른다.
4. 접시 위에 어묵 반죽을 짜서 'ㅘ자차' 모양을 만든다.
5. 찜기에 4를 넣고 찐다.
6. 밀가루에 새우와 오징어를 넣고, 전분에 물을 넣어 튀김 반죽을 만든다.
7. 밀가루를 묻힌 새우와 오징어에 튀김 반죽을 묻힌 뒤 기름에 튀긴다.
8. 파프리카를 적당한 크기로 썬 뒤 기름을 두른 그릴팬에 올려 굽는다.
9. 소 갈빗살에 돼지갈비양념을 묻힌 뒤 그릴팬에 올려 굽는다.
10. 적당한 크기로 썬 통조림 햄, 인스턴트 훈제통닭의 살을 그릴팬에 올려 굽는다.
11. 전자레인지에 돌린 즉석밥에 불닭 소스, 참기름을 넣고 비빈 뒤 식혀준다.
12. 달걀을 푼 뒤 팬에 얇게 펼쳐 굽는다.
13. 12의 달걀을 말아 달걀말이를 만든다.
14. 김발 위에 김밥용 김을 올린다.
15. 불닭비빔밥을 김밥용 김 위에 올린다.
16. 15에 깻잎, 슬라이스 치즈, 연어, 구운 소 갈빗살, 통조림 햄, 새우튀김, 오징어튀김, 구운 파프리카, 훈제통닭 살, 달걀말이, 미니오이를 올린다.
17. 랩 위에 16을 올린 뒤 돌돌 말아서 후토마키를 만든다.
18. 찜기에 찐 ‘ㅘ자차’ 모양 어묵을 꺼낸 뒤, 접시에 올린다.
19. 후토마키를 적당한 크기로 썬다.
20. 적당한 크기로 썬 후토마키의 랩을 벗긴 후 접시에 올린다.
21. 쿠킹포일을 씌운 후토마키 끝 부분을 20의 접시에 올려 마무리한다.</t>
  </si>
  <si>
    <t>&lt;유현수 - 김치 와장창&gt;
● 재료
배추김치, 인스턴트 김치만두, 로제소스, 해시브라운, 미숫가루, 초코맛 크림파이, 모차렐라치즈, 다진 소고기, 알프레도파스타 소스, 고추장, 칵테일 새우, 슬라이스 치즈, 달걀, 설탕, 후추, 소금, 식용유, 튀김가루, 양파, 청양고추, 간장, 식초, 케첩, 고추장
● 조리 방법
1. 전자레인지에 팥맛 아이스크림을 넣고 돌린다.
2. 1에 달걀노른자 2개를 넣는다.
3. 2에 설탕을 넣으면서 휘젓는다.
4. 3에 초코맛 크림파이 3개를 넣는다.
5. 4를 전자레인지에 넣고 돌려 팥빙수를 만든다.
6. 인스턴트 김치만두의 피와 소를 분리한다.
7. 다진 소고기에 후추와 소금으로 밑간한 뒤, 김치만두 소와 섞어 패티를 만든다.
8. 기름을 두른 팬에 패티를 올려 굽는다.
9. 튀김가루에 물을 넣어 튀김 반죽을 만든다.
10. 튀김가루를 묻힌 새우에 튀김 반죽을 묻힌 뒤 기름에 튀긴다.
11. 튀긴 새우를 건져낸 후, 체에 밭쳐 기름을 빼낸다.
12. 양파와 청양고추를 잘게 썬다.
13. 기름을 두른 팬에 양파, 청양고추, 설탕을 넣고 볶는다.
14. 13에 간장, 식초, 물을 넣어 탕수 소스를 만든다.
15. 팬에 김치를 넣어 볶는다.
16. 15에 새우를 튀긴 기름을 넣는다.
17. 16에 로제 소스, 케첩, 모차렐라치즈, 알프레도파스타 소스, 고추장을 넣는다.
18. 전자레인지에 돌린 팥빙수를 꺼내 저어준다.
19. 팥빙수를 얼음 위에 올려 차갑게 만든다.
20. 해시브라운을 기름에 튀긴 뒤 적당한 크기로 썬다.
21. 그릇에 20의 해시브라운을 담는다.
22. 21의 해시브라운 위에 패티를 올린다.
23. 22의 그릇에 탕수 소스를 넣는다.
24. 23 위에 새우튀김, 알브레도파스타 소스, 슬라이스 치즈, 볶은 김치를 올려 김버탕을 만든다.
25. 전자레인지에 김버탕을 넣고 돌린다.
26. 탕수 소스에 케첩, 식초를 넣어 케첩 탕수 소스를 만든다.
27. 팥빙수를 저어준 뒤 미숫가루를 뿌린다.
28. 팥빙수 주변에 얼음을 담아둔다.
29. 전자레인지에 돌린 김버탕 위에 모차렐라치즈, 케첩 탕수 소스를 뿌려 마무리한다.</t>
  </si>
  <si>
    <t>&lt;미카엘 - 소희네 반찬&gt;
● 재료
총각김치, 고등어, 매운 고추장아찌, 양송이버섯, 깻잎장아찌, 셀러리장아찌, 체리페퍼 크림치즈, 버섯 크림치즈, 마, 토마토소스, 방울토마토, 묵은지, 아스파라거스, 쌀, 후추, 다진마늘, 올리브오일, 대파, 양파, 마늘, 당근, 레드와인, 소금, 물엿
● 조리 방법
1. 불린 쌀을 돌솥에 넣은 뒤 물을 넣는다.
2. 적당한 크기로 썬 마를 1에 넣는다.
3. 냄비에 묵은지, 총각김치를 넣은 뒤 쌀뜨물을 붓는다.
4. 3에 고등어, 매운 고추장아찌, 후추, 고춧가루를 넣고 조린다.
5. 4에 다진마늘을 넣는다.
6. 양송이버섯을 적당한 크기로 썬 뒤 올리브오일을 두른 팬에 볶는다.
7. 얇게 썬 대파, 양파, 마늘, 당근을 팬에 넣고 함께 볶는다.
8. 방울토마토를 반으로 썬 뒤 7에 넣고 볶는다.
9. 8에 토마토소스, 레드와인, 소금, 후추를 넣는다.
10. 9에 적당한 크기로 썬 아스파라거스를 넣고 볶는다.
11. 체리페퍼 크림치즈, 버섯 크림치즈를 팬에 넣고 볶아 스튜를 만든다.
12. 스튜에 물엿을 넣는다.
13. 스튜를 접시에 담아낸다.
14. 얇게 썬 대파를 스튜 위에 올린다.
15. 셀러리장아찌, 깻잎장아찌를 접시에 담아낸다.
16. 고등어조림을 그릇에 담는다.</t>
  </si>
  <si>
    <t>냉장고를 부탁해 시즌 1, 220화</t>
  </si>
  <si>
    <t>&lt;유현수 - 땡잡은 장아찌&gt;
●재료
묵은지, 다진 돼지고기, 멸치육수팩, 새우젓, 마, 김장아찌, 아스파라거스, 시금치, 무장아찌, 매운 고추장아찌, 반숙란, 청양고춧가루, 고춧가루, 즉석밥, 소금, 대파, 다진마늘, 양파, 달걀, 튀김가루, 간장, 물엿, 깨, 홍고추
●조리방법
1. 끓는 물에 멸치육수팩을 넣어 육수를 낸다.
2. 볼에 즉석밥을 담는다.
3. 마를 잘게 썬 뒤 즉석밥 위에 올린다.
4. 3에 랩을 씌운 뒤 전자레인지에 넣고 돌린다.
5. 끓는 물에 소금을 넣은 뒤, 마를 넣고 데친다.
6. 데친 마를 얼음물에 헹군다.
7. 반숙란의 흰자와 노른자를 분리한다.
8. 대파를 잘게 썬 뒤 끓는 기름에 넣는다.
9. 8에 고춧가루, 청양고춧가루를 넣고 끓인 뒤 건더기를 걸러낸다.
10. 고추기름에 다진 돼지고기를 넣고 볶는다.
11. 10에 다진마늘을 듬뿍 넣고 볶는다.
12. 11에 묵은지를 넣는다.
13. 12에 잘게 썬 양파, 멸치육수를 넣고 끓인다.
14. 핸드블렌더에 잘게 썬 시금치, 달걀, 김 장아찌를 넣고 간다.
15. 14에 잘게 썬 아스파라거스를 넣는다.
16. 15에 튀김가루, 다진 돼지고기를 넣어 동그랑땡 반죽을 만든다.
17. 동그랑땡 반죽을 동그랗게 뭉친 뒤 튀김가루를 묻힌다.
18. 17에 달걀흰자를 입힌 뒤 기름을 두른 팬에 굽는다.
19. 찌개에 새우젓, 간장, 무장아찌 국물을 넣고 끓인다.
20. 구운 동그랑땡을 접시에 담는다.
21. 무장아찌에 물엿, 깨를 넣는다.
22. 21에 잘게 썬 매운 고추장아찌, 홍고추를 넣은 뒤 접시에 담는다.
23. 데운 뚝배기에 찌개를 옮겨 담는다.
24. 믹서기에 마, 달걀흰자를 넣고 갈아 순두부를 만든다.
25. 찌개에 순두부를 올린 뒤 뚜껑을 닫는다.
26. 마밥을 그릇에 담는다.</t>
  </si>
  <si>
    <t>&lt;레이먼킴 - 으라차차 스테이키&gt;
● 재료
채끝등심, 건크랜베리, 할라피뇨, 스리라차소스, 그뤼에르 치즈, 시금치, 양송이버섯, 아몬드우유, 우유, 크랜베리주스, 오렌지주스, 파인애플, 마, 후추, 올리브오일, 마늘, 양파, 화이트와인, 소금, 버터, 전분, 레몬
● 조리 방법
1. 채끝등심에 칼집을 낸다.
2. 칼집을 낸 채끝등심에 후추를 뿌린다.
3. 데운 올리브오일에 채끝등심을 넣어 익힌다.
4. 양송이버섯을 얇게 썬다.
5. 마늘을 얇게 썬다.
6. 얇게 썬 양송이버섯, 마늘을 전자레인지에 돌린다.
7. 냄비에 크랜베리주스, 스리라차소스, 건크랜베리, 잘게 썬 할라피뇨를 넣는 뒤 끓인다.
8. 잘게 썬 양파와 양송이버섯, 으깬 마늘을 팬에 넣고 볶는다.
9. 8에 화이트와인을 넣는다.
10. 볶던 재료에 시금치, 소금, 버터, 전분, 우유를 넣고 끓인다.
11. 10에 그뤼에르 치즈를 갈아 넣는다.
12. 믹서기에 마, 파인애플, 아몬드우유, 레몬즙, 오렌지주스를 넣는다.
13. 오일에 익힌 채끝등심을 팬에 넣고 굽는다.
14. 전자레인지에 돌린 양송이버섯과 마늘을 데운 올리브오일에 넣는다.
15. 채끝등심 스테이크에 버터를 끼얹어가며 굽는다.
16. 핸드블렌더에 마, 파인애플, 아몬드우유, 레몬즙, 오렌지주스, 얼음을 넣고 간다.
17. 유리잔에 주스를 담아낸다.
18. 주스에 레몬즙을 뿌린다.
19. 접시에 크랜베리절임을 담는다.
20. 오일에 익힌 양송이버섯과 마늘을 접시에 담은 뒤 소금, 올리브오일을 뿌린다.
21. 크림 스피니치를 접시에 담는다.
22. 21에 채끝등심 스테이크를 올려 낸다.</t>
  </si>
  <si>
    <t>&lt;정호영 - 스테이크가 어~머나!&gt;
● 재료
살치살, 표고&amp;새우육수팩, 양송이버섯, 트러플 치즈크림소스, 우유, 그뤼에르 치즈, 식빵 테두리, 아스파라거스, 아보카도, 명란젓, 유자후추, 방울토마토, 굴소스, 청주, 맛술, 설탕, 간장, 후추, 마늘, 양파, 청양고추, 올리브오일, 전분, 식초, 달걀
● 조리 방법
1. 팬에 물, 청주, 맛술, 설탕, 간장을 넣고 끓여 스키야키 소스를 만든다.
2. 살치살에 후추를 뿌린 뒤 그릴팬에 굽는다.
3. 아스파라거스, 아보카도를 그릴팬에 굽는다.
4. 구운 살치살을 스키야키 소스에 넣고 조린다.
5. 구운 아스파라거스를 적당한 크기로 썬다.
6. 기름을 두른 팬에 잘게 썬 마늘, 양파, 양송이버섯을 넣고 볶는다.
7. 6에 우유, 굴소스를 넣어 크림소스를 만든다.
8. 청양고추를 잘게 썬 뒤 크림소스에 넣는다.
9. 얇게 썬 그뤼에르 치즈, 트러플 치즈크림소스를 소스에 넣는다.
10. 크림소스에 전분물을 넣어 섞는다.
11. 식빵 테두리를 적당한 크기로 썬 뒤 올리브오일을 두른 팬에 구워 크루통을 만든다.
12. 소스에 조린 살치살을 석쇠에 올린다.
13. 표고&amp;새우육수팩에서 건표고버섯만 분리한다.
14. 핸드블렌더에 건표고버섯을 넣고 간다.
15. 냄비에 간 표고버섯을 넣은 뒤 살치살을 올려 훈연한다.
16. 다진 청양고추에 유자후추를 섞은 뒤 종지에 담는다.
17. 명란젓을 토치로 직화한다.
18. 크림소스에 구운 아스파라거스를 넣은 뒤 접시에 담는다.
19. 끓는 물에 식초를 넣은 뒤 달걀을 넣어 수란을 만든다.
20. 훈연한 살치살과 아보카도를 겹겹이 쌓는다.
21. 크림소스에 크루통을 올린다.
22. 반으로 썬 방울토마토를 크림소스에 올린다.
23. 살치살 스테이크에 스키야키 소스를 끼얹은 뒤 크림소스 위에 올린다.
24. 직화한 명란젓을 적당한 크기로 썬 뒤 접시에 올린다.
25. 수란을 스테이크 위에 올린다.
26. 그뤼에르 치즈를 갈아 올린다.</t>
  </si>
  <si>
    <t>&lt;오세득 - 계모임&gt;
●재료
닭가슴살, 커리맛 닭가슴살, 새우, 당면, 불냉면 소스, 우유, 장국, 멸치액젓, 부추, 청고추, 버터, 소금, 전분, 달걀, 생강, 마늘, 청양고추, 설탕, 고춧가루, 다진 마늘, 대파, 식용유, 튀김가루, 물엿, 간장, 참기름
● 조리 방법
1. 커리맛 닭가슴살에 우유를 넣는다.
2. 청고추를 반으로 썬 뒤 속을 파낸다.
3. 핸드블렌더에 적당한 크기로 썬 닭가슴살, 버터, 소금, 새우살, 전분, 달걀물을 넣고 간다.
4. 핸드블렌더에 생강, 마늘을 넣고 간다.
5. 4에 청양고추, 홍고추, 설탕, 멸치액젓, 장국을 넣고 간다.
6. 속을 파낸 청고추에 간 닭가슴살과 새우를 넣어 속을 채운다.
7. 고춧가루, 다진 마늘, 대파, 끓는 기름을 넣어 고추기름을 낸다.
8. 튀김가루, 전분, 물을 넣고 저어서 반죽을 만든다.
9. 속을 채운 청고추에 반죽을 묻힌 뒤 기름에 튀긴다.
10. 불린 당면을 삶는다.
11. 고추기름의 건더기를 걸러낸다.
12. 고추기름을 팬에 넣은 뒤 간 고추를 넣는다.
13. 12에 커리맛 닭가슴살을 담가둔 우유를 넣는다.
14. 13에 불냉면 소스, 간 닭가슴살과 새우를 넣는다.
15. 14에 달걀물을 넣고 저어서 뿌팟퐁커리를 만든다.
16. 뿌팟퐁커리에 물엿, 우유를 넣는다.
17. 고추튀김을 체에 밭쳐 건져낸다.
18. 삶은 당면을 건져낸 뒤 간장, 참기름, 설탕을 넣고 섞어 접시에 담는다.
19. 뿌팟퐁커리에 부추를 넣는다.
20. 당면 위에 뿌팟퐁커리를 올린다.
21. 20에 고추튀김&gt;뿌팟퐁커리&gt;고추기름&gt;잘게 썬 대파 순으로 올린다.</t>
  </si>
  <si>
    <t>냉장고를 부탁해 시즌 1, 221화</t>
  </si>
  <si>
    <t>&lt;샘킴 - 샘킴반점&gt;
● 재료
닭가슴살, 쯔유, 양념 소갈비 국물, 레몬청, 밀가루, 달걀, 대파, 홍고추, 마늘, 소금, 후추, 생강, 고춧가루, 식용유, 설탕, 참기름, 깨, 간장, 식초
● 조리 방법
1. 핸드블렌더에 밀가루, 달걀노른자, 물을 넣고 갈아 면 반죽을 만든다.
2. 면 반죽을 밀가루에 치댄다.
3. 지퍼백에 닭가슴살을 넣은 뒤 고기망치로 두드려 얇게 편다.
4. 얇게 편 닭가슴살에 양념 소갈비 국물을 넣어 재워둔다.
5. 기름을 두른 팬에 대파, 홍고추, 으깬 마늘을 넣고 볶는다.
6. 얇게 편 닭가슴살에 밀가루를 묻힌다.
7. 밀가루 묻힌 닭가슴살을 잘게 썬 뒤 5에 넣는다.
8. 7의 팬에 소금, 후추, 생강, 쯔유, 고춧가루를 넣고 볶는다.
9. 8의 팬에 끓는 기름, 설탕을 넣는다.
10. 9의 팬에 참기름, 깨를 넣어 양념을 만든다.
11. 밀대를 이용해 면 반죽을 넓게 민다.
12. 11의 면 반죽을 여러 겹으로 접은 뒤 굵게 썬다.
13. 양념 소갈비 국물에 재워둔 닭가슴살과 대파를 석쇠에 올려 굽는다.
14. 13의 닭가슴살에 양념 소갈비 국물을 덧발라가며 굽는다.
15. 14에 후추를 뿌린다.
16. 면을 끓는 물에 삶은 뒤 양념에 넣고 볶는다.
17. 채 썬 대파에 간장, 식초, 깨, 레몬청을 넣고 절인다.
18. 석쇠의 닭가슴살에 양념 소갈비 국물을 바른 뒤 토치로 직화한다.
19. 볶음면 위에 깨를 뿌린다.
20. 석쇠에 구운 닭가슴살과 대파, 절인 대파, 깨를 볶음면 위에 올린다.</t>
  </si>
  <si>
    <t xml:space="preserve">&lt;김승민 - 나베로 이경?&gt;
● 재료
양념 소갈비, 부추, 새우, 배추김치, 명이나물 장아찌, 통조림 참치샐러드, 베이크드 빈, 스키야키 소스, 쯔유, 연어육포, 닭봉, 칼국수라면, 비엔나소시지, 고춧가루, 대파, 밀가루, 달걀, 홍고추, 청양고추, 식용유, 후추
● 조리 방법
1. 토치를 이용해 대파, 연어육포, 양념 소갈비를 직화해 훈연 향을 입힌다.
2. 직화한 소갈비의 뼈를 제거하고, 연어육포를 적당한 크기로 썬다.
3. 끓는 물에 소갈비의 뼈, 연어육포, 베이크드 빈을 넣고 끓여 나베 국물을 만든다.
4. 배추김치를 물에 씻은 뒤 적당한 크기로 썬다.
5. 4의 배추김치를 나베 국물에 넣는다.
6. 5에 고춧가루를 넣는다.
7. 적당한 크기로 썬 부추, 쯔유를 6에 넣는다.
8. 문어 모양을 낸 비엔나소시지를 7에 넣는다.
9. 끓는 물에 칼국수라면 면을 넣고 삶는다.
10. 손질한 새우를 밀가루에 묻혀 끓는 물에 데친다.
11. 삶은 면을 얼음물에 넣어 식히고, 데친 새우를 나베 국물에 넣는다.
12. 달걀을 풀어 달걀물을 만든다.
13. 양념 소갈비에 밀가루&gt;달걀물 순으로 묻힌 뒤, 기름을 두른 팬에 구워 육전을 만든다.
14. 통조림 참치샐러드, 달걀물, 다진 홍고추와 청양고추, 밀가루를 섞어 완자 반죽을 만든다.
15. 끓는 물에 완자 반죽을 삶은 뒤 나베 국물에 넣는다.
16. 닭봉을 기름에 튀긴다.
17. 적당한 크기로 썬 직화한 대파, 명이나물 장아찌, 육전을 나베 국물에 넣는다.
18. 얼음물에 식힌 면에 밀가루를 묻힌 뒤 기름을 두른 팬에 굽는다.
19. 굽던 면을 뒤집어 준 뒤 토치로 직화한다.
20. 달걀노른자에 스키야키 소스, 잘게 썬 대파를 넣어 소스를 만든다.
21. 튀긴 닭봉을 나베 국물에 넣는다.
22. 21에 후추를 뿌린다.
23. 직화한 구운 면을 나베에 넣는다.
</t>
  </si>
  <si>
    <t>&lt;김풍 - 전병 가즈아~ 온면도 가보자!&gt;
● 재료
인스턴트 비빔냉면, 진미채 무침, 멸치볶음, 불린 황태채, 콘마요네즈, 냉동 아보카도, 배추김치, 양념 소갈비, 부추, 쯔유, 멸치육수팩, 새우 머리, 비엔나소시지, 고춧가루, 대파, 밀가루, 부침가루, 간장
●조리 방법
1. 들기름을 두른 팬에 불린 황태채, 대파, 쯔유를 넣고 볶는다.
2. 1에 뜨거운 물을 넣어 온면 육수를 만든다.
3. 온면 육수에 멸치육수팩, 새우 머리를 넣는다.
4. 지퍼백에 비엔나소시지를 넣고 으깬다.
5. 팬에 으깬 비엔나소시지, 잘게 다진 양념 소갈비, 배추김치를 넣는다.
6. 핸드블렌더에 멸치볶음, 진미채 무침을 넣고 간 뒤 5의 팬에 넣는다.
7. 6의 팬에 고춧가루, 물, 쯔유를 넣고 볶아 전병 소를 만든다.
8. 믹서에 밀가루, 부침가루, 물을 넣고 갈아 전병 반죽을 만든다.
11. 적당한 크기로 썬 부추, 전병 반죽, 물을 넣고 섞는다.
12. 기름을 두른 팬에 11을 부어 전을 부친다.
13. 김발 위에 부추전을 올린 뒤 전병 소를 넣고 말아 부추전병을 만든다.
14. 부추전병을 적당한 크기로 썬다.
15. 핸드블렌더에 냉동 아보카도, 콘마요네즈를 넣고 갈아 소스를 만든다.
16. 인스턴트 비빔냉면 면을 삶는다.
17. 고춧가루에 간장, 쯔유를 넣어 다진 양념을 만든다.
18. 삶은 인스턴트 비빔냉면 면을 얼음물에 헹군 뒤 온면 육수에 넣는다.</t>
  </si>
  <si>
    <t>&lt;레이먼킴 - 스튜맨이 돌아왔다&gt;
●재료
연어, 새우, 새우살, 참돔, 베지마이트, 셀러리, 달래, 방울양배추, 꽃게, 치킨스톡, 양송이버섯, 올리브토마토파스타소스, 토마토 페이스트, 아스파라거스, 레지아노 치즈, 바질, 타임, 고수, 딜, 로즈마리, 펜네, 양파, 청양고추, 버터, 화이트 와인, 밀가루, 마늘, 올리브오일, 레몬, 소금, 당근, 후추
●조리 방법
1. 끓는 물에 치킨스톡, 꽃게를 넣어 꽃게 육수를 만든다.
2. 핸드블렌더에 연어, 새우살을 넣고 간다.
3. 양파, 청양고추, 양송이버섯을 잘게 썬 뒤 팬에 넣고 볶는다.
4. 3의 팬에 토마토 페이스트, 간 연어와 새우살, 베지마이트를 넣는다.
5. 4의 팬에 버터를 넣는다.
6. 끓는 물에 펜네를 삶는다.
7. 볶던 재료에 화이트 와인, 밀가루를 넣는다.
8. 삶은 꽃게를 체에 밭쳐 건져낸다.
9. 볶던 재료에 꽃게 육수를 넣어 스튜를 만든다.
10. 레지아노 치즈의 껍질을 잘라낸 뒤 스튜에 넣는다.
11. 스튜에 올리브토마토파스타소스, 타임, 바질을 넣는다.
12. 절구에 싹을 제거한 마늘, 타임, 딜, 로즈마리, 고수, 올리브오일을 넣고 으깬다.
13. 12에 레몬즙, 소금, 올리브오일을 넣어 허브 소스를 만든다.
14. 아스파라거스, 방울양배추, 양송이버섯에 소금, 올리브오일을 뿌린 뒤 그릴팬에 굽는다.
15. 채칼로 당근을 얇게 슬라이스한 뒤 14의 그릴팬에 굽는다.
16. 연어, 새우, 참돔에 소금, 후추, 딜, 올리브오일을 뿌린 뒤 15의 그릴팬에 굽는다.
17. 삶은 펜네를 건져낸 뒤, 꽃게 육수에 넣고 데친다.
18. 데친 펜네에 스튜 건더기를 넣는다.
19. 밀대를 이용해 삶은 꽃게의 살을 발라낸다.
20. 접시에 구운 당근, 양송이버섯, 방울양배추, 연어, 새우, 참돔을 올린다.
21. 20에 스튜를 넣은 뒤 삶은 꽃게살, 딜을 올려 마무리한다.</t>
  </si>
  <si>
    <t>냉장고를 부탁해 시즌 1, 222화</t>
  </si>
  <si>
    <t>&lt;이연복 - 미트파이~ 진촤 맛있다&gt;
● 재료
베이컨, 올리브토마토파스타소스, 모차렐라치즈, 슬라이스치즈, 굴소스, 바비큐소스, 파프리카, 다진 소고기, 토마토 처트니, 양송이버섯, 달래, 아스파라거스, 로즈마리, 버터, 밀가루, 소금, 버터, 양파, 마늘, 대파, 청양고추, 올리브오일, 설탕, 식용유
● 조리 방법
1. 버터를 중탕하여 녹인다.
2. 밀가루에 소금을 넣는다.
3. 2에 녹인 버터, 물을 넣고 저어준다.
4. 3에 밀가루를 넣어 파이 반죽을 만든 뒤 키친타월을 덮어 숙성시킨다.
5. 기름을 두른 팬에 양파, 마늘, 대파, 베이컨, 다진 소고기를 넣고 볶는다.
6. 5의 팬에 올리브토마토파스타소스, 토마토 처트니, 바비큐소스, 굴소스를 넣는다.
7. 6의 팬에 모차렐라치즈, 청양고추, 양송이버섯을 넣고 볶아 파이 소를 만든다.
8. 토치를 이용해 파프리카를 직화한다.
9. 구운 파프리카의 탄 부분을 벗겨낸 뒤 잘게 썬다.
10. 달래, 구운 파프리카, 올리브오일, 설탕, 소금, 레몬즙을 넣어 달래 샐러드를 만든다.
11. 파이 반죽을 밀대로 넓게 민다.
12. 파이 반죽을 원형틀로 찍어낸 뒤 접시에 올린다.
13. 파이 반죽 위에 파이 소, 슬라이스치즈, 파이 반죽을 올린 뒤 끝부분을 접어준다.
14. 13의 파이를 끓는 기름에 넣고 부친다.
15. 14의 파이를 뒤집어 준 뒤 뚜껑을 덮고 부친다.
16. 15에 로즈마리를 넣어 향을 입힌다.
17. 16의 미트파이를 건져낸다.
18. 미트파이를 반으로 썬다.</t>
  </si>
  <si>
    <t>&lt;김승민 - 샘해밍떡&gt;
●재료
기리모찌, 달래, 잣, 은행, 꽃게, 라이스페이퍼, 셀러리, 조미김, 콜라비, 비트, 파프리카, 식초양념장, 유자식초, 시콰사 마멀레이드, 새우살, 라임, 토마토 처트니, 쯔유, 알목심, 다진 소고기, 달걀, 밀가루, 다진 생강, 당근, 튀김가루, 전분, 참기름
● 조리 방법
1. 밀대를 이용해 꽃게의 살을 발라낸다.
2. 새우살을 잘게 다진 뒤 꽃게살과 섞는다.
3. 파프리카와 달래를 적당한 크기로 썬 뒤 끓는 물에 데친다.
4. 꽃게살과 새우살에 달래, 파프리카, 달걀흰자, 밀가루, 다진 생강을 넣어 게살 반죽을 만든다.
5. 콜라비, 당근, 비트의 속을 반원 모양으로 파낸 뒤 찬물에 담가둔다.
6. 식초양념장, 유자식초, 5와 라임즙을 넣어 장아찌를 만든다.
7. 라이스페이퍼에 물뿌리개로 물을 뿌린다.
8. 라이스페이퍼에 알목심&gt;조미김&gt;게살 반죽을 올리고 물뿌리개로 물을 뿌린 뒤 말아준다.
9. 물, 튀김가루, 전분을 섞어 튀김옷을 만든다.
10. 김말이에 튀김옷을 묻힌다.
11. 10을 끓는 기름에 넣고 튀긴다.
12. 기리모찌를 반으로 썬다.
13. 팬에 기리모찌, 참기름, 쯔유, 물을 넣는다.
14. 13의 팬에 토마토 처트니를 넣어 궁중떡볶이를 만든다.
15. 셀러리에 칼집을 낸 뒤 길게 썰어 딜과 함께 찬물에 넣어둔다.
16. 궁중떡볶이에 잣, 은행, 다진 소고기를 넣는다.
17. 김말이 튀김을 건져낸 뒤 적당한 크기로 썬다.
18. 시콰사 마멀레이드, 유자식초를 섞어 소스를 만든다.
19. 김말이 튀김과 궁중떡볶이가 담긴 접시에 셀러리와 장아찌를 올린다.
20. 19에 딜을 잘게 뜯어 올려 마무리한다.</t>
  </si>
  <si>
    <t>&lt;정호영 - 게장이 달라 달라♬&gt;
●재료
꽃게, 연어, 참돔, 표고버섯 육수팩, 우엉, 시금치, 순두부, 두부, 잣, 타마고간장, 스키야키소스, 달래, 아스파라거스, 청주, 맛술, 다진 생강, 다진 마늘, 물엿, 쌀, 소금, 깨
●조리방법
1. 끓는 물에 꽃게 다리와 표고버섯 육수팩을 넣고 끓인다.
2. 꽃게의 살을 발라낸다.
3. 연어를 끓는 물에 데친다.
4. 데친 연어를 얼음물에 넣어 식힌 뒤 얇게 썬다.
5. 팬에 청주, 맛술, 스키야키소스, 육수, 생강즙, 마늘즙, 물엿을 넣어 간장게장 소스를 만든 뒤 얼음물에 식힌다.
6. 달래를 적당한 크기로 썬다.
7. 게장 소스에 달래를 넣는다.
8. 꽃게살과 데친 연어에 게장 소스를 넣는다.
9. 간장게장과 연어장에 잘게 썬 홍고추를 넣는다.
10. 솥에 불린 쌀과 물을 넣은 뒤 밥을 안친다.
11. 우엉을 엇비슷하게 썬다.
12. 11의 우엉을 끓는 물에 데친 뒤 솥밥에 넣는다.
13. 끓는 물에 시금치를 데친 뒤 얼음물에 담가둔다.
14. 잘게 썬 아스파라거스를 끓는 물에 데친 뒤 얼음물에 담가둔다.
15. 핸드블렌더에 잣, 순두부, 두부, 타마고간장을 넣고 간다.
16. 15에 소금, 타마고간장을 넣고 섞는다.
17. 16에 아스파라거스, 시금치를 넣고 버무려 시금치무침을 만든다.
18. 참돔의 등살을 발라낸 뒤 어슷하게 썬다.
19. 참돔에 청주를 뿌린다.
20. 19의 참돔에 뜨거운 물을 부어 익힌 뒤 얼음물에 식힌다.
21. 20의 참돔을 솥밥에 넣는다.
22. 시금치무침 위에 으깬 깨를 뿌려 마무리한다.</t>
  </si>
  <si>
    <t>&lt;샘킴 - 완자가 앗 뜨거뜨거♬&gt;
● 재료
가자미살, 대구살, 칵테일새우, 연어, 청경채, 바질페스토, 플레인요거트, 베이비피클, 무뼈닭발, 애호박, 말린 문어, 가쓰오부시장국, 인스턴트 황태해장국, 올리브오일, 대파, 홍고추, 마늘, 고춧가루, 후추, 전분, 소금, 양파, 설탕, 레몬, 고추
●조리 방법
1. 냄비에 올리브오일을 두른다.
2. 1에 대구살, 무뼈닭발, 가자미살, 뜨거운 물, 칵테일새우를 넣고 끓인다.
3. 2에 인스턴트 황태해장국을 넣는다.
4. 대파, 청경채를 적당한 크기로 썬다.
5. 찜기에 면포를 깐 뒤 대파, 청경채를 올려 찐다.
6. 기름을 두른 팬에 대파, 홍고추, 으깬 마늘, 고춧가루를 넣고 볶는다.
7. 육수 냄비와 고추기름을 내던 팬에 가쓰오부시장국을 넣는다.
8. 해산물 육수에 후추를 넣는다.
9. 해산물 육수에 연어를 넣는다.
10. 볶던 팬에 해산물 육수를 부어 끓인다.
11. 핸드블렌더에 가자미살, 칵테일새우, 연어를 넣는다.
12. 11에 잘게 썬 말린 문어, 전분, 소금, 후추를 넣는다.
13. 12를 갈아 완자 반죽을 만든다.
14. 완자 반죽을 적당한 크기로 뭉친 뒤 해산물 육수에 넣어 익힌다.
15. 얇게 썬 애호박을 그릴팬에 굽는다.
16. 베이비피클을 잘게 썬 뒤 플레인요거트와 섞는다.
17. 16에 잘게 썬 양파를 넣는다.
18. 17에 바질페스토, 설탕을 넣고 섞어 소스를 만든다.
19. 해산물 육수에 익힌 완자와 새우를 국물에 옮겨 담는다.
20. 얇게 썬 양파, 가쓰오부시장국, 레몬즙, 올리브오일을 섞는다.
21. 20에 홍고추, 고추, 후추를 넣어 양파간장 소스를 만든다.
22. 양파간장 소스에 설탕을 뿌린다.
23. 해산물 육수에 익힌 연어를 접시에 담는다.
24. 연어 위에 구운 애호박을 올린 뒤 바질페스토 소스를 얹는다.
25. 데운 뚝배기에 해물완자탕을 담는다.
26. 찐 대파와 청경채를 접시에 담아낸다.</t>
  </si>
  <si>
    <t>냉장고를 부탁해 시즌 1, 223화</t>
  </si>
  <si>
    <t>&lt;김풍 - 초통령&gt;
● 재료
무뼈닭발, 청경채, 가쓰오부시장국, 가자미살, 새우살, 대구살, 인스턴트 황태해장국, 바지락살, 방울토마토, 된장, 소금, 밀가루, 전분, 식용유, 대파, 다진마늘, 청양고추, 간장, 고춧가루, 식초
●조리 방법
1. 끓는 물에 무뼈닭발을 넣는다.
2. 1에 소금, 가쓰오부시장국을 넣는다.
3. 압력솥의 뚜껑을 닫고 끓인다.
4. 핸드블렌더에 밀가루, 전분, 소금, 물, 식용유를 넣고 갈아 면 반죽을 만든다.
5. 밀대를 이용해 반죽을 얇게 민다.
6. 얇게 민 반죽을 접은 뒤 얇게 썰어 면을 뽑는다.
7. 끓는 물에 면을 넣고 삶는다.
8. 삶은 면의 물기를 털어낸 뒤 기름에 지져 초면을 만든다.
9. 기름을 두른 팬에 대파, 다진마늘을 넣고 볶는다.
10. 9에 된장을 넣고 볶는다.
11. 10에 바지락살, 청양고추를 넣고 볶는다.
12. 11에 가쓰오부시장국, 간장, 인스턴트 황태해장국을 넣고 끓인다.
13. 12에 닭발 육수를 넣는다.
14. 13에 새우살, 가자미살을 넣고 끓인다.
15. 국물에 대구살을 넣는다.
16. 방울토마토를 반으로 썬 뒤 국물에 넣는다.
17. 16에 뜨거운 물을 붓는다.
18. 볼에 고춧가루, 간장을 넣는다.
19. 18에 가쓰오부시장국, 식초를 넣고 섞어 양념장을 만든다.
20. 국물에 청경채를 넣고 끓인다.
21. 20에 전분물을 풀어 농도를 조절한다.
22. 데운 뚝배기에 초면을 넣은 뒤 해물과 채소, 국물을 담는다.</t>
  </si>
  <si>
    <t>&lt;유현수 - 세.나.떡&gt;
●재료
말린 문어, 고추장, 청경채, 대구살, 새우살, 칵테일새우, 가자미살, 고체 카레, 인스턴트 황태해장국, 바질페스토, 가쓰오부시장국, 방울토마토, 즉석밥, 전분, 고추장, 고춧가루, 설탕, 물엿, 고추, 홍고추, 참깨, 대파, 달걀, 레몬, 참기름
●조리 방법
1. 즉석밥을 전자레인지에 돌린다.
2. 전자레인지에 돌린 즉석밥을 핸드블렌더에 넣고 간다.
3. 2에 전분, 말린 문어를 넣고 한 번 더 간다.
4. 팬에 고추장, 고춧가루, 인스턴트 황태해장국, 설탕, 물엿, 고추, 홍고추, 깨를 넣는다.
5. 냄비에 인스턴트 황태해장국, 물, 대파를 넣고 끓인다.
6. 그릴팬에 가자미살을 굽는다.
7. 핸드블렌더에 대구살, 칵테일새우, 새우살, 가자미살, 달걀, 전분을 넣고 간다.
8. 종이포일에 어묵 반죽을 올린 뒤 얇게 편다.
9. 8을 찜기에 넣어 찐다.
10. 떡볶이 소스에 어묵 반죽을 넣고 섞는다.
11. 방울토마토를 으깬 뒤 떡볶이 소스에 넣는다.
12. 어묵국수 국물에 가쓰오부시장국을 넣는다.
13. 찐 어묵을 얇게 썰어 어묵 면을 만든다.
14. 어묵 면을 국물에 넣고 끓인다.
15. 말린 문어를 넣은 떡 반죽을 먹기 좋은 크기로 썬다.
16. 끓는 물에 떡 반죽을 넣고 익힌다.
17. 끓는 물에 청경채를 데친 뒤 얼음물에 식힌다.
18. 볼에 청경채, 칵테일새우, 바질페스토, 깨, 레몬즙을 넣고 섞는다.
19. 청경채 샐러드를 접시에 올린다.
20. 익힌 떡을 얼음물에 담가 식힌 뒤 떡볶이 소스와 섞는다.
21. 접시에 떡볶이를 담는다.
22. 구운 가자미살에 간 카레를 뿌린 뒤 접시에 올리고, 참기름을 두른다.
23. 어묵국수를 그릇에 담는다.</t>
  </si>
  <si>
    <t>&lt;오세득 - 세.나.피&gt;
●재료
글루텐프리 도우, 연어, 그릭요거트, 아보카도, 된장, 새우살, 말린 문어, 곡물가루, 애호박, 가쓰오부시장국, 고추장, 소금, 달걀, 대파, 양파, 홍고추, 고추, 된장, 올리브오일, 연겨자, 다진마늘
●조리 방법
1. 끓는 물에 소금을 넣은 뒤 달걀을 넣어 삶는다.
2. 대파, 양파, 홍고추, 고추를 잘게 썬다.
3. 기름을 두른 팬에 된장, 고추장, 손질한 채소를 넣고 볶는다.
4. 3에 불린 문어를 넣고 볶는다.
5. 4에 잘게 썬 새우살을 넣고 볶는다.
6. 올리브오일을 두른 팬에 글루텐프리 도우를 굽는다.
7. 잘게 썬 애호박을 강된장 소스에 넣는다.
8. 강된장 소스에 곡물가루를 넣어 농도를 조절한다.
9. 얇게 썬 연어에 데운 올리브오일을 넣어 익힌다.
10. 9에 잘게 다진 양파, 아보카도, 연겨자, 가쓰오부시장국, 그릭요거트를 넣고 섞는다.
11. 삶은 달걀을 얼음물에 식힌 뒤, 껍데기를 깐다.
12. 강된장 소스에 물, 다진마늘, 곡물가루를 넣는다.
13. 삶은 달걀을 잘게 다진 뒤 연어아보카도 소스에 넣는다.
14. 달걀흰자와 노른자를 체에 밭쳐 곱게 간 뒤 연어아보카도 소스에 올린다.
15. 구운 피자 도우를 썬 뒤 접시에 담는다.
16. 강된장 소스에 잘게 썬 대파를 올린다.</t>
  </si>
  <si>
    <t>&lt;샘킴 - 한 이불 덮었닭&gt;
● 재료
감자수제비가루, 카레가루, 탄두리맛 닭가슴살, 닭날개, 치즈맛 핫바, 인스턴트 갈비탕, 시금치, 올리브오일, 청양고추, 홍고추, 양파, 마늘, 버터, 레몬, 소금
●조리 방법
1. 핸드블렌더에 치즈맛 핫바를 넣고 간다.
2. 감자수제비가루에 물, 간 치즈맛 핫바를 넣고 뇨키 반죽을 만든다.
3. 닭날개의 뼈를 발라낸다.
4. 올리브오일을 두른 그릴팬에 청양고추, 홍고추, 양파를 굽는다.
5. 기름을 두른 팬에 마늘, 닭날개 살을 넣고 볶는다.
6. 5의 팬에 탄두리맛 닭가슴살, 카레가루를 넣는다.
7. 구운 청양고추, 홍고추, 양파를 잘게 썰어 6에 넣는다.
8. 핸드블렌더에 치즈맛 핫바, 닭날개 살, 탄두리맛 닭가슴살을 넣고 간다.
9. 닭날개 껍질 안에 8을 넣어 속을 채운다.
10. 9를 기름에 튀긴다.
11. 간 재료, 탄두리맛 닭가슴살, 인스턴트 갈비탕 국물을 카레 소스에 넣는다.
12. 11에 잘게 썬 양파를 넣는다.
13. 뇨키 반죽을 적당한 크기로 썬 뒤 눌러서 모양을 잡는다.
14. 뇨키를 끓는 물에 삶는다.
15. 버터를 두른 팬에 삶은 뇨키를 넣는다.
16. 올리브오일을 두른 팬에 마늘, 시금치, 버터를 넣고 볶는다.
17. 카레 소스에 뇨키를 올린다.
18. 속을 채운 닭튀김을 건져낸 뒤 소금을 뿌려 17에 올린다.
19. 18 위에 볶은 시금치를 올린다.
20. 19에 레몬즙을 뿌려 마무리한다.</t>
  </si>
  <si>
    <t>냉장고를 부탁해 시즌 1, 224화</t>
  </si>
  <si>
    <t>&lt;이연복 - 짬짜탕&gt;
● 재료
닭날개, 닭봉, 숯불맛 핫바, 전복, 인스턴트 갈비탕, 누룽지, 매운맛 짜장라면, 시금치, 간장, 달걀, 전분, 대파, 마늘, 양파, 고춧가루, 당근
●조리 방법
1. 끓는 물에 전복을 넣고 데친다.
2. 냄비에 인스턴트 갈비탕, 뜨거운 물을 넣고 끓인다.
3. 닭봉과 닭날개의 뼈를 발라낸다.
4. 닭봉 뼈를 인스턴트 갈비탕에 넣어 육수를 만든다.
5. 닭봉과 닭날개 살에 간장, 달걀, 전분을 넣고 버무린다.
6. 기름을 두른 팬에 5를 넣고 튀긴다.
7. 데친 전복을 물에 씻어 내장을 제거한다.
8. 뚝배기를 데운다.
9. 전복에 칼집을 낸 뒤 적당한 크기로 썬다.
10. 대파를 잘게 썰고, 마늘을 으깬다.
11. 양파를 적당한 크기로 썬다.
12. 닭튀김을 건져내 기름을 뺀다.
13. 팬에 손질한 채소, 간장, 고춧가루 넣고 볶는다.
14. 13의 팬에 매운맛 짜장라면 수프를 넣고 볶는다.
15. 14에 갈비탕&amp;닭뼈 육수를 넣어 짬짜탕을 만든다.
16. 숯불맛 핫바를 잘게 썬다.
17. 짬짜탕에 숯불맛 핫바, 전복을 넣는다.
18. 시금치를 적당한 크기로 썬다.
19. 잘게 썬 당근과 시금치를 짬짜탕에 넣는다.
20. 짬짜탕에 닭튀김을 넣는다.
21. 짬짜탕에 간장을 넣는다.
22. 짬짜탕에 전분물을 넣는다.
23. 체에 밭친 누룽지를 기름에 튀긴다.
24. 데운 뚝배기에 튀긴 누룽지를 넣는다.</t>
  </si>
  <si>
    <t>&lt;레이먼킴 - 레이먼의 손아귀&gt;
● 재료
아귀, 시금치, 애호박, 유자소스, 낙지젓, 무, 다시마, 국물용 멸치, 간장, 설탕, 맛술, 청양고추, 대파, 마늘, 후추, 생강, 소금, 후추, 청주, 홍고추, 청양고추, 즉석밥
●조리 방법
1. 팬에 간장, 물, 설탕, 맛술을 넣고 끓인다.
2. 1에 청양고추, 대파, 마늘, 후추, 생강을 넣어 소스를 만든다.
3. 아귀에 소금, 후추를 넣어 간한다.
4. 3에 유자소스를 바른 뒤 전분을 묻힌다.
5. 찜기에 대파, 청주를 넣고 4의 아귀를 올려 찐다.
6. 무를 적당한 크기로 썬 뒤 들기름을 두른 뚝배기에 넣는다.
7. 6에 뜨거운 물을 넣는다.
8. 국물용 멸치, 다시마를 넣은 육수팩을 7에 넣는다.
9. 애호박을 적당한 크기로 썬 뒤 8에 넣는다.
10. 낙지젓을 물에 씻는다.
11. 씻은 낙지젓을 9에 넣어 낙지젓국을 만든다.
12. 대파를 채 썬다.
13. 끓인 소스를 체에 밭쳐 건더기를 걸러낸다.
14. 팬에 시금치를 넣어 숨을 죽인다.
15. 홍고추, 청양고추, 소금을 13에 넣고 함께 볶는다.
16. 기름에 마늘, 대파를 넣어 파기름을 낸 뒤 건더기는 건져낸다.
17. 즉석밥을 전자레인지에 넣고 돌린다.
18. 청양고추를 잘게 썰어 낙지젓국에 넣는다.
19. 낙지젓국에 후추를 넣는다.
20. 낙지젓국에 소금을 넣는다.
21. 전자레인지에 돌린 즉석밥을 꺼내 그릇에 담는다.
22. 볶은 시금치 위에 아귀 수육을 올린다.
23. 22에 채 썬 대파를 올린 뒤 소스를 붓는다.
24. 23에 파기름을 끼얹는다.</t>
  </si>
  <si>
    <t>&lt;오세득 - 폭식해도 대구&gt;
●재료
대구, 문어, 오징어젓, 전복, 미역, 달래, 버터, 즉석밥, 고춧가루, 청양고추, 양파, 당근, 간장, 설탕, 들기름, 깨
●조리 방법
1. 즉석밥을 볼에 담는다.
2. 솥에 물을 끓인 뒤 버터를 넣고 녹인다.
3. 2에 즉석밥, 물을 넣는다.
4. 대구의 껍질을 발라낸 뒤 솥밥 위에 올린다.
5. 끓는 물에 전복을 데친다.
6. 데친 전복의 내장을 제거한 뒤 잘게 썰어 솥밥 위에 올린다.
7. 기름을 두른 팬에 오징어젓, 고춧가루, 미역, 뜨거운 물을 넣어 오징어젓국을 만든다.
8. 문어를 고기망치로 두드린다.
9 잘게 썬 청양고추를 오징어젓국에 넣는다.
10. 채칼을 이용해 양파, 당근을 채 썬다.
11. 달래를 적당한 크기로 썰어 양파, 당근과 함께 볼에 넣는다.
12. 청양고추, 양파를 잘게 썰어 11의 볼에 넣는다.
13. 청양고추를 잘게 썰어 오징어젓국에 듬뿍 넣는다.
14. 간장, 설탕, 들기름, 고춧가루, 깨를 섞은 뒤 12에 넣어 달래장을 만든다.
15. 솥밥의 뚜껑을 살짝 열어둔다.
16. 오징어젓국에 문어를 넣는다.</t>
  </si>
  <si>
    <t>&lt;유현수 - 나비족 세트&gt;
●재료
삼겹살, 갈치속젓, 통조림 번데기, 인스턴트 순대, 부추, 숙취해소음료, 동그랑땡, 감자, 인스턴트 짜장, 짜장라면, 아보카도, 쌈무, 고추냉이 마요네즈, 당근, 양파, 대파, 청양고추, 고춧가루, 즉석밥, 깨, 올리브오일
●조리 방법
1. 적당한 크기로 썬 감자를 볼에 넣은 뒤 랩을 씌운다.
1. 1을 전자레인지에 넣고 돌린다.
3. 인스턴트 순대를 찜기에 넣고 찐다.
4. 당근을 나비 모양으로 얇게 썬다.
5. 나비 모양의 당근을 물에 담가둔다.
6. 팬에 으깬 동그랑땡, 잘게 썬 양파를 넣는다.
7. 대파를 잘게 썬 뒤 팬에 넣고 볶는다.
8. 7에 숙취해소음료를 넣는다.
9. 8에 잘게 썬 청양고추를 넣고 볶는다.
10. 9에 인스턴트 짜장, 짜장라면 수프를 넣어 짜장소스를 만든다.
11. 10에 고춧가루를 넣는다.
12. 찐 순대를 나무꼬치로 고정시킨 뒤 그릴팬에 굽는다.
13. 통조림 번데기를 그릴팬에 함께 굽는다.
14. 잘게 썬 대파, 양파를 팬에 볶은 뒤 통조림 번데기를 넣는다.
15. 14에 잘게 썬 삼겹살, 즉석밥을 넣고 볶는다.
16. 볶음밥에 잘게 썬 부추, 갈치속젓을 넣고 볶는다.
17. 볶음밥에 깨를 뿌린 뒤 접시에 담는다.
18. 올리브오일을 두른 팬에 나비 모양의 당근을 볶는다.
19. 쌈무를 얇게 썬다.
20. 핸드블렌더에 아보카도, 부추를 넣고 간다.
21. 익힌 감자에 고추냉이 마요네즈, 쌈무를 넣고 버무린 뒤 철판에 담는다.
22. 21에 순대 스테이크를 올린다.
23. 순대 스테이크에 짜장소스를 올린다.
24. 볶음밥에 아보카도 퓌레, 볶은 당근을 올린다.
25. 구운 번데기를 볶음밥 위에 올려 낸다.</t>
  </si>
  <si>
    <t>냉장고를 부탁해 시즌 1, 225화</t>
  </si>
  <si>
    <t>&lt;김풍 - 보헤미안 미슐랭&gt;
● 재료
돼지목살, 새우, 방울토마토, 굴소스, 부추, 해물육수팩, 다시마, 파스타면, 김과자, 깻잎, 팽이버섯, 건새우, 마늘, 홍고추, 대파, 고춧가루, 소금, 간장, 물엿, 양파, 들기름, 참기름, 전분
●조리 방법
1. 핸드블렌더에 마늘, 홍고추를 넣는다.
2. 1에 대파, 방울토마토를 넣고 간 뒤 기름을 두른 팬에 넣는다.
3. 2에 고춧가루를 넣고 볶는다.
4. 새우의 머리와 껍질을 떼어낸다.
5. 끓는 물에 건새우, 해물육수팩, 다시마를 넣는다.
6. 5에 새우 머리, 소금을 넣어 육수를 낸다.
7. 끓는 물에 파스타면, 굴소스, 소금을 넣어 삶는다.
8. 7에 새우를 넣어 데친다.
9. 볶던 재료에 굴소스, 간장, 물엿을 넣어 스테이크 소스를 만든다.
10. 기름을 두른 팬에 돼지목살, 방울토마토를 넣고 굽는다.
11. 돼지목살에 소금을 뿌려 간한다.
12. 소스에 팽이버섯을 넣는다.
13. 소스에 부추를 넣은 뒤 볼에 담는다.
14. 잘게 썬 깻잎을 볼에 담는다.
15. 양파를 얇게 썬 뒤 14에 넣는다.
16. 15에 간장, 들기름을 넣어 버무린 뒤 접시에 담고, 건새우를 올린다.
17. 방울토마토를 반으로 썬 뒤 접시에 올린다.
18. 데친 새우를 샐러드 위에 올려 낸다.
19. 구운 돼지목살을 적당한 크기로 썬 뒤 접시에 담는다.
20. 구운 방울토마토, 부추를 넣은 소스를 접시에 담는다.
21. 육수를 체에 밭쳐 건더기를 걸러낸다.
22. 육수에 전분물을 넣고 끓인 뒤 그릇에 담아낸다.
23. 삶은 파스타면에 들기름을 넣는다.
24. 23에 으깬 김과자를 넣고 버무린다.
25. 파스타를 접시에 올린 뒤 참기름을 뿌린다.
26. 김과자를 파스타 위에 올린다.</t>
  </si>
  <si>
    <t>&lt;미카엘 - 이런 된장&gt;
● 재료
돼지목살, 감자, 인스턴트 소라강된장, 양상추, 매운 김치, 배추김치, 부추, 쪽파, 무, 허브솔트, 표고버섯, 애호박, 건새우, 새우젓, 소금, 고춧가루, 당근, 깨, 양파, 청양고추, 밀가루, 버터, 후추, 올리브오일, 식초
● 조리 방법
1. 돼지목살을 잘게 썬다.
2. 기름을 두른 팬에 돼지목살을 넣은 뒤 허브솔트를 뿌려 볶는다.
3. 끓는 물에 감자, 소금을 넣고 삶는다.
4. 끓는 물에 애호박, 건새우, 새우젓, 고춧가루을 넣고 조린다.
5. 쪽파, 양상추를 잘게 썬다.
6. 잘게 썬 양상추에 채 썬 무, 당근을 넣는다.
7. 잘게 썬 부추와 쪽파를 6에 넣는다.
8. 배추김치, 매운 김치를 잘게 썬다.
9. 애호박조림을 체에 밭쳐 건더기만 그릇에 담는다.
10. 애호박조림에 깨를 뿌린다.
11. 표고버섯, 양파를 얇게 썬 뒤 돼지목살을 굽던 팬에 넣는다.
12. 11에 뜨거운 물, 인스턴트 소라강된장을 넣고 끓인다.
13. 청양고추를 잘게 썬 뒤 12에 넣는다.
14. 삶은 감자를 접시에 담는다.
15. 밀가루, 버터를 볶아 루를 만든 뒤 된장스튜 국물을 섞는다.
16. 15를 된장스튜에 넣은 뒤 후추를 뿌린다.
17. 채 썬 채소에 잘게 썬 배추김치와 매운 김치를 넣는다.
18. 17에 올리브오일, 식초, 매운 김치 국물을 넣고 버무린다.
19. 김치 샐러드를 그릇에 담는다.
20. 감자 위에 된장스튜를 담은 뒤 잘게 썬 쪽파를 올린다.</t>
  </si>
  <si>
    <t>&lt;정호영 - 막걸리 칼라 파워!&gt;
● 재료
삼겹살, 주꾸미, 맥주, 쪽파, 매운 고추장, 깻잎, 감자, 애호박, 건새우, 섞박지, 배, 초고추장, 오이소박이, 굴소스, 된장, 다진마늘, 맛술, 레몬, 전분, 청양고추, 설탕, 간장, 물엿, 고춧가루, 양파, 참기름, 깨, 식초
● 조리 방법
1. 끓는 물에 된장, 다진마늘, 맛술, 삼겹살을 넣는다.
2. 압력솥의 뚜껑을 닫고 삶는다.
3. 채칼을 이용해 애호박, 감자를 채 썬다. (유현수)
4. 끓는 물에 쪽파를 데친다.
5. 데친 쪽파를 얼음물에 담가둔다.
6. 끓는 물에 맥주, 레몬즙을 넣은 뒤 주꾸미를 넣고 데친다.
7. 채 썬 감자, 애호박에 전분을 넣고 버무린다.
8. 기름을 두른 팬에 7을 올린 뒤 건새우를 올려 굽는다.
9. 8에 얇게 썬 청양고추를 올린다.
10. 매운 고추장, 초고추장, 굴소스, 설탕, 간장, 물엿, 고춧가루를 섞어 주꾸미무침 양념을 만든다.
11. 데친 주꾸미를 얼음물에 담가둔다.
12. 배, 데친 쪽파, 양파를 썰어 볼에 담는다.
13. 오이소박이, 섞박지를 썰어 12에 넣는다.
14. 데친 주꾸미를 썰어 13에 넣는다.
15. 14에 참기름, 깨를 넣는다.
16. 적당한 크기로 썬 양파에 간장, 식초, 설탕을 넣고 섞는다.
17. 16을 종지에 담은 뒤 잘게 썬 청양고추, 깻잎을 올린다.
18. 먹기 좋은 크기로 썬 감자호박전을 접시에 담는다.
19. 주꾸미무침 양념에 다진마늘을 넣고 섞는다.
20. 19에 주꾸미와 손질한 재료들을 넣고 무친 뒤 접시에 담는다.
21. 먹기 좋은 크기로 썬 수육을 접시에 담은 뒤 깨를 뿌린다.</t>
  </si>
  <si>
    <t xml:space="preserve">&lt;정호영 - 청양공주&gt;
● 재료
소 등심, 콜라비 깍두기, 배추김치, 삼겹살, 마른 김, 전복, 황설탕, 타마고 간장, 들기름, 올리고당, 말린 뽕잎, 깻잎, 대파, 고춧가루, 간장, 맛술, 다진 마늘, 양파, 청양고추, 들기름, 깨
●조리 방법
1. 끓는 물에 전복을 넣어 데친다.
2. 끓는 기름에 대파, 고춧가루를 넣어 고추기름을 만든다.
3. 간장, 맛술, 황설탕, 다진 마늘, 올리고당을 섞어 떡갈비 양념을 만든다.
4. 삼겹살, 소 등심을 적당한 크기로 썬다.
5. 핸드블렌더에 4, 떡갈비 양념, 양파, 대파를 넣고 갈아 떡갈비 반죽을 만든다.
6. 소면의 끝을 끓는 물에 적셔 뭉친 뒤 끓는 물에 넣고 삶는다.
7. 기름을 두른 그릴팬에 떡갈비 반죽을 올려 굽는다.
8. 데친 전복의 내장을 제거한 뒤 적당한 크기로 썬다.
9. 깻잎을 잘게 썬다.
10. 반으로 자른 오이를 납작하게 편다.
11. 굽던 떡갈비 위에 콜라비 깍두기를 올린다.
12. 청양고추를 잘게 썬 뒤 굽던 떡갈비 위에 올린다.
13. 찜기에 말린 뽕잎, 청양고추를 넣는다.
14. 13에 석쇠에 올린 떡갈비를 올려 뚜껑을 덮고 훈연한다.
15. 잘게 썬 배추김치에 들기름, 황설탕, 깨를 넣는다.
16. 기름을 두른 팬에 떡갈비 반죽, 고추기름을 넣고 볶아 고기 고명을 만든다.
17. 소면을 찬물에 헹군 뒤 뭉친 끝을 잘라낸다.
18. 그릇에 소면, 전복, 깻잎, 청양고추, 대파, 김, 김치 고명, 고기 고명을 올린다.
19. 18에 얼음을 담가둔 타마고 간장을 뿌린다.
20. 19에 고추기름을 뿌린다.
</t>
  </si>
  <si>
    <t>냉장고를 부탁해 시즌 1, 226화</t>
  </si>
  <si>
    <t>&lt; 샘킴 - 지금 이 순간~ 전골처럼♬ &gt;
● 재료
차돌박이, 다진 소고기, 건표고버섯, 표고버섯, 송이버섯, 감자, 애호박, 타마고 간장, 소고기뭇국, 무, 올리브오일, 청양고추, 밀가루, 대파, 홍고추, 양파, 식초, 레몬, 들기름, 소금
● 조리 방법
1. 그릴팬에 청양고추를 올린 뒤 올리브오일을 뿌려 굽는다.
2. 냄비에 무, 불린 건표고버섯, 건새우, 전복, 끓는 물을 넣어 전골 육수를 만든다.
3. 청양고추를 잘게 썰어 핸드블렌더에 넣고 간 뒤 물을 넣는다.
4. 핸드블렌더에 밀가루, 3을 넣고 갈아 수제비 반죽을 만든다.
5. 전골 육수의 전복을 건져낸 뒤 손질한다.
6. 구운 청양고추와 차돌박이에 전분을 묻힌다.
7. 찜기의 면보 위에 6을 올린다.
8. 송이버섯을 길게 썬다.
9. 대파와 표고버섯, 송이버섯에 전분을 묻힌 뒤 찜기에 올려 찐다.
10. 칼집을 낸 청양고추를 전골 육수에 넣는다.
11. 잘게 썬 청양고추, 홍고추, 양파에 밀가루, 식초, 레몬즙을 넣어 소스를 만든다.
12. 청양고추를 잘게 썰어 11에 넣는다.
13. 냄비에 다진 소고기, 마늘, 소고기뭇국, 청양고추를 넣는다.
14. 전골에 애호박, 표고버섯, 들기름을 넣는다.
15. 14에 전골 육수, 13의 소고기뭇국을 붓는다.
16. 15에 고춧가루, 타마고 간장을 넣는다.
17. 찜기에 찐 재료를 전골에 넣는다.
18. 수제비 반죽을 적당한 크기로 떼어낸 뒤 전골에 넣는다.
19. 전골에 소금을 뿌린다.</t>
  </si>
  <si>
    <t>&lt;오세득 - 러시아 가 봤슈?&gt;
● 재료
다진 소고기, 콜라비 깍두기, 마늘장아찌, 매실장아찌, 표고버섯, 송이버섯, 감자, 카레가루, 찹쌀호떡가루, 로열젤리, 사과, 연근조림, 대파, 양파, 맛술, 간장, 설탕, 소금, 당근, 달걀, 참기름, 청양고추, 홍고추, 화이트와인, 올리브오일, 고추장, 후추
●조리방법
1. 표고버섯과 송이버섯을 적당한 크기로 썬다.
2. 핸드블렌더에 대파, 양파, 표고버섯, 송이버섯을 넣고 간다.
3. 연근조림을 잘게 썬 뒤 기름을 두른 팬에 올린다.
4. 3에 간 재료와 다진 소고기, 맛술, 간장, 설탕을 넣고 볶아 파이 소를 만든다.
5. 끓는 물에 소금, 감자를 넣는다.
6. 핸드블렌더에 찹쌀호떡가루, 물을 넣고 갈아 파이 반죽을 만든다.
7. 당근을 적당한 크기로 썬다.
8. 당근을 5에 넣어 익힌다.
9. 파이 반죽을 밀대로 넓게 민다.
10. 파이 소에 달걀을 넣고 섞은 뒤 참기름을 뿌린다.
11. 체에 밭친 파이 소의 물기를 뺀다.
12. 11의 파이 소를 파이 반죽 위에 올려 덮는다.
13. 파이의 테두리를 포크로 눌러준다.
14. 파이의 끝부분을 잘라낸다.
15. 기름을 두른 팬에 종이호일에 올린 파이를 올려 튀긴다.
16. 콜라비 깍두기를 물에 씻어 볼에 담는다.
17. 매실장아찌를 잘게 썬 뒤 16에 넣고 레몬즙을 뿌린다.
18. 17에 청양고추, 홍고추, 사과를 넣는다.
19. 18에 화이트와인, 올리브오일을 넣어 샐러드를 만든다.
20. 끓는 물에 카레가루, 고추장, 마늘장아찌 국물을 넣는다.
21. 20에 뜨거운 물을 넣는다.
22. 샐러드에 익힌 감자와 당근, 후추, 소금, 설탕을 넣는다.
23. 22에 로열젤리를 넣는다.
24. 파이를 적당한 크기로 썬다.
25. 카레 소스에 올리브오일을 넣어 마무리한다.</t>
  </si>
  <si>
    <t>&lt;김풍 - 러시아풍 크레페&gt;
● 재료
차돌박이, 딸기, 타마고 간장, 깻잎, 우유, 건새우, 찹쌀가루, 설탕, 밀가루, 달걀, 소금, 양파, 물엿, 식초, 청양고추, 레몬, 간장
●조리 방법
1. 팬에 물, 설탕을 넣고 끓여 설탕 시럽을 만든다.
2. 핸드블렌더에 밀가루, 찹쌀가루, 달걀노른자, 물, 소금을 넣고 간다.
3. 2에 기름을 넣고 저어준다.
4. 양파를 잘게 썬 뒤 얼음물에 담가둔다.
5. 고춧가루, 타마고 간장, 물엿을 섞는다.
6. 5에 식초를 넣는다.
7. 6에 청양고추, 얼음물에 담가둔 양파를 넣고 버무려 샐러드를 만든다.
8. 달걀노른자, 밀가루, 우유, 레몬즙를 섞은 뒤 전자레인지에 넣고 돌려 커스터드크림을 만든다.
9. 끓는 물에 건새우, 간장을 넣는다.
10. 적당한 크기로 썬 차돌박이를 체에 밭쳐 9에 넣고 익힌 뒤 건져낸다.
11. 팬에 크레페 반죽을 부어 얇게 부친다.
12. 부친 크레페를 두 번 접는다.
13. 전자레인지에 돌린 커스터드크림에 우유를 넣고 저어준다.
14. 13을 다시 전자레인지에 넣어 돌린다.
15. 키친타월을 이용해 볼에 기름을 바른다.
16. 15에 설탕시럽을 뿌린다.
17. 깻잎을 잘게 썰어 샐러드에 넣는다.
18. 딸기를 크레페, 차돌박이, 샐러드와 함께 올려 낸다.
19. 설탕시럽을 뿌린 볼을 18 위에 덮어 마무리한다.</t>
  </si>
  <si>
    <t>&lt;레이먼킴 - 보양식이랑깨&gt;
●재료
꽃등심, 샤부샤부용 소고기, 차돌박이, 낙지, 마, 설렁탕, 국물용 멸치, 무, 다시마, 총각김치, 들깻가루, 초고추장, 부추, 깻잎, 팽이버섯, 들기름, 대파, 설탕, 간장, 소금, 밀가루, 달걀, 된장, 맛술, 고춧가루, 다진마늘, 연겨자, 마늘, 홍고추
●조리 방법
1. 적당한 크기로 썬 대파, 마를 석쇠에 올려 굽는다.
2. 꽃등심을 얇게 썬 뒤 끓는 물에 넣는다.
3. 2에 설렁탕 육수, 무를 넣고 끓인다.
4. 국물백에 다시마, 국물용 멸치를 넣은 뒤 3에 넣어 육수를 낸다.
5. 차돌박이에 설탕, 다진마늘, 간장을 넣고 버무린다.
6. 샤부샤부용 소고기에 소금으로 간한 뒤 밀가루→달걀물 순서로 묻힌다.
7. 기름을 두른 팬에 6을 구워 육전을 만든다.
8. 총각김치 무청의 양념을 물로 씻어낸다.
9. 무청에 된장, 맛술, 고춧가루, 다진마늘을 넣고 버무린다.
10. 들기름을 두른 냄비에 양념한 무청을 넣고 볶는다.
11. 볶은 무청에 육수, 무, 꽃등심을 넣어 끓인다.
12. 석쇠에 구운 대파, 마를 국물에 넣고 끓인다.
13. 핸드블렌더에 들깻가루, 물을 넣고 간 뒤 국물에 넣어 끓인다.
14. 13에 구운 육전을 넣는다.
15. 양념한 차돌박이를 굽는다.
16. 구운 차돌박이를 국물에 넣는다.
17. 적당한 크기로 썬 부추, 깻잎을 올린다.
18. 전골에 팽이버섯을 올린다.
19. 전골에 낙지를 올린다.
20. 다진마늘, 들깻가루, 연겨자, 간장, 들기름을 섞어 소스를 만든다.
21. 종지에 초고추장을 담은 뒤 들깻가루를 올린다.
22. 마늘, 홍고추를 얇게 썬 뒤 전골에 올린다.</t>
  </si>
  <si>
    <t>냉장고를 부탁해 시즌 1, 227화</t>
  </si>
  <si>
    <t>&lt; 이연복 - 잣잣잣~하고 말아 드세요♬&gt;
●재료
전복, 낙지, 오징어, 새우, 잣, 두부, 레몬청, 오이, 애호박, 무순, 깻잎, 팽이버섯, 감태, 스리라차소스, 굴소스, 소금, 밀가루, 마늘, 맛술, 간장, 설탕, 식초, 케첩, 마요네즈, 대파,
●조리 방법
1. 끓는 물에 전복을 데친다.
2. 오이, 애호박의 껍질을 벗긴 뒤 채칼로 얇게 썬다.
3. 채 썬 오이와 애호박을 소금에 버무려 절여둔다.
4. 믹서기에 잣, 레몬청, 두부, 물을 넣고 간다.
5. 4에 소금을 넣은 뒤 체에 밭쳐 곱게 거른다.
6. 데친 전복을 건져 찬물에 담가둔다.
7. 손질한 낙지를 끓는 물에 데친다.
8. 칼집을 낸 오징어, 새우를 끓는 물에 데친다.
9. 데친 해산물을 건져 찬물에 담가둔다.
10. 나무 찜기에 깻잎을 깐다.
11. 데친 낙지를 먹기 좋은 크기로 썬다.
12. 밀가루를 체에 밭쳐 데친 해산물 위에 뿌려준다.
13. 밀가루를 묻힌 해산물을 나무 찜기에 넣는다.
14. 해산물 위에 팽이버섯을 올린 뒤 찜기에 넣고 찐다.
15. 소금에 절인 오이, 애호박을 물로 씻어 짠맛을 뺀 뒤 물에 담가둔다.
16. 핸드블렌더에 마늘을 간 뒤 2개의 볼에 나눠 담는다.
17. 한쪽 볼에는 맛술, 나머지 볼에는 간장을 넣는다.
18. 마늘, 간장을 넣은 볼에 설탕, 식초를 섞어 간장마늘소스를 만든다.
19. 마늘, 맛술을 넣은 볼에 스리라차소스, 케첩, 마요네즈를 넣는다.
20. 19에 굴소스, 설탕을 넣고 섞어 스리라차소스를 만든다.
21. 간장마늘소스에 잘게 썬 대파의 흰 부분을 올린다.
22. 무순에 간장마늘소스를 끼얹고, 스리라차소스는 종지에 담는다.
23. 해산물찜에 감태를 찢어 올린 뒤 뚜껑을 닫고 살짝 익힌다.
24. 오이, 애호박의 물기를 짠 뒤 볼에 담는다.
25. 24에 잣국물을 부은 뒤 무순을 올려 낸다.</t>
  </si>
  <si>
    <t>&lt;송훈 - 꽃중년 스테이크&gt;
● 재료
꽃등심, 삼겹살, 애호박, 양송이버섯, 상추, 마늘장아찌, 오이, 부추, 레몬청, 유자폰즈소스, 잣, 새우젓무침, 마늘, 달걀, 소금, 레몬, 후추
●조리 방법
1. 찜기에 나무꼬치, 나무젓가락을 넣고 토치로 태운 뒤 삼겹살, 꽃등심을 올린다.
2. 삼겹살을 토치로 직화한다.
3. 찜기의 뚜껑을 덮어 삼겹살과 꽃등심을 훈연한다.
4. 핸드블렌더에 마늘을 넣어 굵게 다진 뒤 기름에 넣고 끓여 마늘오일을 만든다.
5. 마늘을 얇게 슬라이스한다.
6. 랩을 씌운 접시 위에 마늘 슬라이스와 상추를 올린 뒤 기름을 바른다.
7. 6에 랩을 씌운다.
8. 랩에 구멍을 뚫은 뒤 전자레인지에 넣어 돌린다.
9. 애호박, 양송이버섯을 다각형 썰기 한다.
10. 오이를 일정한 크기로 썬 뒤 원형틀로 속을 찍어낸다.
11. 믹서기에 달걀노른자, 잣, 상추, 부추를 넣는다.
12. 11에 마늘오일을 넣고 갈아 상추 퓌레를 만든다.
13. 상추퓌레에 마늘장아찌 국물, 소금, 레몬즙을 넣고 다시 간다.
14. 훈연한 꽃등심에 후추, 소금으로 간한다.
15. 마늘오일을 두른 팬에 꽃등심, 오이를 함께 굽는다.
16. 꽃등심에 마늘오일을 끼얹어 가며 굽는다.
17. 마늘오일을 두른 팬에 훈연한 삼겹살을 볶는다.
18. 17에 새우젓무침을 넣고 볶는다.
19. 18에 썰어놓은 애호박과 양송이버섯, 마늘오일을 넣고 볶는다.
20. 19에 레몬청, 레몬즙을 넣고 볶는다.
21. 20에 마늘장아찌를 넣고 볶는다.
22. 볶은 채소에 후추를 뿌린다.
23. 꽃등심 스테이크를 먹기 좋은 크기로 썬다.
24. 접시에 상추 퓌레를 올리고 꽃등심 스테이크를 얹는다.
25. 접시에 구운 오이와 볶은 채소를 올린 뒤 마늘칩을 뿌린다.
26. 유자폰즈소스, 레몬즙을 뿌리고 잣을 올려 낸다.</t>
  </si>
  <si>
    <t>&lt;유현수 - 애꿎은 스테이크 어이하라고♬&gt;
● 재료
토종닭, 소등심, 새우, 콩비지, 잣, 마, 호박죽, 오미자원액, 감태, 자몽청, 두릅, 마늘, 소금, 후추, 올리브오일, 튀김가루, 전분, 식초
● 조리 방법
1. 찜기에 마늘, 마를 넣고 찐다.
2. 토종닭을 손질한 뒤 뼈를 발라낸다.
3. 손질한 닭을 지퍼백에 넣은 뒤 고기망치로 두드린다.
4. 닭에 소금, 후추로 간한다.
5. 올리브오일을 두른 팬에 닭을 올린 뒤 종이포일, 냄비를 올려 굽는다.
6. 소등심에 칼집을 낸다.
7. 소등심에 지퍼백을 올린 뒤 고기망치로 두드린다.
8. 소등심을 후추, 소금으로 간한 뒤 닭과 함께 굽는다.
9. 핸드블렌더에 새우, 감태를 넣고 간다.
10. 튀김가루에 물을 섞어 튀김반죽을 만든다.
11. 튀김가루를 묻힌 두릅에 간 새우와 감태를 넣는다.
12. 11에 튀김반죽을 묻힌 뒤 기름에 튀긴다.
13. 구운 닭과 소등심에 전분을 묻힌다.
14. 찐 마늘을 빻은 뒤 닭에 바른다.
15. 14에 소등심을 올려 돌돌 만 뒤 조리용 실로 묶어 모양을 고정시킨다.
16. 스테이크를 팬에 올려 다시 굽는다.
17. 팬에 호박죽을 넣고 졸여 호박 퓌레를 만든다.
18. 팬에 자몽청, 오미자원액을 넣고 졸여 오미자소스를 만든다.
19. 핸드블렌더에 잣, 콩비지, 식초를 넣고 간다.
20. 접시에 호박 퓌레, 잣소스를 올린다.
21. 잣소스 위에 두릅새우완자 튀김을 올린다.
22. 스테이크를 호박 퓌레 위에 올린다.
23. 오미자소스를 접시에 올린다.
24. 잣, 찐 마늘을 올려 낸다.</t>
  </si>
  <si>
    <t>&lt;오세득 - 미역도 다시 한 번 &gt;
● 재료
연어, 미역, 훈제 연어, 참외, 사과, 두릅, 돌나물, 크림치즈, 쌈장, 소면, 백김치, 소금, 달걀, 고추냉이, 대파, 마늘, 고춧가루, 설탕, 다진 마늘, 다진 생강, 식초, 간장, 청양고추, 참기름
●조리 방법
1. 끓는 물에 소금, 달걀을 넣고 삶는다.
2. 대파, 마늘, 고춧가루에 끓는 기름을 넣는다.
3. 2을 전자레인지에 돌려 고추기름을 낸다.
4. 핸드블렌더에 쌈장, 설탕, 다진 마늘, 생강즙을 넣고 간다.
5. 비닐팩에 적당한 크기로 썬 연어, 4를 넣고 버무린다.
6. 참외의 껍질을 벗긴다.
7. 삶은 달걀을 얼음물에 담가둔 뒤 껍데기를 벗긴다.
8. 참외의 속을 파낸 뒤 잘게 썬다.
9. 핸드블렌더에 9, 간장, 설탕, 다진 마늘, 식초를 넣고 간다.
10. 9에 라면수프를 넣고 갈아 참외 소스를 만든다.
11. 채칼을 이용해 참외를 채 썰고, 청양고추, 백김치를 잘게 썬다.
12. 11에 참외 소스를 넣는다.
13. 12에 얼음물에 담가둔 미역, 참기름을 넣는다.
14. 기름을 두른 그릴팬에 5의 연어를 올려 튀기듯 굽는다.
15. 사과의 껍질을 벗긴다.
16. 사과를 잘게 썬다.
17. 크림치즈에 사과, 고추냉이, 설탕을 넣는다.
18. 18의 소스 위에 훈제연어를 올린다.
19. 레몬즙, 간장을 뿌린 돌나물을 19 위에 올린다.
20. 끓는 물에 소면을 삶는다.
21. 20에 두릅을 넣는다.
22. 소면을 건져 얼음물에 헹군 뒤 물기를 뺀다.
23. 두릅을 건져낸 뒤 얼음물에 헹군다.
24. 13에 두릅, 소면, 참외 소스를 넣고 버무린다.
25. 접시에 24, 구운 연어를 올린 뒤 참기름을 뿌려 마무리한다.</t>
  </si>
  <si>
    <t>냉장고를 부탁해 시즌 1, 228화</t>
  </si>
  <si>
    <t>&lt;이연복 - 불혹에 딱 좋은 면인데♬&gt;
● 재료
연어, 미역, 파스타면, 시금치, 굴소스, 두반장, 바지락, 돌나물, 건홍합, 전복, 파프리카, 참기름, 버터, 밀가루, 고추장, 식초, 설탕, 올리브오일, 후추
●조리 방법
1. 팬에 참기름을 두른 뒤 마늘과 불린 미역을 넣고 볶는다.
2. 끓는 물에 파스타면을 넣고 삶는다.
3. 끓는 물에 전복을 넣어 데친다.
4. 핸드블렌더에 볶은 미역, 물을 넣고 간다.
5. 팬에 버터, 밀가루를 넣고 끓여 루를 만든다.
6. 석쇠에 파프리카를 올려 직화한다.
7. 구운 파프리카의 탄 부분을 벗겨내고 속을 파낸 뒤 잘게 썬다.
8. 끓는 물에 바지락을 넣어 육수를 낸 뒤 건져낸다.
9. 8에 건홍합을 넣는다.
10. 연어에 꼬치를 여러 개 꽂는다.
11. 10의 연어에 참기름을 발라준 뒤 직화한다.
12. 11을 얼음물에 담가 식힌다.
13. 데친 전복의 내장을 제거한 뒤 잘게 썬다.
14. 고추장, 식초, 설탕, 두반장, 굴소스를 섞어 양념을 만든다.
15. 시금치, 돌나물, 14의 양념을 버무려 돌나물 무침을 만든다.
16. 15 위에 연어 타다키를 올린다.
17. 마늘을 잘게 썰어 올리브오일을 두른 팬에 넣고 간 미역, 후추를 넣는다.
18. 17에 바지락 홍합 육수, 루를 넣는다.
19. 18에 삶은 파스타면, 파프리카를 넣고 볶는다.
20. 19에 잘게 썬 전복을 넣는다.</t>
  </si>
  <si>
    <t>&lt;레이먼킴 - 레이먼사우르스&gt;
●재료
시금치, 양념 소불고기, 스트링치즈, 모차렐라치즈, 우유, 빵가루, 달걀, 당근, 설탕, 소금, 밀가루, 버터, 튀김가루, 케첩
●조리 방법
1. 핸드블렌더에 양념 소불고기, 빵가루, 모차렐라 치즈, 달걀을 넣고 간다.
2. 당근을 적당한 크기로 썬다.
3. 핸드블랜더 2개에 당근과 시금치를 각각 넣는다.
4. 3에 각각 달걀과 우유를 넣고 간다.
5. 4에 각각 설탕, 소금, 밀가루, 버터, 튀김가루를 넣고 간다.
6. 시금치 반죽과 당근 반죽을 팬에 올려 부친다.
7. 팬에 1의 소불고기를 올려 굽는다.
8. 종이포일에 공룡 그림을 그린다.
9. 부친 시금치 팬케이크를 공룡 모양대로 자른다.
10. 스트링치즈를 잘게 썬 뒤 9에 올리고 설탕을 뿌린다.
11. 당근 팬케이크 위에 7의 소불고기를 공룡모양으로 올린다.
12. 11에 적당한 크기로 썬 시금치 팬케이크를 올린다.
13. 12 위에 케첩을 뿌린다.
14. 13 위에 공룡 모양의 시금치 팬케이크를 올린다.
15. 14에 설탕을 뿌린다.
16. 15에 케첩을 뿌린다.
17. 접시에 케첩을 따로 담아낸다.</t>
  </si>
  <si>
    <t>&lt;김풍 - 코알라 구할 준비됐나요♬&gt;
●재료
시금치, 불고기용 소고기, 애호박, 브로콜리, 케이퍼, 블랙 올리브, 우유, 고기 육수, 굴소스, 라면, 빵가루, 튀김가루, 버터, 밀가루
●조리 방법
1. 핸드블렌더에 적당한 크기로 썬 불고기용 소고기, 달걀을 넣는다.
2. 1에 튀김가루를 넣는다.
3. 빵가루에 우유를 섞은 뒤 2에 넣는다.
4. 3에 굴소스를 넣고 간다.
5. 고기 반죽을 동그랗게 뭉친 뒤 블랙올리브로 눈을 만든다.
6. 5에 케이퍼를 올려 코를 만든 뒤 고기 반죽 위에 얹는다.
7. 코알라 모양 고기 반죽을 나무꼬치로 고정한다.
8. 7을 찜기에 넣고 찐다.
9. 끓는 물에 시금치, 브로콜리를 데친 뒤 적당한 크기로 썬다.
10. 팬에 버터, 밀가루를 볶아 루를 만든다.
11. 애호박을 적당한 크기로 썬 뒤 루에 넣는다.
12. 11에 시금치, 브로콜리를 넣는다.
13. 12에 고기 육수, 우유, 굴소스를 넣고 끓인다.
14. 13에 라면수프를 넣는다.
15. 끓는 물에 라면 면을 삶는다.
16. 믹서기에 13의 볶은 채소를 넣고 간다.
17. 16을 팬에 넣는다.
18. 17에 라면수프, 고기 육수를 넣고 끓인다.
19. 18에 삶은 라면 면을 넣는다.
20. 찜기에 찐 코알라 모양의 완자에 구멍을 파서 입 모양을 만든다.
21. 20에 채소수프와 라면 면을 붓는다.</t>
  </si>
  <si>
    <t>&lt; 송훈 - 갱년기 날렸찜&gt;
● 재료
돼지목살, 삶은 문어, 전복, 삶은 메추리알, 브로콜리, 오렌지, 취나물, 화이트와인 식초, 호두기름, 발사믹 식초, 토마토, 셀러리, 샤부샤부용 육수, 파슬리, 표고버섯, 고추, 마늘, 올리브오일, 케첩, 맛술, 후추, 소금, 양파, 라면, 설탕
● 조리 방법
1. 셀러리를 적당한 크기로 썰고 고추는 잘게 썰어 믹서기에 넣는다.
1. 1의 셀러리에 토마토, 마늘, 올리브오일, 샤부샤부용 육수를 넣는다.
1. 2에 케첩, 맛술을 넣고 갈아 토마토소스를 만든다.
1. 삶은 문어에 올리브오일, 후추를 뿌린 뒤 석쇠에 올려 굽는다.
1. 석쇠에 구운 문어를 얇게 썬다.
6. 돼지목살에 소금, 후추로 간한다.
7. 압력솥에 올리브오일을 두르고 올리브오일을 두른 팬에 돼지목살을 굽는다.
8. 셀러리, 양파, 표고버섯을 썬 뒤 팬에 함께 굽는다.
9. 압력솥에 전복을 넣는다.
10. 라면 면을 기름에 튀긴다.
11. 돼지목살을 굽던 팬에 레드와인을 넣는다.
12. 튀긴 라면을 건져내 기름기를 뺀다.
13. 튀긴 라면에 잘게 썬 파슬리, 소금, 오렌지껍질을 갈아 올린다.
14. 11에 토마토소스를 넣고 함께 끓인다.
15. 14에 소금, 후추로 간한다.
16. 압력솥에 파슬리를 넣은 뒤 뚜껑을 닫고 찐다.
17. 오렌지는 잘게 썰고, 브로콜리는 송이 부분을 잘게 썬다.
18. 올리브오일을 두른 팬에 잘게 썬 브로콜리, 소금, 후추를 넣고 볶는다.
19. 접시에 발사믹 식초, 오렌지를 올린다.
20. 화이트와인 식초, 호두기름, 올리브오일, 설탕, 후추를 섞어 샐러드드레싱을 만든다.
21. 삶은 메추리알의 흰자와 노른자를 분리한다.
22. 분리한 메추리알 흰자는 잘게 다지고, 취나물은 얇게 채 썬 뒤 접시에 담는다.
23. 접시에 삶은 문어를 올린 뒤 샐러드 드레싱을 뿌린다.
24. 볶은 브로콜리를 접시에 올린다.
25. 접시에 튀긴 라면을 올린다.</t>
  </si>
  <si>
    <t>냉장고를 부탁해 시즌 1, 229화</t>
  </si>
  <si>
    <t>&lt; 샘킴 - 문어지지마&gt;
● 재료
돼지목살, 삶은 문어, 꽃등심, 감자, 토마토, 파슬리, 취나물, 표고버섯, 새송이버섯, 플레인요거트, 파프리카, 화이트와인 식초, 발사믹 식초, 오렌지, 달걀, 설탕, 레몬, 올리브오일, 후추, 소금, 다진생강, 다진마늘, 마늘
●조리 방법
1. 달걀노른자를 따로 분리한 뒤 잘 섞어준다.
2. 1에 설탕, 레몬즙을 넣어 레몬 커드를 만들고 감자를 정사각형 모양으로 썬 뒤 끓는 물에 삶는다.
3. 레몬 커드를 중탕하며 잘 저어준다.
4. 레몬 커드를 얼음물 위에 올려 차갑게 식힌다.
5. 적당한 크기로 썬 새송이버섯, 표고버섯을 핸드블렌더에 넣고 간다.
6. 간 버섯에 올리브오일, 후추, 소금, 다진생강, 다진마늘을 넣는다.
7. 올리브오일을 두른 그릴팬에 파프리카를 굽는다.
8. 토마토를 잘게 썬 뒤 볼에 담는다.
9. 8에 화이트와인 식초, 설탕, 레몬즙, 소금, 후추, 올리브오일을 넣고 섞는다.
10. 9에 구운 파프리카, 삶은 감자를 넣어 샐러드를 만든다.
11. 종이포일에 돼지목살을 올린 뒤 고기망치로 두드린다.
12. 돼지목살에 소금으로 간한다.
13. 돼지목살에 버섯볶음을 올린 뒤 돌돌 만다.
14. 13을 조리용 실로 묶어 모양을 고정시킨 뒤 소금, 후추로 간한다.
15. 삶은 문어를 끓는 물에 데친다.
16. 데친 문어를 얇게 썬 뒤 샐러드에 넣는다.
17. 꽃등심에 후추를 뿌린 뒤 소금으로 간한다.
18. 기름을 두른 그릴팬에 꽃등심을 굽는다.
19. 석쇠에 올린 취나물에 올리브오일을 뿌린 뒤 직화한다.
20. 팬에 발사믹 식초를 넣고 졸여 소스를 만든다.
21. 돼지목살을 그릴팬에 굽는다.
22. 잘게 썬 마늘과 파슬리, 올리브오일을 핸드블렌더에 넣고 갈아 파슬리 페스토를 만든다.
23. 접시에 원형틀을 올린 뒤 문어샐러드를 담는다.
24. 문어샐러드 위에 구운 취나물을 올린다.
25. 24에 샐러드드레싱, 발사믹 소스를 뿌린다.
26. 오렌지에 설탕을 뿌린 뒤 토치로 가열한다.
27. 접시에 꽃등심&amp;돼지목살 스테이크, 파슬리 페스토를 담은 뒤 발사믹 소스를 뿌린다.
28. 차가운 유리잔에 레몬 커드, 플레인요거트, 오렌지를 담는다.
29. 꽃등심 스테이크 위에 버섯볶음을 올린다.</t>
  </si>
  <si>
    <t>&lt; 유현수 - 아피제닌맨&gt;
● 재료
브로콜리, 셀러리, 파슬리, 두부, 호두기름, 애호박, 보리된장, 전복, 오징어, 우렁이, 오이무침, 깨, 전분, 소금, 식초, 홍고추, 마늘, 설탕, 양파, 고추
●조리 방법
1. 브로콜리 송이 부분을 잘게 썬다.
2. 핸드블렌더에 잘게 썬 브로콜리, 두부, 깨, 전분을 넣고 간다.
3. 면포에 2를 넣고 감싼다.
4. 3을 찜기에 넣고 찐다.
5. 브로콜리 송이, 줄기를 먹기 좋은 크기로 썬다.
6. 끓는 물에 소금, 식초를 넣은 뒤 브로콜리 송이와 줄기를 넣고 데친다.
7. 믹서기에 홍고추, 오이무침, 식초, 마늘, 설탕을 넣고 갈아 깍두기 양념을 만든다.
8. 파슬리를 잘게 다진 뒤 깍두기 양념과 섞어준다.
9. 데친 브로콜리를 얼음물에 담가둔다.
10. 데친 브로콜리를 깍두기 양념에 무친다.
11. 애호박, 셀러리, 양파, 고추를 먹기 좋은 크기로 썬다.
12. 팬에 호두기름을 두른 뒤 손질한 채소를 넣고 볶는다.
13. 12에 전복, 오징어, 우렁이를 넣고 볶는다.
14. 13에 보리된장, 깨, 전분 물을 넣고 볶는다.
15. 셀러리를 먹기 좋은 크기로 썬 뒤 팬에 넣고 함께 볶는다.
16. 찜기에 찐 브로콜리 두부를 꺼낸다.
17. 그릇에 브로콜리 깍두기, 셀러리해물볶음을 담는다.
18. 브로콜리 두부를 먹기 좋은 크기로 썬 뒤 그릇에 담는다.</t>
  </si>
  <si>
    <t>&lt; 정호영 - 닥터 호영레인지&gt;
● 재료
브로콜리, 셀러리, 파슬리, 두부, 오징어, 새우, 칵테일새우, 전복, 표고버섯, 새송이버섯, 조갯살, 인스턴트 백짬뽕,콩나물, 통조림 참치, 잣, 단무지, 멸치육수팩, 맛간장, 밀가루, 대파, 양파, 다진마늘, 고춧가루, 고추, 달걀, 설탕, 깨, 참기름,
●조리 방법
1. 끓는 물에 전복을 넣고 삶는다.
2. 전복을 삶던 물에 멸치육수팩을 넣어 육수를 낸다.
3. 파슬리 잎을 육수에 살짝 데친다.
4. 핸드블렌더에 데친 파슬리 잎을 넣고 간다.
5. 4에 밀가루를 넣고 한 번 더 갈아 파슬리면 반죽을 만든다.
6. 끓는 물에 브로콜리를 살짝 데친 뒤 찬물에 담가둔다.
7. 삶은 전복을 찬물에 헹군 뒤 먹기 좋은 크기로 썬다.
8. 오징어에 칼집을 낸 뒤 길게 썬다.
9. 대파, 양파를 적당한 크기로 썬다.
10. 기름을 두른 팬에 다진마늘, 대파, 양파, 오징어, 전복, 새우를 넣는다.
11. 10에 고춧가루, 잘게 썬 고추를 넣고 볶은 뒤 육수를 부어 짬뽕 국물을 만든다.
12. 표고버섯, 새송이버섯을 썬 뒤 짬뽕 국물에 넣는다.
13. 12에 조갯살, 콩나물을 넣고 끓인다.
14. 밀대를 이용해 파슬리면 반죽을 얇게 민다.
15. 여러 겹으로 접은 파슬리면 반죽을 얇게 썬 뒤 끓는 물에 삶는다.
16. 데친 브로콜리의 송이 부분을 얇게 썬다.
17. 핸드블렌더에 두부, 양파, 통조림 참치, 맛간장을 넣고 간다.
18. 17에 달걀, 마요네즈를 섞은 뒤 기름을 두른 팬에 넣어 전을 부친다.
19. 전 위에 얇게 썬 브로콜리, 칵테일 새우를 올린다.
20. 19에 잣을 올려 굽는다.
21. 삶은 파슬리 면을 찬물에 담가둔다.
22. 단무지, 셀러리, 대파를 얇게 썬 뒤 고춧가루, 설탕, 다진마늘, 맛간장을 넣고 무친다.
23. 셀러리단무지무침에 깨, 참기름을 뿌린다.
24. 접시에 브로콜리전을 올린다.
25. 짬뽕 국물에 인스턴트 백짬뽕 수프를 넣고 끓인다.
26. 그릇에 파슬리면과 짬뽕 국물을 담는다.</t>
  </si>
  <si>
    <t>&lt;유현수 - 버거김&gt;
● 재료
햄버거번, 조미김, 슬라이스 체더치즈, 모차렐라 치즈, 새우, 렐리시, 크림파스타소스, 통조림 햄, 대패삼겹살, 베이컨, 배추김치, 단무지, 가자미식해, 매콤달콤맛 과자, 전분, 다진마늘, 설탕, 튀김가루
●조리 방법
1. 핸드블렌더에 대패삼겹살, 전분, 통조림 햄을 넣고 간다.
2. 패티 반죽을 팬에 굽는다.
3. 볼에 다진마늘, 크림파스타소스, 설탕을 넣는다.
4. 3에 랩을 씌운 뒤 전자레인지에 돌려 갈릭디핑소스를 만든다.
5. 핸드블렌더에 매콤달콤맛 과자를 넣고 간다.
6 튀김가루에 물을 넣어 튀김옷을 만든다.
7. 새우에 튀김가루&gt;튀김옷&gt;간 과자 순으로 묻힌 뒤 기름에 튀긴다.
8. 팬에 베이컨을 굽는다.
9. 씻은 배추김치, 가자미식해, 단무지를 잘게 다진다.
10. 햄버거번 위에 슬라이스 체더치즈를 올린다.
11. 10 위에 구운 패티&gt;렐리시&gt;9의 샐러드&gt;모차렐라 치즈&gt;구운 베이컨&gt;햄버거번을 올린다.
12. 11에 튀김가루&gt;달걀물&gt;튀김옷 순으로 묻힌다.
13. 12를 조미김으로 감싼 뒤 튀김옷을 묻힌다.
14. 13을 기름에 넣고 튀긴다.
15. 새우튀김을 건져낸다.
16. 새우튀김에 간 과자를 뿌린다.
17. 케첩과 렐리시를 섞은 소스와 갈릭디핑소스를 각각 접시에 담는다.</t>
  </si>
  <si>
    <t>냉장고를 부탁해 시즌 1, 230화</t>
  </si>
  <si>
    <t>&lt;샘킴 - 샘도날드&gt;
●재료
햄버거번, 삼겹살, 베이컨, 훈제오리, 슬라이스 체더치즈, 모차렐라치즈, 크림치즈, 블루베리, 휘핑크림, 렐리시, 우유, 감자, 매운맛 과자, 소금, 양파, 달걀, 밀가루, 버터, 설탕, 레몬
●조리 방법
1. 핸드블렌더에 훈제오리, 삼겹살, 베이컨을 넣고 간다.
2. 패티 반죽에 모차렐라치즈, 소금을 넣은 뒤 기름을 두른 팬에 굽는다.
3. 채칼을 이용해 감자를 얇게 슬라이스한 뒤 기름에 튀긴다.
4. 양파를 얇게 썬다.
5. 밀가루, 달걀, 물을 섞어 튀김옷을 만든 뒤 양파에 묻혀 기름에 튀긴다.
6. 튀긴 감자와 양파를 건져낸다.
7. 핸드블렌더에 매운맛 과자를 넣고 간다.
8. 냄비에 밀가루, 버터, 우유를 넣고 끓인다.
9. 8에 슬라이스 체더치즈를 넣어 치즈 소스를 만든다.
10. 그릴팬에 베이컨을 굽는다.
11. 베이컨을 잘게 썬 뒤 기름에 튀긴다.
12. 볼에 크림치즈를 담은 뒤 휘젓는다.
13. 12에 휘핑크림, 설탕을 넣어 섞는다.
14. 13을 얼음물 위에 올려 차게 만든다.
15. 14에 레몬 껍질을 갈아 올린 뒤 냉동실에 넣어둔다.
16. 블루베리에 설탕을 뿌린 뒤 토치로 가열해 캐러멜라이즈한다.
17. 양파&amp;감자튀김을 한 번 더 튀긴 뒤 간 과자를 묻힌다.
18. 17에 튀긴 베이컨을 얹는다.
19. 기름을 두른 그릴팬에 햄버거번을 굽는다.
20. 18에 치즈 소스를 올린다.
21. 렐리시, 마요네즈를 섞은 뒤 구운 햄버거번 위에 올린다.
22. 21에 슬라이스 체더치즈&gt;구운 패티&gt;21의 소스&gt;슬라이스 체더치즈&gt;구운 햄버거번을 올린다.
23. 냉동실에 넣어둔 14에 휘핑크림을 올린 뒤 토치로 가열한다.
24. 23 위에 레몬껍질을 갈아 올린다.
25. 24 위에 16의 블루베리를 올린다.</t>
  </si>
  <si>
    <t>&lt; 정호영 - 내가 이길고렝&gt;
● 재료
꽃게, 피시소스, 고수, 소갈비양념, 우유, 건새우, 오이, 새우, 파스타면, 고체 카레, 베이컨, 맥주, 대파, 고춧가루, 양파, 청양고추, 홍고추, 마늘, 즉석밥, 설탕, 밀가루, 달걀
●조리 방법
1. 기름에 대파, 고춧가루, 양파를 넣어 고추기름을 낸다.
2. 끓는 물에 건새우를 넣은 뒤 꽃게를 데친다.
3. 핸드블렌더에 청양고추, 홍고추, 마늘, 피시소스를 넣고 간다.
4. 팬에 고추기름, 3을 넣는다.
5. 잘게 썬 양파, 대파를 4에 넣고 볶는다.
6. 5에 설탕, 피시소스, 고체 카레를 넣는다.
7. 6에 꽃게 육수, 우유를 넣어 커리 소스를 만든다.
8. 오이에 칼집을 낸 뒤 얇게 썬다.
9. 밀대를 이용해 데친 꽃게의 살을 발라낸다.
10. 커리 소스에 새우를 넣는다.
11. 꽃게 육수에 파스타면을 넣고 삶는다.
12. 전자레인지에 즉석밥을 넣고 돌린다.
13. 잘게 썬 베이컨, 대파, 양파, 즉석밥을 팬에 넣고 볶는다.
14. 13에 설탕을 뿌린다.
15. 14에 피시소스, 소갈비양념을 넣는다.
16. 고수를 잘게 썬 뒤 15에 넣는다.
17. 핸드블렌더에 새우를 넣고 간다.
18. 꽃게살, 맥주, 밀가루, 간 새우, 소갈비양념을 넣고 버무린다.
19. 18을 둥근 모양으로 만든 뒤 기름에 튀겨 게살새우튀김을 만든다.
20. 삶은 파스타면을 건져낸다.
21. 커리 소스에 달걀물을 넣는다.
22. 기름을 두른 팬에 달걀을 넣고 튀기듯 굽는다.
23. 게살새우튀김을 건져낸다.
24. 뿌팟퐁커리에 삶은 파스타면을 넣는다.
25. 나시고렝에 달걀물을 넣고 볶는다.</t>
  </si>
  <si>
    <t>&lt;오세득 - 꿍푸팬더&gt;
●재료
꽃게, 똠얌 페이스트, 피시소스, 고수, 건새우, 깍두기, 대패 삼겹살, 삼겹살, 새우, 방울토마토, 진미채, 라면 면, 레몬, 마늘, 홍고추, 설탕, 청양고추, 간장, 식초, 전분, 대파, 달걀
●조리 방법
1. 팬에 레몬껍질을 넣는다.
2. 꽃게를 반으로 가른 뒤 밀대로 살을 발라낸다.
3. 1의 팬에 꽃게 껍질을 넣는다.
4. 3에 기름을 끼얹는다.
5. 4에 끓는 물을 넣어 육수를 낸다.
6. 믹서에 마늘, 홍고추, 건새우, 피시소스, 설탕을 넣고 간다.
7. 6에 똠얌 페이스트, 뜨거운 물을 넣고 갈아 똠얌꿍소스를 만든다.
8. 꽃게 육수에 똠얌꿍소스를 넣는다.
9. 8에 깍두기 국물을 넣는다.
10. 으깬 청양고추를 9에 넣는다.
11. 간 마늘, 잘게 썬 홍고추와 청양고추, 피시소스, 레몬즙, 설탕, 고수를 섞어 디핑소스를 만든다.
12. 채칼을 이용해 마늘을 슬라이스 한다.
13. 12에 설탕, 청양고추, 홍고추, 간장, 식초를 섞어 마늘 절임을 만든다.
14. 삼겹살을 기름에 튀긴다.
15. 핸드블렌더에 대패삼겹살, 달걀물, 전분, 간장을 넣는다.
16. 잘게 썬 대파를 15에 넣고 갈아 완자 반죽을 만든다.
17. 16을 둥근 모양으로 만든 뒤 똠얌꿍 국물에 넣는다.
18 라면 면을 삶는다.
19. 방울토마토를 으깨어 즙을 낸다.
20. 17에 방울토마토즙과 진미채를 넣는다.
21. 20에 레몬즙을 넣는다.
22. 21에 피시소스를 넣는다.
23. 전골냄비에 라면 면을 담는다.
24. 23에 건더기를 걸러낸 똠얌꿍 국물, 진미채, 완자, 꽃게살을 넣는다.
25. 24에 새우, 튀긴 삼겹살을 넣는다.
26 25에 얇게 썬 레몬, 달걀, 고수를 넣는다.</t>
  </si>
  <si>
    <t>&lt; 레이먼킴 - 런닝램&gt;
● 재료
양갈비, 토마토, 스테비아토마토, 토마토홀, 치킨스톡, 고형카레, 무말랭이, 야생화 꿀, 페페론치노, 파슬리, 양상추, 관자, 올리브오일, 양파, 청주, 다진마늘, 다진생강, 버터, 소금, 후추, 밀가루, 레몬, 설탕, 즉석밥
●조리 방법
1. 올리브오일을 두른 팬에 양파, 양갈비 뼈, 청주를 넣는다.
2. 핸드블렌더에 토마토홀, 토마토, 스테비아토마토, 다진마늘, 다진생강, 페페론치노를 넣고 간다.
3. 1에 토마토베이스, 치킨스톡을 넣고 끓인다.
4. 3에 얇게 썬 고형카레를 넣고 끓인다.
5. 4에 녹인 버터를 넣고 끓인다.
6. 양갈비살에 소금, 후추, 올리브오일을 버무린 뒤 그릴팬에 굽는다.
7. 핸드블렌더에 밀가루, 녹인 버터, 후추, 소금, 물을 넣고 갈아서 반죽을 만든다.
8. 반으로 가른 관자에 올리브오일을 묻혀 그릴팬에 굽는다.
9. 레몬즙, 소금, 설탕, 올리브오일을 섞은 뒤 관자를 넣어 저온에서 익힌다.
10. 잘게 썬 무말랭이, 양파, 스테비아토마토를 들기름을 두른 팬에 볶는다.
11. 10에 즉석밥을 넣고 볶는다.
12. 구운 양갈비살을 먹기 좋은 크기로 썬 뒤 카레에 넣고 끓인다.
13. 로티반죽을 밀대로 넓게 민다.
14. 버터를 두른 팬에 로티반죽, 올리브오일을 넣어 굽는다.
15. 구운 로티에 야생화 꿀, 다진마늘을 발라 굽는다.
16. 로티 반죽을 밀대로 넓게 민 뒤 올리브오일을 두른 팬에 굽는다.
17. 무말랭이 풀라오를 접시에 담은 뒤 파슬리를 뿌린다.
18. 접시에 양상추를 담은 뒤 익힌 관자를 올린다.</t>
  </si>
  <si>
    <t>냉장고를 부탁해 시즌 1, 231화</t>
  </si>
  <si>
    <t>&lt; 이연복 - 의기양양&gt;
●재료
양갈비, 새우, 굴소스, 치킨스톡, 스리라차소스, 관자, 양상추, 양배추, 분모자, 고추마늘소스, XO칠리소스, 느타리버섯, 피망, 고춧가루, 대파, 후추, 간장, 맛술, 전분, 달걀, 쌀, 소금, 마늘, 생강
●조리 방법
1. 끓는 기름에 고춧가루, 대파를 넣어 고추기름을 낸다.
2. 양갈비 가운데 칼집을 낸다.
3. 2에 후추, 간장, 맛술을 버무려 재워둔다.
4. 핸드블렌더에 새우, 전분을 넣고 간다.
5. 4에 달걀을 넣고 다시 간다.
6. 불린 쌀을 지퍼백에 넣고 으깬다.
7. 볼에 으깬 쌀, 소금, 후추, 고춧가루를 넣고 섞는다.
8. 양갈비 속에 간 새우를 넣은 뒤 7에 버무린다.
9. 8을 양배추 위에 올린 뒤 찜기에 찐다.
10. 얇게 썬 양갈비에 전분, 달걀을 묻혀 기름에 화한다.
11. 끓는 물에 분모자를 데친다.
12. 피망, 관자, 느타리버섯, 새우를 다듬어 끓는 물에 데친다.
13. 고추기름의 건더기를 걸러낸다.
14. 대파, 마늘, 생강을 잘게 썬 뒤 고추기름을 두른 팬에 볶는다.
15. 14에 데친 재료, 간장, 10의 양갈비살, 물, 굴소스를 넣고 볶는다.
16. 접시에 양상추를 올린다.
17. 고추기름에 고추마늘소스, XO칠리소스, 굴소스, 스리라차소스, 맛술을 섞어 마라소스를 만든다.
18. 찜기에서 9의 양갈비를 꺼낸다.</t>
  </si>
  <si>
    <t>&lt;송훈 - 파리지엥케이크&gt;
●재료
마스카르포네 치즈, 크림치즈, 딸기, 스테비아토마토, 오렌지, 핫도그, 초코시리얼, 마카롱, 초콜릿, 레몬청, 설탕, 달걀, 소금, 밀가루, 물엿
●조리방법
1. 볼에 초콜릿, 물을 넣고 중탕한다.
2. 핸드블렌더에 초코시리얼을 넣고 간다.
3. 핸드블렌더에 설탕, 달걀을 넣고 갈아 무스를 만든다.
4. 얼음에 소금을 넣어 온도를 떨어트린 뒤 3에 크림치즈를 넣어 간다.
5. 4에 설탕을 넣은 뒤 접시에 담아 냉동실에 넣어둔다.
6. 무스에 마스카르포네 치즈, 소금, 설탕을 넣고 간다.
7. 6을 냉장실에 넣어둔다.
8. 물에 밀가루, 소금물을 넣은 뒤 섞는다.
9. 기름을 두른 팬에 8을 올려 굽는다.
10. 팬에 설탕을 넣고 캐러멜라이즈 한다.
11. 딸기, 스테비아토마토, 오렌지를 썰어 팬에 넣은 뒤 물엿, 레몬청을 넣고 조린다.
12. 초콜릿소스를 소스통에 담는다.
13. 핫도그 빵을 반으로 자르고 원형틀로 찍어낸다.
14. 기름을 두른 팬에 핫도그 번을 굽는다.
15. 냉동실에 넣어둔 마스카르포네 치즈무스 위에 핫도그 번, 과일 처트니를 올린다.
16. 15에 크림치즈무스를 올린다.
17. 16에 핫도그 번을 올린다.
18. 17에 과일 처트니를 올린다.
19. 18에 크림치즈무스를 올린다.
20. 접시에 초콜릿소스를 뿌려 플레이팅한다.
21. 20에 딸기, 초콜릿 파우더를 올린다.
22. 21에 마카롱을 갈아 뿌린 뒤 튀일을 올린다.</t>
  </si>
  <si>
    <t>&lt;김풍 - 하와이안 풍딩&gt;
●재료
코코넛밀크, 우유, 깐호두, 잣, 팥배기, 딸기, 파인애플, 오렌지, 블루베리잼, 비스킷믹스, 마카다미아, 녹차아이스크림, 시리얼, 표고버섯칩, 전분, 설탕, 물엿
●조리 방법
1. 냄비에 코코넛밀크, 우유, 전분, 설탕을 넣고 계속 저어 중탕한다.
2. 핸드블렌더에 팥배기, 우유, 설탕을 넣고 간다.
3. 팬에 2를 넣고 끓인다.
4. 핸드블렌더에 코코넛밀크를 넣는다.
5. 4에 설탕, 파인애플을 넣고 간다.
6. 핸드블렌더에 마카다미아, 잣, 깐호두, 비스킷믹스를 넣고 간다.
7. 6에 물을 넣고 다시 간다.
8. 종이포일 위에 비스킷 반죽을 넓게 편 뒤 오븐에 굽는다.
9. 랩 위에 원형틀을 올린 뒤 푸딩을 넣는다.
10. 푸딩을 냉동실에 넣어둔다.
11. 핸드블렌더에 녹차 아이스크림을 넣고 간다.
12. 믹서기에 딸기, 설탕, 우유를 넣고 간다.
13. 유리컵에 12&gt;시리얼&gt;피나콜라다를 올린다.
14. 13 위에 간 녹차 아이스크림을 올린다.
15. 표고버섯칩을 나무꼬치에 꽂아 14에 얹은 뒤 냉장실에 넣어둔다.
16. 핸드블렌더에 오렌지즙, 블루베리잼, 물엿을 넣은 뒤 간다.
17. 16을 소스통에 담는다.
18. 비스킷을 원형틀에 찍어낸다.
19. 비스킷 옆에 블루베리 소스를 뿌려 마무리한다.</t>
  </si>
  <si>
    <t>&lt;김풍 - 유자라면 다가와♬&gt;
●재료
대패삼겹살, 유자청, 무, 오이, 참외, 콩나물, 두부, 라면, 고춧가루, 소금, 다진 마늘, 식초, 레몬
●조리 방법
1. 두부를 얇게 썬 뒤, 기름에 튀긴다.
2. 무를 채 썬 뒤, 끓는 물에 데친다.
3. 데친 무에 고춧가루, 유자청, 소금, 다진 마늘을 넣고 버무린다.
4. 참외의 껍질을 벗긴 뒤 속을 파낸다.
5. 4의 참외와 오이를 채 썬다.
6. 끓는 물에 콩나물을 삶는다.
7. 라면 수프에 뜨거운 물을 넣는다.
8. 유자청을 체에 밭쳐 건더기를 걸러낸다.
9. 7에 레몬즙, 식초, 다진 마늘, 8을 넣는다.
10. 9에 얼음을 넣는다.
11. 기름을 두른 팬에 대패삼겹살을 볶는다.
12. 11에 다진 마늘, 간장, 유자청을 넣고 조린다.
13. 기름에 튀긴 두부를 건져낸 뒤 채 썬다.
14. 볶은 대패삼겹살을 체에 밭쳐 건져낸다.
15. 끓는 물에 라면 면을 삶는다.
16. 삶은 라면 면을 건져낸 뒤 찬물에 헹군다.
17. 라면 면 주변에 각종 고명을 올린다.</t>
  </si>
  <si>
    <t>냉장고를 부탁해 시즌 1, 232화</t>
  </si>
  <si>
    <t>&lt; 이연복 - 해결쌈&gt;
●재료
대패삼겹살, 유자청, 시금치, 총각김치, 파프리카, 두부, 쌈장, 사과, 유부초밥용 유부, 무, 오이, 굴소스, 멸치액젓, 소금, 대파, 양파, 마늘, 즉석밥, 청양고추, 식초, 물엿, 맛술
●조리방법
1. 믹서에 불린 쌀, 물, 소금을 넣고 간다.
2. 사과, 무 오이를 채 썬다.
3. 기름을 두른 팬에 잘게 썬 대파, 양파, 마늘을 넣는다.
4. 3에 잘게 썬 대패삼겹살, 으깬 두부를 넣는다.
5. 끓는 물에 시금치를 데친다.
6. 데친 시금치를 찬물에 헹군 뒤 체에 밭쳐 물기를 뺀다.
7. 유부, 데친 시금치를 잘게 썬다.
8. 채 썬 재료와 7을 함께 담아둔다.
9. 팬에 쌀 반죽을 얇게 부쳐 라이스페이퍼를 만든다.
10. 씻은 총각김치를 채 썬다.
11. 4에 쌈장, 즉석밥을 넣고 볶는다.
12. 11을 체에 밭쳐 기름기를 뺀다.
13. 라이스페이퍼 위에 12를 올려 말아준다.
14. 파프리카, 청양고추, 양파를 잘게 썬다.
15. 유자청을 체에 밭쳐 건더기를 걸러낸 뒤 맛술, 멸치액젓, 굴소스, 물엿을 넣는다.
16. 15에 식초를 넣는다.
17. 16에 14의 채소를 넣어 솜땀 소스를 만든다.
18. 8에 솜땀 소스를 넣고 버무려 샐러드를 만든다.</t>
  </si>
  <si>
    <t>&lt;유현수 - 비지창조&gt;
●재료
두부, 순두부, 대패삼겹살, 고등어, 총각김치, 감자, 시금치, 애호박, 무, 된장, 마늘, 양파, 청양고추, 홍고추, 대파, 간장, 깨, 참기름, 설탕
●조리방법
1. 팬에 대패삼겹살을 굽는다.
2. 강판에 감자를 간다.
3. 면보에 간 감자를 넣고 짜서 감자 전분을 만든다.
4. 뚝배기에 뜨거운 물을 붓는다.
5. 총각김치를 씻은 뒤, 적당한 크기로 썰어 4에 넣는다.
6. 무청을 적당한 크기로 썬 뒤 5에 넣는다.
7. 강판에 무를 간다.
8. 면보에 간 무를 넣고 짜서 무즙을 만든다.
9. 감자 전분과 무즙을 섞은 뒤 6에 넣는다.
10. 찜기에 마늘을 넣는다.
11. 고등어의 가시를 발라낸다.
12. 고등어에 전분을 묻힌 뒤 10의 찜기에 넣고 찐다.
13. 양파, 애호박, 청양고추, 홍고추를 썬 뒤 팬에 볶는다.
14. 13에 뜨거운 물, 된장을 넣고 볶는다.
15. 절구에 순두부를 넣고 으깬다.
16. 9의 뚝배기에 으깬 순두부를 넣는다.
17. 시금치의 뿌리를 잘라낸 뒤 굽던 대패삼겹살에 넣고 볶는다.
18. 간장에 깨, 잘게 썬 대파를 넣는다.
19. 18에 총각김치 국물, 홍고추, 참기름, 설탕을 넣어 양념장을 만든다.
20. 면보에 두부를 넣은 뒤 여러 차례 내려쳐 으깬다.
21. 16의 뚝배기에 으깬 두부를 넣는다.
22. 21에 총각김치 국물을 넣는다.
23. 볶은 시금치, 대패삼겹살 위에 찐 고등어, 마늘을 올린다.
24. 23 위에 14의 된장 소스를 붓는다.</t>
  </si>
  <si>
    <t>&lt;오세득 - 돼지 파국이다!&gt;
●재료
대패삼겹살, 가지, 무, 황태채, 마늘, 설탕, 간장, 대파, 청양고추, 식초, 맛술, 간장, 설탕, 홍고추, 다진 생강, 후추, 즉석밥
●조리방법
1. 끓는 물에 마늘, 대패삼겹살을 넣는다.
2. 물, 마늘, 설탕, 간장, 무, 대파, 청양고추를 압력솥에 넣는다.
3. 2에 적당한 크기로 썬 가지를 넣는다.
4. 3에 불린 황태채를 넣고 찐다.
5. 강판에 무를 간다.
6. 간 무의 물기를 제거한다.
7. 6, 식초, 맛술, 간장, 설탕을 섞는다.
8. 잘게 썬 대파, 청양고추, 홍고추, 생강즙을 7에 넣어 소스를 만든다.
9. 1에 간장, 후추, 채 썬 대파를 넣는다.
10. 9에 뜨거운 물을 넣는다.
11. 10에 생강즙을 넣는다.
12. 압력솥에 물을 부어 식힌 뒤 김을 뺀다.
13. 파국을 토치로 직화해 불맛을 입힌다.
14. 전자레인지에 돌린 즉석밥을 그릇에 담는다.</t>
  </si>
  <si>
    <t>&lt; 송훈 - T.O.P 돔&gt;
● 재료
참돔, 새우, 블랙타이거 새우, 굴소스, 미역, 바지락, 표고버섯, 게맛살, 갑오징어, 창난젓, 스리라차소스, 양파, 홍고추, 고추, 후추, 밀가루, 올리브오일, 대파, 고춧가루, 케첩, 마요네즈, 맛술, 식초, 전분
● 조리 방법
1. 참돔을 손질해 몸통 살만 분리해낸다.
2. 분리 한 몸통 살의 껍질을 벗겨 살만 발라낸다.
3. 양파를 얇게 썬 뒤 핸드블렌더에 참돔 살, 양파, 블랙타이거 새우, 새우, 홍고추, 굴소스, 후추를 넣고 간다.
4. 3에 밀가루를 넣고 섞는다.
5. 찜기에 미역을 깐 뒤 어묵 반죽을 올린다.
6. 5에 물을 넣고 찐다.
7. 어묵 반죽을 참돔 껍질에 싸서 랩으로 말아준다.
8. 7에 구멍을 뚫는다.
9. 8을 찜기에 찐다.
10. 참돔 껍질에 올리브오일을 바른 종이포일을 덮어 약불에 굽는다.
11. 창난젓을 잘게 썬다.
12. 후추, 올리브오일을 바른 참돔 살과 다진 창난젓을 대파로 감싸 묶는다.
13. 12를 석쇠에 올려 직화한다.
13. 끓는 기름에 대파, 고춧가루를 넣고 고추기름을 만든다.
14. 핸드블렌더에 양파, 고추, 홍고추, 케첩, 마요네즈, 스리라차소스, 맛술, 식초를 넣고 간다.
15. 먹기 좋은 크기로 양파, 표고버섯을 썬다.
16 고추기름을 두른 팬에 15, 바지락, 게맛살, 14, 스리라차소스를 넣고 볶는다.
17. 구운 참돔 껍질을 꺼낸다.
18. 손질한 갑오징어를 토치로 직화한 뒤 16에 넣어 볶는다.
19. 18에 전분물, 물을 넣고 볶는다.
20. 찜기에 찐 어묵을 접시에 담는다.
21. 20에 18을 올린다.
22. 21에 대파로 훈연한 참돔 살, 참돔 껍질을 올린다.</t>
  </si>
  <si>
    <t>냉장고를 부탁해 시즌 1, 233화</t>
  </si>
  <si>
    <t xml:space="preserve">&lt;레이먼킴 - 퍼펙트 돔&gt;
●재료
참돔, 고추장, 된장, 막장, 커피가루, 쪽파, 무, 블랙타이거 새우, 모시조개, 창난젓, 낙지, 국물용 멸치, 양파, 대파, 소금, 후추, 버터, 올리브오일, 즉석밥, 마늘, 고추
●조리방법
1. 양파를 얇게 썬 뒤 끓는 물에 양파, 대파, 모시조개, 국물용 멸치를 넣는다.
2. 블랙타이거 새우의 머리와 껍질을 떼어낸다.
3. 1에 새우 머리, 된장, 무 껍질을 넣어 육수를 만든다.
4. 무를 잘게 썬 뒤 소금에 버무린다.
5. 참돔을 손질한 뒤 뼈를 발라낸다.
6. 참돔 살에 소금, 후추로 간한다.
7. 녹인 버터에 고추장을 섞는다.
8. 7을 참돔 살에 발라준다.
9. 참돔 살 사이에 쪽파를 넣은 뒤 올리브오일을 두른 팬에 굽는다.
10. 잘게 썬 양파, 고추, 마늘을 팬에 볶은 뒤 즉석밥을 넣는다.
11. 낙지를 먹기 좋은 크기로 썬다.
12. 10에 창난젓, 막장, 낙지를 넣고 볶는다.
13. 찜기에 커피가루를 넣는다.
14. 찜기에 구운 참돔을 올려 훈연한다.
15. 소금에 버무린 무에 물기를 짜낸 뒤 12에 넣고 볶는다.
16. 15을 파에야 그릇에 담은 뒤 모시조개를 올린다.
17. 16에 훈연한 참돔구이를 올린다.
18. 17을 찜기에 넣어 다시 훈연한다.
19. 잘게 썬 쪽파를 참돔 위에 뿌린다.
</t>
  </si>
  <si>
    <t>&lt;정호영 - 와일드 아이즈면&gt;
●재료
생닭, 돼지목살, 국물용 멸치, 된장, 문어, 전복, 갑오징어, 인스턴트 라멘, 해삼내장, 막장, 블랙타이거 새우, 건새우, 조미김, 쪽파, 대파, 고춧가루, 다진마늘, 당근, 양파, 달걀, 밀가루, 참기름, 마늘
●조리 방법
1. 끓는 기름에 대파, 건새우, 고춧가루를 넣어 고추기름을 만든다.
2. 끓는 물에 국물용 멸치를 넣은 뒤 전복을 데친다.
3. 끓는 물에 생닭, 다진마늘을 넣어 닭 육수를 만든다.
4. 돼지목살을 고기망치로 두드린 뒤 압력솥에 넣는다.
5. 4에 막장, 대파, 당근, 양파를 넣고 삶는다.
6. 블랙타이거 새우의 머리와 껍질을 떼어낸 뒤 멸치육수에 데친다.
7. 6에 문어다리를 넣고 데친다.
8. 7에 갑오징어를 넣고 데친다.
9. 핸드블렌더에 달걀노른자, 밀가루, 물을 넣고 갈아 면 반죽을 만든다.
10. 면 반죽을 치댄다.
11. 고추기름의 건더기를 걸러낸다.
12. 쪽파를 잘게 다진다.
13. 데친 해산물을 찬물에 헹군다.
14. 찬물에 헹군 해산물을 먹기 좋은 크기로 썬다.
15. 밀가루 위에 면 반죽을 올린 뒤 밀대로 넓게 민다.
16. 면 반죽을 여러 겹으로 접은 뒤 얇게 썬다.
17. 끓는 물에 수제 면을 삶는다.
18. 해삼내장에 참기름을 넣은 뒤 가위로 잘게 썬다.
19. 팬에 멸치육수, 닭 육수를 넣고 끓인다.
20. 삶은 수제 면을 찬물에 헹군다.
21. 수제 면을 삶은 면수에 라멘 면을 넣어 삶는다.
22. 접시에 전복, 갑오징어, 문어를 올린다.
23. 19에 고기육수를 섞는다.
24. 23에 라멘 수프를 넣고 끓인다.
25. 삶은 라멘 면을 찬물에 헹군다.
26. 그릇에 수제면, 새우, 돼지목살, 문어를 담는다.
27. 26에 얇게 썬 대파, 마늘을 올린 뒤 육수를 부어준다.
28. 25에 18를 올린다.</t>
  </si>
  <si>
    <t>&lt;샘킴 - Hey, Come 면!&gt;
●재료
갑오징어, 차돌박이, 굴소스, 팟타이소스, 한라봉, 전복, 쪽파, 멸치가리비소스, 알배추, 파스타면,밀가루, 달걀, 소금, 다진마늘, 올리브오일, 후추, 마늘, 다진생강, 간장, 레몬, 설탕, 참기름, 전분, 양파, 대파
●조리방법
1. 핸드블렌더에 밀가루, 달걀노른자를 넣고 갈아 면 반죽을 만든다.
2. 끓는 물에 소금, 파스타면을 넣어 삶는다.
3. 갑오징어에 칼집을 낸 뒤 다진마늘, 올리브오일, 후추, 소금을 넣고 섞는다.
4. 올리브오일을 두른 팬에 얇게 썬 마늘, 소금을 넣고 볶는다.
5. 전복을 뜨거운 물에 데친다.
6. 올리브오일을 두른 팬에 알배추를 올린 뒤 멸치가리비소스를 뿌려 굽는다.
7. 마늘을 볶은 팬에 3을 넣고 볶는다.
8. 볼에 다진마늘, 다진생강, 간장, 올리브오일, 한라봉즙, 레몬즙을 넣는다.
9. 8에 설탕, 참기름을 넣어 드레싱 소스를 만든다.
10. 차돌박이를 전분에 묻혀 튀기듯 굽는다.
11. 적당한 크기로 썬 양파, 대파를 팬에 넣는다.
12. 쪽파를 다른 팬에 넣은 뒤 11에 다진마늘을 넣고 볶는다.
13. 볶던 재료에 전복, 쪽파, 참기름, 굴소스를 넣는다.
14. 13에 초벌한 차돌박이를 넣고 볶는다.
15. 밀가루 위에 면 반죽을 올린 뒤 밀대로 넓게 민다.
16. 면 반죽을 여러 겹으로 접은 뒤 넓게 썬다.
17. 파스타면을 드레싱 소스에 섞는다.
18. 파스타면을 삶은 면수에 수제 면을 삶는다.
19. 접시에 17, 구운 양배추, 한라봉을 담는다.
20. 19에 드레싱 소스, 볶은 갑오징어를 올린다.
21. 수제 면을 13에 넣고 볶다가 팟타이소스를 넣고 마저 볶는다.
22. 볶음면에 구운 쪽파를 올린 뒤 후추로 간한다.</t>
  </si>
  <si>
    <t>&lt; 송훈 - 뉴욕 버터 치킨 &gt;
● 재료
토종닭, 맛간장, 오디, 쑥갓, 애호박, 가지, 사골육수, 새우살, 탄산수, 표고버섯, 김치만두, 발사믹 식초, 대파, 버터, 후추, 밀가루, 전분, 맛술, 양파, 소금, 올리브 오일
● 조리 방법
1. 해체한 토종닭의 가슴 부위를 발골한다.
2. 김치만두의 소를 분리한다.
3. 대파와 만두소를 섞은 뒤 닭가슴의 껍질과 살 사이에 채워 넣는다.
4. 사골육수, 버터를 넣고 끓인 팬에 3을 넣고 후추를 뿌린 뒤 오븐에 굽는다.
5. 청란을 푼다.
6. 애호박을 얇게 썬 뒤 밀가루를 바른다.
7. 핸드블렌더에 새우살, 해선장, 전분, 청란을 넣고 간다.
8. 6의 애호박에 7을 올린 뒤 다른 애호박으로 덮는다.
9. 팬에 맛간장, 물, 맛술 넣은 뒤 8을 넣어 익힌다.
10. 9에 사골육수를 넣는다.
11. 채 썬 양파, 표고버섯을 올리브 오일을 두른 팬에 넣는다.
12. 11에 사골육수를 넣고 볶는다.
13. 믹서기에 12를 넣고 간다.
14. 핸드블렌더에 12를 넣고 갈아 버섯 퓌레를 만든다.
15. 가지를 얇게 썬다.
16. 전분, 밀가루, 탄산수를 섞은 뒤 가지에 묻혀 기름에 튀긴다.
17. 16을 건져낸 뒤 소금을 뿌린다.
18. 오븐에 구운 닭가슴을 팬에 굽는다.
19. 발사믹 식초, 소금, 후추, 올리브 오일 섞은 뒤 쑥갓에 발라준다.
20. 접시에 버섯 퓌레를 올린다.
21. 버섯 퓌레 위에 애호박 만두, 구운 닭가슴, 19의 쑥갓, 오디를 올린 뒤 19의 소스를 뿌려 마무리한다.</t>
  </si>
  <si>
    <t>냉장고를 부탁해 시즌 1, 234화</t>
  </si>
  <si>
    <t xml:space="preserve">&lt; 이연복 - 베이징닭 말고 뭣이 중헌디! &gt;
● 재료
토종닭, 된장, 오이, 가지, 알배추, 쑥갓, 쑥청, 대파, 전복, 파프리카, 해선장, 들기름, 두부, 설탕, 간장, 대파, 생강, 밀가루, 소금
● 조리 방법
1. 토종닭을 반으로 가른다.
2. 해체한 토종닭에 칼집을 넣는다.
3. 압력솥에 설탕, 간장, 대파, 생강, 2를 넣는다.
4. 전복 껍데기를 떼어내고 칼집을 낸 뒤 3에 넣는다.
5. 4에 칼집을 낸 가지, 맛술을 넣은 뒤 뚜껑을 덮어 끓인다.
6. 핸드블렌더에 밀가루, 소금, 물을 넣고 간다.
7. 춘빙 반죽을 치댄다.
8. 찜기에 알배추를 넣고 찐다.
9. 들기름을 두른 팬에 된장, 쑥청, 해선장, 설탕, 으깬 두부를 넣고 볶아 소스를 만든다.
10. 석쇠에 파프리카를 넣은 뒤 토치로 직화한다.
11. 구운 파프리카의 탄 부분을 벗겨낸다.
12. 11의 파프리카, 오이를 잘게 썬다.
13. 접시에 파프리카, 쑥갓, 오이를 올린다.
14. 도마에 밀가루를 뿌린다.
15. 14에 춘빙 반죽을 적당한 크기로 떼어내고 넓게 편다.
16. 15에 들기름을 바른 후 다른 춘빙 반죽을 올려 샌드한다.
17. 압력솥의 김을 뺀다.
19. 닭을 건져낸 뒤 물기를 닦은 후 기름에 튀긴다.
19. 밀대를 이용해 16의 춘빙 반죽을 넓게 민다.
20. 튀긴 닭을 건져낸다.
21. 찜기에 찐 알배추를 꺼내 13의 접시에 올린다.
22. 팬에 춘빙 반죽을 굽는다.
23. 구운 춘빙 반죽을 두 겹으로 분리한다.
</t>
  </si>
  <si>
    <t>&lt;유현수 - 맛있으면 돼지?&gt;
● 재료
돼지 갈비살, 간장게장, 애호박, 참나물, 시래기, 된장, 고추장, 매실효소, 맛간장, 들기름, 해물 육수팩, 쌀, 사골육수, 즉석밥, 연겨자, 다진 마늘, 설탕, 양파, 대파
●조리 방법
1. 전자레인지에 즉석밥을 넣고 돌린다.
2. 고추장, 매실효소, 맛간장을 섞는다.
3. 끓는 물에 해물 육수팩을 넣는다.
4. 2에 고기 육수를 넣는다.
5. 4에 연겨자를 넣는다.
6. 5에 다진 마늘, 설탕을 넣는다.
7. 6에 매실효소를 더 넣어 갈비 양념을 만든다.
8. 돼지 갈비살에 칼집을 낸다.
9. 갈비 양념에 8을 넣고 버무린다.
10. 3의 냄비에서 해물 육수팩을 꺼낸 뒤 애호박을 넣는다.
11. 양파를 잘게 썬 뒤 들기름을 두른 팬에 넣고 볶는다.
12. 11에 즉석밥을 넣고 볶는다.
13. 간장게장을 반으로 가른 뒤 밀대로 살을 발라내 잘게 다진다.
14. 12에 게장살을 넣는다.
15. 시래기를 잘게 썬 뒤 14에 넣는다.
16. 핸드블렌더에 불린 쌀을 넣고 간다.
17. 시래기게장볶음밥에 16을 넣는다.
18. 그릴팬에 들기름을 두른 뒤 양념한 돼지 갈비살을 굽는다.
19. 간장게장 껍질을 10에 넣는다.
20. 참나물을 잘게 썬 뒤 19와 시래기게장볶음밥에 넣는다.
21. 시래기게장볶음밥에 간장게장 국물을 넣는다.
22. 20에 간 쌀, 된장을 넣는다.
23. 석쇠에 대파를 올려 굽는다.
24. 23 위에 초벌한 양념 돼지 갈비살을 올려 굽는다.
25. 24를 토치로 직화한다.
26. 원통에 시래기게장볶음밥을 넣는다.
27. 접시 위에 26을 뒤집어 시래기게장볶음밥만 올린다.
28. 칼갈이를 이용해 27에 구멍을 낸다.
29. 강된장을 뚝배기에 옮겨 끓인다.
30. 양념 돼지 갈비살을 적당한 크기로 썬 뒤 토치로 직화한다.</t>
  </si>
  <si>
    <t>&lt;오세득 - 강정으로 이기면 돼지?&gt;
● 재료
돼지 갈비살, 돼지 등심, 파프리카, 알배추, 참깨소스, 표고버섯, 상추, 새우살, 마늘장아찌, 맛간장, 고추장, 방울양배추, 청란, 전분, 소금, 튀김가루, 양파, 물엿, 청양고추, 홍고추, 대파, 설탕, 다진 생강
● 조리 방법
1. 김발 위에 상추를 올린 뒤 뜨거운 물을 붓는다.
2. 핸드블렌더에 돼지 등심을 넣고 간다.
3. 2에 맛간장, 새우살, 전분, 청란을 넣고 간다.
4. 잘게 썬 알배추를 끓는 물에 넣고 소금을 뿌린다.
5. 쑥갓을 적당한 크기로 썬다.
6. 5에 데친 알배추, 3을 넣고 버무린다.
7. 6을 1의 상추 위에 올린다.
8. 7을 돌돌 만 뒤 적당한 크기로 썬다.
9. 찜기에 물을 부은 뒤 8의 상추쌈을 올려 찐다.
10. 돼지 갈비살을 적당한 크기로 썬다.
11. 튀김가루, 물을 섞는다.
12. 돼지 갈비살에 11을 입힌 뒤 튀김가루를 묻힌다.
13. 기름에 12를 튀겨 강정을 만든다.
14. 파프리카, 양파, 표고버섯을 적당한 크기로 썬 뒤 팬에 넣고 볶는다.
15. 고추장, 맛간장, 물엿을 섞어 강정 소스를 만든다.
16. 마늘장아찌의 마늘을 잘게 썬다.
17. 16에 맛간장, 청양고추, 홍고추, 대파를 넣는다.
18. 17에 설탕, 물엿을 넣는다.
19. 강정을 체에 밭쳐 건져낸 뒤 14에 강정 소스와 함께 볶는다.
20. 19에 다진 생강을 넣는다.
21. 20에 방울양배추를 넣고 볶는다.
22. 접시에 21를 담은 뒤 참깨소스를 뿌린다.</t>
  </si>
  <si>
    <t>&lt;정호영 - 짜장왕&gt;
● 재료
소등심, 갈빗살, 미소, 굴소스, 치킨스톡, 자숙새우, 오징어, 마, 양배추, 불고기 소스, 콜라, 양파, 대파, 간장, 후추, 소금, 달걀, 밀가루, 전분, 참기름, 다진마늘
● 조리 방법
1. 기름을 두른 팬에 미소를 넣고 볶는다.
2. 먹기 좋은 크기로 썬 양배추, 양파, 대파, 소등심을 팬에 넣고 볶는다.
3. 2에 간장, 볶은 미소, 치킨스톡, 굴소스를 넣고 볶는다.
4. 갈빗살을 후추, 소금으로 간 한 뒤 기름을 두른 팬에 굽는다.
5. 핸드블렌더에 자숙새우, 오징어, 굴소스, 달걀물을 넣고 간다.
6. 잘게 썬 마, 자숙새우를 어묵반죽에 넣는다.
7. 어묵반죽을 동그랗게 뭉친 뒤 기름에 넣어 튀긴다.
8. 핸드블렌더에 밀가루, 물을 넣고 간다.
9. 면 반죽을 치댄다.
10. 밀가루 위에 면 반죽을 올린 뒤 밀대로 넓게 민다.
11. 면 반죽을 얇게 썬다.
12. 11을 끓는 물에 삶는다.
13. 짜장소스에 콜라를 넣고 끓인다.
14. 13에 전분물을 넣어 농도를 맞춘다.
15. 수제 어묵을 나무꼬치에 끼운다.
16. 구운 갈빗살에 불고기소스, 참기름, 다진마늘을 넣고 버무린다.
17. 그릇에 수제 면을 담는다.
18. 17에 짜장소스를 올린다.
19. 18에 어묵꼬치와 16을 올린다.</t>
  </si>
  <si>
    <t>냉장고를 부탁해 시즌 1, 235화</t>
  </si>
  <si>
    <t>&lt;김풍 - 만두가 캐비지&gt;
● 재료
돼지목살, 양배추, 굴소스, 콜라, 고추냉이 마요네즈, 고추냉이, 대파, 마늘, 고춧가루, 다진마늘, 후추, 맛술, 전분, 간장, 레몬
● 조리 방법
1. 끓는 기름에 대파, 으깬 마늘, 고춧가루를 넣어 고추기름을 만든다.
2. 먹기 좋은 크기로 썬 돼지목살에 굴소스, 다진마늘, 고추냉이를 넣는다.
3. 2에 후추, 맛술을 넣고 버무린다.
4. 3에 전분을 묻힌 뒤 기름에 튀긴다.
5. 데친 양배추에 4를 올린다.
6. 양배추 속에 전분을 묻혀 돌돌 만 뒤 전분을 묻혀 기름에 지진다.
7. 핸드블렌더에 고추기름을 넣고 간다.
8. 간장, 콜라, 다진마늘, 7을 넣고 섞는다.
9. 고추냉이 마요네즈에 8을 섞어 양념장을 만든다.
10. 9에 레몬즙을 뿌린다.
11. 접시에 양배추 만두, 양념장을 올린다.</t>
  </si>
  <si>
    <t>&lt; 레이먼킴 - 응답하라 바스크 &gt;
●재료
소등심, 하몽, 카카오 초콜릿, 치킨스톡, 파르메산 치즈가루, 방울토마토, 두유, 아몬드, 파스타면, 파슬리 가루, 마늘, 당근, 양파, 대파, 소금, 후추, 밀가루, 버터, 레드와인, 청양고추, 올리브오일
● 조리 방법
1. 믹서기에 방울토마토, 마늘을 넣고 갈아 토마토소스를 만든다.
2. 적당한 크기로 썬 양파, 당근, 대파를 기름을 두른 팬에 넣고 볶는다.
3. 소등심에 소금, 후추로 간 한 뒤 밀가루를 버무린다.
4. 3을 2에 넣고 볶은 뒤 압력솥에 넣는다.
5. 4에 토마토소스, 치킨스톡을 넣은 뒤 뚜껑을 닫고 끓인다.
6. 하몽을 얇게 썬 뒤 팬에 넣는다.
7. 6에 간 아몬드를 넣고 볶은 뒤 버터를 넣는다.
8. 7에 마늘, 레드와인을 넣고 끓인다.
9. 8에 두유를 넣고 끓인다.
10. 9에 청양고추를 넣는다.
11. 치킨스톡을 푼 물에 잘게 부순 파스타면을 넣고 삶는다.
12. 10에 카카오 초콜릿을 넣고 끓인다. 13. 압력솥의 5를 팬에 옮긴 뒤 12를 넣고 끓인다.
14. 마늘을 으깬 뒤 소금, 올리브오일을 섞는다.
15. 삶은 파스타면에 초콜릿이 들어간 스튜양념을 넣는다.
16. 15에 14를 넣고 섞는다.
17. 16에 파르메산 치즈가루를 넣고 섞는다.
18. 17을 접시에 담는다.
19. 18에 잘게 썬 대파, 올리브오일을 두른다.
20. 핸드블렌더에 아몬드를 간다.
21. 19에 간 아몬드를 올린다.
22. 초콜릿이 들어간 스튜를 접시에 담은 뒤 파슬리 가루를 뿌린다.</t>
  </si>
  <si>
    <t>&lt; 샘킴 - 응답하라 이탈리아&gt;
● 재료
페투치네 파스타면, 하몽, 돼지목살, 자숙새우, 방울토마토, 브로콜리, 아몬드, 파르메산 치즈가루, 발사믹 드레싱, 셀러리, 파슬리 가루, 설탕, 올리브오일, 양파, 소금, 레몬, 마요네즈, 대파, 마늘, 후추, 당근
● 조리 방법
1. 찜기에 파슬리 가루, 설탕을 넣은 뒤, 돼지목살을 올려 훈연한다.
2. 올리브오일을 두른 냄비에 적당한 크기로 썬 하몽을 넣는다.
3. 2에 양파를 넣어준다.
4. 3에 뜨거운 물을 부어 육수를 만든다.
5. 레몬즙, 소금, 설탕, 올리브오일을 섞는다.
6. 지퍼백에 5를 넣은 뒤 자숙새우를 넣고 재운다.
7. 발사믹 드레싱, 마요네즈를 섞는다.
8. 끓는 물에 소금, 페투치네 파스타면을 넣고 삶는다.
9. 얇게 썬 하몽, 대파, 마늘을 팬에 넣고 볶은 뒤 화이트와인을 넣는다.
10. 9에 육수를 넣어 간을 맞춘다.
11. 올리브유 소스에 재워둔 자숙새우를 고기망치로 두드려 으깬다.
12. 볼에 발사믹 드레싱, 올리브오일, 소금, 설탕을 넣고 섞는다.
13. 12에 당근, 방울토마토, 브로콜리, 후추, 소금을 넣고 버무린다.
14. 접시에 원형틀을 올린 뒤, 11을 담는다.
15. 지퍼백에 7을 넣은 뒤 모서리를 잘라 14에 뿌린다.
16. 15에 13을 올린다.
17. 16에 셀러리, 아몬드 가루, 후추를 올린다.
18. 훈연한 돼지목살을 석쇠에 올려 굽는다.
19. 삶은 파스타면을 10에 넣어 볶는다.
20. 적당한 크기로 썬 구운 돼지목살을 19에 넣고 볶는다.
21. 20을 접시에 담은 뒤 올리브오일을 뿌린다.
22. 13에 아몬드 가루를 뿌린다.</t>
  </si>
  <si>
    <t>&lt;레이먼킴 - 국밥정상회담&gt;
● 재료
생닭, 묵은지, 사골육수, 쌈배추, 삼겹살, 불린 완두콩, 고사리, 불린 표고버섯, 불린 녹두, 대파, 양파, 맛술, 밀가루, 즉석밥, 소금, 간장, 청양고추, 후추, 다진 마늘, 참기름, 깨, 달걀, 고추, 홍고추
●조리 방법
1. 압력솥에 대파, 양파, 맛술, 사골육수를 넣는다.
2. 닭 껍질을 제거한다.
3. 2를 고기망치로 때려 닭 뼈를 부순 뒤 압력솥에 넣고 뚜껑을 닫아 끓인다.
4. 믹서기에 불린 녹두, 불린 완두콩, 물을 넣고 간 뒤, 밀가루를 넣고 다시 간다.
5. 물에 씻은 묵은지, 표고버섯, 고사리, 삼겹살을 잘게 썬다.
6. 4를 체에 밭쳐 곱게 거른다.
7. 믹서기에 즉석밥, 6을 넣고 간다.
8. 5와 7을 섞은 뒤 소금을 넣어 간 한다.
9. 기름을 두른 팬에 돼지비계를 구워 돼지기름을 낸다.
10. 돼지기름을 두른 팬에 녹두전을 굽는다.
11. 잘게 다진 대파에 간장을 넣는다.
12. 11에 청양고추, 후추, 다진 마늘, 참기름, 깨를 섞어 양념장을 만든다.
13. 양념장을 종지에 담는다.
14. 압력솥에 삶은 닭의 살을 잘게 찢는다.
15. 팬에 달걀흰자, 노른자를 각각 부어 지단을 만든다.
16. 채 썬 표고버섯을 돼지기름에 볶는다.
17. 달걀지단을 채 썬다.
18. 쌈배추에 뜨거운 물을 부어 데친 뒤 채 썬다.
19. 즉석밥을 데워서 그릇에 담는다.
20. 14에 양념장을 버무린다.
21. 밥 위에 녹두전을 올린다.
22. 녹두전 위에 달걀지단, 홍고추, 고추를 고명으로 올린다.
23. 22에 온반 국물을 붓는다.
24. 23에 후추로 간 한다.</t>
  </si>
  <si>
    <t>냉장고를 부탁해 시즌 1, 236화</t>
  </si>
  <si>
    <t>&lt; 유현수 - 공동만두구역 &gt;
● 재료
민어, 삼겹살, 고사리, 묵은지, 꼬리곰탕, 사골육수, 닭발, 불린 노가리, 고추장굴비, 총각김치, 불린 현미, 김, 달걀말이, 시금치, 강력분, 중력분, 소금, 식용유, 다진 생강, 다진 마늘, 참기름, 고춧가루, 대파, 청양고추, 간장
●조리 방법
1. 핸드블렌더에 불린 현미를 넣고 간다.
2. 1을 찜기에 넣고 찐다.
3. 강력분, 중력분, 소금, 식용유, 물을 섞어 만두피 반죽을 만든다.
4. 끓는 물에 사골육수, 꼬리곰탕, 무, 닭발, 소금을 넣어 육수를 만든다.
5. 민어를 손질해 몸통 살만 분리해낸다.
6. 삼겹살의 비계를 떼어낸다.
7. 핸드블렌더에 민어살, 삼겹살 비계를 넣고 간다.
8. 잘게 썬 고사리, 시금치에 7, 생강즙, 다진 마늘, 소금을 섞어 만두소를 만든다.
9. 밀가루 위에 먹기 좋은 크기로 만두피 반죽 썬다.
10. 만두피 반죽을 밀대로 얇게 밀어 만두피를 만든다.
11. 만두피에 만두소를 넣어 어만두를 빚는다.
12. 어만두를 육수에 삶는다.
13. 불린 노가리의 살을 발라낸다.
14. 물에 씻은 총각김치를 얇게 썬다.
15. 핸드블렌더에 묵은지, 총각김치, 다진마늘, 고추장굴비를 넣고 간다.
16. 물에 씻은 총각김치에 15를 넣는다.
17. 16에 찐 현미를 섞는다.
18. 17에 참기름, 고춧가루, 소금을 넣고 버무린다.
19. 달걀말이, 대파를 얇게 썬다.
20. 김, 청양고추를 얇게 썬다.
21. 어만둣국에 간장을 넣어 간을 한다.
22. 노가리식해를 그릇에 담는다.
23. 그릇에 어만둣국을 담는다.
24. 23에 19, 20을 고명으로 올린다.</t>
  </si>
  <si>
    <t xml:space="preserve">&lt; 오세득 - 이게 불낙이야 &gt;
● 재료
소등심, 낙지, 민어 뼈, 다슬기, 전복, 새우, 매생이, 미더덕, 꽈리고추, 베트남고추피클, 브로콜리, 닭발, 굴, 장어, 인삼음료, 불린 표고버섯, 아내표 물, 마늘, 대파, 소금, 청주, 다진 생강, 밀가루, 청양고추, 양파, 간장, 후추, 다진 마늘, 고춧가루, 물엿, 참기름, 맛술
● 조리 방법
1. 민어 뼈에 뜨거운 물을 부은 뒤 압력솥에 넣는다.
2. 1에 닭발, 다슬기를 넣고 마늘, 대파, 소금, 청주를 넣는다.
3. 2에 생강즙을 넣은 뒤 압력솥의 뚜껑을 닫고 끓인다.
4. 꽈리고추에 밀가루를 묻힌 뒤 찜기에 넣어 찐다.
5. 끓는 물에 전복을 넣고 데친다.
6. 전골냄비에 아내표 물, 미더덕을 넣는다.
7. 6에 불린 표고버섯, 청양고추를 넣고 끓인다.
8. 장어에 촘촘하게 칼집을 낸 뒤 먹기 좋은 크기로 자른다.
9. 데친 전복을 먹기 좋은 크기로 썬다.
10. 낙지를 먹기 좋은 크기로 썬다.
11. 대파, 양파, 소등심을 얇게 썬다.
12. 11에 간장, 후추, 다진 마늘을 넣고 버무린다.
13. 7에 12를 넣은 뒤 새우를 넣고 끓인다.
14. 고춧가루, 물엿, 간장, 참기름, 베트남고추피클을 섞어 양념장을 만든다.
15. 13에 맛술을 넣고 끓인다.
16. 15에 장어를 넣는다.
17. 16에 인삼음료를 넣는다.
18. 17에 굴을 넣는다.
19. 찐 꽈리고추를 양념장에 묻힌 뒤 접시에 담는다.
20. 육수를 18에 부은 뒤 전복, 브로콜리를 넣고 끓인다.
21. 20에 간장, 다진 마늘을 넣는다.
22. 21에 낙지를 넣는다.
23. 22에 매생이를 넣는다.
24. 23에 생강즙을 넣는다.
</t>
  </si>
  <si>
    <t>&lt; 이연복 - 장어 뺀 보양식, 그거슨 아니지~&gt;
● 재료
장어, 참돔, 가지, 채끝등심, 새우머리, 낙지, 홍합, 새우, 전복, 불린 표고버섯, 꽈리고추, 고추기름, 샤부샤부소스, 삼겹살, 맛술, 다진 생강, 대파, 마늘, 전분, 밀가루, 튀김가루, 청양고추, 고추장, 전분
●조리 방법
1. 참돔을 잘게 칼집을 낸다.
2. 1에 뜨거운 물을 부은 뒤 맛술을 뿌린다.
3. 2에 다진생강을 묻힌 뒤 찜기에 찐다.
4. 새우머리를 넣은 물에 전복, 낙지를 넣고 데친다.
5. 핸드블렌더에 채끝등심을 넣고 간다.
6. 삼겹살을 얇게 썬다.
7. 가지를 어슷썰기 해서 기름에 튀긴다.
8. 팬에 고추기름을 두른다.
9. 잘게 썬 대파, 으깬 마늘을 고추기름을 두른 팬에 넣는다.
10. 9에 얇게 썬 삼겹살, 간 채끝등심을 넣고 볶는다.
11. 먹기 좋은 크기로 썬 장어에 튀김가루를 묻힌다.
12. 전분, 밀가루, 물을 섞어 튀김반죽을 만든다.
13. 11을 튀김반죽에 묻혀 기름에 튀긴다.
14. 데친 낙지를 건져내 찬물에 식힌다.
15. 4에 새우, 맛술을 넣고 데친 뒤 새우를 건져낸다.
16. 데친 새우를 찬물에 식힌 뒤 껍질을 깐다.
17. 불린 표고버섯과 청양고추를 얇게 썰어 고추장, 샤부샤부소스와 10에 넣고 졸인다.
18. 17에 홍합을 넣고 졸인다.
19. 18에 먹기 좋은 크기로 썬 꽈리고추를 넣는다.
20. 찐 참돔을 접시에 담는다.
21. 장어튀김을 한 번 더 튀긴다.
22. 어향가지 소스에 전분물을 넣어 농도를 조절한다.
23. 데친 낙지를 먹기 좋은 크기로 썬다.
24. 어향가지 소스를 찐 참돔 위에 올린다.
25. 24에 장어튀김, 낙지를 올린다.
26. 25에 전복, 새우를 올린다.</t>
  </si>
  <si>
    <t>&lt;송훈 - 순대거탑&gt;
● 재료
순대, 항정살, 소등심, 명태회젓, 배추김치, 깍두기, 귀리, 즉석밥, 마늘, 다진 생강, 다진 마늘, 양파, 대파, 후추, 된장, 고추장, 청주, 맛술, 간장, 고춧가루, 물엿, 참기름, 참깨, 홍고추
●조리 방법
1. 전자레인지에 즉석밥을 넣고 돌린다.
2. 핸드블렌더에 항정살, 순대, 마늘, 다진 생강, 다진 마늘, 물을 넣고 간다.
3. 냄비에 뜨거운 물, 2를 넣고 끓여 순댓국 육수를 낸다.
4. 3에 귀리를 넣는다.
5. 찜기에 순대를 넣고 찐다.
6. 양파와 대파를 잘게 썬 뒤 팬에 넣는다.
7. 핸드블렌더에 항정살, 소등심을 간 뒤 6에 기름과 함께 볶는다.
8. 7에 다진 마늘, 다진 생강, 후추, 고추장, 된장을 넣는다.
9. 8에 청주, 간장, 맛술을 넣어 양념장을 만든다.
10. 배추김치를 물에 씻은 뒤 잘게 썰어 4에 넣는다.
11. 물에 씻은 깍두기를 잘게 썰어 9에 넣는다.
12. 대파의 흰 부분은 채 썰고, 녹색 부분은 잘게 썰고, 당근은 채 썬다.
13. 볼에 고춧가루, 명태회젓, 물엿을 넣은 뒤 12의 채소를 넣고 버무린다.
14. 데운 즉석밥을 얼음물에 헹군다.
15. 찜기에 찐 순대를 꺼낸다.
16. 13에 14를 넣고 버무려 명태회초무침을 만든다.
17. 16에 잘게 썬 대파, 참기름, 참깨를 올린다.
18. 순댓국 육수를 면보와 체 위에 부어 건더기를 걸러낸다.
19. 18을 뚝배기에 넣는다.
20. 19에 찐 순대를 넣고 끓인다.
21. 20에 잘게 썬 청양고추, 다진 마늘을 넣는다.
22. 양념장과 명태회초무침에 잘게 썬 대파를 올린다.
23. 21에 잘게 썬 홍고추를 올린다.</t>
  </si>
  <si>
    <t>냉장고를 부탁해 시즌 1, 237화</t>
  </si>
  <si>
    <t>&lt;정호영 - 흐린 기억 속의 고추장찌개♬&gt;
●재료
항정살, 돼지 내장, 배추김치, 통조림 참치, 통조림 햄, 굴소스, 국물용 멸치, 쥐포, 조미료, 당근, 양파, 대파, 고추장, 식초, 설탕, 맛술, 간장, 참기름, 다진 마늘, 참깨, 된장, 밀가루, 달걀, 고춧가루, 홍고추
● 조리 방법
1. 끓는 물에 국물용 멸치를 넣어 멸치 육수를 낸다.
2. 당근을 적당한 크기로 썬 뒤 전자레인지에 넣고 돌린다.
3. 팬에 항정살을 볶는다.
4. 핸드블렌더에 돼지 내장, 물을 넣고 간다.
5. 3에 4를 넣는다.
6. 양파와 대파를 적당한 크기로 썬 뒤 5에 넣는다.
7. 석쇠에 불린 쥐포를 올려 굽는다.
8. 볼에 고추장, 식초, 설탕, 맛술을 넣고 섞는다.
9. 8에 간장, 참기름, 다진 마늘, 참깨, 잘게 썬 대파를 넣어 쥐포무침 소스를 만든다.
10. 구운 쥐포를 잘게 썬다.
11. 멸치 육수를 체에 밭쳐 건더기를 거른 뒤 5에 넣는다.
12. 11에 2의 당근, 고추장을 넣는다.
13. 12에 된장, 굴소스를 넣는다.
14. 13에 조미료를 넣는다.
15. 핸드블렌더에 항정살, 통조림 참치, 통조림 햄을 넣고 갈아 전 반죽을 만든다.
16. 대파와 양파를 잘게 썬 뒤 전 반죽에 넣고 섞는다.
17. 16을 동그랗게 뭉친 뒤 밀가루&gt;달걀물 순서로 묻혀 기름을 두른 팬에 굽는다.
18. 14에 설탕을 넣는다.
19. 18에 고춧가루를 넣는다.
20. 19에 다진 마늘을 넣는다.
21. 20에 조미료를 넣는다.
22. 구운 쥐포에 쥐포무침 소스를 넣고 무친다.
23. 21에 다진 마늘을 넣는다.
24. 23에 잘게 썬 대파, 홍고추를 올린다.</t>
  </si>
  <si>
    <t>&lt; 김풍 - 풍장금&gt;
●재료
소등심, 항정살, 미역, 쥐포, 배추김치, 명태회젓, 유자청, 포도즙, 소면, 조미료, 양파, 다진 마늘, 대파, 청양고추, 후추, 전분, 소금, 참기름, 간장, 식초, 레몬
●조리 방법
1. 끓는 물에 국물용 멸치, 양파, 다진 마늘을 넣고 끓인다.
2. 핸드블렌더에 대파, 항정살, 조미료, 청양고추, 다진 마늘, 후추를 넣고 갈아 만두소를 만든다.
3. 전분을 묻힌 불린 쥐포에 만두소를 넣고 싼 뒤 다시 전분을 묻힌다.
4. 배추김치를 적당한 크기로 썬 뒤 물에 씻는다.
5. 4에 만두소를 넣고 감싼 뒤 전분을 묻힌다.
6. 찜기에 3과 5를 넣고 찐다.
7. 1의 육수를 체에 밭쳐 건더기를 걸러낸 뒤 얼음과 함께 믹서기에 넣고 간다.
8. 끓는 물에 소면을 넣고 삶는다.
9. 소등심을 얇게 썬 뒤 소금으로 간하고 전분을 묻혀 뜨거운 물에 넣고 익힌다.
10. 물에 씻은 배추김치를 채 썬다.
11. 핸드블렌더에 명태회젓, 유자청, 다진 마늘, 포도즙, 참기름을 간다.
12. 7의 육수에 간장, 식초를 넣는다.
13. 12에 레몬즙, 포도즙을 넣는다.
14. 삶은 소면을 찬물에 헹군다.
15. 그릇에 14를 담은 뒤 10의 배추김치, 9의 소등심을 올린다.
16. 불린 미역을 잘게 썬 뒤 15에 올리고 13의 육수를 붓는다.</t>
  </si>
  <si>
    <t>&lt; 샘킴 - 내가 왕이 될 밥상인가?&gt;
●재료
소등심, 항정살, 잡곡, 우유, 크림치즈, 마카다미아 초콜릿, 배추김치, 쌀, 참기름, 마늘, 대파, 참깨, 후추, 설탕, 양파, 올리브오일, 소금, 달걀, 홍고추, 밀가루, 버터
● 조리 방법
1. 끓는 물에 불린 잡곡을 넣고 삶는다.
2. 핸드블렌더에 불린 쌀을 넣고 간다.
3. 냄비에 2와 우유를 넣고, 다른 냄비엔 우유만 넣어 끓인다.
4. 마카다미아 초콜릿을 전자레인지에 넣고 녹인다.
5. 소등심을 잘게 채 썬다.
6. 5에 참기름, 잘게 썬 마늘과 대파, 참깨, 후추를 넣고 버무린다.
7. 소등심과 항정살을 잘게 썬 뒤 핸드블렌더로 간다.
8. 쌀과 우유를 끓이던 냄비에 끓인 우유, 설탕을 넣는다.
9. 양파를 잘게 썬 뒤 올리브오일을 두른 팬에 볶는다.
10. 7에 달걀, 9, 소금, 후추를 넣는다.
11. 핸드블렌더에 1의 잡곡을 넣고 간 뒤 10에 넣고 섞는다.
12. 홍고추를 잘게 썬다.
13. 11을 동그랗게 뭉쳐 밀가루를 묻힌 뒤 기름을 두른 팬에 굽는다.
14. 13 위에 잘게 썬 홍고추를 올린다.
15. 육회에 다진 마카다미아를 넣은 뒤 후추를 뿌린다.
16. 8에 버터와 크림치즈를 넣어 타락죽을 만든다.
17. 배추김치를 씻은 뒤 참기름에 무치고 잘게 썬 대파를 올린다.
18. 타락죽에 잘게 썬 대파, 참깨를 올린다.
19. 14에 참깨를 뿌려 마무리한다.</t>
  </si>
  <si>
    <t>&lt; 송훈 - 송훈각 &gt;
● 재료
돼지 앞다릿살, 오징어, 가지, 애호박, 양파, 새송이버섯, 오이지무침, 조개젓무침, 국물용 조미료, 통조림 햄, 인스턴트 북엇국, 대파, 청양고추, 고춧가루, 식용유, 식초, 간장, 맛술, 후추, 밀가루, 전분, 홍고추, 양파
● 조리 방법
1. 오징어에 칼집을 낸다.
2. 1의 오징어를 적당한 크기로 썬 뒤 끓는 물에 데친다.
3. 2를 찬물에 담가둔다.
4. 대파를 길게 썬다.
5. 대파와 청양고추를 잘게 썬다.
6. 고춧가루, 식용유, 5를 전자레인지에 돌려 고추기름을 낸다.
7. 기름을 두른 팬에 돼지 앞다릿살을 넣는다.
8. 뜨거운 물에 인스턴트 북엇국, 콩나물을 넣는다.
9. 가지를 적당한 크기로 썬 뒤 7에 넣는다.
10. 핸드블렌더에 마늘을 넣고 간다.
11. 9에 10, 새송이버섯, 애호박, 4의 대파를 넣는다.
12. 11에 6의 고추기름과 조개젓무침을 넣고 볶는다.
13. 12에 8의 콩나물과 육수, 식초, 간장, 맛술, 후추를 넣는다.
14. 밀가루, 국물용 조미료, 물을 섞어 튀김옷을 만든다.
15. 가지와 애호박을 얇게 썬다.
16. 통조림 햄을 잘게 썬다.
17. 튀김옷에 15와 16을 넣는다.
18. 양파를 잘게 썬 뒤 17에 넣어 기름에 튀긴다.
19. 13에 전분물, 잘게 썬 홍고추, 대파를 넣는다.
20. 상추에 튀김옷을 묻힌 뒤 기름에 튀긴다.
21. 오이지무침을 물에 씻는다.
22. 21에 양파, 고추기름, 국물용 조미료, 후추를 넣고 무친다.
23. 22에 조개젓무침, 대파를 올려 자차이를 만든다.
24. 19에 간장을 넣는다.
25. 데운 뚝배기에 24를 넣은 뒤 데친 오징어를 올린다.
26. 기름에 튀긴 채소를 건져낸다.</t>
  </si>
  <si>
    <t>냉장고를 부탁해 시즌 1, 238화</t>
  </si>
  <si>
    <t>&lt; 김풍 - 풍화반점 &gt;
● 재료
돼지 앞다릿살, 상추, 오이지무침, 감자, 가지, 칼국수라면, 새우맛라면, 통조림 햄, 인스턴트 미역국, 달걀, 다진 마늘, 다진 생강, 전분, 소금, 대파, 청양고추, 맛술, 홍고추, 즉석밥, 식초, 설탕, 고춧가루
● 조리 방법
1. 채칼로 감자를 얇게 슬라이스한 뒤 채 썬다.
2. 1을 찬물에 담가둔다.
3. 2를 체에 밭쳐 건져낸 뒤 키친타월로 물기를 닦아낸다.
4. 끓는 기름에 3을 튀긴다.
5. 돼지 앞다릿살을 잘게 다진다.
6. 5에 달걀노른자, 다진 마늘, 다진 생강, 전분, 소금을 넣고 버무린다.
7. 가지에 칼집을 낸 뒤 찜기에 넣고 찐다.
8. 기름을 두른 팬에 대파, 다진 마늘, 다진 생강을 볶아 파기름을 낸다.
9. 8에 청양고추, 6의 돼지 앞다릿살을 넣는다.
10. 9에 물에 씻은 오이지무침, 으깬 통조림 햄, 맛술을 넣는다.
11. 10에 인스턴트 미역국을 넣는다.
12. 기름을 두른 팬에 다진 마늘, 잘게 썬 홍고추, 다진 생강을 넣고 볶는다.
13. 12에 튀긴 감자채를 넣고 볶는다.
14. 13에 칼국수라면 수프를 넣는다.
15. 14에 새우맛라면 수프를 넣는다.
16. 15와 돼지고기 오이볶음에 고춧가루를 넣는다.
17. 끓는 물에 기름, 소금을 넣은 뒤 상추를 데친다.
18. 청양고추를 잘게 썬 뒤 감자채볶음에 넣는다.
19. 전자레인지에 즉석밥을 넣고 돌린다.
20. 돼지고기 오이볶음에 식초, 설탕을 넣는다.
21. 접시에 데친 상추, 찐 가지, 돼지고기 오이볶음을 올린다.</t>
  </si>
  <si>
    <t>&lt; 오세득 - 신(辛)봤다 &gt;
● 재료
돼지 앞다릿살, 오징어, 조개젓무침, 상추, 가지, 국물용 조미료, 간장, 청주, 맛술, 청양고추, 고춧가루, 다진 마늘, 대파, 홍고추, 양파, 대파, 소금, 즉석밥, 달걀
● 조리 방법
1. 간장, 청주, 맛술, 으깬 청양고추를 넣어 간장 소스를 만든다.
2. 적당한 크기로 썬 가지를 1에 넣은 뒤 찜기에 넣고 찐다.
3. 고춧가루, 다진 마늘, 간장, 잘게 썬 대파에 뜨거운 기름을 넣어 고추기름을 낸다.
4. 청양고추와 홍고추를 잘게 썬다.
5. 오징어를 잘게 다진다.
6. 돼지 앞다릿살의 비계 부분을 떼어낸 뒤 핸드블렌더에 넣고 간다.
7. 팬에 고추기름, 4, 5, 6을 넣고 볶는다.
8. 7에 잘게 썬 양파, 대파, 다진 마늘을 넣는다.
9. 8에 조개젓무침을 넣는다.
10. 9에 소금, 국물용 조미료를 넣는다.
11. 전자레인지에 즉석밥을 넣고 돌린다.
12. 핸드블렌더에 청양고추, 홍고추를 넣고 간 뒤 간장, 달걀을 넣고 다시 간다.
13. 기름에 12을 넣고 튀기듯 굽는다.
14. 13을 뒤집어 튀기듯 굽는다.
15. 찜기에 찐 가지를 꺼내 상추를 담은 접시에 올린 뒤 간장 소스를 뿌린다.
16. 15에 10과 즉석밥을 담는다.
17. 키친타월을 이용해 오믈렛의 기름기를 뺀다.
18. 16에 17의 오믈렛을 올린다.
19. 18에 간장 소스를 뿌린다.</t>
  </si>
  <si>
    <t>&lt; 샘킴 - 스파이시맨 &gt;
● 재료
돼지 앞다릿살, 상추, 베이컨, 애호박, 오이, 청고추, 청양고추, 올리브오일, 버터, 대파, 양파, 고춧가루, 설탕, 간장, 마늘, 다진 마늘, 마요네즈, 후추, 레몬, 밀가루, 소금
● 조리 방법
1. 청고추는 올리브오일을 두른 그릴팬에 굽고, 청양고추는 끓는 물에 삶는다.
2. 핸드블렌더에 삶은 청양고추를 넣고 간 뒤, 올리브오일을 넣어 청양고추 소스를 만든다.
3. 핸드블렌더에 버터, 잘게 썬 대파, 양파, 고춧가루, 설탕, 간장을 넣고 간다.
4. 3에 돼지 앞다릿살을 넣고 버무려 재워둔다.
5. 팬에 으깬 마늘, 베이컨, 올리브오일, 다진 마늘을 볶아 마늘 기름을 낸다.
6. 5의 팬에서 베이컨을 제거한다.
7. 청양고추를 잘게 다진다.
8. 1의 구운 청고추를 볼에 담아둔다.
9. 7에 마요네즈, 2, 올리브오일, 후추, 레몬즙을 넣는다.
10. 애호박을 적당한 크기로 썬 뒤 밀가루를 묻혀 기름에 튀긴다.
11. 구운 청고추를 잘게 썬 뒤 레몬즙, 올리브오일을 넣어 고추 절임을 만든다.
12. 9에 잘게 썬 오이, 양파, 마요네즈, 소금, 후추를 넣어 고추 마요네즈 소스를 만든다.
13. 핸드블렌더에 밀가루, 뜨거운 물을 넣고 익반죽한다.
14. 13의 반죽에 밀가루를 묻힌 뒤 밀대로 얇게 민다.
15. 14를 원형틀로 찍어낸 뒤 팬에 굽는다.
16. 팬에 4의 돼지 앞다릿살을 올려 굽는다.
17. 10의 튀긴 애호박을 체에 밭쳐 건져낸다.
18. 5의 마늘 기름에 튀긴 애호박을 넣어 섞어준다.
19. 석쇠에 대파를 올린 뒤 3의 양념을 발라 굽는다.
20. 19의 대파를 16에 넣는다.
21. 20에 2의 청양고추를 넣는다.
22. 접시에 19의 대파, 21의 돼지고기 구이를 올린다.</t>
  </si>
  <si>
    <t>&lt;레이먼킴 - 갈치 한판승&gt;
● 재료
갈치, 말린 우엉, 머윗잎, 국물용 멸치, 인스턴트 재첩국, 국간장, 깻잎, 산초가루, 검정콩+검정깨가루, 호박, 된장, 양파, 마늘, 대파, 당근, 맛술, 다진마늘, 소금, 밀가루, 올리브오일, 즉석밥, 홍고추, 고춧가루, 간장
● 조리 방법
1. 국물백에 양파, 마늘, 국물용 멸치, 대파, 말린 우엉을 넣고 끓는 물에 넣는다.
2. 1에 인스턴트 재첩국, 당근, 호박, 맛술을 넣고 끓인다.
3. 다진마늘을 넣은 육수망도 추가 한 뒤 국간장을 넣고 끓인다.
4. 갈치를 손질해 갈치 살만 발라낸다.
5. 머윗잎을 끓는 소금물에 삶은 뒤 갈치 국에 넣는다.
6. 핸드블렌더에 된장, 물을 넣고 간다.
7. 밀가루, 검정콩+검정깨가루, 된장 물을 섞어 된장떡 반죽을 만든다.
8. 된장떡 반죽에 산초가루, 다진 깻잎을 넣는다.
9. 갈치 살을 머윗잎 삶은 물에 데친다.
10. 올리브오일을 두른 팬에 된장떡 반죽을 부친다.
11. 된장떡 위에 데친 갈치 살을 얹어 감싼다.
12. 전자레인지에 즉석밥을 돌린다.
13. 갈치 된장떡을 접시에 담은 뒤 잘게 썬 홍고추를 올린다.
14. 토치로 고춧가루를 직화한 뒤 다진마늘, 간장, 맛술을 넣어 양념장을 만든다.
15. 즉석밥을 그릇에 담는다.
16. 그릇에 갈치 국을 담은 뒤 홍고추를 올린다.</t>
  </si>
  <si>
    <t>냉장고를 부탁해 시즌 1, 239화</t>
  </si>
  <si>
    <t>&lt;이연복 - 뭉쳐야 찐다&gt;
● 재료
갈치, 가문어, 애호박, 갈빗살, 호박잎, 완두콩, 불린 표고버섯, 양념더덕황태구이, 칠리소스, 매실액, 쪽파, 쌀, 양파, 대파, 간장, 마늘, 맛술, 참기름, 설탕, 고춧가루, 청양고추, 소금
● 조리 방법
1. 불린 표고버섯, 가문어를 잘게 썬다.
2. 돌솥에 불린 쌀과 잘게 썬 재료, 완두콩을 함께 넣고 뚜껑을 닫아 익힌다.
3. 갈치를 손질해 갈치 살만 발라낸다.
4. 핸드블렌더에 갈빗살, 양파, 대파, 칠리소스를 넣고 간다.
5. 고기소에 간장을 넣어 간을 한다.
6. 갈치 살 사이에 고기소를 올려 샌드한다.
7. 찜기에 갈치 샌드를 넣어 찐다.
8. 쪽파, 양파, 마늘을 잘게 다진다.
9. 간장, 맛술, 매실액, 참기름, 설탕, 고춧가루를 추가해 양념장을 만든다.
10. 기름을 두른 팬에 갈치 살을 튀긴다.
11. 잘게 썬 애호박을 돌솥밥 위에 올린 뒤 뚜껑을 닫아 익힌다.
12. 잘게 썬 청양고추를 튀긴 갈치에 넣은 뒤 간장을 넣고 조린다.
13. 12에 소금으로 간 한다.
14. 돌솥밥 위에 간장에 조린 갈치 살을 올린다.
15. 찜기에 찐 갈치 샌드를 호박잎에 올린다.
16. 갈치 샌드 위에 양념더덕황태구이, 양념장을 올린 뒤 호박잎으로 감싼다.</t>
  </si>
  <si>
    <t>&lt; 정호영 - 갈빗살 베스튜 &gt;
● 재료
갈빗살, 서대, 흰 강낭콩, 완두콩, 잣, 깻잎, 우유, 칠리소스, 케첩, 곰탕육수, 천연조미료, 닭 고명, 인스턴트 재첩국, 양배추, 밀가루, 올리브오일, 양파, 당근, 케첩, 레드와인, 고추, 마늘, 버터, 밀가루, 소금, 후추, 홍고추, 레몬
● 조리 방법
1. 끓는 물에 완두콩, 흰 강낭콩을 데친다.
2. 칼집을 낸 갈빗살에 밀가루를 묻힌다.
3. 올리브오일을 두른 팬에 밀가루를 묻힌 갈빗살을 볶는다.
4. 핸드블렌더에 갈빗살, 닭고명, 곰탕육수를 넣고 팬에 함께 볶는다.
5. 적당한 크기로 썬 양파, 양배추, 당근도 추가해서 볶는다.
6. 5에 곰탕육수, 케첩, 칠리소스를 넣고 끓인다.
7. 레드와인을 팬에 졸인다.
8. 핸드블렌더에 깻잎, 고추, 마늘, 잣, 올리브오일을 넣고 갈아 깻잎페스토를 만든다.
9. 팬에 버터, 밀가루를 넣은 뒤, 우유를 넣고 끓여 루를 만든다.
10. 서대를 손질해 몸통 살만 분리해낸다 .
11. 서대를 소금, 후추로 간 한다.
12. 졸인 레드와인을 스튜에 넣고 끓인다.
13. 스튜에 케첩을 넣고 끓인다.
14. 스튜에 천연조미료를 넣고 끓인다.
15. 서대를 밀가루에 묻힌 뒤 버터를 두른 팬에 굽는다.
16. 루에 깻잎페스토를 섞은 뒤 소금으로 간 해 깻잎크림소스를 만든다.
17. 깻잎크림소스에 인스턴트 재첩국을 넣고 끓인다.
18. 깻잎크림소스를 접시에 담는다.
19. 키친타월을 이용해 서대 스테이크의 기름기를 뺀 뒤 18에 올린다.
20. 얇게 썬 홍고추를 올린다.
21. 데친 콩을 흐르는 물에 씻은 뒤 올린다.
22. 레몬을 올린 뒤, 스튜를 그릇에 담는다.</t>
  </si>
  <si>
    <t xml:space="preserve">&lt; 유현수 - 굴라시로 입맛 잡아!&gt;
● 재료
파프리카, 갈빗살, 양배추, 완두콩, 혼합 강낭콩, 닭 고명, 산초가루, 들깨청, 애호박, 표고버섯, 호박잎, 양파, 밀가루, 달걀, 소금, 다진마늘, 고추장, 설탕, 케첩, 후추, 올리브오일, 레몬
● 조리 방법
1. 끓는 물에 완두콩, 혼합 강낭콩을 데친다.
2. 석쇠에 올린 파프리카를 토치로 직화한다.
3. 잘게 썬 양파, 표고버섯, 닭 고명을 볼에 담는다.
4. 핸드블렌더에 호박잎, 데친 콩을 넣고 간 뒤 썰어둔 재료와 함께 볼에 담는다.
5. 볼에 밀가루, 달걀, 소금, 들깨청을 넣고 섞는다.
6. 스테이크 반죽의 모양을 잡은 뒤 기름을 두른 팬에 굽는다.
7. 핸드블렌더에 다진마늘, 고추장을 넣는다.
8. 7에 탄 부분을 벗겨낸 구운 파프리카, 설탕을 넣고 갈아 파프리카 소스를 만든다.
9. 애호박을 얇게 슬라이스한 뒤 그릴 팬에 굽는다.
10. 양배추를 썬 뒤 팬에 굽는다.
11. 간 재료에 케첩을 넣고 섞는다.
12. 후추로 간 한 갈빗살을 팬에 굽는다.
13. 팬에 구운 양배추, 파프리카를 넣고 함께 볶는다.
14. 구운 콩 스테이크를 냄비에 옮긴 뒤 전자레인지에 돌린다.
15. 구운 애호박, 양배추를 볼에 담는다.
16. 볶던 재료에 파프리카 소스를 넣고 끓인다.
17. 들깨청, 올리브오일, 레몬즙을 섞은 뒤 구운 애호박, 양배추에 무친다.
18. 구운 파프리카를 얇게 썬 뒤 17에 넣는다.
19. 굴라시에 설탕을 넣고 토치로 직화한다.
20. 굴라시에 산초가루를 넣고 끓인다.
21. 콩 스테이크 위에 굴라시를 올린다.
22. 굴라시 위에 애호박 샐러드를 올린 뒤 올리브오일을 뿌린다.
</t>
  </si>
  <si>
    <t>&lt;송훈 - 페이스트리 요정&gt;
● 재료
돼지등심, 얼갈이배추, 블루베리, 아스파라거스, 그린빈, 사과, 사과잼, 토마토소스, 스리라차소스, 맛간장, 펜노니, 시나몬가루, 밀가루, 달걀, 버터, 올리브오일, 설탕, 소금, 양파, 청양고추, 마늘, 대파, 후추, 레몬
●조리 방법
1. 끓는 물에 펜노니를 넣고 삶는다.
2. 핸드블렌더에 밀가루, 달걀노른자, 버터, 물을 넣고 갈아 페이스트리 도우를 만든다.
3. 페이스트리 도우를 밀대로 밀고 접고를 여러 번 반복한다.
4. 페이스트리 도우를 넓게 민 뒤 볼을 이용해 둥근 모양으로 자른다.
5. 볼에 올리브오일을 바른 뒤 페이스트리 도우를 씌운다.
6. 원형틀을 이용해 페이스트리 도우에 여러 구멍을 낸다.
7. 6 위에 볼을 덮은 뒤 기름에 넣고 튀긴다.
8. 팬에 설탕, 버터, 슬라이스한 사과, 시나몬가루, 밀가루, 사과잼, 소금을 넣어 애플파이소를 만든다.
9. 페이스트리 도우를 감싸고 있던 볼을 제거한다.
10. 밀대로 페이스트리 도우를 넓게 민 뒤 애플파이소를 넣어 애플파이를 만든다.
11. 애플파이 테두리를 포크로 눌러 준 뒤, 기름에 튀긴다.
12. 팬에 적당한 크기로 썬 돼지등심과 올리브오일을 넣는다.
13. 잘게 썬 그린빈, 양파, 청양고추, 마늘, 대파와 맛간장을 12에 넣어 고기볶음을 만든다.
14. 튀긴 페이스트리 도우를 건져낸다.
15. 튀긴 애플파이를 건져낸다.
16. 기름을 두른 팬에 얼갈이배추를 볶는다.
17. 고기볶음에 삶은 펜노니를 넣는다.
18. 고기볶음에 후추, 스리라차소스를 넣는다.
19. 고기볶음에 토마토소스를 넣는다.
20. 고기볶음에 후추를 뿌린다.
21. 고기볶음에 볶은 얼갈이배추를 넣는다.
22. 애플파이에 레몬즙, 시나몬가루를 뿌린다.
23. 고기볶음에 얼갈이배추를 올린 뒤 튀긴 페이스트리 도우를 덮는다.
24. 애플파이에 블루베리를 올린다.</t>
  </si>
  <si>
    <t>냉장고를 부탁해 시즌 1, 240화</t>
  </si>
  <si>
    <t>&lt;유현수 - 밀가루 신상임당&gt;
● 재료
만두피, 명란젓, 완두콩, 아스파라거스, 애호박, 사과, 복숭아, 딸기, 블루베리, 새우살, 집된장, 사과잼, 브리치즈, 생모차렐라치즈, 크림소스, 바닐라아이스크림, 시나몬가루, 초콜릿시럽, 식빵, 메이플설탕, 설탕, 달걀, 소금, 밀가루, 양파, 청양고추, 후추, 올리브오일
● 조리 방법
1. 사과와 복숭아를 잘게 썬 뒤 팬에 넣고 볶는다.
2. 1에 사과잼을 넣고 볶는다..
3. 2에 메이플설탕, 시나몬가루, 설탕을 넣어 애플파이소를 만든다.
4. 밀대로 식빵을 얇게 민 뒤 테두리를 잘라준다.
5. 식빵 테두리에 달걀물을 묻힌 뒤 애플파이소를 넣고 대각선으로 접는다.
6. 5의 테두리와 가운데에 칼집을 낸다.
7. 6에 달걀물을 묻힌 뒤 오븐에 굽는다.
8. 밀가루에 소금을 넣는다.
9. 믹서기에 완두콩, 물을 넣고 간다.
10. 소금을 넣은 밀가루에 9를 넣어 라비올리 반죽을 만든다.
11. 라비올리 반죽에 밀가루를 뿌린다.
12. 밀대로 라비올리 반죽을 넓게 민다.
13. 브리치즈, 생모차렐라치즈, 명란젓을 뭉쳐 라비올리소를 만든다.
14. 라비올리 반죽에 라비올리소를 올린 뒤 달걀물을 묻힌다.
15. 라비올리소 위에 만두피를 덮은 뒤 원형틀로 찍어낸다.
16. 라비올리를 빚은 뒤 물에 삶는다.
17. 팬에 적당한 크기로 썬 양파와 아스파라거스를 넣고 볶는다.
18. 청양고추를 잘게 썬 뒤 볶던 재료에 넣는다.
19. 볶던 재료에 새우살을 넣는다.
20. 볶던 재료에 집된장, 설탕, 크림소스를 넣어 된장크림소스를 만든다.
21. 된장크림소스에 얇게 썬 애호박, 라비올리를 삶던 물을 넣는다.
22. 21에 레몬껍질을 갈아 넣는다.
23. 22에 크림소스, 후추, 올리브오일을 넣는다.
24. 접시에 초콜릿시럽, 블루베리, 애플파이소, 딸기를 올린다.
25. 바닐라아이스크림을 접시에 담는다.
26. 삶은 라비올리를 된장크림소스에 넣는다.
27. 된장크림 라비올리에 레몬껍질을 갈아 넣는다.
28. 오븐에서 애플파이를 꺼내 접시에 올린다.</t>
  </si>
  <si>
    <t>&lt; 오세득 - 패셔니스튜 &gt;
● 재료
채끝등심, 아스파라거스, 완두콩, 안초비, 그뤼에르 치즈, 플뢰르 드 셀 소금, 베이컨, 쌀조청, 트러플오일, 홀그레인 머스터드, 후추, 양파, 레드와인, 올리브오일, 다진마늘, 연겨자, 버터, 소금, 설탕, 당근, 달걀
● 조리 방법
1. 팬에 얇게 썬 양파와 기름을 넣는다.
2. 소금을 넣은 끓는 물에 달걀을 넣고 삶는다.
3. 끓는 물에 소금을 넣은 뒤 체에 밭친 완두콩을 삶는다.
4. 채끝등심을 적당한 크기로 썬 뒤 플뢰르 드 셀 소금을 뿌려 밑간한다.
5. 기름을 두른 팬에 밑간한 채끝등심을 올려 굽는다.
6. 팬에 적당한 크기로 썬 베이컨을 넣은 뒤 기름을 붓는다.
7. 구운 채끝등심을 양파를 굽던 팬에 넣는다.
8. 양파를 잘게 썬다.
9. 올리브오일을 두른 팬에 다진마늘과 양파를 넣는다.
10. 팬에 레드와인을 부어 끓인다.
11. 완두콩을 삶던 물에 아스파라거스를 넣고 삶는다.
12. 볶던 다진마늘에 안초비를 넣어 드레싱을 만든다.
13. 끓인 레드와인을 굽던 채끝등심에 넣어 소고기 스튜를 만든다.
14. 볶은 베이컨을 건져내 기름기를 뺀다.
15. 소고기 스튜에 쌀조청을 넣는다.
16. 소고기 스튜와 드레싱에 연겨자를 넣는다.
17. 드레싱에 홀그레인 머스터드를 넣는다.
18. 팬에 삶은 완두콩, 아스파라거스, 볶은 베이컨을 넣고 볶아 샐러드를 만든다.
19. 샐러드에 플뢰르 드 셀 소금을 뿌려준다.
20. 끓는 물에 그린빈, 적당한 크기로 썬 당근을 넣고 삶는다.
21. 물을 넣은 팬에 버터, 소금, 설탕을 넣고 끓인다.
22. 삶은 그린빈과 당근을 버터 끓인 물에 넣은 뒤 설탕을 뿌린다.
23. 삶은 달걀을 찬물에 식힌 뒤 껍데기를 제거한다.
24. 삶은 달걀을 잘게 썰어 샐러드 위에 올린 뒤 드레싱을 뿌린다.
25. 샐러드에 후추를 뿌린다.
26. 끓이던 그린빈과 당근에 설탕을 뿌린다.
27. 접시에 삶던 그린빈과 당근을 담은 뒤 소고기 스튜를 올린다.
28. 소고기 스튜에 그뤼에르 치즈를 갈아 올린다.
29. 소고기 스튜에 트러플 오일을 뿌린다.</t>
  </si>
  <si>
    <t>&lt; 샘킴 - 시칠리아 정식~ 오 솔레미오♬ &gt;
● 재료
가자미살, 식빵, 생모차렐라치즈, 방울토마토, 아스파라거스, 그린빈, 애호박, 발사믹식초, 리카토니, 바게트 과자, 바질페스토, 열무, 토마토소스, 안초비, 소금, 마늘, 올리브오일, 밀가루, 양파, 후추, 레몬
● 조리 방법
1. 소금을 넣은 끓는 물에 리카토니를 넣고 삶는다.
2. 핸드블렌더에 마늘, 올리브오일을 넣고 간다.
3. 올리브오일을 두른 팬에 간 마늘, 안초비를 볶아 안초비 소스를 만든다.
4. 가자미살을 적당한 크기로 썬 뒤 안초비 소스에 넣는다.
5. 그릴팬에 식빵을 굽는다.
6. 잘게 썬 애호박에 밀가루를 묻힌 뒤 기름에 튀긴다.
7. 잘게 썬 아스파라거스에 밀가루를 묻힌 뒤 기름에 튀긴다.
8. 적당한 크기로 썬 그린빈에 밀가루를 묻힌 뒤 기름에 튀긴다.
9. 적당한 크기로 썬 양파에 밀가루를 묻힌 뒤 기름에 튀긴다.
10. 방울토마토를 반으로 썬다.
11. 올리브 오일을 두른 팬에 안초비, 간 마늘을 넣고 볶은 뒤 열무, 소금, 후추를 넣고 볶는다.
12. 토마토소스, 발사믹식초, 설탕, 올리브오일, 후추, 레몬즙을 넣어 소스를 만든다.
13. 기름에 튀긴 각종 채소들을 건져내 기름기를 뺀 뒤 소금을 뿌려 간한다.
14. 안초비 소스에 면수와 방울토마토를 넣는다.
15. 튀긴 각종 채소들을 소스에 넣고 버무린다.
16. 안초비 소스에 면수를 넣는다.
17. 구운 식빵의 테두리를 잘라낸다.
18. 생모차렐라 치즈를 잘게 썬다.
19. 방울토마토에 생모차렐라치즈, 레몬즙, 발사믹식초, 후추를 넣어 토마토 샐러드를 만든다.
20. 구운 식빵에 바질페스토를 바른다.
21. 삶은 리카토니를 안초비 소스에 넣어 안초비 파스타를 만든다.
22. 바게트 과자를 잘게 부순다.
23. 접시에 발사믹식초를 뿌린 뒤 토마토 샐러드, 바질페스토 식빵, 레몬을 올린다.
24. 그릴팬에 가자미살을 올린 뒤 올리브오일을 뿌려 굽는다.
25. 안초비 파스타 위에 부순 바게트 과자를 뿌린다.
26. 접시에 열무를 올린다.
27. 소스에 버무린 튀긴 채소들을 접시에 올린다.
28. 열무를 담은 접시에 구운 가자미살, 레몬을 올린다.</t>
  </si>
  <si>
    <t>&lt;레이먼킴 - 생생 리소통&gt;
● 재료
누룽지, 생닭, 새우, 토마토퓌레, 구워먹는 치즈, 체리, 오미자효소, 옥수수, 바질페스토, 트러플소스, 초콜릿, 수제요거트, 금귤청, 당유자청, 양파, 대파, 당근, 마늘, 통후추, 맛술, 올리브오일, 청양고추, 설탕, 식초, 소금, 버터
●조리 방법
1. 양파를 잘게 다진 뒤 끊는 물에 양파, 대파를 넣는다.
2. 지퍼백에 당근, 닭다리를 넣고 고기망치로 으깬 뒤 냄비에 함께 넣어 육수를 낸다.
3. 육수에 통마늘, 통후추, 맛술을 넣고 끓인다.
4. 새우의 살만 발라낸다.
5. 기름을 두른 팬에 잘게 다진 양파를 넣고 볶는다.
6. 양파를 볶던 팬에 잘게 으깬 누룽지를 넣는다.
7. 누룽지에 올리브오일을 넣고 볶아준다.
8. 볶던 누룽지에 잘게 다진 마늘, 토마토퓌레, 새우 살을 넣는다.
9. 누룽지에 육수를 넣고 끓인다.
10. 체리 씨를 발라낸다.
11. 팬에 물, 청양고추를 넣고 끓인다.
12. 팬에 오미자효소, 설탕, 식초, 소금, 체리를 추가해 끓인다.
13. 옥수수의 알을 발라낸 뒤 누룽지 리소토에 넣는다.
14. 누룽지 리소토에 버터를 넣고 끓인다.
15. 누룽지 리소토에 구워먹는 치즈를 갈아 넣는다.
16. 누룽지를 기름에 튀긴 뒤 당유자청, 잘게 다진 당유자를 넣고 버무린다.
17. 누룽지 리소토에 으깬 누룽지를 한 번 더 넣고 끓인다.
18. 체리 피클의 체리를 얼음에 식힌다.
19. 잔에 당유자에 버무린 누룽지&gt;수제요거트&gt;당유자에 버무린 누룽지 순으로 올린 뒤 초콜릿을 갈아 넣는다.
20. 19에 수제요거트&gt;누룽지 디저트&gt;수제요거트 순으로 올린다.
21. 잔 위에 금귤청, 초콜릿을 올린 뒤 얼음에 식힌다.
22. 누룽지 리소토를 접시에 담는다.
23. 리소토 위에 올리브오일, 트러플 소스, 바질페스토를 올린다.
24. 얼음에 식힌 체리피클을 접시에 담는다.</t>
  </si>
  <si>
    <t>냉장고를 부탁해 시즌 1, 241화</t>
  </si>
  <si>
    <t>&lt; 이연복 - 니들이 게살수프 맛을 알아? &gt;
● 재료
누룽지, 게맛살, 육수팩, 황태채, 바지락, 낙지, 새우, 게 간장, 떡국떡, 양념돼지갈비, 주꾸미, 두부, 팽이버섯, 설탕, 밀가루, 튀김가루, 후추, 전분, 달걀, 참기름
●조리 방법
1. 바지락을 체에 밭쳐 끓는 물에 데친다.
2. 바지락 데친 물에 육수팩, 황태채를 넣고 육수를 낸다.
3. 누룽지를 체에 밭쳐 기름에 튀긴다.
4. 새우의 살만 발라낸다.
5. 팬에 설탕을 넣고 녹인다.
6. 데친 바지락의 살만 발라낸다.
7. 믹서기에 밀가루, 튀김가루, 물, 불린 누룽지를 넣고 갈아 누룽지 반죽을 만든다.
8. 튀긴 누룽지를 녹인 설탕에 묻힌 뒤 식힌다.
9. 육수에서 건더기를 걸러낸 뒤 뜨거운 물을 넣고 끓인다.
10. 육수에 새우, 떡국떡, 팽이버섯, 으깬 두부, 주꾸미를 넣고 끓인다.
11. 육수에 불린 누룽지를 추가한 뒤 체에 밭쳐 낙지를 데친다.
12. 게맛살을 얇게 찢어준다.
13. 기름을 두른 팬에 누룽지 반죽을 올려 굽는다.
14. 누룽지 전 반죽에 양념돼지갈비를 올린다.
15. 누룽지 전 반죽에 게맛살, 바지락살, 낙지를 추가한다.
16. 누룽지 게살수프에 새우살, 후추, 팽이버섯, 게 간장, 전분 물을 넣고 끓인다.
17. 누룽지 게살수프에 달걀 물을 넣고 끓인다.
18. 누룽지 게살수프를 그릇에 담은 뒤 참기름을 뿌려준다.</t>
  </si>
  <si>
    <t>&lt;정호영 - 고인돌 떡갈비&gt;
● 재료
돼지목살, 양념돼지갈비, 차돌박이, 구워먹는 치즈, 수삼, 맛간장, 토마토퓌레, 파스타면, 육수팩, 굴소스, 월남쌈 소스, 스테이크소스, 트러플 소스, 달걀, 양파, 설탕, 전분, 밀가루, 마늘, 버터
● 조리 방법
1. 끓는 물에 육수팩을 넣어 육수를 낸다.
2. 핸드블렌더에 돼지목살, 양념돼지갈비를 넣는다.
3. 핸드블랜더에 달걀을 넣고 함께 갈아 떡갈비 반죽을 만든다.
4. 기름을 두른 팬에 다진 양파, 떡갈비 반죽을 넣고 볶는다.
5. 팬에 토마토퓌레를 추가해 함께 볶는다.
6. 팬에 월남쌈 소스, 스테이크소스, 설탕을 넣어 떡갈비 소스를 만든다.
7. 떡갈비 반죽에 전분, 밀가루를 섞는다.
8. 떡갈비 반죽을 치대 찰기를 준 뒤 반죽의 모양을 잡는다.
9. 수삼을 뼈 모양으로 자른다.
10. 파스타면을 육수에 삶는다.
11. 나무꼬치 양쪽에 수삼을 꽂아 뼈대를 만든 뒤 떡갈비 반죽을 감싸 고인돌 모양으로 다듬는다.
12. 기름을 두른 팬에 고인돌 떡갈비를 굽는다.
13. 고인돌 떡갈비를 접시에 옮긴 뒤 전자레인지에 돌린다.
14. 기름을 두른 팬에 얇게 썬 마늘, 차돌박이를 넣고 볶는다.
15. 팬에 면수, 설탕, 맛간장, 굴소스를 추가해 볶아준다.
16. 삶은 파스타면을 차돌박이 파스타 소스와 버터를 넣고 볶는다.
17. 전자레인지에서 익힌 고인돌 떡갈비에 떡갈비 소스를 뿌려준다.
18. 차돌박이 파스타에 트러플 소스를 넣고 볶는다.
19. 접시에 고인돌 떡갈비를 담는다.
20. 접시에 차돌박이 파스타를 함께 담는다.
21. 구워먹는 치즈를 갈아 위에 뿌려준다.</t>
  </si>
  <si>
    <t>&lt;김풍 - 금 나와라 와라~ 금탕♬&gt;
● 재료
차돌박이, 돼지목살, 팽이버섯, 육수팩, 황태채, 카레가루, 복숭아, 수박, 청귤청, 소금, 전분, 다진마늘, 청양고추, 참기름, 다진생강, 대파, 된장, 식초, 맛술, 설탕
● 조리 방법
1. 끓는 물에 육수팩, 황태채를 넣어 육수를 낸다.
2. 끓는 물에 팽이버섯을 데친 뒤 접시에 담는다.
3. 끓는 물에 차돌박이를 데친다.
4. 데친 차돌박이를 물에 씻은 뒤 팽이버섯 위에 올린다.
5. 소금으로 간 한 돼지목살을 지퍼백에 넣은 뒤 고기망치로 두드린다.
6. 돼지 목살에 전분을 묻힌 뒤 기름에 튀긴다.
7. 기름을 두른 팬에 다진마늘, 청양고추, 참기름, 생강즙, 대파, 된장을 넣는다.
8. 팬에 카레가루를 추가해 함께 볶는다.
9. 카레와 각종 재료를 넣고 볶던 팬에 육수를 넣고 끓인다.
10. 9에 소금, 식초, 맛술을 넣고 끓인다.
11. 복숭아의 껍질을 벗긴다.
12. 기름을 두른 팬에 얇게 썬 복숭아를 굽는다.
13. 수박을 팬에 올린 뒤, 복숭아와 수박 위에 설탕을 뿌린다.
14. 굽던 복숭아와 수박에 소금으로 간 한다.
15. 목살 스테이크에 청귤청을 발라 한 번 더 굽는다.
16. 목살 스테이크에 한 번 더 소금으로 간한다.
17. 금탕 국물에 전분물을 넣는다.
18. 접시에 구운 과일을 담는다.
19. 구운 과일 위에 목살스테이크를 올린다.
20. 차돌면에 금탕 국물을 붓는다.</t>
  </si>
  <si>
    <t>&lt;김풍 - 기절토풍&gt;
● 재료 : 토마토, 동두부, 전복, 깻잎, 오징어, 팽이버섯, 느타리버섯, 새우젓, 액상조미료, 옥수수, 청양고추, 마늘, 양파, 대파, 밀가루, 전분, 식용유, 고춧가루
●조리 방법
1. 압력솥의 끓는 물에 적당한 크기로 썬 토마토, 청양고추, 마늘, 양파, 대파, 전복을 넣는다.
2. 1에 새우젓, 액상조미료, 적당한 크기로 썬 옥수수를 넣은 뒤 뚜껑을 닫고 끓인다.
3. 밀가루, 전분, 식용유, 물을 섞는다.
4. 3을 핸드블렌더로 갈아 면 반죽을 만든 뒤 손으로 치댄다.
5. 밀가루 위에 면 반죽을 올린 뒤 밀대로 넓게 민다.
6. 면 반죽을 여러 겹으로 접은 뒤 얇게 썬다.
7. 동두부의 물기를 짠다.
8. 동두부를 적당한 크기로 썬 뒤 기름에 튀긴다.
9. 오징어의 껍질을 벗긴다.
10. 껍질을 벗긴 오징어를 잘게 썬다.
11. 끓는 기름에 대파, 고춧가루, 마늘을 넣어 고추기름을 낸다.
12. 기름을 두른 팬에 느타리버섯, 토마토를 넣어 굽는다.
13. 고추기름을 체에 밭쳐 건더기를 걸러낸다.
14. 압력솥의 김을 뺀다.
15. 토마토와 느타리버섯을 굽던 팬에 압력솥의 육수만 체에 밭쳐 넣는다.
16. 육수에 뜨거운 물을 넣는다.
17. 육수에 오징어, 전분물을 넣고 끓인다.
18. 끓는 물에 면 반죽을 넣고 삶는다.
19 삶은 면을 건져낸 뒤 얼음물에 넣어 식힌다.
20. 전복과 튀긴 동두부를 적당한 크기로 썬 뒤 면 위에 올린다.
21. 면 위에 전복과 육수, 고추기름을 넣는다.
22. 면 위에 잘게 썬 깻잎, 팽이버섯을 올린다.</t>
  </si>
  <si>
    <t>냉장고를 부탁해 시즌 1, 242화</t>
  </si>
  <si>
    <t>&lt;샘킴 - 봉주르 부야베스&gt;
● 재료
토마토, 감자, 토마토소스, 연어, 가자미살 커틀릿, 깍두기, 애호박, 국물용 멸치, 국물용 조미료, 느타리버섯, 대파, 고춧가루, 양파, 대파, 청양고추, 소금, 마늘, 홍고추, 간장, 식초, 후추
● 조리 방법
1. 끓는 기름에 대파, 고춧가루를 넣어 고추기름을 낸다.
2. 끓는 물에 국물용 멸치, 국물용 조미료, 양파, 대파, 청양고추, 소금을 넣어 채소 육수를 낸다.
3. 가자미살 커틀릿의 튀김옷을 떼어낸다.
4. 가자미살, 마늘, 양파를 적당한 크기로 썬 뒤 냄비에 넣고 올리브오일을 뿌려 굽는다.
5. 냄비에 올리브오일, 잘게 썬 양파, 건새우, 소금, 토마토소스, 토마토, 감자를 넣는다.
6. 채소 육수를 굽던 가자미살과 5에 넣어 각각 가자미살 육수, 토마토 육수를 만든다.
7. 토마토 육수에 고추기름과 가자미살 육수를 넣는다.
8. 토마토 육수에 깍두기를 넣는다.
9. 올리브오일을 두른 팬에 잘게 썬 애호박, 느타리버섯, 소금을 넣고 볶는다.
10. 올리브오일을 두른 팬에 토마토를 굽는다.
11. 토마토 육수를 체에 밭쳐 건더기를 걸러낸 뒤 뚝배기에 넣는다.
12. 뚝배기에 토마토 육수의 토마토, 감자, 깍두기, 건새우를 넣는다.
13. 뚝배기에 구운 토마토를 넣는다.
14. 연어를 채소 육수에 넣어 익힌다.
15. 물, 잘게 썬 청양고추, 홍고추, 간장, 소금, 식초, 잘게 썬 대파, 후추를 섞어 양념간장을 만든다.
16. 뚝배기에 볶은 느타리버섯, 애호박과 잘게 썬 대파를 넣는다.
17. 뚝배기에 토마토즙을 넣는다.
18. 뚝배기에 익힌 연어를 올린다.</t>
  </si>
  <si>
    <t>&lt; 송훈 - 쌀 스틸러 &gt;
●재료
쌀, 생닭, 토마토고추장, 소등심, 오징어, 방울토마토, 베이컨, 팽이버섯, 파프리카피클, 토마토소스, 마늘맛 소시지, 훈제 닭가슴살, 사골육수, 칠리파우더수프, 건새우, 라면, 올리브오일, 대파, 청양고추, 양파, 청주, 고춧가루, 후추, 맛술, 버터
● 조리 방법
1. 끓는 물에 불린 쌀을 넣고 삶는다.
2. 생닭의 다리를 잘라내고 뼈를 발골한 뒤 끓는 물에 다리뼈를 넣는다.
3. 2에 사골육수, 다리뼈를 잘라낸 생닭을 넣어 육수를 낸다.
4. 닭다리살에 칠리파우더수프와 라면수프, 올리브오일을 바른다.
5. 베이컨을 잘게 썬다.
6. 마늘맛 소시지를 적당한 크기로 썬다.
7. 올리브오일을 두른 팬에 베이컨, 마늘맛 소시지를 넣는다.
8. 소등심을 적당한 크기로 썬 뒤 7에 넣어 볶는다.
9. 소등심을 볶던 팬에 건새우를 넣는다.
10. 삶은 쌀을 체에 밭쳐 쌀만 걸러낸다.
11. 오징어를 적당한 크기로 썬다.
12. 파프리카피클과 반으로 가른 방울토마토를 볶던 재료에 넣는다
13. 대파를 잘게 썬다.
14. 잘게 썬 대파와 청양고추를 볶던 재료에 넣는다.
15. 양파를 잘게 썬 뒤 14에 넣는다.
16. 토마토고추장을 15에 넣는다.
17. 16에 청주를 넣는다.
18. 양념을 바른 닭다리살을 기름을 두른 팬에 올린다.
19. 삶은 쌀을 볶던 재료에 넣어 잠발라야를 만든다.
20. 닭다리살을 굽는 팬에 팽이버섯을 올려 굽는다.
21. 잠발라야에 닭육수를 넣는다.
22. 잠발라야에 고춧가루, 후추를 넣는다.
23. 훈제 닭가슴살을 잘게 썬 뒤 잠발라야에 넣는다.
24. 잠발라야에 토마토소스를 넣는다.
25. 잠발라야와 닭다리살을 굽는 팬에 맛술을 넣는다.
26. 볶은 팽이버섯을 키친타월 위에 올려 기름기를 뺀다.
27. 석쇠에 구운 닭다리살을 올려 직화한다.
28. 팬에 버터, 오징어를 넣고 볶는다.
29. 양파를 석쇠에 올린 뒤 직화한 닭다리살을 올려 굽는다.
30. 오징어를 굽던 팬에 잠발라야를 넣는다.
31. 30에 구운 팽이버섯을 올린다.
32. 구운 닭다리살을 적당한 크기로 썬다.
33. 구운 닭다리살과 잘게 썬 대파를 잠발라야 위에 올린다.</t>
  </si>
  <si>
    <t>&lt; 오세득 - 쌀와디캅 &gt;
●재료
쌀, 보리굴비, 말린 문어, 마른 오징어, 전복, 약고추장, 팽이버섯, 표고버섯, 양배추, 액상조미료, 청양고추, 홍고추, 대파, 양파, 다진 생강, 다진 마늘, 설탕, 참기름, 참깨
●조리 방법
1. 믹서기에 쌀을 넣고 간다.
2. 간 쌀을 체에 밭쳐 곱게 거른다.
3. 끓는 물에 간 쌀을 넣고 끓인다.
5. 건새우, 양배추, 표고버섯을 잘게 썰어 팬에 볶는다.
6. 청양고추, 홍고추, 팽이버섯을 잘게 썰어 볶은 재료와 함께 담아둔다.
7. 적당한 크기로 썬 양파, 대파, 생강즙을 불린 보리굴비에 넣는다.
8. 찜기에 7을 넣고 찐다.
9. 압력솥에 불린 문어와 문어 불린 물을 넣는다.
10. 불린 마른 오징어를 잘게 썬 뒤 9에 넣는다.
11. 10에 표고버섯을 넣은 뒤 뚜껑을 닫고 끓여 육수를 만든다.
12. 채소와 버섯을 볶았던 팬에 건새우를 넣는다.
13. 달군 팬에 다진 마늘, 약고추장을 넣어 볶는다.
14. 13에 쌀을 끓이던 물을 넣는다.
15. 14에 설탕을 넣는다.
16. 15에 참기름을 넣어 고추장 양념을 만든다.
17. 찜기의 보리굴비에 참기름을 뿌린다.
18. 전복에 뜨거운 물을 부어 데친다.
19. 압력솥에 물을 부어 식히며 김을 뺀다.
20. 찐 보리굴비의 살을 발라낸다.
21. 채소와 버섯이 담긴 팬에 액상조미료, 압력솥의 육수를 넣는다.
22. 끓인 쌀을 체에 밭쳐 건더기만 걸러낸 뒤 찬물에 헹군다.
23. 데친 전복의 껍데기를 제거한 뒤 잘게 썰어 육수에 넣는다.
24. 조리한 밥 위에 23를 붓는다.
25. 고추장 양념에 보리굴비 살, 잘게 썬 대파, 생강즙, 참깨를 넣고 버무린다.</t>
  </si>
  <si>
    <t>&lt; 유현수 - 쌈밥의 여인♬ &gt;
● 재료
바지락, 감자, 참깨소스, 닭육수, 브로콜리, 표고버섯, 애호박, 상추, 깻잎, 파프리카, 들깨가루, 냉동아보카도,
오이지, 완두콩, 슬라이스 치즈, 레몬, 화이트와인, 다진마늘, 즉석밥, 고추, 올리브오일, 소금, 된장, 밀가루, 버터, 전분
●조리 방법
1. 끓는 물에 바지락을 넣는다.
2. 레몬, 화이트와인, 다진 마늘을 넣고 삶는다.
3. 볼에 감자를 넣고 랩을 씌워 구멍을 뚫어준 뒤 즉석밥과 함께 전자레인지에 돌린다.
4. 얇게 썬 오이지를 물에 헹궈 짠맛을 뺀다.
5. 채 썬 파프리카, 고추를 팬에 넣는다.
6. 팬에 애호박 슬라이스를 넣고 올리브오일을 두른 뒤 굽는다.
7. 바지락 육수에 브로콜리를 데친다.
8. 삶은 바지락의 살만 발라낸다.
9. 데친 브로콜리의 송이부분을 잘게 썬다.
10. 냉동아보카도, 잘게 썬 브로콜리, 소금, 즉석밥을 섞어 브로콜리 밥을 만든다.
11. 기름을 두른 팬에 다진마늘, 소금, 완두콩, 닭육수을 넣고 볶아 뇨키 소스를 만든다.
12. 뇨키 소스에 바지락, 오이지를 넣는다.
13. 잘게 썬 애호박, 표고버섯을 팬에 넣는다.
14. 13에 된장을 넣고 볶은 뒤 바지락 살을 넣는다.
15. 핸드블렌더에 익은 감자, 밀가루, 슬라이스 치즈를 넣고 간다.
16. 15에 밀가루, 다진 바지락 살을 넣어 뇨키 반죽을 만든다.
17. 뇨키 반죽을 적당한 크기로 떼어내 포크로 모양을 내준 뒤 끓는 물에 익힌다.
18. 김발에 상추, 깻잎을 깔고 그 위에 브로콜리 밥을 올린다.
19. 밥 위에 구운 파프리카, 바지락 쌈장을 올린다.
20. 김발로 말아 낸 뒤 찜기에 찐다.
21. 뇨키 소스에 참깨소스, 버터를 넣고 끓인다.
22. 소스에 들깨가루를 넣고 끓인다.
23. 소스에 얇게 썬 고추, 전분물을 넣고 끓인다.
24. 뇨키를 소스에 넣은 뒤 잘게 썬 브로콜리, 구운 채소를 넣는다.
25. 접시에 바지락 뇨키를 담는다.
26. 바지락 쌈밥을 먹기 좋은 크기로 썬다.</t>
  </si>
  <si>
    <t>냉장고를 부탁해 시즌 1, 243화</t>
  </si>
  <si>
    <t>&lt; 이연복 - 바지락상회 &gt;
●재료
바지락, 매생이, 소고기 양지, 박정수표 육수, 국물용 멸치, 황태채, 국물용 새우, 애호박, 조기, 간장소스, 맛간장, 완두콩, 밀가루, 다진마늘, 올리브오일, 대파, 전분, 달걀
● 조리 방법
1. 끓는 물에 바지락을 삶는다.
2. 국물백에 황태채, 국물용 새우, 국물용 멸치를 넣은 뒤 끓는 물에 박정수표 육수를 함께 넣는다.
3. 핸드블렌더에 매생이, 밀가루, 물을 넣고 갈아 매생이 만두피 반죽을 만든다.
4. 믹서기에 소고기 양지를 간다.
5. 간 소고기 양지에 간장소스, 다진마늘, 올리브오일, 다진 파를 넣고 버무린다.
6. 삶은 바지락의 살만 발라낸다. 7. 해물육수에 얇게 썬 애호박을 넣는다.
8. 양념된 양지에 바지락 살, 간장소스를 넣고 버무려 만두소를 만든다.
9. 조기의 살만 발라낸다.
10. 핸드블렌더에 조기 살, 전분, 간장소스, 달걀물을 넣고 갈아 완자반죽을 만든다.
11. 완자반죽에 완두콩을 넣고 섞는다.
12. 매생이 만두피 반죽에 밀가루를 섞은 뒤 적당한 크기로 떼어낸다.
13. 밀가루 위에 매생이 만두피 반죽을 올린 뒤 밀대로 넓게 민다.
14. 만두피에 만두소를 넣어 만두를 빚는다.
15. 국물백을 건져낸 뒤 바지락 만두, 조기완자를 넣고 끓인다.
16. 바지락 만둣국에 맛간장을 넣는다.
17. 대파를 잘게 썬 뒤. 바지락 만둣국에 달걀물을 넣는다.
18. 바지락 만둣국을 그릇에 담는다.</t>
  </si>
  <si>
    <t>&lt;정호영 - 옥돔이 뭐길래&gt;
● 재료
옥돔, 감자, 냉동아보카도, 오이지, 파프리카, 참깨소스, 옥수수, 닭육수, 발사믹드레싱, 날치알, 양파, 올리브오일,
마요네즈, 소금, 버터, 레몬
● 조리방법
1. 볼에 감자를 넣고 랩을 씌워 구멍을 뚫어준 뒤 전자레인지에 돌린다.
2. 옥수수의 알을 발라낸 뒤 체에 밭쳐 끓는 물에 데친다.
3. 잘게 썬 양파, 파프리카를 팬에 볶는다.
4. 속을 발라낸 오이지를 잘게 썬 뒤 물에 담가 짠맛을 뺀다. 5. 옥돔의 살만 발라낸다.
6. 옥돔 살에 칼집을 낸 뒤 올리브오일을 두른 팬에 굽는다.
7. 익힌 감자에 냉동아보카도를 넣고 으깬다.
8. 물기를 짜낸 잘게 썬 오이지를 볶던 채소에 넣고 볶아준다.
9. 데친 옥수수 알을 꺼낸다.
10. 믹서기에 데친 옥수수, 닭육수를 넣고 간다.
11. 으깬 감자아보카도에 마요네즈, 참깨소스를 넣고 섞는다.
12. 11에 소금, 날치알을 넣고 섞는다.
13. 팬에 옥수수 퓌레를 올린다.
14. 옥수수 퓌레에 소금, 버터를 넣고 섞어준다.
15. 감자아보카도 샐러드에 옥돔구이를 올린다.
16. 토치로 옥돔구이를 직화한다.
17. 접시에 옥수수 퓌레를 깔고 그 위에 옥돔구이를 올린 감자아보카도 샐러드를 올린다.
18. 속을 파낸 오이를 얇게 썬 뒤 접시에 올린다.
19. 레몬껍질을 갈아서 올린다.
20. 옥돔구이에 발사믹드레싱을 뿌려준다.
21. 그 위에 올리브오일을 뿌려준다.</t>
  </si>
  <si>
    <t>&lt;레이먼킴 - 와인 아리랑&gt;
● 재료
이베리코 목살, 불린 오이지, 참깨소스, 옥수수, 파프리카, 불린 표고버섯, 간장소스, 오리엔탈드레싱, 마늘초절임,
다진생강, 양파, 고추, 참기름, 대파, 맛술, 올리브오일, 설탕, 달걀, 식초, 마늘
●조리 방법
1. 옥수수의 알을 발라낸 뒤 옥수수 대를 얇게 썬다.
2. 1에 물을 넣고 믹서기에 갈아 옥수수 물을 만든다.
3. 마늘초절임을 하나씩 떼어낸다.
4. 이베리코 목살에 다진생강, 간장소스를 넣고 버무린다.
5. 얇게 썬 양파, 파프리카에 오리엔탈드레싱을 넣고 팬에 볶는다.
6. 팬에 속을 파낸 고추를 넣고 함께 볶는다.
7. 속을 파낸 불린 오이지를 길게 썬 뒤 짠맛을 뺀다.
8. 참기름을 두른 팬에 오이지, 잘게 썬 대파를 볶는다.
9. 양념된 이베리코 목살을 팬에 볶다가 맛술을 넣는다.
10. 불린 표고버섯을 얇게 썰어 물기를 제거한 뒤 올리브오일을 두른 팬에 굽는다.
11. 볶은 이베리코 목살을 오이지볶음에 섞은 뒤 참깨소스를 넣는다.
12. 옥수수 물에 설탕, 달걀을 넣어 옥수수 반죽을 만든다.
13. 기름을 두른 팬에 옥수수 반죽을 굽는다.
14. 김발에 옥수수전병을 깔고 오이지목살볶음을 올린 뒤 돌돌 만다.
15. 팬에 마늘초절임, 맛술을 넣고 볶는다.
16. 볶은 채소를 잘게 썬다.
17. 옥수수전병말이를 먹기 좋은 크기로 썬다.
18. 팬에 마늘, 맛술, 식초, 설탕을 넣고 볶는다.
19. 접시에 잘게 썬 채소볶음, 옥수수전병말이를 올린다.
20. 마늘볶음을 접시에 올린다.
21. 얇게 썬 대파를 접시에 올린다.</t>
  </si>
  <si>
    <t>&lt;송훈 - 브루클린 바비큐&gt;
● 재료
소 등심, 소 안심, 모닝빵, 쪽파, 양배추, 오이, 파프리카, 파슬리가루, 머스터드, 스리라차소스, 스테이크소스, 닭가슴살 소시지, 고구마큐브, 닭가슴살 큐브, 오이지물김치, 방울토마토, 비파잎, 올리브오일, 라면 수프, 다진 마늘, 간장, 양파, 케첩, 물엿, 식초, 다진 생강, 후추, 설탕, 밀가루, 달걀, 소금, 마요네즈
●조리 방법
1. 볼에 올리브오일, 라면 수프, 파슬리가루를 넣고 섞는다.
2. 비파잎을 잘게 부순 뒤 1에 넣는다.
3. 2에 다진 마늘, 머스터드, 간장을 넣어 양념을 만든다.
4. 소 등심, 소 안심에 올리브오일을 바른다.
5. 4의 소 등심, 소 안심을 돌판에 올려 양념을 발라 굽는다.
6. 팬에 닭가슴살 큐브와 올리브오일을 넣어 굽는다.
7. 6에 잘게 썬 양파, 케첩, 물엿, 식초, 다진 마늘, 다진 생강, 스테이크소스, 후추, 설탕, 파슬리가루를 넣어 소스를 만든다.
8. 꼬치에 닭가슴살 소시지&gt;방울토마토&gt;닭가슴살 큐브&gt;고구마큐브&gt;오이지물김치&gt;닭가슴살 소시지 순으로 꽂은 뒤 돌판에 올려 굽는다.
9. 돌판의 소 안심, 소 등심을 석쇠에 올려 직화한다.
10. 직화한 소 안심과 소 등심을 돌판↔석쇠에 번갈아가며 굽는다.
11. 밀가루, 달걀, 소금을 섞어 반죽을 만든다.
12. 반죽에 밀가루를 뿌린 뒤 T자 모양을 만든다.
13. T자 반죽을 기름에 튀긴다.
14. 스리라차소스, 마요네즈, 소금, 간장, 식초, 물엿을 섞어 샐러드 소스를 만든다.
15. 잘게 썬 양배추에 13의 소스를 버무려 샐러드를 만든다.
16. 얇게 썬 오이, 파프리카를 샐러드 위에 올린다.
17. 돌판에 쪽파를 올린 뒤 양념을 발라 굽는다.
18. 모닝빵을 반으로 썬 뒤 돌판에 올려 굽는다.
19. 튀긴 T자 반죽을 돌판에 올려 굽는다.
20. 돌판에 파프리카를 올려 굽는다.
21. 구운 모닝빵 위에 볶은 소스, 오이지물김치를 올린다.
22. 구운 소 안심과 소 등심을 석쇠에 올려 한 번 더 직화한다.</t>
  </si>
  <si>
    <t>냉장고를 부탁해 시즌 1, 244화</t>
  </si>
  <si>
    <t>&lt;레이먼킴 - 오 나의 소고기님&gt;
● 재료
소 안심, 비파잎, 올리브오일 방울토마토절임, 매실청, 타바스코소스, 방울토마토, 라임, 토닉워터, 파프리카, 슬라이스치즈, 청포도, 아스파라거스, 리코타치즈, 파인애플, 그린올리브, 콩, 모닝빵, 쪽파, 양파, 후추, 소금, 올리브오일, 다진 마늘, 레몬, 청양고추, 달걀
●조리 방법
1. 올리브오일을 두른 팬에 파인애플, 양파, 파프리카를 굽는다.
2. 반으로 자른 모닝빵을 밀대로 얇게 민 뒤 팬에 굽는다.
3. 방울토마토, 아스파라거스, 쪽파를 잘게 썬다.
4. 구운 모닝빵을 접시에 담는다.
5. 소 안심에 후추, 소금, 올리브오일을 바른 뒤 팬에 굽는다.
6. 5에 잘게 썬 아스파라거스, 콩을 넣어 볶는다.
7. 구운 파인애플, 양파, 파프리카를 잘게 썬 뒤 잘게 썬 각종 채소와 함께 담는다.
8. 7에 다진 마늘, 올리브오일 토마토절임즙, 레몬즙. 라임즙, 소금, 청양고추, 올리브오일을 넣어 살사소스를 만든다.
9. 잘게 부순 비파잎을 냄비에 넣어 향을 낸다.
10. 9에 구운 소 안심, 아스파라거스, 콩을 넣어 훈연한다.
11. 청포도를 으깬다.
12. 11에 매실청을 넣은 뒤 체에 밭쳐 즙만 받아낸다.
13. 구운 모닝빵 위에 슬라이스 치즈를 잘게 찢어 올린다.
14. 훈연한 소 안심을 적당한 크기로 썬 뒤 13 위에 올린다.
15. 14 위에 구운 콩, 아스파라거스를 올린다.
16. 팬에 달걀을 올린 뒤 소금으로 간한다.
17. 달걀프라이를 토치로 가열한 뒤 모닝빵 위에 올린다.
18. 17 위에 살사소스, 다진 쪽파, 올리브오일, 소금을 넣는다.
19. 18 위에 리코타치즈를 올린 뒤 후추, 소금, 올리브오일을 뿌린다.
20. 컵에 비파잎, 청포도즙, 토닉워터, 즙을 짜낸 청포도를 넣어 청포도주스를 만든다.</t>
  </si>
  <si>
    <t>&lt;유현수 - 그릇을 부딪치며 단짠짠♬&gt;
● 재료
새우살, 모닝빵, 복숭아, 방울토마토, 오이지물김치, 멸치볶음, 쪽파김치, 쿠키맛 아이스크림, 오이, 공심채, 우동면, 초코과자, 아스파라거스레몬절임, 굴소스, 설탕, 간장, 청양고추, 레몬, 홍고추, 마늘, 맛술, 양파, 올리브오일, 식초, 참기름
●조리 방법
1. 끓는 물에 설탕, 간장, 청양고추, 오이지물김치국물을 넣는다.
2. 1에 새우를 넣어 새우장을 만든다.
3. 새우장을 얼음 위에 올려 식힌다.
4. 복숭아를 잘게 썬다.
5. 복숭아에 설탕을 뿌린 뒤 오븐에 굽는다.
6. 핸드블렌더에 설탕을 넣고 레몬 껍질을 갈아 넣는다.
7. 6에 아스파라거스레몬절임의 레몬을 넣고 갈아 레몬커드를 만든다.
8. 레몬커드를 계속 저으며 중탕한다.
9. 밀대로 모닝빵을 얇게 민다.
10. 9에 쿠키맛 아이스크림을 넣어 적신다.
11. 쪽파김치를 물에 씻은 뒤 석쇠에 올려 토치로 직화하며 굽는다.
12. 핸드블렌더에 멸치볶음을 넣고 간다.
13. 핸드블렌더에 마늘, 홍고추를 넣고 간다.
14. 13과 간 멸치볶음을 기름을 두른 팬에 넣고 볶는다.
15. 14에 아스파라거스 레몬절임, 맛술을 넣는다.
16. 레몬커드에 레몬즙, 버터를 넣는다.
17. 양파를 얇게 썰어 볶던 팬에 넣는다.
18. 오이의 껍질을 얇게 벗긴다.
19. 볶던 재료에 올리브오일을 뿌린다.
20. 19에 채 썬 오이껍질, 공심채를 넣는다.
21. 20에 방울토마토를 넣는다.
22. 끓는 물에 우동면을 삶는다.
24. 구운 복숭아를 토치로 직화한다.
25. 구운 쪽파김치를 잘게 썬 뒤 볶던 재료에 넣는다.
26. 볶던 재료에 삶은 우동면, 식초, 굴소스를 넣는다.
27. 초코과자를 밀대로 민 뒤 아이스크림에 적신 모닝빵을 잘라 넣는다.
28. 27에 직화한 복숭아, 레몬커드를 올린다.
29. 볶음면 위에 새우장을 올린다.
30. 29에 참기름을 뿌린다.</t>
  </si>
  <si>
    <t>&lt;김풍 - 오징어가 왜 그럴까&gt;
● 재료
반건조 오징어, 청포도, 방울토마토, 방울토마토 매실절임, 파프리카, 복숭아, 스리라차소스, 굴소스, 새우살, 새싹보리분말, 공심채, 타바스코소스, 베트남고추, 대파, 고춧가루, 달걀, 전분, 밀가루, 다진 마늘, 맛술
● 조리 방법
1. 파프리카를 토치로 직화한다.
2. 끓는 기름에 대파, 고춧가루, 베트남고추를 넣어 고추기름을 낸다.
3. 달걀, 전분, 밀가루를 섞어 달걀 반죽을 만든다.
4. 새싹보리분말, 전분, 밀가루를 섞어 새싹보리 반죽을 만든다.
5. 반죽이 잘 섞이게 저어준다..
6. 달걀 반죽을 체에 밭쳐 곱게 거른다.
7. 팬에 달걀 반죽을 부친다.
8. 고추기름을 체에 거르며 깨가 담긴 그릇에 담는다.
9. 새싹보리 반죽을 체에 밭쳐 곱게 거른 뒤 팬에 올려 부친다.
10. 방울토마토 매실절임에 타바스코소스, 스리라차소스를 넣는다.
11. 10에 복숭아, 다진 마늘, 굴소스를 넣고 믹서기로 간다.
12. 불린 반건조 오징어의 껍질을 제거한다.
13. 부친 달걀 반죽과 새싹보리 반죽을 여러 겹으로 접은 뒤 얇게 썰어 면을 만든다.
14. 반건조 오징어를 잘게 썬다.
15. 반건조 오징어에 맛술, 물을 넣는다.
16. 공심채를 적당한 크기로 썬 뒤 끓는 물에 데친다.
17. 데친 공심채를 얼음물에 식힌다.
18. 부친 면이 담긴 그릇에 얇게 썬 오이, 공심채, 반건조 오징어, 양념, 고추기름을 넣는다.
19. 18에 데친 새우살을 올린다.</t>
  </si>
  <si>
    <t>&lt;샘킴 - 삼치바라기&gt;
●재료
삼치, 깻잎, 파르메산 치즈, 양상추, 살라미, 바질페스토, 우유, 맛간장, 올리브오일, 달걀, 다진마늘, 고추, 후추, 레몬, 버터, 밀가루, 대파, 전분, 설탕, 마늘, 소금
●조리 방법
1. 삼치를 손질해 몸통 살만 분리해낸다.
2. 올리브오일을 두른 팬에 고추를 굽는다.
3. 끓는 물에 달걀을 삶는다.
4. 다진마늘, 올리브오일에 버무려 재운 삼치 살을 고추를 굽던 팬에 함께 굽는다.
5. 구운 삼치 살에 후추로 간한다.
6. 볼에 레몬즙, 올리브오일을 넣은 뒤 삼치 살을 얇게 슬라이스한다.
7. 슬라이스한 삼치 살을 레몬즙, 올리브오일에 재운다.
8. 냄비에 버터, 밀가루, 우유를 넣고 끓여 루를 만든다.
9. 파르메산 치즈를 갈아준다.
10. 루에 파르메산 치즈가루를 넣고 섞는다.
11. 핸드블렌더에 깻잎, 바질페스토, 올리브오일을 넣고 간다.
12. 바질 소스에 바질페스토를 추가로 넣는다.
13. 얇게 썬 대파에 전분을 묻힌 뒤 끓는 기름에 튀긴다.
14. 볼에 올리브오일, 레몬, 설탕을 넣고 양상추를 버무린 뒤 후추로 간한다.
15. 올리브오일을 두른 팬에 얇게 썬 살라미를 굽는다.
16. 삶은 달걀의 껍데기를 벗긴다.
17. 올리브오일을 두른 팬에 얇게 썬 마늘, 레몬즙을 넣고 볶는다.
18. 삼치 살에 소금, 후추로 간한다.
19. 올리브오일을 두른 팬에 삼치 살을 굽는다.
20. 바질 소스에 삶은 달걀을 넣고 섞는다.
21. 구운 고추를 잘게 다진 뒤 맛간장, 올리브오일, 레몬즙을 넣는다.
22. 올리브오일을 두른 팬에 양상추를 굽는다.
23. 파르메산 치즈가루를 두른 팬에 양상추를 묻힌 뒤 파르메산 치즈가루를 뿌려 굽는다.
24. 삼치 카르파초를 접시에 담은 뒤 고추소스, 튀긴 대파를 올려 후추를 뿌린다.
25. 접시에 구운 양상추, 삼치스테이크를 담는다.
26. 접시에 바질 소스를 올린다.
27. 접시에 볶은 마늘을 함께 올린다.
28. 삼치 카르파초에 루를 올린다.</t>
  </si>
  <si>
    <t>냉장고를 부탁해 시즌 1, 245화</t>
  </si>
  <si>
    <t>&lt; 이연복 -삼치세끼 &gt;
● 재료
삼치, 배, 맛간장, 꿀, 멸치액젓, 전복, 마, 양배추, 양상추, 표고버섯, 소금, 후추, 마늘, 대파, 고춧가루
●조리 방법
1. 끓는 물에 전복을 데친다.
2. 삼치의 머리를 제거한다.
3. 삼치를 손질해 몸통 살만 분리해낸다.
4. 삼치 살에 소금, 후추로 간한다.
5. 기름을 두른 팬에 마늘을 튀긴다.
6. 끓는 물에 멸치액젓, 꿀, 맛간장을 넣고 조린다.
7. 데친 전복을 물에 씻어 내장을 제거한다.
8. 전복에 칼집을 낸 뒤 조림소스에 넣는다.
9. 표고버섯을 조림소스에 넣는다.
10. 먹기 좋은 크기로 썬 마를 조림소스에 넣는다.
11. 튀긴 마늘을 체에 밭쳐 건져낸다.
12. 마늘 기름에 삼치 살을 굽는다.
13. 강판에 배를 간다.
14. 끓는 기름에 대파, 고춧가루를 넣어 고추기름을 낸다.
15. 강판에 간 배를 팬에 끓인 뒤 조림소스를 넣고 조린다.
16. 찜기에 구운 삼치 살을 올린 뒤 튀긴 마늘을 넣어 훈연한다.
17. 기름을 두른 팬에 양상추, 양배추를 볶은 뒤 소금으로 간한다.
18. 전복 껍데기에 조린 전복을 올린 뒤 접시에 담는다.
19. 대파 흰 부분을 어슷하게 채 썬다.
20. 접시에 조림소스를 담는다.
21. 접시에 훈연한 삼치 살을 담는다.
22. 접시에 볶은 양배추, 양상추를 올린다.
23. 접시에 채 썬 대파를 올린 뒤 조림소스를 뿌려준다.</t>
  </si>
  <si>
    <t>&lt;정호영 -매일 메밀 기다려♬&gt;
●재료
메밀면, 참다랑어, 은어, 전복, 오이, 양상추, 마, 김, 깻잎, 맛간장, 무, 마요네즈, 밀가루, 달걀, 고추냉이, 레몬
●조리방법
1. 참다랑어를 손질해 뱃살만 분리해낸다.
2. 참다랑어 뱃살을 석쇠에 올려 굽는다.
3. 끓는 물에 전복을 데친다.
4. 은어를 손질해 은어 살만 분리해낸다.
5. 끓는 물에 메밀 면을 삶는다.
6. 밀가루에 물을 섞어 튀김반죽을 만든 뒤 은어 살에 묻혀 기름에 튀긴다.
7. 구운 참다랑어 뱃살을 얼음물에 식힌다.
8. 기름을 두른 팬에 달걀물을 부어 달걀말이를 만든다.
9. 마, 양상추를 얇게 썬다.
10. 오이, 무를 채 썰고, 나머지 오이, 무를 강판에 간다.
11. 강판에 간 오이, 무를 섞은 뒤, 채 썬 오이, 무를 물에 씻어낸다.
12. 참다랑어 뱃살의 물기를 제거한 뒤 먹기 좋은 크기로 썬다.
13. 마요네즈에 고추냉이를 섞어준다.
14. 삶은 메밀면을 건져낸 뒤 얼음물에 넣어 식힌다.
15. 깻잎을 얇게 썬다.
16. 데친 전복을 물에 씻어 내장을 제거한 뒤 먹기 좋은 크기로 썰어 얼음물에 식힌다.
17. 김발 위에 김을 올린다.
18. 얼음물에 식힌 메밀면을 건져낸 뒤 물기를 뺀다.
19. 김 위에 메밀면, 얇게 썬 깻잎, 구운 참다랑어 뱃살을 올린다.
20. 그 위에 마요네즈 소스를 올린다.
21. 얇게 썬 마, 양상추, 마, 오이를 올린다.
22. 맛간장에 레몬즙을 섞어 간장소스를 만든다.
23. 김 위에 튀긴 은어, 달걀말이를 올린 뒤 돌돌 말아준다.
24. 강판에 간 오이, 무를 종지에 담는다.
25. 랩 위에 메밀 롤을 올린 뒤 돌돌 말아준다.
26. 간장소스를 오이, 무가 담긴 종지에 넣는다.
27. 먹기 좋은 크기로 썬 메밀 롤의 랩을 벗긴 뒤 접시에 담는다.</t>
  </si>
  <si>
    <t>&lt; 오세득 - 메밀면 필 무렵 &gt;
● 재료
메밀면, 참다랑어, 살치살, 전복, 표고버섯, 맛간장, 로메인, 양배추, 양상추, 김, 불린 먹태, 파르메산 치즈가루, 마요네즈, 대파, 마늘, 올리브오일, 고춧가루, 양파, 청양고추, 홍고추, 설탕, 간장, 다진마늘, 참기름, 후추, 레몬, 소금
● 조리 방법
1. 끓는 기름에 대파, 으깬 마늘을 넣는다.
2. 올리브오일을 두른 팬에 마늘을 넣고 볶는다.
3. 끓는 기름에 고춧가루를 넣어 고추기름을 낸다.
4. 지퍼백에 살치살을 넣은 뒤 고기망치로 두드린다.
5. 먹기 좋은 크기로 썬 살치살을 볼에 담는다.
6. 양파, 청양고추, 홍고추, 대파, 표고버섯을 썬 뒤 볼에 함께 넣는다.
7. 마늘기름을 볼에 담은 뒤, 고추기름을 체에 밭쳐 건더기를 걸러낸다.
8. 기름을 두른 팬에 양배추를 볶는다.
9. 설탕, 맛간장, 간장, 다진마늘, 참기름, 후추를 섞어 양념을 만든 뒤 살치살을 무친다.
10. 끓는 물에 메밀면을 삶는다.
11. 전복에 뜨거운 물을 부어 데친 뒤 물에 씻어 내장을 제거한다.
12. 기름을 두른 팬에 양념된 살치살을 넣은 뒤, 얇게 썬 전복을 넣어 볶는다.
13. 볶던 팬에 먹태 불린 물을 조금 넣어준다.
14. 볼에 맛간장, 마요네즈, 설탕, 레몬즙, 다진 양파를 넣어 드레싱을 만든다.
15. 삶은 메밀면을 건져낸 뒤 얼음물에 식힌다.
16. 참다랑어를 손질해 등살만 분리해낸다.
17. 참다랑어 등살에 올리브오일, 소금을 뿌린 뒤 팬에 굽는다.
18. 볶은 마늘기름을 팬에 넣은 뒤 물기를 제거한 메밀면을 넣고 볶는다.
19. 메밀파스타에 맛간장, 소금으로 간한 뒤 접시에 담는다.
20. 메밀파스타에 김가루를 뿌려준다.
21. 샐러드 드레싱에 메밀면을 넣는다.
22. 볶던 재료에 로메인, 양배추를 넣고 볶는다.
23. 메밀 샐러드에 채 썬 양상추, 파르메산 치즈가루를 넣는다.
24. 메밀 샐러드를 접시에 담는다.
25. 소금으로 간 한 메밀 파스타를 접시에 담은 뒤 고추기름을 뿌려준다.
26. 메밀파스타에 간장소스를 뿌려준다.
27. 구운 참다랑어 뱃살을 메밀 샐러드에 올린 뒤 파르메산 치즈가루, 레몬즙을 뿌려준다.</t>
  </si>
  <si>
    <t>&lt;샘킴 - 내가 공주라니!&gt;
●재료
채끝살, 강황가루, 고구마, 블루베리, 요거트, 돈가스소스, 식빵, 굴소스, 게맛살, 애호박, 단호박, 밀가루, 달걀, 올리브오일, 소금, 마요네즈
●조리방법
1. 핸드블렌더에 밀가루, 달걀, 강황가루를 넣고 갈아 라비올리 반죽을 만든다.
2. 볼에 씨를 파낸 단호박, 물을 넣고 랩을 씌워 전자레인지에 돌린다.
3. 핸드블렌더에 채끝살을 넣고 갈아 고기 완자를 만든다. 4. 핸드블렌더에 블루베리를 넣고 간다.
5. 건더기를 걸러낸 블루베리 소스를 끓인 뒤 요거트를 섞어 블루베리 요거트 소스를 만든다.
6. 올리브오일을 두른 팬에 애호박 껍질을 넣고 소금으로 간한다.
7. 간한 애호박을 핸드블렌더에 넣고 갈아 초록색소스를 만든다.
8. 게맛살을 얇게 찢는다.
9. 얇게 찢은 게맛살에 마요네즈를 섞는다.
10. 식빵을 원형틀로 찍어낸다.
11. 원형틀에 찍어낸 식빵을 올리브오일을 두른 팬에 굽는다.
12. 밀가루 위에 라비올리 반죽을 올린 뒤 밀대로 넓게 민다.
13. 라비올리 반죽을 직사각형 모양으로 썬다.
14. 동그랗게 뭉친 고기 완자를 올리브오일을 두른 팬에 굽는다.
15. 전자레인지에 익힌 단호박의 속을 파낸다.
16. 라비올리 반죽에 고구마를 넣은 뒤 사탕모양으로 빚는다.
17. 라비올리를 체에 밭쳐 데친다. 18. 데친 라비올리를 기름을 두른 팬에 굽는다.
19. 구운 식빵 위에 잘게 찢은 게맛살을 올린다.
20. 구운 식빵 위에 고기완자도 올린다.
21. 굴소스, 돈가스소스, 마요네즈를 섞어 갈색소스를 만든다.
22. 접시에 라비올리를 올린 뒤 갈색소스, 블루베리 요거트 소스를 뿌려준다.
23. 접시에 단호박을 올린 뒤 초록색소스, 블루베리소스를 뿌려준다.</t>
  </si>
  <si>
    <t>냉장고를 부탁해 시즌 1, 246화</t>
  </si>
  <si>
    <t>&lt;레이먼킴 - 라니공주와 올라프&gt;
●재료
채끝살, 치킨너깃, 다진 새우버섯볶음, 슬라이스치즈, 김, 육포, 즉석밥, 깨, 소금, 달걀, 밀가루, 올리브오일, 참기름, 당근
●조리 방법
1. 즉석밥을 전자레인지에 돌린다.
2. 깨를 절구에 곱게 빻는다.
3. 핸드블렌더에 채끝살, 다진 새우버섯볶음, 치킨너깃에 넣고 간다.
4. 3에 소금으로 간한 뒤 밀가루, 달걀노른자를 넣는다.
5. 고기완자를 한입 크기로 떼어 동그랗게 뭉친 뒤 올리브오일을 두른 팬에 굽는다.
6. 김을 잘라 올라프의 눈동자, 눈썹, 입, 단추를 만든다.
7. 슬라이스치즈로 눈을 만들고 그 위에 김으로 만든 눈동자를 올린다. 8. 즉석밥에 소금, 곱게 빻은 깨, 참기름으로 간한다.
9. 육포를 잘라 올라프의 팔을 만든다.
10. 양념한 밥에 고기완자를 넣어 올라프 모양을 만든다.
11. 김으로 만든 올라프의 입을 붙인다.
12. 올라프의 눈을 붙인 뒤 육포로 만든 팔을 꽂는다.
13. 당근을 깎아 올라프 코를 만든다.
14. 접시에 고기완자와 고기완자가 들어간 주먹밥을 담는다.
15. 올라프에 김으로 만든 단추를 붙인다.</t>
  </si>
  <si>
    <t>&lt; 정호영 - 문어 입떡 &gt;
● 재료
문어, 만두, 자숙새우, 애호박, 김, 굴소스, 어묵, 가래떡, 삶은 달걀, 쌀국수면, 디포리, 참깨, 볶음고추장, 대파, 양파, 청주, 고춧가루, 물엿, 다진마늘, 간장, 전분, 고추, 후추
● 조리 방법
1. 끓는 물에 디포리를 넣어 육수를 낸다.
2. 디포리 육수에 대파, 양파를 넣는다.
3. 육수에 문어를 넣고 살짝 데친다.
4. 데친 문어를 고기망치로 두드린다.
5. 압력솥에 데친 문어를 넣는다.
6. 압력솥에 청주를 넣은 뒤 뚜껑을 닫고 끓인다.
7. 팬에 육수, 볶음고추장, 고춧가루, 물엿, 다진마늘, 굴소스을 넣고 끓여 떡볶이 양념을 만든다.
8. 떡볶이 양념에 간장을 넣는다.
9. 자숙새우를 먹기 좋은 크기로 썬다.
10. 애호박을 썬다.
11. 핸드블렌더에 만두소를 넣는다.
12. 핸드블랜더에 애호박을 추가해 김말이 속을 만든다.
13. 김말이 속에 자숙새우를 넣고 섞는다.
14. 직사각형으로 김을 자른 뒤 김말이 속, 쌀국수면을 넣고 돌돌 말아준다.
15. 떡볶이 양념에 가래떡, 대파를 넣고 끓인다.
16. 가래떡을 기름에 튀긴다.
17. 전분에 물을 섞어 튀김 반죽을 만든 뒤 김말이에 묻혀 기름에 튀긴다.
18. 가래떡 튀김을 건져낸다.
19. 김말이를 건져낸다.
20. 떡볶이에 어묵, 고추, 삶은 달걀을 넣은 뒤 후추로 간한다.
21. 압력솥에 삶은 문어를 전분에 묻혀 끓는 물에 한 번 더 데친다.
22. 데친 문어를 얼음물에 식힌 뒤 떡볶이에 넣고 끓인다.
23. 떡볶이에 전분물을 넣는다.
24. 그릇에 가래떡 튀김, 떡볶이를 담은 뒤 김말이를 올린다.</t>
  </si>
  <si>
    <t xml:space="preserve">&lt; 유현수 - 문어밖에 난 몰라♬ &gt;
● 재료
문어, 채끝살, 무, 병아리콩, 매실고추장장아찌, 소면, 미역, 가리비, 애호박, 잣, 단호박, 불린 표고버섯, 양파장아찌, 초고추장, 밀가루, 올리브오일, 간장, 설탕, 양파, 레몬, 대파, 참기름, 청양고추
●조리 방법
1. 끓는 물에 문어를 넣어 살짝 데친다.
2. 끓는 물에 무를 넣고 문어를 다시 익힌다.
3. 데친 문어를 얼음물에 식힌다.
4. 핸드블렌더에 불린 표고버섯을 넣는다.
5. 핸드블렌더에 데친 문어를 넣고 간다.
6. 핸드블랜더에 병아리콩을 추가한다.
7. 6에 채끝살도 넣고 함께 간다.
8. 떡갈비 반죽에 밀가루를 섞는다.
9. 밀가루를 묻힌 문어머리 속에 떡갈비 반죽을 넣는다.
10. 문어머리 끝을 자른 뒤 올리브오일을 두른 팬에 굽는다.
11. 문어떡갈비를 굽던 팬에 애호박슬라이스, 단호박을 같이 굽는다.
12. 냄비에 양파장아찌 국물, 간장, 설탕을 넣고 끓인다.
13. 볼에 잘게 다진 매실고추장장아찌, 초고추장, 양파를 넣어 비빔면 소스를 만든다.
14. 비빔면 소스에 레몬즙, 잣을 넣는다.
15. 문어를 데친 물에 소면을 삶는다.
16. 석쇠 사이에 대파를 넣은 뒤 석쇠 위에 문어를 올려 굽는다.
17. 구운 단호박, 애호박을 석쇠 위에 올려 같이 굽는다.
18. 삶은 면을 건져낸다.
19. 지퍼백에 문어를 넣은 뒤 밀대로 두드린다.
20. 문어 떡갈비를 볼에 담은 뒤 전자레인지에 돌린다.
21. 삶은 면을 얼음물에 넣어 식힌 뒤 비빔면 소스에 넣는다.
22. 잘게 다진 미역, 문어를 팬에 넣고 볶다가 참기름을 넣는다.
23. 얇게 썬 청양고추를 비빔면에 넣는다.
24. 접시에 비빔면을 담는다.
25. 접시에 볶은 미역, 문어, 구운 애호박을 올린다.
26. 끓는 물에 가리비를 데친 뒤 가리비 살을 접시에 올린다.
27. 전자레인지에 돌린 문어떡갈비를 먹기 좋은 크기로 썰어 접시에 올린다.
28. 접시에 가리비 껍데기를 올려 플레이팅한다.
</t>
  </si>
  <si>
    <t>&lt;송훈 - 수상한 튀김&gt;
● 재료
근대, 쌈장, 밤조림, 새우장, 송이버섯, 쌈장, 청사과, 김, 제육불고기, 맥주, 어묵, 무김치, 매실액, 즉석밥, 청주, 식초, 참기름, 참깨, 밀가루, 전분, 튀김가루, 올리브오일, 청양고추, 양파
● 조리방법
1. 전자레인지에 즉석밥을 넣고 돌린다.
2. 팬에 새우장 국물, 길게 썬 무, 매실액, 청주, 식초를 넣어 조린다.
3. 청사과의 껍질을 벗긴다.
4. 데운 즉석밥에 참기름, 참깨, 쌈장을 넣고 섞은 뒤 식혀준다.
5. 믹서기에 청사과, 밤조림, 쌈장, 매실액을 넣어 소스를 만든다.
6. 5에 물을 넣는다.
7. 밀가루, 전분, 맥주, 튀김가루를 섞어 튀김옷을 만든다.
8. 적당한 크기로 썬 어묵을 튀김옷에 넣는다.
9. 8을 기름에 넣고 튀겨 어묵튀김을 만든다.
10. 올리브 오일을 두른 팬에 제육불고기를 굽는다.
11. 잘게 썬 청양고추를 10에 넣는다.
12. 김 위에 쌈장밥, 근대, 어묵튀김, 제육불고기를 올린다.
13. 12 위에 쌈장, 무김치를 올린 뒤 말아준다.
14. 적당한 크기로 썬 김밥에 튀김옷을 묻힌 뒤 기름에 튀긴다.
15. 김밥튀김을 체에 밭쳐 건져낸다.
16. 무조림을 체에 밭쳐 건져낸 뒤 밀가루를 묻힌다.
17. 16과 새우장의 새우에 튀김옷을 묻혀 기름에 튀긴다.
18. 근대를 원형틀로 찍어낸다.
19. 잘게 썬 양파, 청양고추를 무조림을 건져낸 국물에 넣어 양념장을 만든다.
20. 김밥튀김, 무조림튀김, 새우장튀김을 기름에 한 번 더 튀긴다.
21. 접시에 소스, 김밥튀김, 근대, 무조림튀김, 새우장튀김을 올린다.
22. 송이버섯을 적당한 크기로 썬 뒤 21에 올린다.</t>
  </si>
  <si>
    <t>냉장고를 부탁해 시즌 1, 247화</t>
  </si>
  <si>
    <t>&lt;이연복 - 튀김의 신&gt;
● 재료
돼지 목살, 소 등심, 송이버섯, 배추김치, 애호박, 양배추, 짜장라면 수프, 아이용 간장, 밀가루, 소금, 다진 생강, 올리브오일, 대파, 후추, 전분, 달걀, 식용유, 청양고추, 식초, 참기름, 고춧가루
● 조리 방법
1. 핸드블렌더에 밀가루, 소금, 뜨거운 물을 넣고 익반죽해 만두피 반죽을 만든다.
2. 적당한 크기로 썬 돼지 목살과 소 등심, 짜장라면 수프, 다진 생강, 올리브 오일을 핸드블렌더에 넣고 갈아 짜장 만두소를 만든다.
3. 잘게 썬 애호박, 양배추, 대파를 2에 넣는다.
4. 소 등심을 적당한 크기로 썬 뒤 소금, 후추로 밑간한다.
5. 송이버섯의 머리 부분은 잘게 썰고 기둥 부분은 길게 썬다.
6. 밀가루, 전분, 물, 달걀, 식용유를 넣고 섞어 튀김옷을 만든다.
7. 튀김옷에 잘게 썬 송이버섯을 넣는다.
8. 만두피 반죽을 적당한 크기로 떼어낸 뒤 밀대로 밀어 만두피를 만든다.
9. 만두피에 짜장 만두소를 넣어 짜장만두를 만든다.
10. 짜장만두를 기름에 넣고 튀긴다.
11. 배추김치 위에 소 등심, 송이버섯을 넣고 말아준 뒤 밀가루&gt;튀김옷을 묻힌다.
12. 11을 기름에 넣고 튀겨 김치말이튀김을 만든다.
13. 아이용 간장, 고춧가루, 식초, 참기름에 잘게 썬 청양고추와 대파를 넣어 양념장을 만든다.
14. 김치말이튀김을 적당한 크기로 썬다.</t>
  </si>
  <si>
    <t>&lt;오세득 - 맵지호?&gt;
● 재료
대패삼겹살, 표고버섯, 송이버섯, 낙지젓, 마른오징어, 애호박, 양배추, 콩나물, 새우가루, 게맛살, 브로콜리, 새우장, 홍고추, 청양고추, 밀가루 강력분, 밀가루 중력분, 양파, 고춧가루, 다진 마늘, 간장, 맛술
●조리방법
1. 대패삼겹살을 굽는다.
2. 석쇠에 홍고추, 청양고추를 올려 토치로 직화한다.
3. 핸드블렌더에 밀가루 강력분, 중력분, 뜨거운 물을 넣고 갈아 면 반죽을 만든 뒤 손으로 치댄다.
4. 적당한 크기로 썬 브로콜리를 뜨거운 물에 데친 뒤 표고버섯, 송이버섯, 잘게 썬 양배추, 양파와 함께 담아둔다.
5. 고춧가루, 다진 마늘, 간장, 맛술을 섞는다.
6. 5에 새우장의 새우, 뜨거운 기름을 넣어 양념장을 만든다.
7. 끓는 물에 콩나물을 넣어 삶는다.
8. 직화한 홍고추와 청양고추를 잘게 썰어 양념장에 넣는다.
9. 양념장에 잘게 썬 청양고추, 새우가루를 넣는다.
10. 불린 마른 오징어의 껍질을 벗긴다.
11. 10을 잘게 썬다.
12. 양념장에 11과 게맛살을 넣는다.
13. 밀가루 위에 면 반죽을 올린 뒤 밀대로 넓게 민다.
14. 면 반죽을 여러 겹으로 접은 뒤 적당한 크기로 썰어 끓는 물에 넣고 삶는다.
15. 달군 팬에 각종 채소, 구운 대패삼겹살을 넣고 볶는다.
16. 팬에 양념장을 넣는다.
17. 16에 낙지젓을 넣고 볶는다.
18. 청양고추를 잘게 썬다.
19. 삶은 면을 건져낸 뒤 얼음물에 헹군다.
20. 볶던 양념에 콩나물, 새우장의 새우, 면을 넣어 볶는다.
21. 볶음면 위에 잘게 썬 청양고추를 올린다.</t>
  </si>
  <si>
    <t>&lt;김풍 - 매워서 놀라지 마라&gt;
● 재료
국거리용 소고기, 대패삼겹살, 양송이버섯, 표고버섯, 방울토마토, 콩나물, 된장, 옥수수, 게맛살, 스리라차소스, 핫소스, 건새우, 무, 대파, 청양고추, 마늘, 고춧가루, 버터, 다진 생강, 전분, 밀가루, 식용유
●조리방법
1. 압력솥의 끓는 물에 옥수수, 대파, 국거리용 소고기, 청양고추, 마늘, 표고버섯, 건새우를 넣어 육수를 낸다.
2. 핸드블렌더에 된장, 마늘, 스리라차소스, 핫소스, 고춧가루를 넣고 갈아 된장 소스를 만든다.
3. 기름을 두른 팬에 버터를 넣는다.
4. 으깬 마늘을 버터를 넣은 팬에 넣는다.
5. 4에 다진 생강을 넣는다.
6. 5에 된장 소스를 넣고 끓인다.
7. 핸드블렌더에 전분, 밀가루를 넣는다.
8. 7에 물, 식용유를 넣고 갈아 면 반죽을 만든 뒤 손으로 치댄다.
9. 된장 소스에 대패삼겹살, 방울토마토, 표고버섯, 고춧가루, 게맛살을 넣어 마라 양념을 만든다.
10. 밀가루 위에 면 반죽을 올린 뒤 밀대로 넓게 민다.
11. 면 반죽을 여러 겹으로 접은 뒤 얇게 썬다.
12. 압력솥의 김을 뺀다.
13. 데친 콩나물, 양송이버섯, 압력솥의 육수를 마라 양념에 넣어 마라탕을 만든다.
14. 13에 육수의 국거리용 소고기, 소금을 넣는다.
15. 끓는 물에 면을 넣어 삶는다.
16. 청양고추를 잘게 썰어 마라탕에 넣는다.
17. 16에 잘게 썬 청양고추, 고춧가루를 넣는다.
18. 삶은 면을 건져낸 뒤 얼음물에 넣어 식힌다.</t>
  </si>
  <si>
    <t>&lt;정호영 - 알 Killer♬&gt;
● 재료
열빙어, 명란젓, 날치알, 소등심, 킹크랩, 두반장, 굴소스, 라이스페이퍼, 마라소스, 대파, 고춧가루, 식용유, 마늘, 밀가루, 양파, 설탕, 맛술, 전분
●조리방법
1. 끓는 기름에 대파, 고춧가루를 넣어 고추기름을 낸다.
2. 핸드블렌더에 소등심, 마늘, 대파를 넣고 간다.
3. 라이스페이퍼를 잘게 찢는다.
4. 열빙어의 머리, 꼬리 부분을 자른다.
5. 밀가루, 물을 섞어 튀김반죽을 만든다.
6. 킹크랩 살을 발라낸다.
7. 열빙어, 킹크랩 살을 밀가루에 묻힌다.
8. 튀김반죽에 날치알, 명란젓을 섞는다.
9. 열빙어, 킹크랩을 튀김반죽 ? 라이스페이퍼 순으로 묻혀 기름에 튀긴다.
10. 고추기름을 체에 밭쳐 건더기를 걸러낸다.
11. 기름을 두른 팬에 양파, 고추기름, 간 고기, 굴소스를 넣고 볶는다.
12. 팬에 두반장, 설탕, 맛술을 넣고 끓인다.
13. 팬에 마라소스를 추가해 끓인다.
14. 열빙어 튀김, 킹크랩 튀김을 체에 올려 기름기를 뺀다.
15. 라이스페이퍼를 기름에 튀긴다.
16. 마라소스에 전분물을 넣고 끓인다.
17. 열빙어 튀김, 킹크랩 튀김을 다시 한 번 기름에 튀긴다.
18. 두 번 튀긴 열빙어 튀김, 킹크랩 튀김을 체에 올려 기름기를 뺀다.
19. 접시에 튀긴 라이스페이퍼와 열빙어 튀김, 킹크랩 튀김을 올린다.
20. 튀김 위에 마라소스를 올린다.</t>
  </si>
  <si>
    <t>냉장고를 부탁해 시즌 1, 248화</t>
  </si>
  <si>
    <t>&lt;레이먼킴 - 비주알 센터&gt;
● 재료
열빙어, 명란젓, 날치알, 파프리카가루, 파슬리가루, 잣, 고추장아찌, 깻잎, 아스파라거스, 라이스페이퍼, 요거트, 말린 귤껍질, 식용유, 홍고추, 올리브오일, 소금, 후추, 레몬, 청양고추, 마요네즈
●조리방법
1. 끓는 기름에 라이스페이퍼를 튀긴다.
2. 잣을 절구에 곱게 빻는다.
3. 아스파라거스, 홍고추에 올리브오일을 뿌린다.
4. 3과 열빙어에 소금, 후추, 레몬즙을 뿌린 뒤 레몬과 함께 팬에 굽는다.
5. 볼에 명란젓, 청양고추, 마요네즈를 넣은 뒤 곱게 빻은 잣, 요거트를 섞어 명란 잣 소스를 만든다.
6. 굽던 열빙어에 파프리카가루를 뿌려준다.
7. 찜기에 열빙어, 레몬을 올린 뒤 말린 귤껍질을 넣어 훈연한다.
8. 레몬을 반 잘라 팬에 굽는다.
9. 고추장아찌를 잘게 다진다.
10. 물에 불린 라이스페이퍼 위에 깻잎, 구운 아스파라거스, 홍고추, 다진 고추장아찌를 올린다.
11. 튀긴 라이스페이퍼를 잘게 부순다.
12. 라이스페이퍼 위에 잘게 부순 라이스페이퍼를 올린다. 13. 훈연한 열빙어의 머리, 꼬리 부분을 자른 뒤 라이스페이퍼 위에 올려 돌돌 만다.
14. 잘게 부순 튀긴 라이스페이퍼에 파슬리가루, 날치알을 섞은 뒤 월남쌈에 묻힌다.
15. 월남쌈에 올리브오일을 묻힌 뒤, 튀긴 라이스페이퍼를 접시에 올린다.
16. 월남쌈을 튀긴 라이스페이퍼 위에 올린 뒤 파슬리가루를 뿌린다.
17. 구운 레몬을 접시에 담는다.
18. 얇게 썬 홍고추를 명란 잣 소스 위에 올린다.</t>
  </si>
  <si>
    <t xml:space="preserve">&lt;유현수 - 닭살돋자냐♡&gt;
● 재료
토종닭, 닭 모래주머니, 깻잎, 애호박, 스트링 치즈, 볶음고추장, 흰 목이버섯, 가래떡, 얼갈이배추, 소금, 후추, 올리브오일, 양파, 대파, 청양고추, 홍고추, 다진마늘, 고춧가루, 설탕, 물엿, 전분
●조리방법
1. 애호박을 3등분해서 찜기에 흰 목이버섯과 함께 찐다.
2. 토종닭을 해체해 다리, 가슴 부위를 발골 한다.
3. 닭고기 살에 소금, 후추로 간한 뒤 올리브오일을 두른 팬에 냄비로 눌러 굽는다.
4. 올리브오일을 두른 팬에 애호박 슬라이스를 넣고 굽는다.
5. 닭 모래주머니, 양파, 대파, 청양고추, 홍고추를 썬 뒤 팬에 넣어 볶는다.
6. 팬에 먹기 좋은 크기로 썬 가래떡을 넣고 볶는다.
7. 얼갈이배추를 넣고 볶는다.
8. 다진마늘을 넣고 볶는다.
9. 볶던 재료에 깻잎, 뜨거운 물을 넣는다.
10. 찐 애호박의 속을 파낸다.
11. 라자냐 소스에 소금, 후추, 고춧가루, 설탕, 볶음고추장, 물엿을 넣고 끓인다.
12. 얇게 썬 애호박, 전분물, 얇게 썬 청양고추를 라자냐 소스에 넣는다.
13. 라자냐 소스를 그릇에 담은 뒤 스트링치즈를 올린다.
14. 스트링치즈를 올린 라자냐 소스를 오븐에 굽는다.
15. 속을 파낸 애호박에 애호박 뚜껑을 덮은 뒤 하트 모양의 깻잎을 올린다.
16. 구운 애호박 슬라이스를 잘게 썬다.
17. 구운 닭갈비의 가운데를 원형틀로 찍어낸 뒤 한 번 더 굽는다.
18. 오븐에 구운 라자냐 소스 위에 닭갈비를 올린 뒤 애호박을 가운데에 넣는다.
19. 잘게 썬 애호박, 찐 흰 목이버섯을 그릇에 올린다.
</t>
  </si>
  <si>
    <t>&lt;김풍 - 닭파라치♬&gt;
● 재료
토종닭, 말린 귤껍질, 삼발소스, 피넛소스, 파프리카 가루, 호박잎, 얼갈이배추, 잣, 밀가루, 식용유, 청양고추, 홍고추, 다진마늘, 레몬, 설탕, 후추
●조리방법
1. 토종닭을 해체해 다리 부위를 발골 한다.
2. 닭다리살을 하트 모양으로 만든다.
3. 하트 모양의 닭다리살을 밀가루에 묻힌다.
4. 밀가루에 묻힌 닭다리살을 기름에 튀긴다.
5. 끓는 물에 얼갈이배추를 데친다.
6. 호박잎을 찜기에 넣고 찐다.
7. 데친 얼갈이배추를 흐르는 물에 식힌다.
8. 볼에 삼발소스, 청양고추, 홍고추, 다진마늘, 파프리카 가루, 피넛소스를 섞어 가도가도 소스를 만든다.
9. 가도가도 소스에 레몬즙을 뿌린다.
10. 가도가도 소스에 후추를 뿌린다.
11. 가도가도 소스에 설탕을 추가한다.
12. 가도가도 소스에 으깬 잣을 넣는다.
13. 데친 얼갈이배추를 잘게 썬 뒤 가도가도 소스를 무친다.
14. 닭다리살을 튀긴 기름에 말린 귤껍질을 넣는다.
15. 찜기에 찐 호박잎을 볼에 담는다.
16. 가도가도 소스를 접시 가장자리에 올린다.
17. 하트 모양의 치킨 스테이크를 접시에 담는다.
18. 호박잎쌈을 접시에 담는다.</t>
  </si>
  <si>
    <t>&lt;송훈 - 고등램지&gt;
● 재료
통조림 꼬막, 황태채, 스파게티, 애호박, 고등어, 느타리버섯, 고추장아찌, 우유, 페퍼론치노, 통조림 게살장, 베이컨, 파르메산 치즈가루, 시금치, 빵가루, 이유식용 육수, 올리브오일, 후추, 소금, 대파, 마늘, 청양고추, 케첩, 고춧가루, 화이트와인, 레몬
●조리 방법
1. 냄비에 황태채, 이유식용 육수, 통조림 꼬막, 뜨거운 물을 부어 육수를 낸다.
2. 끓는 물에 스파게티를 넣고 삶는다.
3. 올리브오일을 두른 팬에 빵가루, 마늘을 넣고 볶는다.
4. 얇게 슬라이스한 애호박에 칼집을 낸 뒤 올리브오일을 두른 팬에 넣고 후추, 소금을 뿌려 굽는다.
5. 4의 애호박을 그릴팬에 옮겨 굽는다.
6. 대파, 마늘, 베이컨, 청양고추, 고추장아찌를 잘게 썬 뒤 올리브오일을 두른 팬에 넣는다.
7. 6에 통조림 게살장, 후추, 케첩, 고춧가루, 황태채 육수를 넣어 소스를 만든다.
8. 7에 우유를 넣는다.
9. 그릴팬의 애호박을 뒤집어 굽는다.
10. 고등어를 손질한 뒤 소금, 후추를 뿌려 그릴팬에 굽는다.
11. 10에 화이트와인을 넣는다.
12. 구운 고등어를 소스에 넣는다.
13. 12에 고추장아찌의 국물, 페퍼페론치노를 넣는다.
14. 삶은 스파게티를 건져낸다.
15. 스파게티에 올리브오일을 뿌려둔다.
16. 볶은 빵가루를 접시에 담아둔다.
17. 소스에 레몬즙을 넣는다.
18. 올리브오일을 두른 팬에 느타리버섯을 올린 뒤 소금, 후추를 뿌린다.
19. 소스에 구운 느타리버섯을 넣는다.
20. 소스에 파르메산 치즈가루, 고춧가루, 케첩을 넣는다.
21. 소스에 스파게티면을 넣고 볶은 뒤 접시에 올린다.
22. 21에 구운 애호박, 잘게 썬 시금치, 볶은 빵가루를 올린다.
23. 22에 파르메산 치즈가루를 뿌린다.</t>
  </si>
  <si>
    <t>냉장고를 부탁해 시즌 1, 249화</t>
  </si>
  <si>
    <t>&lt;샘킴 - 파스타 사랑해♬&gt;
● 재료
에스카르고, 느타리버섯, 애호박, 트러플 치즈크림소스, 스모크치즈, 완두콩, 빵가루, 우유, 통조림 꼬막, 다진 소고기, 깻잎의 순, 블루베리, 파르메산 치즈가루, 올리브오일, 소금, 밀가루, 달걀, 마늘, 버터
●조리 방법
1. 달군 냄비에 다진 소고기를 넣고 볶는다.
2. 1에 올리브오일, 소금을 넣는다.
3. 2에 뜨거운 물을 넣어 고기 육수를 만든다.
4. 핸드블렌더에 밀가루, 달걀, 물을 넣고 갈아 면 반죽을 만든다.
5. 핸드블렌더에 블루베리를 넣고 간다.
6. 면 반죽에 밀가루를 묻힌 뒤 밀대로 넓게 민다.
7. 면 반죽을 여러 겹으로 접은 뒤 적당한 크기로 썬다.
8. 느타리버섯을 잘게 썰어 올리브오일을 두른 팬에 넣는다.
9. 핸드블렌더에 마늘을 넣고 간 뒤 8에 넣는다.
10. 통조림 꼬막을 잘게 썬 뒤 9에 넣는다.
11. 속을 파낸 에스카르고를 흐르는 물에 씻은 뒤 잘게 썰어 10에 넣는다.
12. 애호박을 잘게 썰어 11에 넣는다.
13. 12에 통조림 꼬막의 국물과 고기 육수를 넣어 소스를 만든다.
14. 냄비에 버터, 밀가루, 우유를 넣어 루를 만든다.
15. 14에 스모크치즈를 갈아 넣는다.
16. 15에 파르메산 치즈가루를 넣는다.
17. 올리브오일을 두른 팬에 버터, 빵가루, 간 마늘을 넣고 볶는다.
18. 끓는 물에 완두콩을 삶는다.
19. 볼에 레몬즙, 올리브오일, 삶은 완두콩을 함께 담아둔다.
20. 16의 크림을 소스에 넣는다.
21. 소스에 트러플 치즈크림소스를 넣는다.
22. 끓는 물에 면을 넣고 삶는다.
23. 소스에 고기 육수를 넣는다.
24. 올리브오일을 두른 팬에 깻잎의 순을 올린다.
25. 삶은 면을 소스에 넣는다.
26. 접시에 간 블루베리를 바른 뒤 파스타를 올린다.
27. 볶은 깻잎의 순을 삶은 완두콩에 넣고 버무린다.
28. 파스타에 볶은 빵가루, 깻잎의 순과 완두콩, 파르메산 치즈가루를 올린다.</t>
  </si>
  <si>
    <t>&lt;오세득 - 지구용사 산초맨&gt;
● 재료
산초가루, 어내토 시드, 소 등심, 페퍼론치노, 새우살, 느타리버섯, 새송이버섯, 청경채, 굴소스, 생강, 대파, 고춧가루, 맛술, 간장, 설탕, 참기름, 청양고추, 홍고추, 양파, 버터, 즉석밥
●조리방법
1. 끓는 기름에 으깬 생강, 대파, 고춧가루를 넣어 고추기름을 낸다.
2. 소 등심에 칼집을 낸다.
3. 핸드블렌더로 설탕, 맛술, 간장을 섞어 간장 양념을 만든 뒤 소 등심에 발라준다.
4. 3에 참기름을 넣어 재워둔다.
5. 청양고추, 홍고추, 대파를 잘게 썬다.
6. 재워둔 소 등심을 체에 밭쳐 직화한다.
7. 6에 대파를 넣어 소 등심 밑에 깐 뒤 직화한다.
8. 느타리버섯, 새송이버섯을 적당한 크기로 썬다.
9. 팬에 잘게 썬 양파, 버터를 올린다.
10. 팬에 건더기를 걸러낸 고추기름, 페퍼론치노, 느타리버섯, 새송이버섯, 잘게 썬 각종 채소를 넣고 볶는다.
11. 직화한 소 등심에 간장 양념을 부은 뒤 다시 직화한다.
12. 볶던 재료에 굴소스, 뜨거운 물, 새우살을 넣고 볶는다.
13. 볶던 양파에 불린 어내토 시드를 걸러낸 물을 넣는다.
14. 어내토 시드 소스에 즉석밥을 넣고 볶아 리소토를 만든다.
15. 14에 고추기름, 간장 양념을 넣는다.
16. 볶던 재료에 고추기름을 넣는다.
17. 리소토에 산초가루를 넣는다.
18. 리소토에 버터, 고추기름을 넣는다.
19. 직화한 소 등심을 적당한 크기로 썬 뒤 볶던 재료에 넣고 산초가루를 넣는다.
20. 19에 고추기름을 넣는다.
21. 접시에 리소토를 담는다.
22. 산초 불고기에 참기름을 뿌린다.
23. 리소토 위에 산초 불고기를 담는다.</t>
  </si>
  <si>
    <t>&lt;이연복 - 마라왕 복탁구&gt;
● 재료
산초가루, 시금치, 청경채, 콩나물, 에스카르고, 국물용 멸치, 황태채, 건새우, 페페론치노, 돼지 안심, 연두부, 새송이버섯, 고구마, 새우살, 대파, 고춧가루, 맛술, 소금, 전분, 달걀, 양파, 마늘, 간장
● 조리방법
1. 끓는 기름에 대파, 고춧가루, 산초가루, 페퍼론치노를 넣어 산초고추기름을 낸다.
2. 고구마의 껍질을 벗겨낸 뒤 잘게 썰어 끓는 기름에 넣고 튀긴다.
3. 연두부를 적당한 크기로 썬 뒤 끓는 기름에 넣고 튀긴다.
4. 끓는 물에 황태채, 건새우, 국물용 멸치, 맛술, 소금을 넣어 육수를 만든다.
5. 돼지 안심을 얇게 썬다.
6. 돼지 안심에 전분&gt;달걀물 순으로 묻혀 기름에 화한다.
7. 끓는 물에 시금치, 청경채를 데친다.
8. 산초고추기름을 체에 밭쳐 걸러낸다.
9. 팬에 잘게 썬 대파, 양파와 으깬 마늘, 산초고추기름을 넣는다.
10. 에스카르고의 속을 파낸 뒤 9에 넣어 볶는다.
11. 끓는 물에 콩나물을 넣어 데친다.
12. 튀긴 고구마와 연두부를 건져낸다.
13. 느타리버섯과 새송이버섯을 적당한 크기로 썬 뒤 볶던 재료에 넣는다.
14. 13에 간장, 산초가루, 화한 돼지 안심, 육수를 넣어 마라탕을 만든다.
15. 마라탕에 새우살을 넣는다.
16. 마라탕에 산초가루를 더 넣는다.
17. 마라탕에 산초고추기름을 넣는다.
18. 접시에 각종 데친 채소, 튀긴 고구마를 담는다.
19. 마라탕에 잘게 썬 청양고추를 넣는다.
20. 각종 채소와 튀긴 고구마가 담긴 접시에 마라탕을 붓는다.
21. 마라탕에 튀긴 연두부를 올린다.</t>
  </si>
  <si>
    <t>&lt;송훈 - 할리우드에서 미트볼을&gt;
● 재료
소등심, 드라이에이징 등심, 소안심, 바질가루, 크림파스타소스, 리코타치즈 토마토소스, 체리토마토소스, 스파게티면, 그릴드치즈, 화이트 체다치즈, 스트링치즈, 베이컨, 아스파라거스, 살사소스, 홀그레인머스터드, 열무김치, 비엔나소시지, 다진마늘, 후추, 부침가루, 양파, 마늘, 올리브오일, 간장
● 조리 방법
1. 끓는 물에 스파게티 면을 삶는다.
2. 소등심, 소안심, 드라이에이징 등심을 먹기 좋은 크기로 썬다.
3. 핸드블렌더에 세 가지 소고기, 베이컨, 홀그레인머스터드, 바질가루, 살사소스, 다진마늘, 후추를 넣고 간다.
4. 고기반죽에 부침가루를 넣고 손으로 치댄다.
5. 고기반죽 속에 스트링치즈, 그릴드치즈, 화이트 체다치즈를 넣어 미트볼을 만든다.
6. 미트볼을 기름에 튀긴다.
7. 양파, 마늘, 열무김치를 잘게 썬 뒤 올리브오일을 두른 팬에 넣고 볶는다.
8. 볶던 팬에 베이컨, 크림파스타소스를 넣는다.
9. 올리브오일을 두른 그릴 팬에 아스파라거스를 넣은 뒤 후추, 간장을 넣어 굽는다.
10. 리코타치즈 토마토소스, 체리토마토소스를 넣은 냄비에 미트볼을 넣고 익힌다.
11. 삶은 스파게티 면을 건져낸 뒤 올리브오일을 뿌려준다.
12. 파스타 소스에 살사소스, 바질가루를 넣는다.
13. 그릴드치즈, 비엔나소시지를 파스타 소스에 넣은 뒤 스파게티 면도 넣는다.
14. 접시에 미트볼을 담는다.
15. 접시에 구운 아스파라거스를 올린다.</t>
  </si>
  <si>
    <t>냉장고를 부탁해 시즌 1, 250화</t>
  </si>
  <si>
    <t>&lt;레이먼킴 - 백 투 더 아메리카&gt;
● 재료
소등심, 소안심, 베이컨, 바질가루, 베트남 간장, 홀그레인머스터드, 목이버섯, 체리토마토소스, 인스턴트 삼계탕, 크림파스타소스, 토마토파스타소스, 파르펠레 면, 우유, 아스파라거스, 그릴드치즈, 화이트 체다치즈, 스트링치즈, 올리브오일, 양파, 버터, 청양고추, 소금, 달걀, 밀가루
● 조리 방법
1. 올리브오일을 두른 팬 2개에 얇게 썬 양파를 볶는다.
2. 끓는 물에 파르펠레 면을 삶는다.
3. 베이컨, 소등심, 소안심을 먹기 좋은 크기로 썬다.
4. 양파를 볶던 팬 2개에 베이컨을 넣는다.
5. 베이컨을 볶는 한쪽 팬에 소등심을 넣고, 양쪽 팬에 버터를 넣는다.
6. 잘게 썬 청양고추를 베이컨이 들어간 팬에 넣는다.
7. 고기반죽에 소금으로 간한 뒤 달걀노른자, 밀가루를 넣는다.
8. 도넛모양의 패티를 소등심 볶던 팬에 넣고 굽는다.
9. 패티를 굽던 팬에 목이버섯을 넣는다.
10. 아스파라거스를 베이컨이 들어간 팬에 넣고 볶는다.
11. 양쪽 팬에 밀가루를 넣은 뒤 패티를 굽던 팬에 베트남 간장을 넣는다.
12. 베이컨이 들어간 팬에 인스턴트 삼계탕 국물을 넣고 끓인다.
13. 패티를 굽던 팬에 홀그레인머스터드, 체리토마토소스, 바질가루를 넣고 볶는다.
14. 베이컨이 들어간 팬에 우유를 넣고 끓여 크림소스를 만든다.
15. 패티를 굽던 팬에 크림파스타소스, 토마토파스타소스를 넣고 끓인다.
16. 크림소스에 화이트 체다치즈를 갈아 넣는다.
17. 크림소스에 스트링치즈를 추가해 끓인다.
18. 크림소스에 소금으로 간한다.
19. 삶은 파르펠레 면을 건져낸 뒤 크림소스에 넣어 파르펠레 크림파스타를 만든다.
20. 솔즈베리 스테이크에 버터를 넣고 끓인다.
21. 접시에 파르펠레 크림파스타를 담는다.</t>
  </si>
  <si>
    <t>&lt;정호영 - 간장, 게 섰거라!&gt;
● 재료
꽃게, 소안심, 전복, 감자, 반숙란, 아보카도, 고추장아찌, 쌀, 올리브오일, 양파, 당근, 설탕, 청주, 맛술, 간장, 후추, 버터
● 조리 방법
1. 불린 쌀을 돌솥에 넣은 뒤 물을 넣는다.
2. 끓는 물에 전복을 데친다.
3. 찜기에 꽃게를 찐다.
4. 적당한 크기로 썬 소안심을 지퍼백에 넣은 뒤 고기망치로 두드린다.
5. 올리브오일을 두른 팬에 감자, 양파를 넣는다.
6. 팬에 당근을 넣고 볶는다.
7. 팬에 소안심을 넣고 볶는다.
8. 팬에 청주, 맛술을 넣는다.
9. 팬에 설탕을 넣는다.
10. 아보카도를 손질한 뒤 올리브오일을 두른 팬에 굽는다.
11. 데친 전복을 물에 씻어 내장을 제거 한 뒤 먹기 좋은 크기로 썬다.
12. 전복을 조림소스에 넣는다.
13. 조림소스에 간장, 반숙란을 넣고 조린다.
14. 밀대를 이용해 꽃게의 살을 발라낸다.
15. 돌솥밥에 꽃게살을 넣는다.
16. 소고기 간장조림에 후추로 간한 뒤 반숙란을 건져낸다.
17. 소고기 간장조림에 구운 아보카도, 고추장아찌 국물을 넣고 조린다.
18. 반숙란을 반으로 썬다.
19. 접시에 소고기 간장조림을 담은 뒤 반숙란을 올린다.
20. 꽃게 솥밥에 버터를 올린 뒤 뚜껑을 닫는다.</t>
  </si>
  <si>
    <t>&lt;오세득 - 간장 보증수표 &gt;
● 재료
무늬오징어, 전복, 새우, 목이버섯, 백 목이버섯, 애호박, 아스파라거스, 불린 누룽지, 브로콜리, 표고버섯, 우유, 화이트 체다치즈, 베이컨, 버터, 밀가루, 마늘, 맛술, 간장, 후추
● 조리 방법
1. 전복에 뜨거운 물을 부어 데친다.
2. 버터를 두른 팬에 베이컨을 볶는다.
3. 팬에 밀가루를 넣어 루를 만든다.
4. 팬에 우유를 넣고 끓인다.
5. 무늬오징어에 껍질을 벗긴 뒤 촘촘하게 칼집을 낸다.
6. 표고버섯, 아스파라거스, 브로콜리, 애호박을 먹기 좋은 크기로 썬다.
7. 데친 전복의 칼집을 낸 뒤 먹기 좋은 크기로 썬다.
8. 버터를 두른 팬에 무늬오징어, 마늘, 표고버섯, 백 목이버섯, 목이버섯을 넣고 볶는다.
9. 팬에 브로콜리, 애호박, 맛술, 간장을 넣고 볶는다.
10. 팬에 새우, 전복을 넣는다.
11. 루에 불린 누룽지를 넣고 섞는다.
12. 간장소스를 체에 밭쳐 팬에 걸러낸다.
13. 누룽지에 간장소스를 넣고 끓여 리소토를 만든다.
14. 볶던 재료에 아스파라거스를 넣은 뒤, 간장 소스에 버터를 녹인다.
15. 접시에 누룽지리소토를 담은 뒤 화이트 체다치즈를 갈아 넣는다.
16. 누룽지리소토 위에 볶던 재료를 올린다.
17. 볶던 재료에 간장버터소스를 올린다.
18. 후추로 간한다.</t>
  </si>
  <si>
    <t xml:space="preserve">&lt;김풍 - 복고풍 샐러드&gt;
● 재료
인스턴트 핫도그, 닭가슴살 패티, 슬라이스 치즈, 모차렐라 치즈, 인스턴트 미니핫도그, 훈제오리, 무화과잼, 오이, 로메인, 사과, 우유, 청포도, 소다맛 아이스크림, 딸기맛 아이스크림, 딸기, 달걀, 소금, 식초, 양파, 다진마늘, 버터, 연겨자, 물엿, 설탕
● 조리 방법
1. 끓는 물에 달걀, 소금, 식초를 넣고 삶는다.
2. 닭가슴살 패티를 반으로 가른 뒤 슬라이스치즈, 모차렐라 치즈를 넣고 감싼다.
3. 인스턴트 핫도그의 옷을 핸드블렌더에 넣고 간다.
4. 감싼 닭가슴살 패티에 밀가루&gt;달걀물&gt;간 핫도그 옷 순서로 묻힌다.
5. 훈제오리를 잘게 썰어 팬에 넣는다.
6. 5에 잘게 썬 양파, 다진 마늘, 버터, 소금을 넣어 볶는다.
7. 마요네즈, 연겨자, 무화과잼, 물엿, 설탕, 식초를 넣고 섞는다.
8. 7에 볶은 재료를 넣어 소스를 만든다.
9. 삶은 달걀을 건져낸 뒤 반으로 가른다.
10. 소스에 삶은 달걀의 노른자를 넣어 섞는다.
11. 사과의 둥근 부분을 썬 뒤 속을 파내 꼬치를 꽂는다.
12. 오이와 로메인을 잘게 썬다.
13. 튀김옷을 묻힌 닭가슴살을 기름에 튀겨 치킨을 만든다.
14. 삶은 달걀을 반으로 썰어 썬 채소와 함께 담아둔다.
15. 핸드블렌더에 딸기, 우유, 딸기맛 아이스크림을 넣고 간 뒤 컵에 담는다.
16. 핸드블렌더에 소다맛 아이스크림을 넣는다.
17. 치킨을 건져낸다.
18. 소다맛 아이스크림이 담긴 핸드블렌더에 우유, 설탕을 넣고 간다.
19. 18을 컵에 담는다.
20. 꼬치에 꽂은 사과에 모양을 낸 뒤 파르페에 꽂는다.
21. 치킨을 적당한 크기로 썬 뒤 채소가 담긴 그릇에 올린다.
22. 21에 청포도를 올린다.
</t>
  </si>
  <si>
    <t>냉장고를 부탁해 시즌 1, 251화</t>
  </si>
  <si>
    <t>&lt;이연복 - 이연복Go 연복Go♬&gt;
● 재료
삼겹살, 돈가스소스, 굴소스, 새우살, 오이, 로메인, 전분, 달걀, 소금, 양파, 당근, 튀김가루, 대파, 즉석밥, 케첩, 마요네즈
● 조리 방법
1. 삼겹살을 비닐팩 안에 넣은 뒤 고기 망치로 두드린다.
2. 1에 전분을 묻힌 뒤 비닐팩을 덮고 고기망치로 두드린다.
3. 달걀에 소금을 넣어 달걀물을 만든 뒤 팬에 부어 지단을 만든다.
4. 3의 팬을 뒤집어 지단을 직화한 뒤 둥근 그릇에 담는다.
5. 달걀을 풀어 달걀물을 만든다.
6. 양파를 잘게 썬 뒤 물에 담가둔다.
7. 당근과 오이에 칼집을 낸다.
8. 삼겹살에 달걀물과 튀김가루를 묻힌다.
9. 8에 달걀물을 한 번 더 묻힌다.
10. 9를 기름에 넣고 튀겨 돈가스를 만든다.
11. 기름을 두른 팬에 삼겹살의 비계, 당근, 대파, 양파, 새우살, 즉석밥, 소금, 굴소스를 넣고 볶는다.
12. 오이와 로메인을 잘게 썬다.
13. 양파의 물기를 제거한 뒤, 손질한 채소에 케첩, 마요네즈를 뿌려 샐러드를 만든다.
14. 오므라이스에 케첩을 넣는다.
15. 샐러드에 오이와 당근을 올린다.
16. 오므라이스를 달걀이 담긴 그릇에 담은 뒤 접시에 뒤집어 올린다.
17. 오므라이스에 케첩을 뿌리고 돈가스소스와 케첩을 섞는다.
18. 돈가스를 건져낸다.
19. 돈가스소스와 케첩을 섞은 소스를 돈가스 위에 바른다.</t>
  </si>
  <si>
    <t>&lt;유현수 - 장칼국수는 장난이 아니야♬&gt;
● 재료
취나물, 루콜라, 시래기, 감자, 건표고버섯, 국물용 멸치, 무, 건새우, 다시마, 열무김치, 바지락살. 된장, 참기름, 들깨, 고춧가루, 검정들깨기름, 밀가루, 소금, 고춧가루, 청양고추, 들깨, 간장, 참기름, 홍고추, 마늘
● 조리 방법
1. 믹서기에 취나물, 물을 넣고 간다..
2. 핸드블렌더에 밀가루, 소금, 1을 넣고 갈아 면 반죽을 만든다.
3. 면 반죽을 손으로 치댄다.
4. 끓는 물에 적당한 크기로 썬 무, 다시마, 국물용 멸치, 건표고버섯, 건새우, 시래기, 바지락살을 넣고 육수를 낸다.
5. 고춧가루를 면보에 넣고 감싼 뒤 찜기에 넣고 찐다.
6. 밀가루에 취나물을 간 물을 넣는다.
7. 취나물을 적당한 크기로 썬다.
8. 루콜라와 청양고추를 적당한 크기로 썬다.
9. 밀가루&amp;취나물 물이 담긴 볼에 손질한 채소를 넣는다.
10. 취나물을 간 물을 면 반죽에 넣는다.
11. 각종 채소가 든 볼에 밀가루를 넣는다.
12. 11에 잘게 썬 감자를 넣고 버무려 전 반죽을 만든다.
13. 팬에 전 반죽을 올려 굽는다.
14. 밀가루 위에 면 반죽을 올린 뒤 밀대로 넓게 민다.
15. 넓게 민 면 반죽의 테두리를 잘라낸 뒤 밀가루를 발라준다.
16. 면 반죽을 여러 겹으로 접는다.
17. 접은 면 반죽을 적당한 크기로 썰어 끓는 물에 넣고 삶는다.
18. 체에 밭친 취나물을 끓는 물에 넣고 빼기를 반복하며 데친다.
19. 데친 취나물을 흐르는 물에 씻으며 물기를 짠다.
20. 취나물을 적당한 크기로 썬 뒤 검정들깨기름, 들깨, 간장을 뿌려 무친다.
21. 강판에 무를 간다.
22. 간 무에 간장, 물을 섞은 뒤 체에 밭쳐 건더기를 걸러낸다.
23. 22에 간장, 검정들깨기름을 넣는다.
24. 23에 들깨, 잘게 썬 청양고추를 넣는다.
25. 찜기에 찐 고춧가루를 24에 넣는다.
26. 25를 접시에 담은 뒤 참기름을 뿌려 양념장을 만든다.
27. 핸드블렌더에 열무김치, 홍고추, 마늘을 넣고 간다.
28. 적당한 크기로 썬 로메인에 27을 넣어 로메인 겉절이를 만든다.
29. 삶은 면을 체에 밭쳐 건져낸다.
30. 면을 물에 씻은 뒤 그릇에 담고 양념한 취나물을 올린다.
31. 면 위에 적당한 크기로 썬 취나물전을 올리고 검정들깨기름을 뿌린다.
32. 주전자에 육수를 담는다.</t>
  </si>
  <si>
    <t>&lt;샘킴 - 토르티야 먹을 사람 뉴~규?&gt;
● 재료
취나물, 루콜라, 새송이버섯, 발사믹식초, 낙지, 시래기, 토르티야, 로메인, 트러플크림소스, 마요네즈, 피클, 마늘, 올리브오일, 양파, 소금, 후추, 마요네즈, 레몬, 물엿, 대파, 밀가루, 달걀
● 조리 방법
1. 핸드블렌더에 마늘, 올리브오일을 간다.
2. 팬에 1, 트러플크림소스을 넣는다.
3. 그릴팬에 양파를 올린 뒤 올리브오일, 소금을 뿌려 굽는다.
4. 취나물의 줄기 부분을 떼어낸다.
5. 새송이버섯을 잘게 썬 뒤 소스가 담긴 팬에 넣고 소금, 후추를 뿌려 볶는다.
6. 핸드블렌더에 마요네즈, 로메인, 레몬즙, 올리브오일을 넣고 갈아 로메인 소스를 만든다.
7. 잘게 썬 피클, 물엿을 로메인 소스에 넣는다.
8. 대파를 길게 썬 뒤 양파를 굽던 그릴팬에 올리고 올리브오일을 뿌려 함께 굽는다.
9. 발사믹식초, 레몬즙, 올리브오일을 섞어 발사믹 소스를 만든다.
10. 그릴팬에 취나물을 올려 굽는다.
11. 낙지를 잘게 썬다.
12. 낙지에 밀가루와 물을 섞은 튀김옷을 입힌 뒤 기름에 넣고 튀긴다.
13. 끓는 물에 달걀을 넣어 수란을 만든다.
14. 낙지튀김을 체에 밭쳐 건져낸다.
15. 수란을 건져낸다.
16. 접시에 양파, 발사믹 소스를 뿌린다.
17. 16 위에 볶은 버섯, 구운 취나물, 발사믹 소스를 올린다.
18. 접시에 로메인 소스를 올린다.
19. 팬에 토르티야를 굽는다.
20. 구운 대파에 발사믹 소스를 뿌린 뒤 적당한 크기로 썬 레몬을 함께 낸다.
21. 접시에 올리브오일, 볶은 버섯, 루콜라를 올린다.
22. 21에 발사믹 소스를 뿌린다.
23. 채소 위에 수란을 올린다.
24. 23 위에 소금을 뿌린다.</t>
  </si>
  <si>
    <t>&lt; 레이먼킴 - 특수돼지 삼형제 &gt;
● 재료
모소리살, 가오리살, 삼각살, 표고버섯, 아스파라거스, 고수, 맥주, 표고버섯가루, 월계수잎, 꿀, 고추냉이맛 아몬드, 적양파, 청사과, 사과, 믹스베리, 대파, 마늘, 청양고추, 후추, 소금, 설탕, 레몬, 된장, 다진 마늘, 맛술, 올리브오일
● 조리방법
1. 압력솥의 끓는 물에 믹스베리, 캔맥주, 대파, 마늘, 청양고추, 후추를 넣는다.
2. 채칼을 이용해 양파, 적양파를 슬라이스 한 뒤 찬물에 담가둔다.
3. 압력솥에 소금, 설탕, 슬라이스한 적양파를 넣는다.
4. 3의 압력솥에 가오리살을 넣는다.
5. 압력솥의 뚜껑을 닫고 삶는다.
6. 삼각살에 잘게 칼집을 낸다.
7. 아스파라거스를 반으로 썰고 표고버섯을 반으로 가른다.
8. 삼각살, 아스파라거스, 표고버섯에 후추를 뿌린 뒤 올리브오일을 두른 팬에 굽는다.
9. 레몬을 반으로 가른 뒤 8에 올려 굽는다.
10. 볼에 된장, 꿀, 다진 마늘, 맛술을 넣고 섞은 뒤 모소리살에 발라준다.
11. 석쇠에 양념한 모소리살, 대파를 올려 직화한다.
12. 사과, 청사과를 채 썬다.
13. 찬물에 담가둔 양파, 적양파를 사과가 담긴 볼에 함께 넣은 뒤 소금, 레몬즙을 뿌린다.
14. 13에 올리브오일, 고수을 넣고 버무려 샐러드를 만든다.
15 구운 삼각살, 아스파라거스를 월계수잎, 표고버섯 가루를 넣은 찜기에 올려 훈연한다.
16 접시에 샐러드, 직화한 모소리살, 구운 레몬을 올린다.
17 압력솥의 김을 뺀 뒤 가오리살 수육을 건져내 토치로 직화한다.
18. 접시에 구운 표고버섯, 가오리살 수육을 올린다.
19. 고추냉이맛 아몬드를 잘게 썬 뒤 소금, 고추냉이를 넣고 버무린다.
20. 훈연한 삼각살, 아스파라거스를 적당한 크기로 썰어 접시에 올리고 19를 올린다.</t>
  </si>
  <si>
    <t>냉장고를 부탁해 시즌 1, 252화</t>
  </si>
  <si>
    <t>&lt;샘킴 - 돼지가 스튜에 빠진 날&gt;
● 재료
모소리살, 삼각살, 가오리살, 표고버섯, 표고버섯가루, 발사믹식초, 트러플소스, 닭다리, 아스파라거스, 고수, 적양파, 월계수잎, 그린올리브, 양파, 마늘, 당근, 대파, 후추, 올리브오일, 소금, 간장, 버터, 레몬
● 조리방법
1. 기름을 두른 냄비에 닭다리, 양파, 마늘, 당근을 넣는다.
2. 1에 대파, 후추, 뜨거운 물을 넣어 육수를 낸다.
3. 핸드블렌더에 마늘을 넣고 간다.
4. 양파를 반으로 자르고 대파를 채 썬다.
5. 끓는 기름에 양파를 넣어 튀긴 뒤 건져낸다.
6. 끓는 기름에 채 썬 대파를 넣어 튀긴 뒤 건져낸다.
7. 삼각살을 잘게 썬 뒤 올리브오일을 넣은 팬에 간 마늘과 함께 볶는다.
8. 7에 후추, 소금, 간장을 넣는다.
9. 8에 표고버섯과 적양파를 잘게 썰어 넣는다.
10. 튀긴 양파에 삼각살과 함께 볶은 재료를 넣고 감싼 뒤 발사믹식초를 뿌린다.
11. 팬에 간 마늘, 올리브오일, 잘게 썬 표고버섯, 소금을 넣는다.
12. 11에 지방을 떼어낸 모소리살을 넣는다.
13. 12에 잘게 썬 대파, 트러플소스, 육수, 버터를 넣어 스튜를 만든다.
14. 가오리살에 칼집을 낸 뒤 끓는 기름에 넣어 튀긴다.
15. 찜기에 월계수 잎을 넣는다.
16. 튀긴 가오리살을 찜기에 넣어 훈연한다.
17. 아스파라거스를 잘게 썬 뒤 끓는 기름에 넣고 튀긴다.
18. 잘게 썬 고수, 간 마늘, 간 레몬 껍질, 올리브오일, 레몬즙, 그린 올리브, 소금, 후추를 넣는다.
19. 스튜를 접시에 담는다.
20. 훈연한 가오리살을 팬에 올려 굽는다.
21. 스튜에 양파로 감싼 삼각살 볶음, 남은 삼각살 볶음, 발사믹식초를 올린다.
22. 스튜에 튀긴 아스파라거스, 가오리살을 올린다.
23. 스튜에 양념한 고수, 튀긴 대파를 올린다.</t>
  </si>
  <si>
    <t>&lt; 정호영 - 해산물 꼬치 피었습니다♬ &gt;
● 재료
전복, 새우, 가리비, 아스파라거스, 아보카도, 그린올리브, 트러플소스, 청주, 대파, 설탕, 달걀, 식초, 소금, 올리브오일, 마요네즈, 간장, 버터
● 조리방법
1. 끓는 물에 청주, 전복을 넣어 데친다.
2. 찜기에 가리비를 넣어 찐다.
3. 석쇠에 대파를 올려 굽는다.
4. 달걀노른자에 설탕, 식초를 넣어 중탕하며 저어준다.
5. 껍데기를 벗긴 새우를 꼬치에 끼운 뒤 소금을 뿌리고 석쇠의 대파 위에 올려 직화한다.
6. 껍데기를 벗긴 새우를 반으로 갈라 손질한 뒤 청주를 부은 팬에 올려 굽는다.
7. 핸드블렌더에 그린올리브, 대파를 넣고 간 뒤 새우를 구운 청주, 소금을 넣어 대파 소스를 만든다.
8. 직화한 새우의 껍데기를 벗겨낸다.
9. 아보카도를 전자레인지에 넣고 돌린다.
10. 올리브오일을 두른 그릴팬에 직화한 새우를 올려 한 번 더 굽는다.
11. 찜기에 찐 가리비의 껍데기를 제거한다.
12. 데친 전복의 껍데기를 제거한다.
13. 전자레인지에 익힌 아보카도를 적당한 크기로 썬다.
14. 팬에 전복, 아보카도를 올려 굽는다.
16. 핸드블렌더에 전복 내장, 트러플소스, 마요네즈, 간장을 넣고 갈아 소스를 만든다.
17. 달걀노른자 소스에 간장을 넣고 저어준다.
18. 가리비를 꼬치에 끼운 뒤 석쇠에 올려 직화한다.
19. 구운 새우를 석쇠에 올려 직화한다.
20. 관자에 버터를 발라준다.
21. 달걀노른자 소스를 접시에 올린다.
22. 21에 구운 새우를 올린다.
23. 석쇠에 아스파라거스를 올려 직화한다.
24. 접시에 구운 아보카도, 전복, 가리비를 올린다.
25. 관자 위에 대파 소스를 올린다.
26. 굽던 아스파라거스를 끓는 기름에 넣고 튀긴다.
27. 아보카도와 전복에 전복내장소스를 올린다.
28. 기름에 튀긴 아스파라거스를 건져낸다.
29. 접시에 소금을 뿌린 뒤 적당한 크기로 썬 아스파라거스를 올린다.</t>
  </si>
  <si>
    <t>&lt; 이연복 - 동고샤 돌격 앞으로! &gt;
● 재료
전복, 새우, 오징어, 낙지, 관자, 통조림 골뱅이, 소 등심, 아스파라거스, 고수, 표고버섯, 월계수잎, 표고버섯가루, 황태채, 대파, 생강, 고춧가루, 맛술, 마늘, 소금, 밀가루, 달걀, 전분, 간장
● 조리방법
1. 끓는 물에 전복을 넣어 데친다.
2. 끓는 기름에 적당한 크기로 썬 대파, 생강을 넣는다.
3. 2에 고춧가루를 넣어 고추기름을 낸다.
4. 새우의 껍데기를 벗긴다.
5. 끓는 물에 황태채, 표고버섯가루, 새우 껍데기, 맛술을 넣어 육수를 낸다.
6. 표고버섯을 얇게 자른 뒤 칼집을 잘게 낸다.
7. 관자에 칼집을 내 반으로 가른다.
8. 데친 전복을 건져낸다.
9. 낙지를 끓는 물에 넣고 데친다.
10. 오징어에 잘게 칼집을 낸 뒤 9에 넣고 데친다.
11. 전복의 껍데기와 내장을 제거한 뒤 잘게 썬다.
12. 표고버섯을 잘게 썬다.
13. 마늘을 으깬 뒤 잘게 썬다.
14. 대파를 잘게 썬다.
15. 데친 낙지를 적당한 크기로 썬다.
16. 아스파라거스를 잘게 썬다.
17. 새우를 으깬 뒤 잘게 다진다.
18. 전복을 잘게 다진다.
19. 다진 새우와 전복에 소금, 밀가루, 달걀흰자를 넣고 버무려 동고샤 소를 만든다.
20. 고추기름을 체에 밭쳐 걸러낸다.
21. 전분을 묻힌 표고버섯에 동고샤 소를 넣고 감싼 뒤 꼬치로 고정한다.
22. 칼집을 낸 관자에 전분을 묻힌 뒤 동고샤 소를 넣는다.
23. 소를 채운 표고버섯과 관자에 튀김옷을 뿌린 뒤 기름에 넣고 튀긴다.
24. 소 등심을 잘게 썬 뒤 핸드블렌더에 넣고 간다.
25. 고추기름, 대파, 잘게 썬 아스파라거스, 간 소등심을 넣고 볶는다.
26. 25에 간장, 맛술, 육수, 통조림 골뱅이 국물을 넣는다.
27. 국물에 데친 낙지와 오징어, 관자를 넣는다.
28. 27에 소금을 넣는다.
29. 28에 전분물을 넣는다.
30. 29를 뚝배기에 담은 뒤 관자튀김, 튀긴 동고샤를 넣는다.
31. 30에 잘게 썬 고수를 올린다.</t>
  </si>
  <si>
    <t>&lt;송훈 - 봉주르 캐비지&gt;
● 재료
소등심, 양배추, 적양배추, 인스턴트 만두, 애호박, 어린잎채소, 소시지, 부추, 꽈리고추, 깐호두, 방울토마토, 통마늘장아찌, 미니 파프리카, 꿀, 통조림 옥수수, 양파, 대파, 마늘, 버터, 레몬, 올리브오일, 고추, 소금, 후추
● 조리 방법
1. 핸드블렌더에 양파, 대파를 넣고 간다.
2. 간 재료를 소등심에 버무려 재워둔다.
3. 냄비에 버터, 레몬, 꿀을 넣고 끓인다.
4. 핸드블렌더에 인스턴트 만두, 뜨거운 물을 넣고 간 뒤 냄비에 넣고 끓인다.
5. 올리브오일을 두른 양배추, 적양배추를 팬에 굽는다.
6. 양배추, 적양배추를 굽던 팬에 꽈리고추를 같이 굽는다.
7. 얇게 썬 고추, 양파, 대파를 올리브오일을 두른 팬에 넣은 뒤 소금으로 간한다.
8. 7에 애호박 슬라이스, 어린잎채소, 부추를 넣고 볶는다.
9. 통마늘장아찌의 껍질을 깐다.
10. 믹서기에 볶은 채소, 마늘장아찌를 넣고 갈아 녹색소스를 만든다.
11. 석쇠에 올린 미니 파프리카를 토치로 직화한다.
12. 재워둔 소등심에 후추, 소금으로 간한 뒤 팬에 굽는다.
13. 소시지, 마늘, 양파, 방울토마토, 구운 파프리카를 팬에 넣은 뒤 통조림 옥수수를 넣는다.
14. 팬에 구운 양배추를 추가해 볶는다.
15. 팬에 깐호두를 추가해 볶는다.
16. 소등심 스테이크를 버터소스에 넣은 뒤 저온으로 익힌다.
17. 만두 육수를 볶던 채소에 넣는다.
18. 버터소스에 익힌 소등심 스테이크를 석쇠에 올려 직화한다.
19. 직화한 소등심 스테이크를 버터소스에 한 번 더 넣어 익힌다.
20. 볶던 채소에 녹색소스, 버터를 넣고 볶는다.
21. 접시에 원형틀을 올린 뒤 구운 양배추 요리를 담는다.
22. 부추를 잘게 썬다.
23. 접시에 채소 가니시를 담는다.
24. 먹기 좋은 크기로 썬 소등심 스테이크를 접시에 올린 뒤 잘게 썬 부추를 뿌린다.</t>
  </si>
  <si>
    <t>냉장고를 부탁해 시즌 1, 253화</t>
  </si>
  <si>
    <t xml:space="preserve">&lt;김풍 - 캐비지 돌풍!&gt;
● 재료
채끝살, 양배추, 방울토마토, 슬라이스 체다치즈, 굴소스, 부추, 파르메산 치즈, 표고버섯, 소시지, 스테이크소스, 꿀,
밀가루, 버터, 다진마늘, 소금, 후추, 전분, 달걀, 대파
● 조리방법
1. 밀가루를 묻힌 양배추를 기름을 두른 팬에 뚜껑을 덮어 굽는다.
2. 냄비에 버터, 다진마늘, 소금을 넣고 끓인다.
3. 핸드블렌더에 소시지를 넣고 간다.
4. 갈아놓은 소시지를 버터마늘소스에 넣는다.
5. 버터마늘소스를 구운 양배추에 끼얹는다.
6. 양배추 스테이크에 후추로 간한다.
7. 양배추 스테이크에 파르메산 치즈를 뿌린 뒤 방울토마토를 넣고 같이 굽는다.
8. 먹기 좋은 크기로 썬 채끝살에 달걀흰자, 전분을 넣고 버무린다.
9. 기름을 두른 팬에 8을 넣고 튀기듯 굽는다.
10. 구운 채끝살을 체에 밭쳐 기름을 걸러낸다.
11. 기름을 두른 팬에 다진마늘, 간 표고버섯, 굴소스, 다진 파를 넣고 볶는다.
12. 팬에 스테이크소스, 구운 소고기를 넣고 볶는다.
13. 팬에 꿀, 부추를 넣고 볶는다.
14. 소고기 부추 볶음에 전분 물을 넣는다.
15. 양배추 스테이크에 슬라이스 체다치즈를 올려 녹인 뒤 구운 방울토마토와 함께 접시에 담는다.
16. 접시에 소고기 부추볶음을 담는다.
17. 양배추 스테이크와 소고기 부추볶음을 토치로 직화한다.
</t>
  </si>
  <si>
    <t>&lt;오세득 - 피시 앤 만두&gt;
● 재료
조기, 가자미, 자숙새우, 부추, 김, 굴소스, 표고버섯, 파김치, 양파, 밀가루, 대파, 마요네즈, 다진 생강, 고춧가루, 다진 마늘, 참기름, 간장, 식초, 홍고추, 고추, 설탕
● 조리 방법
1. 양파를 얇게 슬라이스한다.
2. 핸드블렌더에 밀가루, 뜨거운 물을 넣고 갈아 만두피 반죽을 만든다.
3. 조기, 가자미를 손질해 몸통 살만 분리한 뒤 기름에 튀긴다.
4. 끓는 기름에 대파를 넣는다.
5. 지퍼백에 자숙새우를 넣은 뒤 고기망치로 으깬다.
6. 핸드블렌더에 튀긴 생선, 으깬 새우, 김, 마요네즈를 넣고 갈아 만두소를 만든다.
7. 만두소에 다진 파김치, 생강즙을 넣고 버무린다.
8. 밀가루 위에 만두피 반죽을 올린 뒤 밀대로 넓게 민다.
9. 만두피에 만두소를 넣어 만두를 빚는다.
10. 기름을 두른 팬에 만두를 굽다가 물을 넣고 뚜껑을 닫는다.
11. 부추, 양파, 표고버섯을 먹기 좋은 크기로 썬다.
12. 대파를 넣은 기름에 고춧가루를 넣어 고추기름을 낸다. 13. 기름을 두른 팬에 양파, 표고버섯, 다진마늘, 굴소스, 부추, 참기름을 넣고 볶는다.
14. 볼에 간장, 식초를 넣는다.
15. 볼에 설탕을 추가한 뒤 홍고추, 고추를 썬다.
16. 썬 홍고추, 고추, 양파와 간장소스를 지퍼백에 넣어 섞는다.
17. 구운 만두를 부추볶음 위에 올린다.
18. 만두 위에 양파무침을 올린 뒤 고추기름을 뿌린다.</t>
  </si>
  <si>
    <t>&lt;유현수 - 만두 만두 만두 눈꽃만두♬&gt;
● 재료
소등심, 인스턴트 만두, 팽이버섯, 부추, 파프리카, 애호박, 새송이버섯, 아스파라거스, 가래떡, 트러플 소금, 트러플 오일, 참깨소스, 배추김치, 고추장아찌, 밀가루, 설탕, 맛술, 후추, 양파, 전분, 물엿, 깨, 다진 마늘
● 조리 방법
1. 핸드블렌더에 밀가루, 트러플 소금을 넣는다. 2. 1에 물을 넣고 갈아 만두피 반죽을 만든다.
3. 끓는 물에 설탕, 고추장아찌 국물, 맛술을 넣고 끓인다.
4. 팬에 소등심, 배추김치를 올린 뒤 소등심에 후추, 트러플 오일을 뿌려 굽는다.
5. 인스턴트 만두의 만두소만 분리해낸다.
6. 간장소스에 양파, 새송이버섯, 트러플 오일, 설탕을 넣고 끓인다.
7. 구운 김치를 잘게 다진다.
8. 소등심 스테이크를 다진 구운 김치와 함께 만두소에 넣은 뒤 트러플 오일을 뿌린다.
9. 전분 물을 팬에 튀겨 눈꽃 모양을 만든다.
10. 먹기 좋은 크기로 썬 가래떡을 떡볶이 양념에 넣고 끓인다.
11. 적당한 크기로 떼어낸 만두피 반죽을 밀대로 넓게 민다.
12. 만두소를 넣은 뒤 만두피 끝에 전분 물을 묻혀 만두를 빚는다.
13. 만두를 찜기에 찐다.
14. 파프리카, 애호박, 아스파라거스를 궁중 떡볶이에 넣는다.
15. 궁중 떡볶이에 전분물, 부추를 넣는다.
16. 궁중 떡볶이에 물엿, 깨, 참깨소스를 넣는다.
17. 잘게 썬 팽이버섯에 트러플 오일을 뿌린다.
18. 궁중 떡볶이에 마늘즙을 뿌린다.
19. 접시에 궁중 떡볶이를 담은 뒤 팽이버섯을 뿌린다.
20. 눈꽃 튀일 위에 찐 만두를 올린다.
21. 궁중 떡볶이 위에 눈꽃 만두를 올린다.</t>
  </si>
  <si>
    <t>recipe_title</t>
  </si>
  <si>
    <t>ingredients_raw</t>
  </si>
  <si>
    <t>full_title_raw</t>
  </si>
  <si>
    <t>chef_name</t>
  </si>
  <si>
    <t>category</t>
  </si>
  <si>
    <t>step_text</t>
  </si>
  <si>
    <t>recipe_ingredient</t>
  </si>
  <si>
    <t>ingredient_name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</si>
</sst>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theme="4"/>
      <name val="Arial"/>
      <scheme val="minor"/>
    </font>
    <font>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K2" s="1" t="s">
        <v>2</v>
      </c>
    </row>
    <row r="3">
      <c r="A3" s="1" t="s">
        <v>3</v>
      </c>
    </row>
    <row r="4">
      <c r="A4" s="1" t="s">
        <v>4</v>
      </c>
    </row>
    <row r="5">
      <c r="A5" s="1" t="s">
        <v>5</v>
      </c>
    </row>
    <row r="6">
      <c r="A6" s="1" t="s">
        <v>6</v>
      </c>
    </row>
    <row r="7">
      <c r="A7" s="1" t="s">
        <v>7</v>
      </c>
      <c r="B7" s="1"/>
    </row>
    <row r="8">
      <c r="A8" s="1" t="s">
        <v>8</v>
      </c>
      <c r="K8" s="1" t="s">
        <v>9</v>
      </c>
    </row>
    <row r="9">
      <c r="A9" s="1" t="s">
        <v>10</v>
      </c>
    </row>
    <row r="10">
      <c r="A10" s="1" t="s">
        <v>11</v>
      </c>
    </row>
    <row r="11">
      <c r="A11" s="1" t="s">
        <v>12</v>
      </c>
    </row>
    <row r="12">
      <c r="A12" s="1" t="s">
        <v>13</v>
      </c>
    </row>
    <row r="13">
      <c r="A13" s="1" t="s">
        <v>14</v>
      </c>
    </row>
    <row r="14">
      <c r="A14" s="1" t="s">
        <v>15</v>
      </c>
      <c r="K14" s="1" t="s">
        <v>16</v>
      </c>
    </row>
    <row r="15">
      <c r="A15" s="1" t="s">
        <v>17</v>
      </c>
    </row>
    <row r="16">
      <c r="A16" s="1" t="s">
        <v>18</v>
      </c>
      <c r="K16" s="1" t="s">
        <v>19</v>
      </c>
    </row>
    <row r="17">
      <c r="A17" s="1" t="s">
        <v>20</v>
      </c>
    </row>
    <row r="18">
      <c r="A18" s="1" t="s">
        <v>21</v>
      </c>
    </row>
    <row r="19">
      <c r="A19" s="1" t="s">
        <v>22</v>
      </c>
    </row>
    <row r="20">
      <c r="A20" s="1" t="s">
        <v>23</v>
      </c>
      <c r="K20" s="1" t="s">
        <v>24</v>
      </c>
    </row>
    <row r="21">
      <c r="A21" s="1" t="s">
        <v>25</v>
      </c>
    </row>
    <row r="22">
      <c r="A22" s="1" t="s">
        <v>26</v>
      </c>
      <c r="K22" s="1" t="s">
        <v>27</v>
      </c>
    </row>
    <row r="23">
      <c r="A23" s="1" t="s">
        <v>28</v>
      </c>
    </row>
    <row r="24">
      <c r="A24" s="1" t="s">
        <v>29</v>
      </c>
    </row>
    <row r="25">
      <c r="A25" s="1" t="s">
        <v>30</v>
      </c>
    </row>
    <row r="26">
      <c r="A26" s="1" t="s">
        <v>31</v>
      </c>
      <c r="K26" s="1" t="s">
        <v>32</v>
      </c>
    </row>
    <row r="27">
      <c r="A27" s="1" t="s">
        <v>33</v>
      </c>
    </row>
    <row r="28">
      <c r="A28" s="1" t="s">
        <v>34</v>
      </c>
    </row>
    <row r="29">
      <c r="A29" s="1" t="s">
        <v>35</v>
      </c>
    </row>
    <row r="30">
      <c r="A30" s="1" t="s">
        <v>36</v>
      </c>
    </row>
    <row r="31">
      <c r="A31" s="1" t="s">
        <v>37</v>
      </c>
    </row>
    <row r="32">
      <c r="A32" s="1" t="s">
        <v>38</v>
      </c>
      <c r="K32" s="1" t="s">
        <v>39</v>
      </c>
    </row>
    <row r="33">
      <c r="A33" s="1" t="s">
        <v>40</v>
      </c>
    </row>
    <row r="34">
      <c r="A34" s="1" t="s">
        <v>41</v>
      </c>
      <c r="K34" s="1" t="s">
        <v>42</v>
      </c>
    </row>
    <row r="35">
      <c r="A35" s="1" t="s">
        <v>43</v>
      </c>
    </row>
    <row r="36">
      <c r="A36" s="1" t="s">
        <v>44</v>
      </c>
    </row>
    <row r="37">
      <c r="A37" s="1" t="s">
        <v>45</v>
      </c>
    </row>
    <row r="38">
      <c r="A38" s="1" t="s">
        <v>46</v>
      </c>
      <c r="K38" s="1" t="s">
        <v>47</v>
      </c>
    </row>
    <row r="39">
      <c r="A39" s="1" t="s">
        <v>48</v>
      </c>
    </row>
    <row r="40">
      <c r="A40" s="1" t="s">
        <v>49</v>
      </c>
    </row>
    <row r="41">
      <c r="A41" s="1" t="s">
        <v>50</v>
      </c>
    </row>
    <row r="42">
      <c r="A42" s="1" t="s">
        <v>51</v>
      </c>
      <c r="K42" s="1" t="s">
        <v>52</v>
      </c>
    </row>
    <row r="43">
      <c r="A43" s="1" t="s">
        <v>53</v>
      </c>
    </row>
    <row r="44">
      <c r="A44" s="1" t="s">
        <v>54</v>
      </c>
    </row>
    <row r="45">
      <c r="A45" s="1" t="s">
        <v>55</v>
      </c>
    </row>
    <row r="46">
      <c r="A46" s="1" t="s">
        <v>56</v>
      </c>
      <c r="K46" s="1" t="s">
        <v>57</v>
      </c>
    </row>
    <row r="47">
      <c r="A47" s="1" t="s">
        <v>58</v>
      </c>
    </row>
    <row r="48">
      <c r="A48" s="1" t="s">
        <v>59</v>
      </c>
    </row>
    <row r="49">
      <c r="A49" s="1" t="s">
        <v>60</v>
      </c>
    </row>
    <row r="50">
      <c r="A50" s="1" t="s">
        <v>61</v>
      </c>
      <c r="K50" s="1" t="s">
        <v>62</v>
      </c>
    </row>
    <row r="51">
      <c r="A51" s="1" t="s">
        <v>63</v>
      </c>
    </row>
    <row r="52">
      <c r="A52" s="1" t="s">
        <v>64</v>
      </c>
    </row>
    <row r="53">
      <c r="A53" s="1" t="s">
        <v>65</v>
      </c>
    </row>
    <row r="54">
      <c r="A54" s="1" t="s">
        <v>66</v>
      </c>
      <c r="K54" s="1" t="s">
        <v>67</v>
      </c>
    </row>
    <row r="55">
      <c r="A55" s="1" t="s">
        <v>68</v>
      </c>
    </row>
    <row r="56">
      <c r="A56" s="1" t="s">
        <v>69</v>
      </c>
    </row>
    <row r="57">
      <c r="A57" s="1" t="s">
        <v>70</v>
      </c>
    </row>
    <row r="58">
      <c r="A58" s="1" t="s">
        <v>71</v>
      </c>
      <c r="K58" s="1" t="s">
        <v>72</v>
      </c>
    </row>
    <row r="59">
      <c r="A59" s="1" t="s">
        <v>73</v>
      </c>
    </row>
    <row r="60">
      <c r="A60" s="1" t="s">
        <v>74</v>
      </c>
    </row>
    <row r="61">
      <c r="A61" s="1" t="s">
        <v>75</v>
      </c>
    </row>
    <row r="62">
      <c r="A62" s="1" t="s">
        <v>76</v>
      </c>
      <c r="K62" s="1" t="s">
        <v>77</v>
      </c>
    </row>
    <row r="63">
      <c r="A63" s="1" t="s">
        <v>78</v>
      </c>
    </row>
    <row r="64">
      <c r="A64" s="1" t="s">
        <v>79</v>
      </c>
    </row>
    <row r="65">
      <c r="A65" s="1" t="s">
        <v>80</v>
      </c>
    </row>
    <row r="66">
      <c r="A66" s="1" t="s">
        <v>81</v>
      </c>
      <c r="K66" s="1" t="s">
        <v>82</v>
      </c>
    </row>
    <row r="67">
      <c r="A67" s="1" t="s">
        <v>83</v>
      </c>
    </row>
    <row r="68">
      <c r="A68" s="1" t="s">
        <v>84</v>
      </c>
    </row>
    <row r="69">
      <c r="A69" s="1" t="s">
        <v>85</v>
      </c>
    </row>
    <row r="70">
      <c r="A70" s="1" t="s">
        <v>86</v>
      </c>
      <c r="K70" s="1" t="s">
        <v>87</v>
      </c>
    </row>
    <row r="71">
      <c r="A71" s="1" t="s">
        <v>88</v>
      </c>
    </row>
    <row r="72">
      <c r="A72" s="1" t="s">
        <v>89</v>
      </c>
    </row>
    <row r="73">
      <c r="A73" s="1" t="s">
        <v>90</v>
      </c>
    </row>
    <row r="74">
      <c r="A74" s="1" t="s">
        <v>91</v>
      </c>
      <c r="K74" s="1" t="s">
        <v>92</v>
      </c>
    </row>
    <row r="75">
      <c r="A75" s="1" t="s">
        <v>93</v>
      </c>
    </row>
    <row r="76">
      <c r="A76" s="1" t="s">
        <v>94</v>
      </c>
    </row>
    <row r="77">
      <c r="A77" s="1" t="s">
        <v>95</v>
      </c>
    </row>
    <row r="78">
      <c r="A78" s="1" t="s">
        <v>96</v>
      </c>
      <c r="K78" s="1" t="s">
        <v>97</v>
      </c>
    </row>
    <row r="79">
      <c r="A79" s="1" t="s">
        <v>98</v>
      </c>
    </row>
    <row r="80">
      <c r="A80" s="1" t="s">
        <v>99</v>
      </c>
    </row>
    <row r="81">
      <c r="A81" s="1" t="s">
        <v>100</v>
      </c>
    </row>
    <row r="82">
      <c r="A82" s="1" t="s">
        <v>101</v>
      </c>
      <c r="K82" s="1" t="s">
        <v>102</v>
      </c>
    </row>
    <row r="83">
      <c r="A83" s="1" t="s">
        <v>103</v>
      </c>
    </row>
    <row r="84">
      <c r="A84" s="1" t="s">
        <v>104</v>
      </c>
    </row>
    <row r="85">
      <c r="A85" s="1" t="s">
        <v>105</v>
      </c>
    </row>
    <row r="86">
      <c r="A86" s="1" t="s">
        <v>106</v>
      </c>
      <c r="K86" s="1" t="s">
        <v>107</v>
      </c>
    </row>
    <row r="87">
      <c r="A87" s="1" t="s">
        <v>108</v>
      </c>
    </row>
    <row r="88">
      <c r="A88" s="1" t="s">
        <v>109</v>
      </c>
    </row>
    <row r="89">
      <c r="A89" s="1" t="s">
        <v>110</v>
      </c>
    </row>
    <row r="90">
      <c r="A90" s="1" t="s">
        <v>111</v>
      </c>
      <c r="K90" s="1" t="s">
        <v>112</v>
      </c>
    </row>
    <row r="91">
      <c r="A91" s="1" t="s">
        <v>113</v>
      </c>
    </row>
    <row r="92">
      <c r="A92" s="1" t="s">
        <v>114</v>
      </c>
    </row>
    <row r="93">
      <c r="A93" s="1" t="s">
        <v>115</v>
      </c>
    </row>
    <row r="94">
      <c r="A94" s="1" t="s">
        <v>116</v>
      </c>
      <c r="K94" s="1" t="s">
        <v>117</v>
      </c>
    </row>
    <row r="95">
      <c r="A95" s="1" t="s">
        <v>118</v>
      </c>
    </row>
    <row r="96">
      <c r="A96" s="1" t="s">
        <v>119</v>
      </c>
    </row>
    <row r="97">
      <c r="A97" s="1" t="s">
        <v>120</v>
      </c>
    </row>
    <row r="98">
      <c r="A98" s="1" t="s">
        <v>121</v>
      </c>
      <c r="K98" s="1" t="s">
        <v>122</v>
      </c>
    </row>
    <row r="99">
      <c r="A99" s="1" t="s">
        <v>123</v>
      </c>
    </row>
    <row r="100">
      <c r="A100" s="1" t="s">
        <v>124</v>
      </c>
    </row>
    <row r="101">
      <c r="A101" s="1" t="s">
        <v>125</v>
      </c>
    </row>
    <row r="102">
      <c r="A102" s="1" t="s">
        <v>126</v>
      </c>
      <c r="K102" s="1" t="s">
        <v>127</v>
      </c>
    </row>
    <row r="103">
      <c r="A103" s="1" t="s">
        <v>128</v>
      </c>
    </row>
    <row r="104">
      <c r="A104" s="1" t="s">
        <v>129</v>
      </c>
    </row>
    <row r="105">
      <c r="A105" s="1" t="s">
        <v>130</v>
      </c>
    </row>
    <row r="106">
      <c r="A106" s="1" t="s">
        <v>131</v>
      </c>
      <c r="K106" s="1" t="s">
        <v>132</v>
      </c>
    </row>
    <row r="107">
      <c r="A107" s="1" t="s">
        <v>133</v>
      </c>
    </row>
    <row r="108">
      <c r="A108" s="1" t="s">
        <v>134</v>
      </c>
    </row>
    <row r="109">
      <c r="A109" s="1" t="s">
        <v>135</v>
      </c>
    </row>
    <row r="110">
      <c r="A110" s="1" t="s">
        <v>136</v>
      </c>
      <c r="K110" s="1" t="s">
        <v>137</v>
      </c>
    </row>
    <row r="111">
      <c r="A111" s="1" t="s">
        <v>138</v>
      </c>
    </row>
    <row r="112">
      <c r="A112" s="1" t="s">
        <v>139</v>
      </c>
      <c r="L112" s="1"/>
    </row>
    <row r="113">
      <c r="A113" s="1" t="s">
        <v>140</v>
      </c>
    </row>
    <row r="114">
      <c r="A114" s="1" t="s">
        <v>141</v>
      </c>
      <c r="K114" s="1" t="s">
        <v>142</v>
      </c>
    </row>
    <row r="115">
      <c r="A115" s="1" t="s">
        <v>143</v>
      </c>
    </row>
    <row r="116">
      <c r="A116" s="1" t="s">
        <v>144</v>
      </c>
    </row>
    <row r="117">
      <c r="A117" s="1" t="s">
        <v>145</v>
      </c>
    </row>
    <row r="118">
      <c r="A118" s="1" t="s">
        <v>146</v>
      </c>
      <c r="K118" s="1" t="s">
        <v>147</v>
      </c>
    </row>
    <row r="119">
      <c r="A119" s="1" t="s">
        <v>148</v>
      </c>
    </row>
    <row r="120">
      <c r="A120" s="1" t="s">
        <v>149</v>
      </c>
    </row>
    <row r="121">
      <c r="A121" s="1" t="s">
        <v>150</v>
      </c>
    </row>
    <row r="122">
      <c r="A122" s="1" t="s">
        <v>151</v>
      </c>
      <c r="K122" s="1" t="s">
        <v>152</v>
      </c>
    </row>
    <row r="123">
      <c r="A123" s="1" t="s">
        <v>153</v>
      </c>
    </row>
    <row r="124">
      <c r="A124" s="1" t="s">
        <v>154</v>
      </c>
    </row>
    <row r="125">
      <c r="A125" s="1" t="s">
        <v>155</v>
      </c>
    </row>
    <row r="126">
      <c r="A126" s="1" t="s">
        <v>156</v>
      </c>
      <c r="K126" s="1" t="s">
        <v>157</v>
      </c>
    </row>
    <row r="127">
      <c r="A127" s="1" t="s">
        <v>158</v>
      </c>
    </row>
    <row r="128">
      <c r="A128" s="1" t="s">
        <v>159</v>
      </c>
    </row>
    <row r="129">
      <c r="A129" s="1" t="s">
        <v>160</v>
      </c>
    </row>
    <row r="130">
      <c r="A130" s="1" t="s">
        <v>161</v>
      </c>
      <c r="K130" s="1" t="s">
        <v>162</v>
      </c>
    </row>
    <row r="131">
      <c r="A131" s="1" t="s">
        <v>163</v>
      </c>
    </row>
    <row r="132">
      <c r="A132" s="1" t="s">
        <v>164</v>
      </c>
    </row>
    <row r="133">
      <c r="A133" s="1" t="s">
        <v>165</v>
      </c>
    </row>
    <row r="134">
      <c r="A134" s="1" t="s">
        <v>166</v>
      </c>
      <c r="K134" s="1" t="s">
        <v>167</v>
      </c>
    </row>
    <row r="135">
      <c r="A135" s="1" t="s">
        <v>168</v>
      </c>
    </row>
    <row r="136">
      <c r="A136" s="1" t="s">
        <v>169</v>
      </c>
    </row>
    <row r="137">
      <c r="A137" s="1" t="s">
        <v>170</v>
      </c>
    </row>
    <row r="138">
      <c r="A138" s="1" t="s">
        <v>171</v>
      </c>
      <c r="K138" s="1" t="s">
        <v>172</v>
      </c>
    </row>
    <row r="139">
      <c r="A139" s="1" t="s">
        <v>173</v>
      </c>
    </row>
    <row r="140">
      <c r="A140" s="1" t="s">
        <v>174</v>
      </c>
    </row>
    <row r="141">
      <c r="A141" s="1" t="s">
        <v>175</v>
      </c>
    </row>
    <row r="142">
      <c r="A142" s="1" t="s">
        <v>176</v>
      </c>
      <c r="K142" s="1" t="s">
        <v>177</v>
      </c>
    </row>
    <row r="143">
      <c r="A143" s="1" t="s">
        <v>178</v>
      </c>
    </row>
    <row r="144">
      <c r="A144" s="1" t="s">
        <v>179</v>
      </c>
    </row>
    <row r="145">
      <c r="A145" s="1" t="s">
        <v>180</v>
      </c>
    </row>
    <row r="146">
      <c r="A146" s="1" t="s">
        <v>181</v>
      </c>
      <c r="K146" s="1" t="s">
        <v>182</v>
      </c>
    </row>
    <row r="147">
      <c r="A147" s="1" t="s">
        <v>183</v>
      </c>
    </row>
    <row r="148">
      <c r="A148" s="1" t="s">
        <v>184</v>
      </c>
    </row>
    <row r="149">
      <c r="A149" s="1" t="s">
        <v>185</v>
      </c>
    </row>
    <row r="150">
      <c r="A150" s="1" t="s">
        <v>186</v>
      </c>
      <c r="K150" s="1" t="s">
        <v>187</v>
      </c>
    </row>
    <row r="151">
      <c r="A151" s="1" t="s">
        <v>188</v>
      </c>
    </row>
    <row r="152">
      <c r="A152" s="1" t="s">
        <v>189</v>
      </c>
    </row>
    <row r="153">
      <c r="A153" s="1" t="s">
        <v>190</v>
      </c>
    </row>
    <row r="154">
      <c r="A154" s="1" t="s">
        <v>191</v>
      </c>
      <c r="K154" s="1" t="s">
        <v>192</v>
      </c>
    </row>
    <row r="155">
      <c r="A155" s="1" t="s">
        <v>193</v>
      </c>
    </row>
    <row r="156">
      <c r="A156" s="1" t="s">
        <v>194</v>
      </c>
    </row>
    <row r="157">
      <c r="A157" s="1" t="s">
        <v>195</v>
      </c>
    </row>
    <row r="158">
      <c r="A158" s="1" t="s">
        <v>196</v>
      </c>
      <c r="K158" s="1" t="s">
        <v>197</v>
      </c>
    </row>
    <row r="159">
      <c r="A159" s="1" t="s">
        <v>198</v>
      </c>
    </row>
    <row r="160">
      <c r="A160" s="1" t="s">
        <v>199</v>
      </c>
    </row>
    <row r="161">
      <c r="A161" s="1" t="s">
        <v>200</v>
      </c>
    </row>
    <row r="162">
      <c r="A162" s="1" t="s">
        <v>201</v>
      </c>
      <c r="K162" s="1" t="s">
        <v>202</v>
      </c>
    </row>
    <row r="163">
      <c r="A163" s="1" t="s">
        <v>203</v>
      </c>
    </row>
    <row r="164">
      <c r="A164" s="1" t="s">
        <v>204</v>
      </c>
    </row>
    <row r="165">
      <c r="A165" s="1" t="s">
        <v>205</v>
      </c>
    </row>
    <row r="166">
      <c r="A166" s="1" t="s">
        <v>206</v>
      </c>
      <c r="K166" s="1" t="s">
        <v>207</v>
      </c>
    </row>
    <row r="167">
      <c r="A167" s="1" t="s">
        <v>208</v>
      </c>
    </row>
    <row r="168">
      <c r="A168" s="1" t="s">
        <v>209</v>
      </c>
    </row>
    <row r="169">
      <c r="A169" s="1" t="s">
        <v>210</v>
      </c>
    </row>
    <row r="170">
      <c r="A170" s="1" t="s">
        <v>211</v>
      </c>
      <c r="K170" s="1" t="s">
        <v>212</v>
      </c>
    </row>
    <row r="171">
      <c r="A171" s="1" t="s">
        <v>213</v>
      </c>
    </row>
    <row r="172">
      <c r="A172" s="1" t="s">
        <v>214</v>
      </c>
    </row>
    <row r="173">
      <c r="A173" s="1" t="s">
        <v>215</v>
      </c>
    </row>
    <row r="174">
      <c r="A174" s="1" t="s">
        <v>216</v>
      </c>
      <c r="K174" s="1" t="s">
        <v>217</v>
      </c>
    </row>
    <row r="175">
      <c r="A175" s="1" t="s">
        <v>218</v>
      </c>
    </row>
    <row r="176">
      <c r="A176" s="1" t="s">
        <v>219</v>
      </c>
    </row>
    <row r="177">
      <c r="A177" s="1" t="s">
        <v>220</v>
      </c>
    </row>
    <row r="178">
      <c r="A178" s="1" t="s">
        <v>221</v>
      </c>
      <c r="K178" s="1" t="s">
        <v>222</v>
      </c>
    </row>
    <row r="179">
      <c r="A179" s="1" t="s">
        <v>223</v>
      </c>
    </row>
    <row r="180">
      <c r="A180" s="1" t="s">
        <v>224</v>
      </c>
    </row>
    <row r="181">
      <c r="A181" s="1" t="s">
        <v>225</v>
      </c>
    </row>
    <row r="182">
      <c r="A182" s="1" t="s">
        <v>226</v>
      </c>
      <c r="K182" s="1" t="s">
        <v>227</v>
      </c>
    </row>
    <row r="183">
      <c r="A183" s="1" t="s">
        <v>228</v>
      </c>
    </row>
    <row r="184">
      <c r="A184" s="1" t="s">
        <v>229</v>
      </c>
    </row>
    <row r="185">
      <c r="A185" s="1" t="s">
        <v>230</v>
      </c>
    </row>
    <row r="186">
      <c r="A186" s="1" t="s">
        <v>231</v>
      </c>
      <c r="K186" s="1" t="s">
        <v>232</v>
      </c>
    </row>
    <row r="187">
      <c r="A187" s="1" t="s">
        <v>233</v>
      </c>
    </row>
    <row r="188">
      <c r="A188" s="1" t="s">
        <v>234</v>
      </c>
    </row>
    <row r="189">
      <c r="A189" s="1" t="s">
        <v>235</v>
      </c>
    </row>
    <row r="190">
      <c r="A190" s="1" t="s">
        <v>236</v>
      </c>
      <c r="K190" s="1" t="s">
        <v>237</v>
      </c>
    </row>
    <row r="191">
      <c r="A191" s="1" t="s">
        <v>238</v>
      </c>
    </row>
    <row r="192">
      <c r="A192" s="1" t="s">
        <v>239</v>
      </c>
    </row>
    <row r="193">
      <c r="A193" s="1" t="s">
        <v>240</v>
      </c>
    </row>
    <row r="194">
      <c r="A194" s="1" t="s">
        <v>241</v>
      </c>
      <c r="K194" s="1" t="s">
        <v>242</v>
      </c>
    </row>
    <row r="195">
      <c r="A195" s="1" t="s">
        <v>243</v>
      </c>
    </row>
    <row r="196">
      <c r="A196" s="1" t="s">
        <v>244</v>
      </c>
    </row>
    <row r="197">
      <c r="A197" s="1" t="s">
        <v>245</v>
      </c>
    </row>
    <row r="198">
      <c r="A198" s="1" t="s">
        <v>246</v>
      </c>
      <c r="K198" s="1" t="s">
        <v>247</v>
      </c>
    </row>
    <row r="199">
      <c r="A199" s="1" t="s">
        <v>248</v>
      </c>
    </row>
    <row r="200">
      <c r="A200" s="1" t="s">
        <v>249</v>
      </c>
    </row>
    <row r="201">
      <c r="A201" s="1" t="s">
        <v>250</v>
      </c>
    </row>
    <row r="202">
      <c r="A202" s="1" t="s">
        <v>251</v>
      </c>
      <c r="K202" s="1" t="s">
        <v>252</v>
      </c>
    </row>
    <row r="203">
      <c r="A203" s="1" t="s">
        <v>253</v>
      </c>
    </row>
    <row r="204">
      <c r="A204" s="1" t="s">
        <v>254</v>
      </c>
    </row>
    <row r="205">
      <c r="A205" s="1" t="s">
        <v>255</v>
      </c>
      <c r="K205" s="1"/>
    </row>
    <row r="206">
      <c r="A206" s="1" t="s">
        <v>256</v>
      </c>
      <c r="K206" s="1" t="s">
        <v>257</v>
      </c>
    </row>
    <row r="207">
      <c r="A207" s="1" t="s">
        <v>258</v>
      </c>
    </row>
    <row r="208">
      <c r="A208" s="1" t="s">
        <v>259</v>
      </c>
    </row>
    <row r="209">
      <c r="A209" s="1" t="s">
        <v>260</v>
      </c>
    </row>
    <row r="210">
      <c r="A210" s="1" t="s">
        <v>261</v>
      </c>
    </row>
    <row r="211">
      <c r="A211" s="1" t="s">
        <v>262</v>
      </c>
    </row>
    <row r="212">
      <c r="A212" s="1" t="s">
        <v>263</v>
      </c>
      <c r="K212" s="1" t="s">
        <v>264</v>
      </c>
    </row>
    <row r="213">
      <c r="A213" s="1" t="s">
        <v>265</v>
      </c>
    </row>
    <row r="214">
      <c r="A214" s="1" t="s">
        <v>266</v>
      </c>
    </row>
    <row r="215">
      <c r="A215" s="1" t="s">
        <v>267</v>
      </c>
    </row>
    <row r="216">
      <c r="A216" s="1" t="s">
        <v>268</v>
      </c>
    </row>
    <row r="217">
      <c r="A217" s="1" t="s">
        <v>269</v>
      </c>
    </row>
    <row r="218">
      <c r="A218" s="1" t="s">
        <v>270</v>
      </c>
      <c r="K218" s="1" t="s">
        <v>271</v>
      </c>
    </row>
    <row r="219">
      <c r="A219" s="1" t="s">
        <v>272</v>
      </c>
    </row>
    <row r="220">
      <c r="A220" s="1" t="s">
        <v>273</v>
      </c>
    </row>
    <row r="221">
      <c r="A221" s="1" t="s">
        <v>274</v>
      </c>
    </row>
    <row r="222">
      <c r="A222" s="1" t="s">
        <v>275</v>
      </c>
      <c r="K222" s="1" t="s">
        <v>276</v>
      </c>
    </row>
    <row r="223">
      <c r="A223" s="1" t="s">
        <v>277</v>
      </c>
    </row>
    <row r="224">
      <c r="A224" s="1" t="s">
        <v>278</v>
      </c>
    </row>
    <row r="225">
      <c r="A225" s="1" t="s">
        <v>279</v>
      </c>
    </row>
    <row r="226">
      <c r="A226" s="1" t="s">
        <v>280</v>
      </c>
      <c r="K226" s="1" t="s">
        <v>281</v>
      </c>
    </row>
    <row r="227">
      <c r="A227" s="1" t="s">
        <v>282</v>
      </c>
    </row>
    <row r="228">
      <c r="A228" s="1" t="s">
        <v>283</v>
      </c>
    </row>
    <row r="229">
      <c r="A229" s="1" t="s">
        <v>284</v>
      </c>
    </row>
    <row r="230">
      <c r="A230" s="1" t="s">
        <v>285</v>
      </c>
      <c r="K230" s="1" t="s">
        <v>286</v>
      </c>
    </row>
    <row r="231">
      <c r="A231" s="1" t="s">
        <v>287</v>
      </c>
    </row>
    <row r="232">
      <c r="A232" s="1" t="s">
        <v>288</v>
      </c>
    </row>
    <row r="233">
      <c r="A233" s="1" t="s">
        <v>289</v>
      </c>
    </row>
    <row r="234">
      <c r="A234" s="1" t="s">
        <v>290</v>
      </c>
      <c r="K234" s="1" t="s">
        <v>291</v>
      </c>
    </row>
    <row r="235">
      <c r="A235" s="1" t="s">
        <v>292</v>
      </c>
    </row>
    <row r="236">
      <c r="A236" s="1" t="s">
        <v>293</v>
      </c>
    </row>
    <row r="237">
      <c r="A237" s="1" t="s">
        <v>294</v>
      </c>
    </row>
    <row r="238">
      <c r="A238" s="1" t="s">
        <v>295</v>
      </c>
      <c r="K238" s="1" t="s">
        <v>296</v>
      </c>
    </row>
    <row r="239">
      <c r="A239" s="1" t="s">
        <v>297</v>
      </c>
    </row>
    <row r="240">
      <c r="A240" s="1" t="s">
        <v>298</v>
      </c>
    </row>
    <row r="241">
      <c r="A241" s="1" t="s">
        <v>299</v>
      </c>
    </row>
    <row r="242">
      <c r="A242" s="1" t="s">
        <v>300</v>
      </c>
      <c r="K242" s="1" t="s">
        <v>301</v>
      </c>
    </row>
    <row r="243">
      <c r="A243" s="1" t="s">
        <v>302</v>
      </c>
    </row>
    <row r="244">
      <c r="A244" s="1" t="s">
        <v>303</v>
      </c>
    </row>
    <row r="245">
      <c r="A245" s="1" t="s">
        <v>304</v>
      </c>
    </row>
    <row r="246">
      <c r="A246" s="1" t="s">
        <v>305</v>
      </c>
      <c r="K246" s="1" t="s">
        <v>306</v>
      </c>
    </row>
    <row r="247">
      <c r="A247" s="1" t="s">
        <v>307</v>
      </c>
    </row>
    <row r="248">
      <c r="A248" s="1" t="s">
        <v>308</v>
      </c>
    </row>
    <row r="249">
      <c r="A249" s="1" t="s">
        <v>309</v>
      </c>
    </row>
    <row r="250">
      <c r="A250" s="1" t="s">
        <v>310</v>
      </c>
      <c r="K250" s="1" t="s">
        <v>311</v>
      </c>
    </row>
    <row r="251">
      <c r="A251" s="1" t="s">
        <v>312</v>
      </c>
    </row>
    <row r="252">
      <c r="A252" s="1" t="s">
        <v>313</v>
      </c>
    </row>
    <row r="253">
      <c r="A253" s="1" t="s">
        <v>314</v>
      </c>
    </row>
    <row r="254">
      <c r="A254" s="1" t="s">
        <v>315</v>
      </c>
      <c r="K254" s="1" t="s">
        <v>316</v>
      </c>
    </row>
    <row r="255">
      <c r="A255" s="1" t="s">
        <v>317</v>
      </c>
    </row>
    <row r="256">
      <c r="A256" s="1" t="s">
        <v>318</v>
      </c>
    </row>
    <row r="257">
      <c r="A257" s="1" t="s">
        <v>319</v>
      </c>
    </row>
    <row r="258">
      <c r="A258" s="1" t="s">
        <v>320</v>
      </c>
      <c r="K258" s="1" t="s">
        <v>321</v>
      </c>
    </row>
    <row r="259">
      <c r="A259" s="1" t="s">
        <v>322</v>
      </c>
    </row>
    <row r="260">
      <c r="A260" s="1" t="s">
        <v>323</v>
      </c>
    </row>
    <row r="261">
      <c r="A261" s="1" t="s">
        <v>324</v>
      </c>
    </row>
    <row r="262">
      <c r="A262" s="1" t="s">
        <v>325</v>
      </c>
      <c r="K262" s="1" t="s">
        <v>326</v>
      </c>
    </row>
    <row r="263">
      <c r="A263" s="1" t="s">
        <v>327</v>
      </c>
    </row>
    <row r="264">
      <c r="A264" s="1" t="s">
        <v>328</v>
      </c>
    </row>
    <row r="265">
      <c r="A265" s="1" t="s">
        <v>329</v>
      </c>
    </row>
    <row r="266">
      <c r="A266" s="1" t="s">
        <v>330</v>
      </c>
      <c r="K266" s="1" t="s">
        <v>331</v>
      </c>
    </row>
    <row r="267">
      <c r="A267" s="1" t="s">
        <v>332</v>
      </c>
    </row>
    <row r="268">
      <c r="A268" s="1" t="s">
        <v>333</v>
      </c>
    </row>
    <row r="269">
      <c r="A269" s="1" t="s">
        <v>334</v>
      </c>
    </row>
    <row r="270">
      <c r="A270" s="1" t="s">
        <v>335</v>
      </c>
      <c r="K270" s="1" t="s">
        <v>336</v>
      </c>
    </row>
    <row r="271">
      <c r="A271" s="1" t="s">
        <v>337</v>
      </c>
    </row>
    <row r="272">
      <c r="A272" s="1" t="s">
        <v>338</v>
      </c>
    </row>
    <row r="273">
      <c r="A273" s="1" t="s">
        <v>339</v>
      </c>
    </row>
    <row r="274">
      <c r="A274" s="1" t="s">
        <v>340</v>
      </c>
      <c r="K274" s="1" t="s">
        <v>341</v>
      </c>
    </row>
    <row r="275">
      <c r="A275" s="1" t="s">
        <v>342</v>
      </c>
    </row>
    <row r="276">
      <c r="A276" s="1" t="s">
        <v>343</v>
      </c>
    </row>
    <row r="277">
      <c r="A277" s="1" t="s">
        <v>344</v>
      </c>
    </row>
    <row r="278">
      <c r="A278" s="1" t="s">
        <v>345</v>
      </c>
      <c r="K278" s="1" t="s">
        <v>346</v>
      </c>
    </row>
    <row r="279">
      <c r="A279" s="1" t="s">
        <v>347</v>
      </c>
    </row>
    <row r="280">
      <c r="A280" s="1" t="s">
        <v>348</v>
      </c>
    </row>
    <row r="281">
      <c r="A281" s="1" t="s">
        <v>349</v>
      </c>
    </row>
    <row r="282">
      <c r="A282" s="1" t="s">
        <v>350</v>
      </c>
      <c r="K282" s="1" t="s">
        <v>351</v>
      </c>
    </row>
    <row r="283">
      <c r="A283" s="1" t="s">
        <v>352</v>
      </c>
    </row>
    <row r="284">
      <c r="A284" s="1" t="s">
        <v>353</v>
      </c>
    </row>
    <row r="285">
      <c r="A285" s="1" t="s">
        <v>354</v>
      </c>
    </row>
    <row r="286">
      <c r="A286" s="1" t="s">
        <v>355</v>
      </c>
      <c r="K286" s="1" t="s">
        <v>356</v>
      </c>
    </row>
    <row r="287">
      <c r="A287" s="1" t="s">
        <v>357</v>
      </c>
    </row>
    <row r="288">
      <c r="A288" s="1" t="s">
        <v>358</v>
      </c>
    </row>
    <row r="289">
      <c r="A289" s="1" t="s">
        <v>359</v>
      </c>
    </row>
    <row r="290">
      <c r="A290" s="1" t="s">
        <v>360</v>
      </c>
      <c r="K290" s="1" t="s">
        <v>361</v>
      </c>
    </row>
    <row r="291">
      <c r="A291" s="1" t="s">
        <v>362</v>
      </c>
    </row>
    <row r="292">
      <c r="A292" s="1" t="s">
        <v>363</v>
      </c>
    </row>
    <row r="293">
      <c r="A293" s="1" t="s">
        <v>364</v>
      </c>
    </row>
    <row r="294">
      <c r="A294" s="1" t="s">
        <v>365</v>
      </c>
      <c r="K294" s="1" t="s">
        <v>366</v>
      </c>
    </row>
    <row r="295">
      <c r="A295" s="1" t="s">
        <v>367</v>
      </c>
    </row>
    <row r="296">
      <c r="A296" s="1" t="s">
        <v>368</v>
      </c>
    </row>
    <row r="297">
      <c r="A297" s="1" t="s">
        <v>369</v>
      </c>
    </row>
    <row r="298">
      <c r="A298" s="1" t="s">
        <v>370</v>
      </c>
      <c r="K298" s="1" t="s">
        <v>371</v>
      </c>
    </row>
    <row r="299">
      <c r="A299" s="1" t="s">
        <v>372</v>
      </c>
    </row>
    <row r="300">
      <c r="A300" s="1" t="s">
        <v>373</v>
      </c>
    </row>
    <row r="301">
      <c r="A301" s="1" t="s">
        <v>374</v>
      </c>
    </row>
    <row r="302">
      <c r="A302" s="1" t="s">
        <v>375</v>
      </c>
      <c r="K302" s="1" t="s">
        <v>376</v>
      </c>
    </row>
    <row r="303">
      <c r="A303" s="1" t="s">
        <v>377</v>
      </c>
    </row>
    <row r="304">
      <c r="A304" s="1" t="s">
        <v>378</v>
      </c>
    </row>
    <row r="305">
      <c r="A305" s="1" t="s">
        <v>379</v>
      </c>
    </row>
    <row r="306">
      <c r="A306" s="1" t="s">
        <v>380</v>
      </c>
      <c r="K306" s="1" t="s">
        <v>381</v>
      </c>
    </row>
    <row r="307">
      <c r="A307" s="1" t="s">
        <v>382</v>
      </c>
    </row>
    <row r="308">
      <c r="A308" s="1" t="s">
        <v>383</v>
      </c>
    </row>
    <row r="309">
      <c r="A309" s="1" t="s">
        <v>384</v>
      </c>
    </row>
    <row r="310">
      <c r="A310" s="1" t="s">
        <v>385</v>
      </c>
      <c r="K310" s="1" t="s">
        <v>386</v>
      </c>
    </row>
    <row r="311">
      <c r="A311" s="1" t="s">
        <v>387</v>
      </c>
    </row>
    <row r="312">
      <c r="A312" s="1" t="s">
        <v>388</v>
      </c>
    </row>
    <row r="313">
      <c r="A313" s="1" t="s">
        <v>389</v>
      </c>
    </row>
    <row r="314">
      <c r="A314" s="1" t="s">
        <v>390</v>
      </c>
      <c r="K314" s="1" t="s">
        <v>391</v>
      </c>
    </row>
    <row r="315">
      <c r="A315" s="1" t="s">
        <v>392</v>
      </c>
    </row>
    <row r="316">
      <c r="A316" s="1" t="s">
        <v>393</v>
      </c>
    </row>
    <row r="317">
      <c r="A317" s="1" t="s">
        <v>394</v>
      </c>
    </row>
    <row r="318">
      <c r="A318" s="1" t="s">
        <v>395</v>
      </c>
      <c r="K318" s="1" t="s">
        <v>396</v>
      </c>
    </row>
    <row r="319">
      <c r="A319" s="1" t="s">
        <v>397</v>
      </c>
    </row>
    <row r="320">
      <c r="A320" s="1" t="s">
        <v>398</v>
      </c>
    </row>
    <row r="321">
      <c r="A321" s="1" t="s">
        <v>399</v>
      </c>
    </row>
    <row r="322">
      <c r="A322" s="1" t="s">
        <v>400</v>
      </c>
      <c r="K322" s="1" t="s">
        <v>401</v>
      </c>
    </row>
    <row r="323">
      <c r="A323" s="1" t="s">
        <v>402</v>
      </c>
    </row>
    <row r="324">
      <c r="A324" s="1" t="s">
        <v>403</v>
      </c>
    </row>
    <row r="325">
      <c r="A325" s="1" t="s">
        <v>404</v>
      </c>
    </row>
    <row r="326">
      <c r="A326" s="1" t="s">
        <v>405</v>
      </c>
      <c r="K326" s="1" t="s">
        <v>406</v>
      </c>
    </row>
    <row r="327">
      <c r="A327" s="1" t="s">
        <v>407</v>
      </c>
    </row>
    <row r="328">
      <c r="A328" s="1" t="s">
        <v>408</v>
      </c>
    </row>
    <row r="329">
      <c r="A329" s="1" t="s">
        <v>409</v>
      </c>
    </row>
    <row r="330">
      <c r="A330" s="1" t="s">
        <v>410</v>
      </c>
      <c r="K330" s="1" t="s">
        <v>411</v>
      </c>
    </row>
    <row r="331">
      <c r="A331" s="1" t="s">
        <v>412</v>
      </c>
    </row>
    <row r="332">
      <c r="A332" s="1" t="s">
        <v>413</v>
      </c>
    </row>
    <row r="333">
      <c r="A333" s="1" t="s">
        <v>414</v>
      </c>
    </row>
    <row r="334">
      <c r="A334" s="1" t="s">
        <v>415</v>
      </c>
      <c r="K334" s="1" t="s">
        <v>416</v>
      </c>
    </row>
    <row r="335">
      <c r="A335" s="1" t="s">
        <v>417</v>
      </c>
    </row>
    <row r="336">
      <c r="A336" s="1" t="s">
        <v>418</v>
      </c>
    </row>
    <row r="337">
      <c r="A337" s="1" t="s">
        <v>419</v>
      </c>
    </row>
    <row r="338">
      <c r="A338" s="1" t="s">
        <v>420</v>
      </c>
      <c r="K338" s="1" t="s">
        <v>421</v>
      </c>
    </row>
    <row r="339">
      <c r="A339" s="1" t="s">
        <v>422</v>
      </c>
    </row>
    <row r="340">
      <c r="A340" s="1" t="s">
        <v>423</v>
      </c>
    </row>
    <row r="341">
      <c r="A341" s="1" t="s">
        <v>424</v>
      </c>
    </row>
    <row r="342">
      <c r="A342" s="1" t="s">
        <v>425</v>
      </c>
      <c r="K342" s="1" t="s">
        <v>426</v>
      </c>
    </row>
    <row r="343">
      <c r="A343" s="1" t="s">
        <v>427</v>
      </c>
    </row>
    <row r="344">
      <c r="A344" s="1" t="s">
        <v>428</v>
      </c>
    </row>
    <row r="345">
      <c r="A345" s="1" t="s">
        <v>429</v>
      </c>
    </row>
    <row r="346">
      <c r="A346" s="1" t="s">
        <v>430</v>
      </c>
      <c r="K346" s="1" t="s">
        <v>431</v>
      </c>
    </row>
    <row r="347">
      <c r="A347" s="1" t="s">
        <v>432</v>
      </c>
    </row>
    <row r="348">
      <c r="A348" s="1" t="s">
        <v>433</v>
      </c>
    </row>
    <row r="349">
      <c r="A349" s="1" t="s">
        <v>434</v>
      </c>
    </row>
    <row r="350">
      <c r="A350" s="1" t="s">
        <v>435</v>
      </c>
      <c r="K350" s="1" t="s">
        <v>436</v>
      </c>
    </row>
    <row r="351">
      <c r="A351" s="1" t="s">
        <v>437</v>
      </c>
    </row>
    <row r="352">
      <c r="A352" s="1" t="s">
        <v>438</v>
      </c>
    </row>
    <row r="353">
      <c r="A353" s="1" t="s">
        <v>439</v>
      </c>
    </row>
    <row r="354">
      <c r="A354" s="1" t="s">
        <v>440</v>
      </c>
      <c r="K354" s="1" t="s">
        <v>441</v>
      </c>
    </row>
    <row r="355">
      <c r="A355" s="1" t="s">
        <v>442</v>
      </c>
    </row>
    <row r="356">
      <c r="A356" s="1" t="s">
        <v>443</v>
      </c>
    </row>
    <row r="357">
      <c r="A357" s="1" t="s">
        <v>444</v>
      </c>
    </row>
    <row r="358">
      <c r="A358" s="1" t="s">
        <v>445</v>
      </c>
      <c r="K358" s="1" t="s">
        <v>446</v>
      </c>
    </row>
    <row r="359">
      <c r="A359" s="1" t="s">
        <v>447</v>
      </c>
    </row>
    <row r="360">
      <c r="A360" s="1" t="s">
        <v>448</v>
      </c>
    </row>
    <row r="361">
      <c r="A361" s="1" t="s">
        <v>449</v>
      </c>
    </row>
    <row r="362">
      <c r="A362" s="1" t="s">
        <v>450</v>
      </c>
      <c r="K362" s="1" t="s">
        <v>451</v>
      </c>
    </row>
    <row r="363">
      <c r="A363" s="1" t="s">
        <v>452</v>
      </c>
    </row>
    <row r="364">
      <c r="A364" s="1" t="s">
        <v>453</v>
      </c>
    </row>
    <row r="365">
      <c r="A365" s="1" t="s">
        <v>454</v>
      </c>
    </row>
    <row r="366">
      <c r="A366" s="1" t="s">
        <v>455</v>
      </c>
      <c r="K366" s="1" t="s">
        <v>456</v>
      </c>
    </row>
    <row r="367">
      <c r="A367" s="1" t="s">
        <v>457</v>
      </c>
    </row>
    <row r="368">
      <c r="A368" s="1" t="s">
        <v>458</v>
      </c>
    </row>
    <row r="369">
      <c r="A369" s="1" t="s">
        <v>459</v>
      </c>
    </row>
    <row r="370">
      <c r="A370" s="1" t="s">
        <v>460</v>
      </c>
      <c r="K370" s="1" t="s">
        <v>461</v>
      </c>
    </row>
    <row r="371">
      <c r="A371" s="1" t="s">
        <v>462</v>
      </c>
    </row>
    <row r="372">
      <c r="A372" s="1" t="s">
        <v>463</v>
      </c>
    </row>
    <row r="373">
      <c r="A373" s="1" t="s">
        <v>464</v>
      </c>
    </row>
    <row r="374">
      <c r="A374" s="1" t="s">
        <v>465</v>
      </c>
      <c r="K374" s="1" t="s">
        <v>466</v>
      </c>
    </row>
    <row r="375">
      <c r="A375" s="1" t="s">
        <v>467</v>
      </c>
    </row>
    <row r="376">
      <c r="A376" s="1" t="s">
        <v>468</v>
      </c>
    </row>
    <row r="377">
      <c r="A377" s="1" t="s">
        <v>469</v>
      </c>
    </row>
    <row r="378">
      <c r="A378" s="1" t="s">
        <v>470</v>
      </c>
      <c r="K378" s="1" t="s">
        <v>471</v>
      </c>
    </row>
    <row r="379">
      <c r="A379" s="1" t="s">
        <v>472</v>
      </c>
    </row>
    <row r="380">
      <c r="A380" s="1" t="s">
        <v>473</v>
      </c>
    </row>
    <row r="381">
      <c r="A381" s="1" t="s">
        <v>474</v>
      </c>
    </row>
    <row r="382">
      <c r="A382" s="1" t="s">
        <v>475</v>
      </c>
      <c r="K382" s="1" t="s">
        <v>476</v>
      </c>
    </row>
    <row r="383">
      <c r="A383" s="1" t="s">
        <v>477</v>
      </c>
    </row>
    <row r="384">
      <c r="A384" s="1" t="s">
        <v>478</v>
      </c>
    </row>
    <row r="385">
      <c r="A385" s="1" t="s">
        <v>479</v>
      </c>
    </row>
    <row r="386">
      <c r="A386" s="1" t="s">
        <v>480</v>
      </c>
      <c r="K386" s="1" t="s">
        <v>481</v>
      </c>
    </row>
    <row r="387">
      <c r="A387" s="1" t="s">
        <v>482</v>
      </c>
    </row>
    <row r="388">
      <c r="A388" s="1" t="s">
        <v>483</v>
      </c>
    </row>
    <row r="389">
      <c r="A389" s="1" t="s">
        <v>484</v>
      </c>
    </row>
    <row r="390">
      <c r="A390" s="1" t="s">
        <v>485</v>
      </c>
      <c r="K390" s="1" t="s">
        <v>486</v>
      </c>
    </row>
    <row r="391">
      <c r="A391" s="1" t="s">
        <v>487</v>
      </c>
    </row>
    <row r="392">
      <c r="A392" s="1" t="s">
        <v>488</v>
      </c>
    </row>
    <row r="393">
      <c r="A393" s="1" t="s">
        <v>489</v>
      </c>
    </row>
    <row r="394">
      <c r="A394" s="1" t="s">
        <v>490</v>
      </c>
      <c r="K394" s="1" t="s">
        <v>491</v>
      </c>
    </row>
    <row r="395">
      <c r="A395" s="1" t="s">
        <v>492</v>
      </c>
    </row>
    <row r="396">
      <c r="A396" s="1" t="s">
        <v>493</v>
      </c>
    </row>
    <row r="397">
      <c r="A397" s="1" t="s">
        <v>494</v>
      </c>
    </row>
    <row r="398">
      <c r="A398" s="1" t="s">
        <v>495</v>
      </c>
      <c r="K398" s="1" t="s">
        <v>496</v>
      </c>
    </row>
    <row r="399">
      <c r="A399" s="1" t="s">
        <v>497</v>
      </c>
    </row>
    <row r="400">
      <c r="A400" s="1" t="s">
        <v>498</v>
      </c>
    </row>
    <row r="401">
      <c r="A401" s="1" t="s">
        <v>499</v>
      </c>
    </row>
    <row r="402">
      <c r="A402" s="1" t="s">
        <v>500</v>
      </c>
      <c r="K402" s="1" t="s">
        <v>501</v>
      </c>
    </row>
    <row r="403">
      <c r="A403" s="1" t="s">
        <v>502</v>
      </c>
    </row>
    <row r="404">
      <c r="A404" s="1" t="s">
        <v>503</v>
      </c>
    </row>
    <row r="405">
      <c r="A405" s="1" t="s">
        <v>504</v>
      </c>
    </row>
    <row r="406">
      <c r="A406" s="1" t="s">
        <v>505</v>
      </c>
      <c r="K406" s="1" t="s">
        <v>506</v>
      </c>
    </row>
    <row r="407">
      <c r="A407" s="1" t="s">
        <v>507</v>
      </c>
    </row>
    <row r="408">
      <c r="A408" s="1" t="s">
        <v>508</v>
      </c>
    </row>
    <row r="409">
      <c r="A409" s="1" t="s">
        <v>509</v>
      </c>
    </row>
    <row r="410">
      <c r="A410" s="1" t="s">
        <v>510</v>
      </c>
      <c r="K410" s="1" t="s">
        <v>511</v>
      </c>
    </row>
    <row r="411">
      <c r="A411" s="1" t="s">
        <v>512</v>
      </c>
    </row>
    <row r="412">
      <c r="A412" s="1" t="s">
        <v>513</v>
      </c>
    </row>
    <row r="413">
      <c r="A413" s="1" t="s">
        <v>514</v>
      </c>
    </row>
    <row r="414">
      <c r="A414" s="1" t="s">
        <v>515</v>
      </c>
      <c r="K414" s="1" t="s">
        <v>516</v>
      </c>
    </row>
    <row r="415">
      <c r="A415" s="1" t="s">
        <v>517</v>
      </c>
    </row>
    <row r="416">
      <c r="A416" s="1" t="s">
        <v>518</v>
      </c>
    </row>
    <row r="417">
      <c r="A417" s="1" t="s">
        <v>519</v>
      </c>
    </row>
    <row r="418">
      <c r="A418" s="1" t="s">
        <v>520</v>
      </c>
      <c r="K418" s="1" t="s">
        <v>521</v>
      </c>
    </row>
    <row r="419">
      <c r="A419" s="1" t="s">
        <v>522</v>
      </c>
    </row>
    <row r="420">
      <c r="A420" s="1" t="s">
        <v>523</v>
      </c>
    </row>
    <row r="421">
      <c r="A421" s="1" t="s">
        <v>524</v>
      </c>
    </row>
    <row r="422">
      <c r="A422" s="1" t="s">
        <v>525</v>
      </c>
      <c r="K422" s="1" t="s">
        <v>526</v>
      </c>
    </row>
    <row r="423">
      <c r="A423" s="1" t="s">
        <v>527</v>
      </c>
    </row>
    <row r="424">
      <c r="A424" s="1" t="s">
        <v>528</v>
      </c>
    </row>
    <row r="425">
      <c r="A425" s="1" t="s">
        <v>529</v>
      </c>
    </row>
    <row r="426">
      <c r="A426" s="1" t="s">
        <v>530</v>
      </c>
      <c r="K426" s="1" t="s">
        <v>531</v>
      </c>
    </row>
    <row r="427">
      <c r="A427" s="1" t="s">
        <v>532</v>
      </c>
    </row>
    <row r="428">
      <c r="A428" s="1" t="s">
        <v>533</v>
      </c>
    </row>
    <row r="429">
      <c r="A429" s="1" t="s">
        <v>534</v>
      </c>
    </row>
    <row r="430">
      <c r="A430" s="1" t="s">
        <v>535</v>
      </c>
      <c r="K430" s="1" t="s">
        <v>536</v>
      </c>
    </row>
    <row r="431">
      <c r="A431" s="1" t="s">
        <v>537</v>
      </c>
    </row>
    <row r="432">
      <c r="A432" s="1" t="s">
        <v>538</v>
      </c>
    </row>
    <row r="433">
      <c r="A433" s="1" t="s">
        <v>539</v>
      </c>
    </row>
    <row r="434">
      <c r="A434" s="1" t="s">
        <v>540</v>
      </c>
      <c r="K434" s="1" t="s">
        <v>541</v>
      </c>
    </row>
    <row r="435">
      <c r="A435" s="1" t="s">
        <v>542</v>
      </c>
    </row>
    <row r="436">
      <c r="A436" s="1" t="s">
        <v>543</v>
      </c>
    </row>
    <row r="437">
      <c r="A437" s="1" t="s">
        <v>544</v>
      </c>
    </row>
    <row r="438">
      <c r="A438" s="1" t="s">
        <v>545</v>
      </c>
      <c r="K438" s="1" t="s">
        <v>546</v>
      </c>
    </row>
    <row r="439">
      <c r="A439" s="1" t="s">
        <v>547</v>
      </c>
    </row>
    <row r="440">
      <c r="A440" s="1" t="s">
        <v>548</v>
      </c>
    </row>
    <row r="441">
      <c r="A441" s="1" t="s">
        <v>549</v>
      </c>
    </row>
    <row r="442">
      <c r="A442" s="1" t="s">
        <v>550</v>
      </c>
      <c r="K442" s="1" t="s">
        <v>551</v>
      </c>
    </row>
    <row r="443">
      <c r="A443" s="1" t="s">
        <v>552</v>
      </c>
    </row>
    <row r="444">
      <c r="A444" s="1" t="s">
        <v>553</v>
      </c>
    </row>
    <row r="445">
      <c r="A445" s="1" t="s">
        <v>554</v>
      </c>
    </row>
    <row r="446">
      <c r="A446" s="1" t="s">
        <v>555</v>
      </c>
      <c r="K446" s="1" t="s">
        <v>556</v>
      </c>
    </row>
    <row r="447">
      <c r="A447" s="1" t="s">
        <v>557</v>
      </c>
    </row>
    <row r="448">
      <c r="A448" s="1" t="s">
        <v>558</v>
      </c>
    </row>
    <row r="449">
      <c r="A449" s="1" t="s">
        <v>559</v>
      </c>
    </row>
    <row r="450">
      <c r="A450" s="1" t="s">
        <v>560</v>
      </c>
      <c r="K450" s="1" t="s">
        <v>561</v>
      </c>
    </row>
    <row r="451">
      <c r="A451" s="1" t="s">
        <v>562</v>
      </c>
    </row>
    <row r="452">
      <c r="A452" s="1" t="s">
        <v>563</v>
      </c>
    </row>
    <row r="453">
      <c r="A453" s="1" t="s">
        <v>564</v>
      </c>
    </row>
    <row r="454">
      <c r="A454" s="1" t="s">
        <v>565</v>
      </c>
      <c r="K454" s="1" t="s">
        <v>566</v>
      </c>
    </row>
    <row r="455">
      <c r="A455" s="1" t="s">
        <v>567</v>
      </c>
    </row>
    <row r="456">
      <c r="A456" s="1" t="s">
        <v>568</v>
      </c>
    </row>
    <row r="457">
      <c r="A457" s="1" t="s">
        <v>569</v>
      </c>
    </row>
    <row r="458">
      <c r="A458" s="1" t="s">
        <v>570</v>
      </c>
      <c r="K458" s="1" t="s">
        <v>571</v>
      </c>
    </row>
    <row r="459">
      <c r="A459" s="1" t="s">
        <v>572</v>
      </c>
    </row>
    <row r="460">
      <c r="A460" s="1" t="s">
        <v>573</v>
      </c>
    </row>
    <row r="461">
      <c r="A461" s="1" t="s">
        <v>574</v>
      </c>
    </row>
    <row r="462">
      <c r="A462" s="1" t="s">
        <v>575</v>
      </c>
      <c r="K462" s="1" t="s">
        <v>576</v>
      </c>
    </row>
    <row r="463">
      <c r="A463" s="1" t="s">
        <v>577</v>
      </c>
    </row>
    <row r="464">
      <c r="A464" s="1" t="s">
        <v>578</v>
      </c>
    </row>
    <row r="465">
      <c r="A465" s="1" t="s">
        <v>579</v>
      </c>
    </row>
    <row r="466">
      <c r="A466" s="1" t="s">
        <v>580</v>
      </c>
      <c r="K466" s="1" t="s">
        <v>581</v>
      </c>
    </row>
    <row r="467">
      <c r="A467" s="1" t="s">
        <v>582</v>
      </c>
    </row>
    <row r="468">
      <c r="A468" s="1" t="s">
        <v>583</v>
      </c>
    </row>
    <row r="469">
      <c r="A469" s="1" t="s">
        <v>584</v>
      </c>
    </row>
    <row r="470">
      <c r="A470" s="1" t="s">
        <v>585</v>
      </c>
      <c r="K470" s="1" t="s">
        <v>586</v>
      </c>
    </row>
    <row r="471">
      <c r="A471" s="1" t="s">
        <v>587</v>
      </c>
    </row>
    <row r="472">
      <c r="A472" s="1" t="s">
        <v>588</v>
      </c>
    </row>
    <row r="473">
      <c r="A473" s="1" t="s">
        <v>589</v>
      </c>
    </row>
    <row r="474">
      <c r="A474" s="1" t="s">
        <v>590</v>
      </c>
      <c r="K474" s="1" t="s">
        <v>591</v>
      </c>
    </row>
    <row r="475">
      <c r="A475" s="1" t="s">
        <v>592</v>
      </c>
    </row>
    <row r="476">
      <c r="A476" s="1" t="s">
        <v>593</v>
      </c>
    </row>
    <row r="477">
      <c r="A477" s="1" t="s">
        <v>594</v>
      </c>
    </row>
    <row r="478">
      <c r="A478" s="1" t="s">
        <v>595</v>
      </c>
      <c r="K478" s="1" t="s">
        <v>596</v>
      </c>
    </row>
    <row r="479">
      <c r="A479" s="1" t="s">
        <v>597</v>
      </c>
    </row>
    <row r="480">
      <c r="A480" s="1" t="s">
        <v>598</v>
      </c>
    </row>
    <row r="481">
      <c r="A481" s="1" t="s">
        <v>599</v>
      </c>
    </row>
    <row r="482">
      <c r="A482" s="1" t="s">
        <v>600</v>
      </c>
      <c r="K482" s="1" t="s">
        <v>601</v>
      </c>
    </row>
    <row r="483">
      <c r="A483" s="1" t="s">
        <v>602</v>
      </c>
    </row>
    <row r="484">
      <c r="A484" s="1" t="s">
        <v>603</v>
      </c>
    </row>
    <row r="485">
      <c r="A485" s="1" t="s">
        <v>604</v>
      </c>
    </row>
    <row r="486">
      <c r="A486" s="1" t="s">
        <v>605</v>
      </c>
      <c r="K486" s="1" t="s">
        <v>606</v>
      </c>
    </row>
    <row r="487">
      <c r="A487" s="1" t="s">
        <v>607</v>
      </c>
    </row>
    <row r="488">
      <c r="A488" s="1" t="s">
        <v>608</v>
      </c>
    </row>
    <row r="489">
      <c r="A489" s="1" t="s">
        <v>609</v>
      </c>
    </row>
    <row r="490">
      <c r="A490" s="1" t="s">
        <v>610</v>
      </c>
      <c r="K490" s="1" t="s">
        <v>611</v>
      </c>
    </row>
    <row r="491">
      <c r="A491" s="1" t="s">
        <v>612</v>
      </c>
    </row>
    <row r="492">
      <c r="A492" s="1" t="s">
        <v>613</v>
      </c>
    </row>
    <row r="493">
      <c r="A493" s="1" t="s">
        <v>614</v>
      </c>
    </row>
    <row r="494">
      <c r="A494" s="1" t="s">
        <v>615</v>
      </c>
      <c r="K494" s="1" t="s">
        <v>616</v>
      </c>
    </row>
    <row r="495">
      <c r="A495" s="1" t="s">
        <v>617</v>
      </c>
    </row>
    <row r="496">
      <c r="A496" s="1" t="s">
        <v>618</v>
      </c>
    </row>
    <row r="497">
      <c r="A497" s="1" t="s">
        <v>619</v>
      </c>
    </row>
    <row r="498">
      <c r="A498" s="1" t="s">
        <v>620</v>
      </c>
      <c r="K498" s="1" t="s">
        <v>621</v>
      </c>
    </row>
    <row r="499">
      <c r="A499" s="1" t="s">
        <v>622</v>
      </c>
    </row>
    <row r="500">
      <c r="A500" s="1" t="s">
        <v>623</v>
      </c>
    </row>
    <row r="501">
      <c r="A501" s="1" t="s">
        <v>624</v>
      </c>
    </row>
    <row r="502">
      <c r="A502" s="1" t="s">
        <v>625</v>
      </c>
      <c r="K502" s="1" t="s">
        <v>626</v>
      </c>
    </row>
    <row r="503">
      <c r="A503" s="1" t="s">
        <v>627</v>
      </c>
    </row>
    <row r="504">
      <c r="A504" s="1" t="s">
        <v>628</v>
      </c>
    </row>
    <row r="505">
      <c r="A505" s="1" t="s">
        <v>629</v>
      </c>
    </row>
    <row r="506">
      <c r="A506" s="1" t="s">
        <v>630</v>
      </c>
      <c r="K506" s="1" t="s">
        <v>631</v>
      </c>
    </row>
    <row r="507">
      <c r="A507" s="1" t="s">
        <v>632</v>
      </c>
    </row>
    <row r="508">
      <c r="A508" s="1" t="s">
        <v>633</v>
      </c>
    </row>
    <row r="509">
      <c r="A509" s="1" t="s">
        <v>634</v>
      </c>
    </row>
    <row r="510">
      <c r="A510" s="1" t="s">
        <v>635</v>
      </c>
      <c r="K510" s="1" t="s">
        <v>636</v>
      </c>
    </row>
    <row r="511">
      <c r="A511" s="1" t="s">
        <v>637</v>
      </c>
    </row>
    <row r="512">
      <c r="A512" s="1" t="s">
        <v>638</v>
      </c>
    </row>
    <row r="513">
      <c r="A513" s="1" t="s">
        <v>639</v>
      </c>
    </row>
    <row r="514">
      <c r="A514" s="1" t="s">
        <v>640</v>
      </c>
      <c r="K514" s="1" t="s">
        <v>641</v>
      </c>
    </row>
    <row r="515">
      <c r="A515" s="1" t="s">
        <v>642</v>
      </c>
    </row>
    <row r="516">
      <c r="A516" s="1" t="s">
        <v>643</v>
      </c>
    </row>
    <row r="517">
      <c r="A517" s="1" t="s">
        <v>644</v>
      </c>
    </row>
    <row r="518">
      <c r="A518" s="1" t="s">
        <v>645</v>
      </c>
      <c r="K518" s="1" t="s">
        <v>646</v>
      </c>
    </row>
    <row r="519">
      <c r="A519" s="1" t="s">
        <v>647</v>
      </c>
    </row>
    <row r="520">
      <c r="A520" s="1" t="s">
        <v>648</v>
      </c>
    </row>
    <row r="521">
      <c r="A521" s="1" t="s">
        <v>649</v>
      </c>
    </row>
    <row r="522">
      <c r="A522" s="1" t="s">
        <v>650</v>
      </c>
      <c r="K522" s="1" t="s">
        <v>651</v>
      </c>
    </row>
    <row r="523">
      <c r="A523" s="1" t="s">
        <v>652</v>
      </c>
    </row>
    <row r="524">
      <c r="A524" s="1" t="s">
        <v>653</v>
      </c>
    </row>
    <row r="525">
      <c r="A525" s="1" t="s">
        <v>654</v>
      </c>
    </row>
    <row r="526">
      <c r="A526" s="1" t="s">
        <v>655</v>
      </c>
      <c r="K526" s="1" t="s">
        <v>656</v>
      </c>
    </row>
    <row r="527">
      <c r="A527" s="1" t="s">
        <v>657</v>
      </c>
    </row>
    <row r="528">
      <c r="A528" s="1" t="s">
        <v>658</v>
      </c>
    </row>
    <row r="529">
      <c r="A529" s="1" t="s">
        <v>659</v>
      </c>
    </row>
    <row r="530">
      <c r="A530" s="1" t="s">
        <v>660</v>
      </c>
      <c r="K530" s="1" t="s">
        <v>661</v>
      </c>
    </row>
    <row r="531">
      <c r="A531" s="1" t="s">
        <v>662</v>
      </c>
    </row>
    <row r="532">
      <c r="A532" s="1" t="s">
        <v>663</v>
      </c>
    </row>
    <row r="533">
      <c r="A533" s="1" t="s">
        <v>664</v>
      </c>
    </row>
    <row r="534">
      <c r="A534" s="1" t="s">
        <v>665</v>
      </c>
      <c r="K534" s="1" t="s">
        <v>666</v>
      </c>
    </row>
    <row r="535">
      <c r="A535" s="1" t="s">
        <v>667</v>
      </c>
    </row>
    <row r="536">
      <c r="A536" s="1" t="s">
        <v>668</v>
      </c>
    </row>
    <row r="537">
      <c r="A537" s="1" t="s">
        <v>669</v>
      </c>
    </row>
    <row r="538">
      <c r="A538" s="1" t="s">
        <v>670</v>
      </c>
      <c r="K538" s="1" t="s">
        <v>671</v>
      </c>
    </row>
    <row r="539">
      <c r="A539" s="1" t="s">
        <v>672</v>
      </c>
    </row>
    <row r="540">
      <c r="A540" s="1" t="s">
        <v>673</v>
      </c>
    </row>
    <row r="541">
      <c r="A541" s="1" t="s">
        <v>674</v>
      </c>
    </row>
    <row r="542">
      <c r="A542" s="1" t="s">
        <v>675</v>
      </c>
      <c r="K542" s="1" t="s">
        <v>676</v>
      </c>
    </row>
    <row r="543">
      <c r="A543" s="1" t="s">
        <v>677</v>
      </c>
    </row>
    <row r="544">
      <c r="A544" s="1" t="s">
        <v>678</v>
      </c>
    </row>
    <row r="545">
      <c r="A545" s="1" t="s">
        <v>679</v>
      </c>
    </row>
    <row r="546">
      <c r="A546" s="1" t="s">
        <v>680</v>
      </c>
      <c r="K546" s="1" t="s">
        <v>681</v>
      </c>
    </row>
    <row r="547">
      <c r="A547" s="1" t="s">
        <v>682</v>
      </c>
    </row>
    <row r="548">
      <c r="A548" s="1" t="s">
        <v>683</v>
      </c>
    </row>
    <row r="549">
      <c r="A549" s="1" t="s">
        <v>684</v>
      </c>
    </row>
    <row r="550">
      <c r="A550" s="1" t="s">
        <v>685</v>
      </c>
      <c r="K550" s="1" t="s">
        <v>686</v>
      </c>
    </row>
    <row r="551">
      <c r="A551" s="1" t="s">
        <v>687</v>
      </c>
    </row>
    <row r="552">
      <c r="A552" s="1" t="s">
        <v>688</v>
      </c>
    </row>
    <row r="553">
      <c r="A553" s="1" t="s">
        <v>689</v>
      </c>
    </row>
    <row r="554">
      <c r="A554" s="1" t="s">
        <v>690</v>
      </c>
      <c r="K554" s="1" t="s">
        <v>691</v>
      </c>
    </row>
    <row r="555">
      <c r="A555" s="1" t="s">
        <v>692</v>
      </c>
    </row>
    <row r="556">
      <c r="A556" s="1" t="s">
        <v>693</v>
      </c>
    </row>
    <row r="557">
      <c r="A557" s="1" t="s">
        <v>694</v>
      </c>
    </row>
    <row r="558">
      <c r="A558" s="1" t="s">
        <v>695</v>
      </c>
      <c r="K558" s="1" t="s">
        <v>696</v>
      </c>
    </row>
    <row r="559">
      <c r="A559" s="1" t="s">
        <v>697</v>
      </c>
    </row>
    <row r="560">
      <c r="A560" s="1" t="s">
        <v>698</v>
      </c>
    </row>
    <row r="561">
      <c r="A561" s="1" t="s">
        <v>699</v>
      </c>
    </row>
    <row r="562">
      <c r="A562" s="1" t="s">
        <v>700</v>
      </c>
      <c r="K562" s="1" t="s">
        <v>701</v>
      </c>
    </row>
    <row r="563">
      <c r="A563" s="1" t="s">
        <v>702</v>
      </c>
    </row>
    <row r="564">
      <c r="A564" s="1" t="s">
        <v>703</v>
      </c>
    </row>
    <row r="565">
      <c r="A565" s="1" t="s">
        <v>704</v>
      </c>
    </row>
    <row r="566">
      <c r="A566" s="1" t="s">
        <v>705</v>
      </c>
      <c r="K566" s="1" t="s">
        <v>706</v>
      </c>
    </row>
    <row r="567">
      <c r="A567" s="1" t="s">
        <v>707</v>
      </c>
    </row>
    <row r="568">
      <c r="A568" s="1" t="s">
        <v>708</v>
      </c>
    </row>
    <row r="569">
      <c r="A569" s="1" t="s">
        <v>709</v>
      </c>
    </row>
    <row r="570">
      <c r="A570" s="1" t="s">
        <v>710</v>
      </c>
      <c r="K570" s="1" t="s">
        <v>711</v>
      </c>
    </row>
    <row r="571">
      <c r="A571" s="1" t="s">
        <v>712</v>
      </c>
    </row>
    <row r="572">
      <c r="A572" s="1" t="s">
        <v>713</v>
      </c>
    </row>
    <row r="573">
      <c r="A573" s="1" t="s">
        <v>714</v>
      </c>
    </row>
    <row r="574">
      <c r="A574" s="1" t="s">
        <v>715</v>
      </c>
      <c r="K574" s="1" t="s">
        <v>716</v>
      </c>
    </row>
    <row r="575">
      <c r="A575" s="1" t="s">
        <v>717</v>
      </c>
    </row>
    <row r="576">
      <c r="A576" s="1" t="s">
        <v>718</v>
      </c>
    </row>
    <row r="577">
      <c r="A577" s="1" t="s">
        <v>719</v>
      </c>
    </row>
    <row r="578">
      <c r="A578" s="1" t="s">
        <v>720</v>
      </c>
      <c r="K578" s="1" t="s">
        <v>721</v>
      </c>
    </row>
    <row r="579">
      <c r="A579" s="1" t="s">
        <v>722</v>
      </c>
    </row>
    <row r="580">
      <c r="A580" s="1" t="s">
        <v>723</v>
      </c>
    </row>
    <row r="581">
      <c r="A581" s="1" t="s">
        <v>724</v>
      </c>
    </row>
    <row r="582">
      <c r="A582" s="1" t="s">
        <v>725</v>
      </c>
      <c r="K582" s="1" t="s">
        <v>726</v>
      </c>
    </row>
    <row r="583">
      <c r="A583" s="1" t="s">
        <v>727</v>
      </c>
    </row>
    <row r="584">
      <c r="A584" s="1" t="s">
        <v>728</v>
      </c>
    </row>
    <row r="585">
      <c r="A585" s="1" t="s">
        <v>729</v>
      </c>
    </row>
    <row r="586">
      <c r="A586" s="1" t="s">
        <v>730</v>
      </c>
      <c r="K586" s="1" t="s">
        <v>731</v>
      </c>
    </row>
    <row r="587">
      <c r="A587" s="1" t="s">
        <v>732</v>
      </c>
    </row>
    <row r="588">
      <c r="A588" s="1" t="s">
        <v>733</v>
      </c>
    </row>
    <row r="589">
      <c r="A589" s="1" t="s">
        <v>734</v>
      </c>
    </row>
    <row r="590">
      <c r="A590" s="1" t="s">
        <v>735</v>
      </c>
      <c r="K590" s="1" t="s">
        <v>736</v>
      </c>
    </row>
    <row r="591">
      <c r="A591" s="1" t="s">
        <v>737</v>
      </c>
    </row>
    <row r="592">
      <c r="A592" s="1" t="s">
        <v>738</v>
      </c>
    </row>
    <row r="593">
      <c r="A593" s="1" t="s">
        <v>739</v>
      </c>
    </row>
    <row r="594">
      <c r="A594" s="1" t="s">
        <v>740</v>
      </c>
      <c r="K594" s="1" t="s">
        <v>741</v>
      </c>
    </row>
    <row r="595">
      <c r="A595" s="1" t="s">
        <v>742</v>
      </c>
    </row>
    <row r="596">
      <c r="A596" s="1" t="s">
        <v>743</v>
      </c>
    </row>
    <row r="597">
      <c r="A597" s="1" t="s">
        <v>744</v>
      </c>
    </row>
    <row r="598">
      <c r="A598" s="1" t="s">
        <v>745</v>
      </c>
      <c r="K598" s="1" t="s">
        <v>746</v>
      </c>
    </row>
    <row r="599">
      <c r="A599" s="1" t="s">
        <v>747</v>
      </c>
    </row>
    <row r="600">
      <c r="A600" s="1" t="s">
        <v>748</v>
      </c>
    </row>
    <row r="601">
      <c r="A601" s="1" t="s">
        <v>749</v>
      </c>
    </row>
    <row r="602">
      <c r="A602" s="1" t="s">
        <v>750</v>
      </c>
      <c r="K602" s="1" t="s">
        <v>751</v>
      </c>
    </row>
    <row r="603">
      <c r="A603" s="1" t="s">
        <v>752</v>
      </c>
    </row>
    <row r="604">
      <c r="A604" s="1" t="s">
        <v>753</v>
      </c>
    </row>
    <row r="605">
      <c r="A605" s="1" t="s">
        <v>754</v>
      </c>
    </row>
    <row r="606">
      <c r="A606" s="1" t="s">
        <v>755</v>
      </c>
      <c r="K606" s="1" t="s">
        <v>756</v>
      </c>
    </row>
    <row r="607">
      <c r="A607" s="1" t="s">
        <v>757</v>
      </c>
    </row>
    <row r="608">
      <c r="A608" s="1" t="s">
        <v>758</v>
      </c>
    </row>
    <row r="609">
      <c r="A609" s="1" t="s">
        <v>759</v>
      </c>
    </row>
    <row r="610">
      <c r="A610" s="1" t="s">
        <v>760</v>
      </c>
      <c r="K610" s="1" t="s">
        <v>761</v>
      </c>
    </row>
    <row r="611">
      <c r="A611" s="1" t="s">
        <v>762</v>
      </c>
    </row>
    <row r="612">
      <c r="A612" s="1" t="s">
        <v>763</v>
      </c>
    </row>
    <row r="613">
      <c r="A613" s="1" t="s">
        <v>764</v>
      </c>
    </row>
    <row r="614">
      <c r="A614" s="1" t="s">
        <v>765</v>
      </c>
      <c r="K614" s="1" t="s">
        <v>766</v>
      </c>
    </row>
    <row r="615">
      <c r="A615" s="1" t="s">
        <v>767</v>
      </c>
    </row>
    <row r="616">
      <c r="A616" s="1" t="s">
        <v>768</v>
      </c>
    </row>
    <row r="617">
      <c r="A617" s="1" t="s">
        <v>769</v>
      </c>
    </row>
    <row r="618">
      <c r="A618" s="1" t="s">
        <v>770</v>
      </c>
      <c r="K618" s="1" t="s">
        <v>771</v>
      </c>
    </row>
    <row r="619">
      <c r="A619" s="1" t="s">
        <v>772</v>
      </c>
    </row>
    <row r="620">
      <c r="A620" s="1" t="s">
        <v>773</v>
      </c>
    </row>
    <row r="621">
      <c r="A621" s="1" t="s">
        <v>774</v>
      </c>
    </row>
    <row r="622">
      <c r="A622" s="1" t="s">
        <v>775</v>
      </c>
      <c r="K622" s="1" t="s">
        <v>776</v>
      </c>
    </row>
    <row r="623">
      <c r="A623" s="1" t="s">
        <v>777</v>
      </c>
    </row>
    <row r="624">
      <c r="A624" s="1" t="s">
        <v>778</v>
      </c>
    </row>
    <row r="625">
      <c r="A625" s="1" t="s">
        <v>779</v>
      </c>
    </row>
    <row r="626">
      <c r="A626" s="1" t="s">
        <v>780</v>
      </c>
      <c r="K626" s="1" t="s">
        <v>781</v>
      </c>
    </row>
    <row r="627">
      <c r="A627" s="1" t="s">
        <v>782</v>
      </c>
    </row>
    <row r="628">
      <c r="A628" s="1" t="s">
        <v>783</v>
      </c>
    </row>
    <row r="629">
      <c r="A629" s="1" t="s">
        <v>784</v>
      </c>
    </row>
    <row r="630">
      <c r="A630" s="1" t="s">
        <v>785</v>
      </c>
      <c r="K630" s="1" t="s">
        <v>786</v>
      </c>
    </row>
    <row r="631">
      <c r="A631" s="1" t="s">
        <v>787</v>
      </c>
    </row>
    <row r="632">
      <c r="A632" s="1" t="s">
        <v>788</v>
      </c>
    </row>
    <row r="633">
      <c r="A633" s="1" t="s">
        <v>789</v>
      </c>
    </row>
    <row r="634">
      <c r="A634" s="1" t="s">
        <v>790</v>
      </c>
      <c r="K634" s="1"/>
    </row>
    <row r="635">
      <c r="A635" s="1" t="s">
        <v>791</v>
      </c>
    </row>
    <row r="636">
      <c r="A636" s="1" t="s">
        <v>792</v>
      </c>
      <c r="K636" s="1" t="s">
        <v>793</v>
      </c>
    </row>
    <row r="637">
      <c r="A637" s="1" t="s">
        <v>794</v>
      </c>
    </row>
    <row r="638">
      <c r="A638" s="1" t="s">
        <v>795</v>
      </c>
    </row>
    <row r="639">
      <c r="A639" s="1" t="s">
        <v>796</v>
      </c>
    </row>
    <row r="640">
      <c r="A640" s="1" t="s">
        <v>797</v>
      </c>
      <c r="K640" s="1" t="s">
        <v>798</v>
      </c>
    </row>
    <row r="641">
      <c r="A641" s="1" t="s">
        <v>799</v>
      </c>
    </row>
    <row r="642">
      <c r="A642" s="1" t="s">
        <v>800</v>
      </c>
    </row>
    <row r="643">
      <c r="A643" s="1" t="s">
        <v>801</v>
      </c>
    </row>
    <row r="644">
      <c r="A644" s="1" t="s">
        <v>802</v>
      </c>
      <c r="K644" s="1" t="s">
        <v>803</v>
      </c>
    </row>
    <row r="645">
      <c r="A645" s="1" t="s">
        <v>804</v>
      </c>
    </row>
    <row r="646">
      <c r="A646" s="1" t="s">
        <v>805</v>
      </c>
    </row>
    <row r="647">
      <c r="A647" s="1" t="s">
        <v>806</v>
      </c>
    </row>
    <row r="648">
      <c r="A648" s="1" t="s">
        <v>807</v>
      </c>
      <c r="K648" s="1" t="s">
        <v>808</v>
      </c>
    </row>
    <row r="649">
      <c r="A649" s="1" t="s">
        <v>809</v>
      </c>
    </row>
    <row r="650">
      <c r="A650" s="1" t="s">
        <v>810</v>
      </c>
    </row>
    <row r="651">
      <c r="A651" s="1" t="s">
        <v>811</v>
      </c>
    </row>
    <row r="652">
      <c r="A652" s="1" t="s">
        <v>812</v>
      </c>
      <c r="K652" s="1" t="s">
        <v>813</v>
      </c>
    </row>
    <row r="653">
      <c r="A653" s="1" t="s">
        <v>814</v>
      </c>
    </row>
    <row r="654">
      <c r="A654" s="1" t="s">
        <v>815</v>
      </c>
    </row>
    <row r="655">
      <c r="A655" s="1" t="s">
        <v>816</v>
      </c>
    </row>
    <row r="656">
      <c r="A656" s="1" t="s">
        <v>817</v>
      </c>
      <c r="K656" s="1" t="s">
        <v>818</v>
      </c>
    </row>
    <row r="657">
      <c r="A657" s="1" t="s">
        <v>819</v>
      </c>
    </row>
    <row r="658">
      <c r="A658" s="1" t="s">
        <v>820</v>
      </c>
    </row>
    <row r="659">
      <c r="A659" s="1" t="s">
        <v>821</v>
      </c>
    </row>
    <row r="660">
      <c r="A660" s="1" t="s">
        <v>822</v>
      </c>
      <c r="K660" s="1" t="s">
        <v>823</v>
      </c>
    </row>
    <row r="661">
      <c r="A661" s="1" t="s">
        <v>824</v>
      </c>
    </row>
    <row r="662">
      <c r="A662" s="1" t="s">
        <v>825</v>
      </c>
    </row>
    <row r="663">
      <c r="A663" s="1" t="s">
        <v>826</v>
      </c>
    </row>
    <row r="664">
      <c r="A664" s="1" t="s">
        <v>827</v>
      </c>
      <c r="K664" s="1" t="s">
        <v>828</v>
      </c>
    </row>
    <row r="665">
      <c r="A665" s="1" t="s">
        <v>829</v>
      </c>
    </row>
    <row r="666">
      <c r="A666" s="1" t="s">
        <v>830</v>
      </c>
    </row>
    <row r="667">
      <c r="A667" s="1" t="s">
        <v>831</v>
      </c>
    </row>
    <row r="668">
      <c r="A668" s="1" t="s">
        <v>832</v>
      </c>
      <c r="K668" s="1" t="s">
        <v>833</v>
      </c>
    </row>
    <row r="669">
      <c r="A669" s="1" t="s">
        <v>834</v>
      </c>
    </row>
    <row r="670">
      <c r="A670" s="1" t="s">
        <v>835</v>
      </c>
    </row>
    <row r="671">
      <c r="A671" s="1" t="s">
        <v>836</v>
      </c>
    </row>
    <row r="672">
      <c r="A672" s="1" t="s">
        <v>837</v>
      </c>
      <c r="K672" s="1" t="s">
        <v>838</v>
      </c>
    </row>
    <row r="673">
      <c r="A673" s="1" t="s">
        <v>839</v>
      </c>
    </row>
    <row r="674">
      <c r="A674" s="1" t="s">
        <v>840</v>
      </c>
    </row>
    <row r="675">
      <c r="A675" s="1" t="s">
        <v>841</v>
      </c>
    </row>
    <row r="676">
      <c r="A676" s="1" t="s">
        <v>842</v>
      </c>
      <c r="K676" s="1" t="s">
        <v>843</v>
      </c>
    </row>
    <row r="677">
      <c r="A677" s="1" t="s">
        <v>844</v>
      </c>
    </row>
    <row r="678">
      <c r="A678" s="1" t="s">
        <v>845</v>
      </c>
    </row>
    <row r="679">
      <c r="A679" s="1" t="s">
        <v>846</v>
      </c>
    </row>
    <row r="680">
      <c r="A680" s="1" t="s">
        <v>847</v>
      </c>
      <c r="K680" s="1" t="s">
        <v>848</v>
      </c>
    </row>
    <row r="681">
      <c r="A681" s="1" t="s">
        <v>849</v>
      </c>
    </row>
    <row r="682">
      <c r="A682" s="1" t="s">
        <v>850</v>
      </c>
    </row>
    <row r="683">
      <c r="A683" s="1" t="s">
        <v>851</v>
      </c>
    </row>
    <row r="684">
      <c r="A684" s="1" t="s">
        <v>852</v>
      </c>
      <c r="K684" s="1" t="s">
        <v>853</v>
      </c>
    </row>
    <row r="685">
      <c r="A685" s="1" t="s">
        <v>854</v>
      </c>
    </row>
    <row r="686">
      <c r="A686" s="1" t="s">
        <v>855</v>
      </c>
    </row>
    <row r="687">
      <c r="A687" s="1" t="s">
        <v>856</v>
      </c>
    </row>
    <row r="688">
      <c r="A688" s="1" t="s">
        <v>857</v>
      </c>
      <c r="K688" s="1" t="s">
        <v>858</v>
      </c>
    </row>
    <row r="689">
      <c r="A689" s="1" t="s">
        <v>859</v>
      </c>
    </row>
    <row r="690">
      <c r="A690" s="1" t="s">
        <v>860</v>
      </c>
    </row>
    <row r="691">
      <c r="A691" s="1" t="s">
        <v>861</v>
      </c>
    </row>
    <row r="692">
      <c r="A692" s="1" t="s">
        <v>862</v>
      </c>
      <c r="K692" s="1" t="s">
        <v>863</v>
      </c>
    </row>
    <row r="693">
      <c r="A693" s="1" t="s">
        <v>864</v>
      </c>
    </row>
    <row r="694">
      <c r="A694" s="1" t="s">
        <v>865</v>
      </c>
    </row>
    <row r="695">
      <c r="A695" s="1" t="s">
        <v>866</v>
      </c>
    </row>
    <row r="696">
      <c r="A696" s="1" t="s">
        <v>867</v>
      </c>
      <c r="K696" s="1" t="s">
        <v>868</v>
      </c>
    </row>
    <row r="697">
      <c r="A697" s="1" t="s">
        <v>869</v>
      </c>
    </row>
    <row r="698">
      <c r="A698" s="1" t="s">
        <v>870</v>
      </c>
    </row>
    <row r="699">
      <c r="A699" s="1" t="s">
        <v>871</v>
      </c>
    </row>
    <row r="700">
      <c r="A700" s="1" t="s">
        <v>872</v>
      </c>
      <c r="K700" s="1" t="s">
        <v>873</v>
      </c>
    </row>
    <row r="701">
      <c r="A701" s="1" t="s">
        <v>874</v>
      </c>
    </row>
    <row r="702">
      <c r="A702" s="1" t="s">
        <v>875</v>
      </c>
    </row>
    <row r="703">
      <c r="A703" s="1" t="s">
        <v>876</v>
      </c>
    </row>
    <row r="704">
      <c r="A704" s="1" t="s">
        <v>877</v>
      </c>
      <c r="K704" s="1" t="s">
        <v>878</v>
      </c>
    </row>
    <row r="705">
      <c r="A705" s="1" t="s">
        <v>879</v>
      </c>
    </row>
    <row r="706">
      <c r="A706" s="1" t="s">
        <v>880</v>
      </c>
    </row>
    <row r="707">
      <c r="A707" s="1" t="s">
        <v>881</v>
      </c>
    </row>
    <row r="708">
      <c r="A708" s="1" t="s">
        <v>882</v>
      </c>
      <c r="K708" s="1" t="s">
        <v>883</v>
      </c>
    </row>
    <row r="709">
      <c r="A709" s="1" t="s">
        <v>884</v>
      </c>
    </row>
    <row r="710">
      <c r="A710" s="1" t="s">
        <v>885</v>
      </c>
    </row>
    <row r="711">
      <c r="A711" s="1" t="s">
        <v>886</v>
      </c>
    </row>
    <row r="712">
      <c r="A712" s="1" t="s">
        <v>887</v>
      </c>
      <c r="K712" s="1" t="s">
        <v>888</v>
      </c>
    </row>
    <row r="713">
      <c r="A713" s="1" t="s">
        <v>889</v>
      </c>
    </row>
    <row r="714">
      <c r="A714" s="1" t="s">
        <v>890</v>
      </c>
    </row>
    <row r="715">
      <c r="A715" s="1" t="s">
        <v>891</v>
      </c>
    </row>
    <row r="716">
      <c r="A716" s="1" t="s">
        <v>892</v>
      </c>
      <c r="K716" s="1" t="s">
        <v>893</v>
      </c>
    </row>
    <row r="717">
      <c r="A717" s="1" t="s">
        <v>894</v>
      </c>
    </row>
    <row r="718">
      <c r="A718" s="1" t="s">
        <v>895</v>
      </c>
    </row>
    <row r="719">
      <c r="A719" s="1" t="s">
        <v>896</v>
      </c>
    </row>
    <row r="720">
      <c r="A720" s="1" t="s">
        <v>897</v>
      </c>
      <c r="K720" s="1" t="s">
        <v>898</v>
      </c>
    </row>
    <row r="721">
      <c r="A721" s="1" t="s">
        <v>899</v>
      </c>
    </row>
    <row r="722">
      <c r="A722" s="1" t="s">
        <v>900</v>
      </c>
    </row>
    <row r="723">
      <c r="A723" s="1" t="s">
        <v>901</v>
      </c>
    </row>
    <row r="724">
      <c r="A724" s="1" t="s">
        <v>902</v>
      </c>
      <c r="K724" s="1" t="s">
        <v>903</v>
      </c>
    </row>
    <row r="725">
      <c r="A725" s="1" t="s">
        <v>904</v>
      </c>
    </row>
    <row r="726">
      <c r="A726" s="1" t="s">
        <v>905</v>
      </c>
    </row>
    <row r="727">
      <c r="A727" s="1" t="s">
        <v>906</v>
      </c>
    </row>
    <row r="728">
      <c r="A728" s="1" t="s">
        <v>907</v>
      </c>
      <c r="K728" s="1" t="s">
        <v>908</v>
      </c>
    </row>
    <row r="729">
      <c r="A729" s="1" t="s">
        <v>909</v>
      </c>
    </row>
    <row r="730">
      <c r="A730" s="1" t="s">
        <v>910</v>
      </c>
    </row>
    <row r="731">
      <c r="A731" s="1" t="s">
        <v>911</v>
      </c>
    </row>
    <row r="732">
      <c r="A732" s="1" t="s">
        <v>912</v>
      </c>
      <c r="K732" s="1" t="s">
        <v>913</v>
      </c>
    </row>
    <row r="733">
      <c r="A733" s="1" t="s">
        <v>914</v>
      </c>
    </row>
    <row r="734">
      <c r="A734" s="1" t="s">
        <v>915</v>
      </c>
    </row>
    <row r="735">
      <c r="A735" s="1" t="s">
        <v>916</v>
      </c>
    </row>
    <row r="736">
      <c r="A736" s="1" t="s">
        <v>917</v>
      </c>
      <c r="K736" s="1" t="s">
        <v>918</v>
      </c>
    </row>
    <row r="737">
      <c r="A737" s="1" t="s">
        <v>919</v>
      </c>
    </row>
    <row r="738">
      <c r="A738" s="1" t="s">
        <v>920</v>
      </c>
    </row>
    <row r="739">
      <c r="A739" s="1" t="s">
        <v>921</v>
      </c>
    </row>
    <row r="740">
      <c r="A740" s="1" t="s">
        <v>922</v>
      </c>
      <c r="K740" s="1" t="s">
        <v>923</v>
      </c>
    </row>
    <row r="741">
      <c r="A741" s="1" t="s">
        <v>924</v>
      </c>
    </row>
    <row r="742">
      <c r="A742" s="1" t="s">
        <v>925</v>
      </c>
    </row>
    <row r="743">
      <c r="A743" s="1" t="s">
        <v>926</v>
      </c>
    </row>
    <row r="744">
      <c r="A744" s="1" t="s">
        <v>927</v>
      </c>
      <c r="K744" s="1" t="s">
        <v>928</v>
      </c>
    </row>
    <row r="745">
      <c r="A745" s="1" t="s">
        <v>929</v>
      </c>
    </row>
    <row r="746">
      <c r="A746" s="1" t="s">
        <v>930</v>
      </c>
    </row>
    <row r="747">
      <c r="A747" s="1" t="s">
        <v>931</v>
      </c>
    </row>
    <row r="748">
      <c r="A748" s="1" t="s">
        <v>932</v>
      </c>
      <c r="K748" s="1" t="s">
        <v>933</v>
      </c>
    </row>
    <row r="749">
      <c r="A749" s="1" t="s">
        <v>934</v>
      </c>
    </row>
    <row r="750">
      <c r="A750" s="1" t="s">
        <v>935</v>
      </c>
    </row>
    <row r="751">
      <c r="A751" s="1" t="s">
        <v>936</v>
      </c>
    </row>
    <row r="752">
      <c r="A752" s="1" t="s">
        <v>937</v>
      </c>
      <c r="K752" s="1" t="s">
        <v>938</v>
      </c>
    </row>
    <row r="753">
      <c r="A753" s="1" t="s">
        <v>939</v>
      </c>
    </row>
    <row r="754">
      <c r="A754" s="1" t="s">
        <v>940</v>
      </c>
    </row>
    <row r="755">
      <c r="A755" s="1" t="s">
        <v>941</v>
      </c>
    </row>
    <row r="756">
      <c r="A756" s="1" t="s">
        <v>942</v>
      </c>
      <c r="K756" s="1" t="s">
        <v>943</v>
      </c>
    </row>
    <row r="757">
      <c r="A757" s="1" t="s">
        <v>944</v>
      </c>
    </row>
    <row r="758">
      <c r="A758" s="1" t="s">
        <v>945</v>
      </c>
    </row>
    <row r="759">
      <c r="A759" s="1" t="s">
        <v>946</v>
      </c>
    </row>
    <row r="760">
      <c r="A760" s="1" t="s">
        <v>947</v>
      </c>
      <c r="K760" s="1" t="s">
        <v>948</v>
      </c>
    </row>
    <row r="761">
      <c r="A761" s="1" t="s">
        <v>949</v>
      </c>
    </row>
    <row r="762">
      <c r="A762" s="1" t="s">
        <v>950</v>
      </c>
    </row>
    <row r="763">
      <c r="A763" s="1" t="s">
        <v>951</v>
      </c>
    </row>
    <row r="764">
      <c r="A764" s="1" t="s">
        <v>952</v>
      </c>
      <c r="K764" s="1" t="s">
        <v>953</v>
      </c>
    </row>
    <row r="765">
      <c r="A765" s="1" t="s">
        <v>954</v>
      </c>
    </row>
    <row r="766">
      <c r="A766" s="1" t="s">
        <v>955</v>
      </c>
    </row>
    <row r="767">
      <c r="A767" s="1" t="s">
        <v>956</v>
      </c>
    </row>
    <row r="768">
      <c r="A768" s="1" t="s">
        <v>957</v>
      </c>
      <c r="K768" s="1" t="s">
        <v>958</v>
      </c>
    </row>
    <row r="769">
      <c r="A769" s="1" t="s">
        <v>959</v>
      </c>
    </row>
    <row r="770">
      <c r="A770" s="1" t="s">
        <v>960</v>
      </c>
    </row>
    <row r="771">
      <c r="A771" s="1" t="s">
        <v>961</v>
      </c>
    </row>
    <row r="772">
      <c r="A772" s="1" t="s">
        <v>962</v>
      </c>
      <c r="K772" s="1" t="s">
        <v>963</v>
      </c>
    </row>
    <row r="773">
      <c r="A773" s="1" t="s">
        <v>964</v>
      </c>
    </row>
    <row r="774">
      <c r="A774" s="1" t="s">
        <v>964</v>
      </c>
    </row>
    <row r="775">
      <c r="A775" s="1" t="s">
        <v>965</v>
      </c>
    </row>
    <row r="776">
      <c r="A776" s="1" t="s">
        <v>966</v>
      </c>
      <c r="K776" s="1" t="s">
        <v>967</v>
      </c>
    </row>
    <row r="777">
      <c r="A777" s="1" t="s">
        <v>968</v>
      </c>
    </row>
    <row r="778">
      <c r="A778" s="1" t="s">
        <v>968</v>
      </c>
    </row>
    <row r="779">
      <c r="A779" s="1" t="s">
        <v>969</v>
      </c>
    </row>
    <row r="780">
      <c r="A780" s="1" t="s">
        <v>970</v>
      </c>
      <c r="K780" s="1" t="s">
        <v>971</v>
      </c>
    </row>
    <row r="781">
      <c r="A781" s="1" t="s">
        <v>972</v>
      </c>
    </row>
    <row r="782">
      <c r="A782" s="1" t="s">
        <v>973</v>
      </c>
    </row>
    <row r="783">
      <c r="A783" s="1" t="s">
        <v>974</v>
      </c>
    </row>
    <row r="784">
      <c r="A784" s="1" t="s">
        <v>975</v>
      </c>
      <c r="K784" s="1" t="s">
        <v>976</v>
      </c>
    </row>
    <row r="785">
      <c r="A785" s="1" t="s">
        <v>977</v>
      </c>
    </row>
    <row r="786">
      <c r="A786" s="1" t="s">
        <v>978</v>
      </c>
    </row>
    <row r="787">
      <c r="A787" s="1" t="s">
        <v>979</v>
      </c>
    </row>
    <row r="788">
      <c r="A788" s="1" t="s">
        <v>980</v>
      </c>
      <c r="K788" s="1" t="s">
        <v>981</v>
      </c>
    </row>
    <row r="789">
      <c r="A789" s="1" t="s">
        <v>982</v>
      </c>
    </row>
    <row r="790">
      <c r="A790" s="1" t="s">
        <v>983</v>
      </c>
    </row>
    <row r="791">
      <c r="A791" s="1" t="s">
        <v>984</v>
      </c>
    </row>
    <row r="792">
      <c r="A792" s="1" t="s">
        <v>985</v>
      </c>
      <c r="K792" s="1" t="s">
        <v>986</v>
      </c>
    </row>
    <row r="793">
      <c r="A793" s="1" t="s">
        <v>987</v>
      </c>
    </row>
    <row r="794">
      <c r="A794" s="1" t="s">
        <v>988</v>
      </c>
    </row>
    <row r="795">
      <c r="A795" s="1" t="s">
        <v>989</v>
      </c>
    </row>
    <row r="796">
      <c r="A796" s="1" t="s">
        <v>990</v>
      </c>
      <c r="K796" s="1" t="s">
        <v>991</v>
      </c>
    </row>
    <row r="797">
      <c r="A797" s="1" t="s">
        <v>992</v>
      </c>
    </row>
    <row r="798">
      <c r="A798" s="1" t="s">
        <v>993</v>
      </c>
    </row>
    <row r="799">
      <c r="A799" s="1" t="s">
        <v>994</v>
      </c>
    </row>
    <row r="800">
      <c r="A800" s="1" t="s">
        <v>995</v>
      </c>
      <c r="K800" s="1" t="s">
        <v>996</v>
      </c>
    </row>
    <row r="801">
      <c r="A801" s="1" t="s">
        <v>997</v>
      </c>
    </row>
    <row r="802">
      <c r="A802" s="1" t="s">
        <v>998</v>
      </c>
    </row>
    <row r="803">
      <c r="A803" s="1" t="s">
        <v>999</v>
      </c>
    </row>
    <row r="804">
      <c r="A804" s="1" t="s">
        <v>1000</v>
      </c>
      <c r="K804" s="1" t="s">
        <v>1001</v>
      </c>
    </row>
    <row r="805">
      <c r="A805" s="1" t="s">
        <v>1002</v>
      </c>
    </row>
    <row r="806">
      <c r="A806" s="1" t="s">
        <v>1003</v>
      </c>
    </row>
    <row r="807">
      <c r="A807" s="1" t="s">
        <v>1004</v>
      </c>
    </row>
    <row r="808">
      <c r="A808" s="1" t="s">
        <v>1005</v>
      </c>
      <c r="K808" s="1" t="s">
        <v>1006</v>
      </c>
    </row>
    <row r="809">
      <c r="A809" s="1" t="s">
        <v>1007</v>
      </c>
    </row>
    <row r="810">
      <c r="A810" s="1" t="s">
        <v>1008</v>
      </c>
    </row>
    <row r="811">
      <c r="A811" s="1" t="s">
        <v>1009</v>
      </c>
    </row>
    <row r="812">
      <c r="A812" s="1" t="s">
        <v>1010</v>
      </c>
      <c r="K812" s="1" t="s">
        <v>1011</v>
      </c>
    </row>
    <row r="813">
      <c r="A813" s="1" t="s">
        <v>1012</v>
      </c>
    </row>
    <row r="814">
      <c r="A814" s="1" t="s">
        <v>1013</v>
      </c>
    </row>
    <row r="815">
      <c r="A815" s="1" t="s">
        <v>1014</v>
      </c>
    </row>
    <row r="816">
      <c r="A816" s="1" t="s">
        <v>1015</v>
      </c>
      <c r="K816" s="1" t="s">
        <v>1016</v>
      </c>
    </row>
    <row r="817">
      <c r="A817" s="1" t="s">
        <v>1017</v>
      </c>
    </row>
    <row r="818">
      <c r="A818" s="1" t="s">
        <v>1018</v>
      </c>
    </row>
    <row r="819">
      <c r="A819" s="1" t="s">
        <v>1019</v>
      </c>
    </row>
    <row r="820">
      <c r="A820" s="1" t="s">
        <v>1020</v>
      </c>
      <c r="K820" s="1" t="s">
        <v>1021</v>
      </c>
    </row>
    <row r="821">
      <c r="A821" s="1" t="s">
        <v>1022</v>
      </c>
    </row>
    <row r="822">
      <c r="A822" s="1" t="s">
        <v>1023</v>
      </c>
    </row>
    <row r="823">
      <c r="A823" s="1" t="s">
        <v>1024</v>
      </c>
    </row>
    <row r="824">
      <c r="A824" s="1" t="s">
        <v>1025</v>
      </c>
      <c r="K824" s="1" t="s">
        <v>1026</v>
      </c>
    </row>
    <row r="825">
      <c r="A825" s="1" t="s">
        <v>1027</v>
      </c>
    </row>
    <row r="826">
      <c r="A826" s="1" t="s">
        <v>1028</v>
      </c>
    </row>
    <row r="827">
      <c r="A827" s="1" t="s">
        <v>1029</v>
      </c>
    </row>
    <row r="828">
      <c r="A828" s="1" t="s">
        <v>1030</v>
      </c>
      <c r="K828" s="1" t="s">
        <v>1031</v>
      </c>
    </row>
    <row r="829">
      <c r="A829" s="1" t="s">
        <v>1032</v>
      </c>
    </row>
    <row r="830">
      <c r="A830" s="1" t="s">
        <v>1033</v>
      </c>
    </row>
    <row r="831">
      <c r="A831" s="1" t="s">
        <v>1034</v>
      </c>
    </row>
    <row r="832">
      <c r="A832" s="1" t="s">
        <v>1035</v>
      </c>
      <c r="K832" s="1" t="s">
        <v>1036</v>
      </c>
    </row>
    <row r="833">
      <c r="A833" s="1" t="s">
        <v>1037</v>
      </c>
    </row>
    <row r="834">
      <c r="A834" s="1" t="s">
        <v>1038</v>
      </c>
    </row>
    <row r="835">
      <c r="A835" s="1" t="s">
        <v>1039</v>
      </c>
    </row>
    <row r="836">
      <c r="A836" s="1" t="s">
        <v>1040</v>
      </c>
      <c r="K836" s="1" t="s">
        <v>1041</v>
      </c>
    </row>
    <row r="837">
      <c r="A837" s="1" t="s">
        <v>1042</v>
      </c>
    </row>
    <row r="838">
      <c r="A838" s="1" t="s">
        <v>1043</v>
      </c>
    </row>
    <row r="839">
      <c r="A839" s="1" t="s">
        <v>1044</v>
      </c>
    </row>
    <row r="840">
      <c r="A840" s="1" t="s">
        <v>1045</v>
      </c>
      <c r="K840" s="1" t="s">
        <v>1046</v>
      </c>
    </row>
    <row r="841">
      <c r="A841" s="1" t="s">
        <v>1047</v>
      </c>
    </row>
    <row r="842">
      <c r="A842" s="1" t="s">
        <v>1048</v>
      </c>
    </row>
    <row r="843">
      <c r="A843" s="1" t="s">
        <v>1049</v>
      </c>
    </row>
    <row r="844">
      <c r="A844" s="1" t="s">
        <v>1050</v>
      </c>
      <c r="K844" s="1" t="s">
        <v>1051</v>
      </c>
    </row>
    <row r="845">
      <c r="A845" s="1" t="s">
        <v>1052</v>
      </c>
    </row>
    <row r="846">
      <c r="A846" s="1" t="s">
        <v>1053</v>
      </c>
    </row>
    <row r="847">
      <c r="A847" s="1" t="s">
        <v>1054</v>
      </c>
    </row>
    <row r="848">
      <c r="A848" s="1" t="s">
        <v>1055</v>
      </c>
      <c r="K848" s="1" t="s">
        <v>1056</v>
      </c>
    </row>
    <row r="849">
      <c r="A849" s="1" t="s">
        <v>1057</v>
      </c>
    </row>
    <row r="850">
      <c r="A850" s="1" t="s">
        <v>1058</v>
      </c>
    </row>
    <row r="851">
      <c r="A851" s="1" t="s">
        <v>1059</v>
      </c>
    </row>
    <row r="852">
      <c r="A852" s="1" t="s">
        <v>1060</v>
      </c>
      <c r="K852" s="1" t="s">
        <v>1061</v>
      </c>
    </row>
    <row r="853">
      <c r="A853" s="1" t="s">
        <v>1062</v>
      </c>
    </row>
    <row r="854">
      <c r="A854" s="1" t="s">
        <v>1063</v>
      </c>
    </row>
    <row r="855">
      <c r="A855" s="1" t="s">
        <v>1064</v>
      </c>
    </row>
    <row r="856">
      <c r="A856" s="1" t="s">
        <v>1065</v>
      </c>
      <c r="K856" s="1" t="s">
        <v>1066</v>
      </c>
    </row>
    <row r="857">
      <c r="A857" s="1" t="s">
        <v>1067</v>
      </c>
    </row>
    <row r="858">
      <c r="A858" s="1" t="s">
        <v>1068</v>
      </c>
    </row>
    <row r="859">
      <c r="A859" s="1" t="s">
        <v>1069</v>
      </c>
    </row>
    <row r="860">
      <c r="A860" s="1" t="s">
        <v>1070</v>
      </c>
      <c r="K860" s="1" t="s">
        <v>1071</v>
      </c>
    </row>
    <row r="861">
      <c r="A861" s="1" t="s">
        <v>1072</v>
      </c>
    </row>
    <row r="862">
      <c r="A862" s="1" t="s">
        <v>1073</v>
      </c>
    </row>
    <row r="863">
      <c r="A863" s="1" t="s">
        <v>1074</v>
      </c>
    </row>
    <row r="864">
      <c r="A864" s="1" t="s">
        <v>1075</v>
      </c>
      <c r="K864" s="1" t="s">
        <v>1076</v>
      </c>
    </row>
    <row r="865">
      <c r="A865" s="1" t="s">
        <v>1077</v>
      </c>
    </row>
    <row r="866">
      <c r="A866" s="1" t="s">
        <v>1078</v>
      </c>
    </row>
    <row r="867">
      <c r="A867" s="1" t="s">
        <v>1079</v>
      </c>
    </row>
    <row r="868">
      <c r="A868" s="1" t="s">
        <v>1080</v>
      </c>
      <c r="K868" s="1" t="s">
        <v>1081</v>
      </c>
    </row>
    <row r="869">
      <c r="A869" s="1" t="s">
        <v>1082</v>
      </c>
    </row>
    <row r="870">
      <c r="A870" s="1" t="s">
        <v>1083</v>
      </c>
    </row>
    <row r="871">
      <c r="A871" s="1" t="s">
        <v>1084</v>
      </c>
    </row>
    <row r="872">
      <c r="A872" s="1" t="s">
        <v>1085</v>
      </c>
      <c r="K872" s="1" t="s">
        <v>1086</v>
      </c>
    </row>
    <row r="873">
      <c r="A873" s="1" t="s">
        <v>1087</v>
      </c>
    </row>
    <row r="874">
      <c r="A874" s="1" t="s">
        <v>1088</v>
      </c>
    </row>
    <row r="875">
      <c r="A875" s="1" t="s">
        <v>1089</v>
      </c>
    </row>
    <row r="876">
      <c r="A876" s="1" t="s">
        <v>1090</v>
      </c>
      <c r="K876" s="1" t="s">
        <v>1091</v>
      </c>
    </row>
    <row r="877">
      <c r="A877" s="1" t="s">
        <v>1092</v>
      </c>
    </row>
    <row r="878">
      <c r="A878" s="1" t="s">
        <v>1093</v>
      </c>
    </row>
    <row r="879">
      <c r="A879" s="1" t="s">
        <v>1094</v>
      </c>
    </row>
    <row r="880">
      <c r="A880" s="1" t="s">
        <v>1095</v>
      </c>
      <c r="K880" s="1" t="s">
        <v>1096</v>
      </c>
    </row>
    <row r="881">
      <c r="A881" s="1" t="s">
        <v>1097</v>
      </c>
    </row>
    <row r="882">
      <c r="A882" s="1" t="s">
        <v>1098</v>
      </c>
    </row>
    <row r="883">
      <c r="A883" s="1" t="s">
        <v>1099</v>
      </c>
    </row>
    <row r="884">
      <c r="A884" s="1" t="s">
        <v>1100</v>
      </c>
      <c r="K884" s="1" t="s">
        <v>1101</v>
      </c>
    </row>
    <row r="885">
      <c r="A885" s="1" t="s">
        <v>1102</v>
      </c>
    </row>
    <row r="886">
      <c r="A886" s="1" t="s">
        <v>1103</v>
      </c>
    </row>
    <row r="887">
      <c r="A887" s="1" t="s">
        <v>1104</v>
      </c>
    </row>
    <row r="888">
      <c r="A888" s="1" t="s">
        <v>1105</v>
      </c>
      <c r="K888" s="1" t="s">
        <v>1106</v>
      </c>
    </row>
    <row r="889">
      <c r="A889" s="1" t="s">
        <v>1107</v>
      </c>
    </row>
    <row r="890">
      <c r="A890" s="1" t="s">
        <v>1108</v>
      </c>
    </row>
    <row r="891">
      <c r="A891" s="1" t="s">
        <v>1109</v>
      </c>
    </row>
    <row r="892">
      <c r="A892" s="1" t="s">
        <v>1110</v>
      </c>
      <c r="K892" s="1" t="s">
        <v>1111</v>
      </c>
    </row>
    <row r="893">
      <c r="A893" s="1" t="s">
        <v>1112</v>
      </c>
    </row>
    <row r="894">
      <c r="A894" s="1" t="s">
        <v>1113</v>
      </c>
    </row>
    <row r="895">
      <c r="A895" s="1" t="s">
        <v>1114</v>
      </c>
    </row>
    <row r="896">
      <c r="A896" s="1" t="s">
        <v>1115</v>
      </c>
      <c r="K896" s="1" t="s">
        <v>1116</v>
      </c>
    </row>
    <row r="897">
      <c r="A897" s="1" t="s">
        <v>1117</v>
      </c>
    </row>
    <row r="898">
      <c r="A898" s="1" t="s">
        <v>1118</v>
      </c>
    </row>
    <row r="899">
      <c r="A899" s="1" t="s">
        <v>1119</v>
      </c>
    </row>
    <row r="900">
      <c r="A900" s="1" t="s">
        <v>1120</v>
      </c>
      <c r="K900" s="1" t="s">
        <v>1121</v>
      </c>
    </row>
    <row r="901">
      <c r="A901" s="1" t="s">
        <v>1122</v>
      </c>
    </row>
    <row r="902">
      <c r="A902" s="1" t="s">
        <v>1123</v>
      </c>
    </row>
    <row r="903">
      <c r="A903" s="1" t="s">
        <v>1124</v>
      </c>
    </row>
    <row r="904">
      <c r="A904" s="1" t="s">
        <v>1125</v>
      </c>
      <c r="K904" s="1" t="s">
        <v>1126</v>
      </c>
    </row>
    <row r="905">
      <c r="A905" s="1" t="s">
        <v>1127</v>
      </c>
    </row>
    <row r="906">
      <c r="A906" s="1" t="s">
        <v>1128</v>
      </c>
    </row>
    <row r="907">
      <c r="A907" s="1" t="s">
        <v>1129</v>
      </c>
    </row>
    <row r="908">
      <c r="A908" s="1" t="s">
        <v>1130</v>
      </c>
      <c r="K908" s="1" t="s">
        <v>1131</v>
      </c>
    </row>
    <row r="909">
      <c r="A909" s="1" t="s">
        <v>1132</v>
      </c>
    </row>
    <row r="910">
      <c r="A910" s="1" t="s">
        <v>1133</v>
      </c>
    </row>
    <row r="911">
      <c r="A911" s="1" t="s">
        <v>1134</v>
      </c>
    </row>
    <row r="912">
      <c r="A912" s="1" t="s">
        <v>1135</v>
      </c>
      <c r="K912" s="1" t="s">
        <v>1136</v>
      </c>
    </row>
    <row r="913">
      <c r="A913" s="1" t="s">
        <v>1137</v>
      </c>
    </row>
    <row r="914">
      <c r="A914" s="1" t="s">
        <v>1138</v>
      </c>
    </row>
    <row r="915">
      <c r="A915" s="1" t="s">
        <v>1139</v>
      </c>
    </row>
    <row r="916">
      <c r="A916" s="1" t="s">
        <v>1140</v>
      </c>
      <c r="K916" s="1" t="s">
        <v>1141</v>
      </c>
    </row>
    <row r="917">
      <c r="A917" s="1" t="s">
        <v>1142</v>
      </c>
    </row>
    <row r="918">
      <c r="A918" s="1" t="s">
        <v>1143</v>
      </c>
    </row>
    <row r="919">
      <c r="A919" s="1" t="s">
        <v>1144</v>
      </c>
    </row>
    <row r="920">
      <c r="A920" s="1" t="s">
        <v>1145</v>
      </c>
      <c r="K920" s="1" t="s">
        <v>1146</v>
      </c>
    </row>
    <row r="921">
      <c r="A921" s="1" t="s">
        <v>1147</v>
      </c>
    </row>
    <row r="922">
      <c r="A922" s="1" t="s">
        <v>1148</v>
      </c>
    </row>
    <row r="923">
      <c r="A923" s="1" t="s">
        <v>1149</v>
      </c>
    </row>
    <row r="924">
      <c r="A924" s="1" t="s">
        <v>1150</v>
      </c>
      <c r="K924" s="1" t="s">
        <v>1151</v>
      </c>
    </row>
    <row r="925">
      <c r="A925" s="1" t="s">
        <v>1152</v>
      </c>
    </row>
    <row r="926">
      <c r="A926" s="1" t="s">
        <v>1153</v>
      </c>
    </row>
    <row r="927">
      <c r="A927" s="1" t="s">
        <v>1154</v>
      </c>
    </row>
    <row r="928">
      <c r="A928" s="1" t="s">
        <v>1155</v>
      </c>
      <c r="K928" s="1" t="s">
        <v>1156</v>
      </c>
    </row>
    <row r="929">
      <c r="A929" s="1" t="s">
        <v>1157</v>
      </c>
    </row>
    <row r="930">
      <c r="A930" s="1" t="s">
        <v>1158</v>
      </c>
    </row>
    <row r="931">
      <c r="A931" s="1" t="s">
        <v>1159</v>
      </c>
    </row>
    <row r="932">
      <c r="A932" s="1" t="s">
        <v>1160</v>
      </c>
      <c r="K932" s="1" t="s">
        <v>1161</v>
      </c>
    </row>
    <row r="933">
      <c r="A933" s="1" t="s">
        <v>1162</v>
      </c>
    </row>
    <row r="934">
      <c r="A934" s="1" t="s">
        <v>1163</v>
      </c>
    </row>
    <row r="935">
      <c r="A935" s="1" t="s">
        <v>1164</v>
      </c>
    </row>
    <row r="936">
      <c r="A936" s="1" t="s">
        <v>1165</v>
      </c>
      <c r="K936" s="1" t="s">
        <v>1166</v>
      </c>
    </row>
    <row r="937">
      <c r="A937" s="1" t="s">
        <v>1167</v>
      </c>
    </row>
    <row r="938">
      <c r="A938" s="1" t="s">
        <v>1168</v>
      </c>
    </row>
    <row r="939">
      <c r="A939" s="1" t="s">
        <v>1169</v>
      </c>
    </row>
    <row r="940">
      <c r="A940" s="1" t="s">
        <v>1170</v>
      </c>
      <c r="K940" s="1" t="s">
        <v>1171</v>
      </c>
    </row>
    <row r="941">
      <c r="A941" s="1" t="s">
        <v>1172</v>
      </c>
    </row>
    <row r="942">
      <c r="A942" s="1" t="s">
        <v>1173</v>
      </c>
    </row>
    <row r="943">
      <c r="A943" s="1" t="s">
        <v>1174</v>
      </c>
    </row>
    <row r="944">
      <c r="A944" s="1" t="s">
        <v>1175</v>
      </c>
      <c r="K944" s="1" t="s">
        <v>1176</v>
      </c>
    </row>
    <row r="945">
      <c r="A945" s="1" t="s">
        <v>1177</v>
      </c>
    </row>
    <row r="946">
      <c r="A946" s="1" t="s">
        <v>1178</v>
      </c>
    </row>
    <row r="947">
      <c r="A947" s="1" t="s">
        <v>1179</v>
      </c>
    </row>
    <row r="948">
      <c r="A948" s="1" t="s">
        <v>1180</v>
      </c>
      <c r="K948" s="1" t="s">
        <v>1181</v>
      </c>
    </row>
    <row r="949">
      <c r="A949" s="1" t="s">
        <v>1182</v>
      </c>
    </row>
    <row r="950">
      <c r="A950" s="1" t="s">
        <v>1183</v>
      </c>
    </row>
    <row r="951">
      <c r="A951" s="1" t="s">
        <v>1184</v>
      </c>
    </row>
    <row r="952">
      <c r="A952" s="1" t="s">
        <v>1185</v>
      </c>
      <c r="K952" s="1" t="s">
        <v>1186</v>
      </c>
    </row>
    <row r="953">
      <c r="A953" s="1" t="s">
        <v>1187</v>
      </c>
    </row>
    <row r="954">
      <c r="A954" s="1" t="s">
        <v>1188</v>
      </c>
    </row>
    <row r="955">
      <c r="A955" s="1" t="s">
        <v>1189</v>
      </c>
    </row>
    <row r="956">
      <c r="A956" s="1" t="s">
        <v>1190</v>
      </c>
      <c r="K956" s="1" t="s">
        <v>1191</v>
      </c>
    </row>
    <row r="957">
      <c r="A957" s="1" t="s">
        <v>1192</v>
      </c>
    </row>
    <row r="958">
      <c r="A958" s="1" t="s">
        <v>1193</v>
      </c>
    </row>
    <row r="959">
      <c r="A959" s="1" t="s">
        <v>1194</v>
      </c>
    </row>
    <row r="960">
      <c r="A960" s="1" t="s">
        <v>1195</v>
      </c>
      <c r="K960" s="1" t="s">
        <v>1196</v>
      </c>
    </row>
    <row r="961">
      <c r="A961" s="1" t="s">
        <v>1197</v>
      </c>
    </row>
    <row r="962">
      <c r="A962" s="1" t="s">
        <v>1198</v>
      </c>
    </row>
    <row r="963">
      <c r="A963" s="1" t="s">
        <v>1199</v>
      </c>
    </row>
    <row r="964">
      <c r="A964" s="1" t="s">
        <v>1200</v>
      </c>
      <c r="K964" s="1" t="s">
        <v>1201</v>
      </c>
    </row>
    <row r="965">
      <c r="A965" s="1" t="s">
        <v>1202</v>
      </c>
    </row>
    <row r="966">
      <c r="A966" s="1" t="s">
        <v>1203</v>
      </c>
    </row>
    <row r="967">
      <c r="A967" s="1" t="s">
        <v>1204</v>
      </c>
    </row>
    <row r="968">
      <c r="A968" s="1" t="s">
        <v>1205</v>
      </c>
      <c r="K968" s="1" t="s">
        <v>1206</v>
      </c>
    </row>
    <row r="969">
      <c r="A969" s="1" t="s">
        <v>1207</v>
      </c>
    </row>
    <row r="970">
      <c r="A970" s="1" t="s">
        <v>1208</v>
      </c>
    </row>
    <row r="971">
      <c r="A971" s="1" t="s">
        <v>1209</v>
      </c>
    </row>
    <row r="972">
      <c r="A972" s="1" t="s">
        <v>1210</v>
      </c>
      <c r="K972" s="1" t="s">
        <v>1211</v>
      </c>
    </row>
    <row r="973">
      <c r="A973" s="1" t="s">
        <v>1212</v>
      </c>
    </row>
    <row r="974">
      <c r="A974" s="1" t="s">
        <v>1213</v>
      </c>
    </row>
    <row r="975">
      <c r="A975" s="1" t="s">
        <v>1214</v>
      </c>
    </row>
    <row r="976">
      <c r="A976" s="1" t="s">
        <v>1215</v>
      </c>
      <c r="K976" s="1" t="s">
        <v>1216</v>
      </c>
    </row>
    <row r="977">
      <c r="A977" s="1" t="s">
        <v>1217</v>
      </c>
    </row>
    <row r="978">
      <c r="A978" s="1" t="s">
        <v>1218</v>
      </c>
    </row>
    <row r="979">
      <c r="A979" s="1" t="s">
        <v>1219</v>
      </c>
    </row>
    <row r="980">
      <c r="A980" s="1" t="s">
        <v>1220</v>
      </c>
      <c r="K980" s="1" t="s">
        <v>1221</v>
      </c>
    </row>
    <row r="981">
      <c r="A981" s="1" t="s">
        <v>1222</v>
      </c>
    </row>
    <row r="982">
      <c r="A982" s="1" t="s">
        <v>1223</v>
      </c>
    </row>
    <row r="983">
      <c r="A983" s="1" t="s">
        <v>1224</v>
      </c>
    </row>
    <row r="984">
      <c r="A984" s="1" t="s">
        <v>1225</v>
      </c>
      <c r="K984" s="1" t="s">
        <v>1226</v>
      </c>
    </row>
    <row r="985">
      <c r="A985" s="1" t="s">
        <v>1227</v>
      </c>
    </row>
    <row r="986">
      <c r="A986" s="1" t="s">
        <v>1228</v>
      </c>
    </row>
    <row r="987">
      <c r="A987" s="1" t="s">
        <v>1229</v>
      </c>
    </row>
    <row r="988">
      <c r="A988" s="1" t="s">
        <v>1230</v>
      </c>
      <c r="K988" s="1" t="s">
        <v>1231</v>
      </c>
    </row>
    <row r="989">
      <c r="A989" s="1" t="s">
        <v>1232</v>
      </c>
    </row>
    <row r="990">
      <c r="A990" s="1" t="s">
        <v>1233</v>
      </c>
    </row>
    <row r="991">
      <c r="A991" s="1" t="s">
        <v>1234</v>
      </c>
    </row>
    <row r="992">
      <c r="A992" s="1" t="s">
        <v>1235</v>
      </c>
      <c r="K992" s="1" t="s">
        <v>1236</v>
      </c>
    </row>
    <row r="993">
      <c r="A993" s="1" t="s">
        <v>1237</v>
      </c>
    </row>
    <row r="994">
      <c r="A994" s="1" t="s">
        <v>1238</v>
      </c>
    </row>
    <row r="995">
      <c r="A995" s="1" t="s">
        <v>1239</v>
      </c>
    </row>
    <row r="996">
      <c r="A996" s="1" t="s">
        <v>1240</v>
      </c>
      <c r="K996" s="1" t="s">
        <v>1241</v>
      </c>
    </row>
    <row r="997">
      <c r="A997" s="1" t="s">
        <v>1242</v>
      </c>
    </row>
    <row r="998">
      <c r="A998" s="1" t="s">
        <v>1243</v>
      </c>
    </row>
    <row r="999">
      <c r="A999" s="1" t="s">
        <v>1244</v>
      </c>
    </row>
    <row r="1000">
      <c r="A1000" s="1" t="s">
        <v>1245</v>
      </c>
      <c r="K1000" s="1" t="s">
        <v>1246</v>
      </c>
    </row>
    <row r="1001">
      <c r="A1001" s="1" t="s">
        <v>1247</v>
      </c>
      <c r="K1001" s="1"/>
    </row>
    <row r="1002">
      <c r="A1002" s="1" t="s">
        <v>1248</v>
      </c>
      <c r="K1002" s="1"/>
    </row>
    <row r="1003">
      <c r="A1003" s="1" t="s">
        <v>1249</v>
      </c>
      <c r="K1003" s="1"/>
    </row>
    <row r="1004">
      <c r="A1004" s="1" t="s">
        <v>1250</v>
      </c>
      <c r="K1004" s="1" t="s">
        <v>1251</v>
      </c>
    </row>
    <row r="1005">
      <c r="A1005" s="1" t="s">
        <v>1252</v>
      </c>
      <c r="K1005" s="1"/>
    </row>
    <row r="1006">
      <c r="A1006" s="1" t="s">
        <v>1253</v>
      </c>
      <c r="K1006" s="1"/>
    </row>
    <row r="1007">
      <c r="A1007" s="1" t="s">
        <v>1254</v>
      </c>
      <c r="K1007" s="1"/>
    </row>
    <row r="1008">
      <c r="A1008" s="1" t="s">
        <v>1255</v>
      </c>
      <c r="K1008" s="1" t="s">
        <v>1256</v>
      </c>
    </row>
    <row r="1009">
      <c r="A1009" s="1" t="s">
        <v>1257</v>
      </c>
      <c r="K1009" s="1"/>
    </row>
    <row r="1010">
      <c r="A1010" s="1" t="s">
        <v>1258</v>
      </c>
      <c r="K1010" s="1"/>
    </row>
    <row r="1011">
      <c r="A1011" s="1" t="s">
        <v>1259</v>
      </c>
      <c r="K1011" s="1"/>
    </row>
    <row r="1012">
      <c r="A1012" s="1" t="s">
        <v>1260</v>
      </c>
      <c r="K1012" s="1" t="s">
        <v>1261</v>
      </c>
    </row>
    <row r="1013">
      <c r="A1013" s="1" t="s">
        <v>1262</v>
      </c>
      <c r="K1013" s="1"/>
    </row>
    <row r="1014">
      <c r="A1014" s="1" t="s">
        <v>1263</v>
      </c>
      <c r="K1014" s="1"/>
    </row>
    <row r="1015">
      <c r="A1015" s="1" t="s">
        <v>1264</v>
      </c>
      <c r="K1015" s="1"/>
    </row>
    <row r="1016">
      <c r="A1016" s="1" t="s">
        <v>1265</v>
      </c>
      <c r="K1016" s="1" t="s">
        <v>1266</v>
      </c>
    </row>
    <row r="1017">
      <c r="A1017" s="1" t="s">
        <v>1267</v>
      </c>
      <c r="K1017" s="1"/>
    </row>
    <row r="1018">
      <c r="A1018" s="1" t="s">
        <v>1268</v>
      </c>
      <c r="K1018" s="1"/>
    </row>
    <row r="1019">
      <c r="A1019" s="1" t="s">
        <v>1269</v>
      </c>
      <c r="K1019"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s>
  <sheetData>
    <row r="1">
      <c r="A1" s="1" t="s">
        <v>1270</v>
      </c>
      <c r="B1" s="1" t="s">
        <v>1271</v>
      </c>
    </row>
    <row r="2">
      <c r="A2" s="2" t="str">
        <f>recipe!C2
</f>
        <v>치킨 밀푀유</v>
      </c>
      <c r="B2" s="1" t="str">
        <f>IFERROR(__xludf.DUMMYFUNCTION("TRIM(
  REGEXEXTRACT(
    raw!A2,
    ""(?s)●\s*재료(.*)●\s*조리 방법""
  )
)
"),"닭가슴살, 슬라이스햄, 양파, 양배추, 파프리카, 바게트, 다진마늘, 크림소스, 우유, 통후추, 소금, 토마토소스")</f>
        <v>닭가슴살, 슬라이스햄, 양파, 양배추, 파프리카, 바게트, 다진마늘, 크림소스, 우유, 통후추, 소금, 토마토소스</v>
      </c>
    </row>
    <row r="3">
      <c r="A3" s="2" t="str">
        <f>recipe!C3
</f>
        <v>취닭거리</v>
      </c>
      <c r="B3" s="1" t="str">
        <f>IFERROR(__xludf.DUMMYFUNCTION("TRIM(
  REGEXEXTRACT(
    raw!A3,
    ""(?s)●\s*재료(.*)●\s*조리 방법""
  )
)
"),"닭죽, 라조장, 취두부, 족발, 버터")</f>
        <v>닭죽, 라조장, 취두부, 족발, 버터</v>
      </c>
    </row>
    <row r="4">
      <c r="A4" s="2" t="str">
        <f>recipe!C4
</f>
        <v>닭딸</v>
      </c>
      <c r="B4" s="1" t="str">
        <f>IFERROR(__xludf.DUMMYFUNCTION("TRIM(
  REGEXEXTRACT(
    raw!A4,
    ""(?s)●\s*재료(.*)●\s*조리 방법""
  )
)
"),"복분자, 바게트, 닭가슴살, 우유, 레몬즙, 소금, 후추, 마늘")</f>
        <v>복분자, 바게트, 닭가슴살, 우유, 레몬즙, 소금, 후추, 마늘</v>
      </c>
    </row>
    <row r="5">
      <c r="A5" s="2" t="str">
        <f>recipe!C5
</f>
        <v>어머니 맛 풍족밥</v>
      </c>
      <c r="B5" s="1" t="str">
        <f>IFERROR(__xludf.DUMMYFUNCTION("TRIM(
  REGEXEXTRACT(
    raw!A5,
    ""(?s)●\s*재료(.*)●\s*조리 방법""
  )
)
"),"치킨, 족발, 두반장, 라조장, 유자청, 밀가루, 밥")</f>
        <v>치킨, 족발, 두반장, 라조장, 유자청, 밀가루, 밥</v>
      </c>
    </row>
    <row r="6">
      <c r="A6" s="2" t="str">
        <f>recipe!C6
</f>
        <v>치킨 요로케</v>
      </c>
      <c r="B6" s="1" t="str">
        <f>IFERROR(__xludf.DUMMYFUNCTION("TRIM(
  REGEXEXTRACT(
    raw!A6,
    ""(?s)●\s*재료(.*)●\s*조리 방법""
  )
)
"),"닭가슴살, 소금, 후추, 밀가루, 양파, 햄, 토마토 소스, 파마산 치즈, 모짜렐라 치츠, 올리브유")</f>
        <v>닭가슴살, 소금, 후추, 밀가루, 양파, 햄, 토마토 소스, 파마산 치즈, 모짜렐라 치츠, 올리브유</v>
      </c>
    </row>
    <row r="7">
      <c r="A7" s="2" t="str">
        <f>recipe!C7
</f>
        <v>포크 미트볼</v>
      </c>
      <c r="B7" s="1" t="str">
        <f>IFERROR(__xludf.DUMMYFUNCTION("TRIM(
  REGEXEXTRACT(
    raw!A7,
    ""(?s)●\s*재료(.*)●\s*조리 방법""
  )
)
"),"김치, 달걀, 햄, 밥")</f>
        <v>김치, 달걀, 햄, 밥</v>
      </c>
    </row>
    <row r="8">
      <c r="A8" s="2" t="str">
        <f>recipe!C8
</f>
        <v>만두부인 육수터졌네</v>
      </c>
      <c r="B8" s="1" t="str">
        <f>IFERROR(__xludf.DUMMYFUNCTION("TRIM(
  REGEXEXTRACT(
    raw!A8,
    ""(?s)●\s*재료(.*)●\s*조리 방법""
  )
)
"),"냉동만두, 사골육수, 토마토, 발사믹 소스, 버터, 다진마늘, 고추냉이, 올리브오일, 프로슈토햄, 그뤼에르 치즈")</f>
        <v>냉동만두, 사골육수, 토마토, 발사믹 소스, 버터, 다진마늘, 고추냉이, 올리브오일, 프로슈토햄, 그뤼에르 치즈</v>
      </c>
    </row>
    <row r="9">
      <c r="A9" s="2" t="str">
        <f>recipe!C9
</f>
        <v>심쿵 오믈렛</v>
      </c>
      <c r="B9" s="1" t="str">
        <f>IFERROR(__xludf.DUMMYFUNCTION("TRIM(
  REGEXEXTRACT(
    raw!A9,
    ""(?s)●\s*재료(.*)●\s*조리 방법""
  )
)
"),"달걀, 연어, 양파잼, 버터, 브로콜리, 소금, 후추, 케찹")</f>
        <v>달걀, 연어, 양파잼, 버터, 브로콜리, 소금, 후추, 케찹</v>
      </c>
    </row>
    <row r="10">
      <c r="A10" s="2" t="str">
        <f>recipe!C10
</f>
        <v>엔초비 파스타</v>
      </c>
      <c r="B10" s="1" t="str">
        <f>IFERROR(__xludf.DUMMYFUNCTION("TRIM(
  REGEXEXTRACT(
    raw!A10,
    ""(?s)●\s*재료(.*)●\s*조리 방법""
  )
)
"),"파스타면, 바게트빵, 올리브오일, 파슬리, 다진마늘, 애호박, 페페로치노, 엔초비")</f>
        <v>파스타면, 바게트빵, 올리브오일, 파슬리, 다진마늘, 애호박, 페페로치노, 엔초비</v>
      </c>
    </row>
    <row r="11">
      <c r="A11" s="2" t="str">
        <f>recipe!C11
</f>
        <v>고기와 썸타는 떡국떡 삼합</v>
      </c>
      <c r="B11" s="1" t="str">
        <f>IFERROR(__xludf.DUMMYFUNCTION("TRIM(
  REGEXEXTRACT(
    raw!A11,
    ""(?s)●\s*재료(.*)●\s*조리 방법""
  )
)
"),"맥주, 삼겹살, 김치, 케찹, 고추장, 방울토마토, 떡국떡, 올리브오일")</f>
        <v>맥주, 삼겹살, 김치, 케찹, 고추장, 방울토마토, 떡국떡, 올리브오일</v>
      </c>
    </row>
    <row r="12">
      <c r="A12" s="2" t="str">
        <f>recipe!C12
</f>
        <v>와닭</v>
      </c>
      <c r="B12" s="1" t="str">
        <f>IFERROR(__xludf.DUMMYFUNCTION("TRIM(
  REGEXEXTRACT(
    raw!A12,
    ""(?s)●\s*재료(.*)●\s*조리 방법""
  )
)
"),"생닭, 마늘, 양파, 아티초크, 토마토 소스, 적포도, 사골육수")</f>
        <v>생닭, 마늘, 양파, 아티초크, 토마토 소스, 적포도, 사골육수</v>
      </c>
    </row>
    <row r="13">
      <c r="A13" s="2" t="str">
        <f>recipe!C13
</f>
        <v>브로콜리 치킨</v>
      </c>
      <c r="B13" s="1" t="str">
        <f>IFERROR(__xludf.DUMMYFUNCTION("TRIM(
  REGEXEXTRACT(
    raw!A13,
    ""(?s)●\s*재료(.*)●\s*조리 방법""
  )
)
"),"닭가슴살, 브로콜리, 슬라이스 치즈, 파프리카, 방울토마토, 버터, 소금, 후추")</f>
        <v>닭가슴살, 브로콜리, 슬라이스 치즈, 파프리카, 방울토마토, 버터, 소금, 후추</v>
      </c>
    </row>
    <row r="14">
      <c r="A14" s="2" t="str">
        <f>recipe!C14
</f>
        <v>삼겹살 플레이트</v>
      </c>
      <c r="B14" s="1" t="str">
        <f>IFERROR(__xludf.DUMMYFUNCTION("TRIM(
  REGEXEXTRACT(
    raw!A14,
    ""(?s)●\s*재료(.*)●\s*조리 방법""
  )
)
"),"삼겹살, 양파, 알배추, 밥, 버터, 통마늘, 간장, 미림, 청주, 커피가루, 다진 마늘, 다진 생강")</f>
        <v>삼겹살, 양파, 알배추, 밥, 버터, 통마늘, 간장, 미림, 청주, 커피가루, 다진 마늘, 다진 생강</v>
      </c>
    </row>
    <row r="15">
      <c r="A15" s="2" t="str">
        <f>recipe!C15
</f>
        <v>강남비빔면</v>
      </c>
      <c r="B15" s="1" t="str">
        <f>IFERROR(__xludf.DUMMYFUNCTION("TRIM(
  REGEXEXTRACT(
    raw!A15,
    ""(?s)●\s*재료(.*)●\s*조리 방법""
  )
)
"),"생칼국수면, 삼겹살, 새우젓, 고추장, 딸기잼, 참기름, 고추냉이")</f>
        <v>생칼국수면, 삼겹살, 새우젓, 고추장, 딸기잼, 참기름, 고추냉이</v>
      </c>
    </row>
    <row r="16">
      <c r="A16" s="2" t="str">
        <f>recipe!C16
</f>
        <v>나 또 브리또</v>
      </c>
      <c r="B16" s="1" t="str">
        <f>IFERROR(__xludf.DUMMYFUNCTION("TRIM(
  REGEXEXTRACT(
    raw!A16,
    ""(?s)●\s*재료(.*)●\s*조리 방법""
  )
)
"),"냉동새우 볶음밥, 소고기, 간장, 미림, 다진 마늘, 후추, 대파, 타이 칠리소스, 낫토, 버터, 플레인 요거트, 레몬즙")</f>
        <v>냉동새우 볶음밥, 소고기, 간장, 미림, 다진 마늘, 후추, 대파, 타이 칠리소스, 낫토, 버터, 플레인 요거트, 레몬즙</v>
      </c>
    </row>
    <row r="17">
      <c r="A17" s="2" t="str">
        <f>recipe!C17
</f>
        <v>갸루상 케이크</v>
      </c>
      <c r="B17" s="1" t="str">
        <f>IFERROR(__xludf.DUMMYFUNCTION("TRIM(
  REGEXEXTRACT(
    raw!A17,
    ""(?s)●\s*재료(.*)●\s*조리 방법""
  )
)
"),"또띠아, 달걀, 설탕, 우유, 바닐라 아이스크림, 밀가루, 딸기")</f>
        <v>또띠아, 달걀, 설탕, 우유, 바닐라 아이스크림, 밀가루, 딸기</v>
      </c>
    </row>
    <row r="18">
      <c r="A18" s="2" t="str">
        <f>recipe!C18
</f>
        <v>PLETKA</v>
      </c>
      <c r="B18" s="1" t="str">
        <f>IFERROR(__xludf.DUMMYFUNCTION("TRIM(
  REGEXEXTRACT(
    raw!A18,
    ""(?s)●\s*재료(.*)●\s*조리 방법""
  )
)
"),"돼지고기 안심, 베이컨, 김치, 밥, 당근, 양파, 소주, 부추")</f>
        <v>돼지고기 안심, 베이컨, 김치, 밥, 당근, 양파, 소주, 부추</v>
      </c>
    </row>
    <row r="19">
      <c r="A19" s="2" t="str">
        <f>recipe!C19
</f>
        <v>다 줄게라면</v>
      </c>
      <c r="B19" s="1" t="str">
        <f>IFERROR(__xludf.DUMMYFUNCTION("TRIM(
  REGEXEXTRACT(
    raw!A19,
    ""(?s)●\s*재료(.*)●\s*조리 방법""
  )
)
"),"삼겹살, 복분자주, 김치, 어묵 통조림, 알배추, 라면, 매운 미소소스")</f>
        <v>삼겹살, 복분자주, 김치, 어묵 통조림, 알배추, 라면, 매운 미소소스</v>
      </c>
    </row>
    <row r="20">
      <c r="A20" s="2" t="str">
        <f>recipe!C20
</f>
        <v>우리집에 오.새.요</v>
      </c>
      <c r="B20" s="1" t="str">
        <f>IFERROR(__xludf.DUMMYFUNCTION("TRIM(
  REGEXEXTRACT(
    raw!A20,
    ""(?s)●\s*재료(.*)●\s*조리 방법""
  )
)
"),"청주, 미림, 양조간장, 국수장국, 오징어, 칵테일 새우, 다진 마늘, 당근, 양파, 박력분, 전분, 얼음, 대파, 무")</f>
        <v>청주, 미림, 양조간장, 국수장국, 오징어, 칵테일 새우, 다진 마늘, 당근, 양파, 박력분, 전분, 얼음, 대파, 무</v>
      </c>
    </row>
    <row r="21">
      <c r="A21" s="2" t="str">
        <f>recipe!C21
</f>
        <v>Mr.콩chu~♥</v>
      </c>
      <c r="B21" s="1" t="str">
        <f>IFERROR(__xludf.DUMMYFUNCTION("TRIM(
  REGEXEXTRACT(
    raw!A21,
    ""(?s)●\s*재료(.*)●\s*조리 방법""
  )
)
"),"버터, 밀가루, 두유, 두부, 전분, 계피맛 쿠키, 설탕, 초콜릿")</f>
        <v>버터, 밀가루, 두유, 두부, 전분, 계피맛 쿠키, 설탕, 초콜릿</v>
      </c>
    </row>
    <row r="22">
      <c r="A22" s="2" t="str">
        <f>recipe!C22
</f>
        <v>For덕</v>
      </c>
      <c r="B22" s="1" t="str">
        <f>IFERROR(__xludf.DUMMYFUNCTION("TRIM(
  REGEXEXTRACT(
    raw!A22,
    ""(?s)●\s*재료(.*)●\s*조리 방법""
  )
)
"),"가지, 계란흰자 통조림, 토마토, 파프리카, 고추장아찌, 토마토 소스, 올리브유, 소금, 후추")</f>
        <v>가지, 계란흰자 통조림, 토마토, 파프리카, 고추장아찌, 토마토 소스, 올리브유, 소금, 후추</v>
      </c>
    </row>
    <row r="23">
      <c r="A23" s="2" t="str">
        <f>recipe!C23
</f>
        <v>프로틴 스틱</v>
      </c>
      <c r="B23" s="1" t="str">
        <f>IFERROR(__xludf.DUMMYFUNCTION("TRIM(
  REGEXEXTRACT(
    raw!A23,
    ""(?s)●\s*재료(.*)●\s*조리 방법""
  )
)
"),"계란흰자 통조림, 닭가슴살, 파프리카, 양파, 당근, 사과, 견과류, 대파, 식초, 올리브유")</f>
        <v>계란흰자 통조림, 닭가슴살, 파프리카, 양파, 당근, 사과, 견과류, 대파, 식초, 올리브유</v>
      </c>
    </row>
    <row r="24">
      <c r="A24" s="2" t="str">
        <f>recipe!C24
</f>
        <v>불닭 소시지</v>
      </c>
      <c r="B24" s="1" t="str">
        <f>IFERROR(__xludf.DUMMYFUNCTION("TRIM(
  REGEXEXTRACT(
    raw!A24,
    ""(?s)●\s*재료(.*)●\s*조리 방법""
  )
)
"),"소시지, 매운라면 소스, 당면라면, 청양고추, 상추")</f>
        <v>소시지, 매운라면 소스, 당면라면, 청양고추, 상추</v>
      </c>
    </row>
    <row r="25">
      <c r="A25" s="2" t="str">
        <f>recipe!C25
</f>
        <v>매우면 참치 &amp; 쏘루아밀크</v>
      </c>
      <c r="B25" s="1" t="str">
        <f>IFERROR(__xludf.DUMMYFUNCTION("TRIM(
  REGEXEXTRACT(
    raw!A25,
    ""(?s)●\s*재료(.*)●\s*조리 방법""
  )
)
"),"참치, 식빵, 토마토, 버터, 고춧가루, 소금, 소주, 인스턴트 커피, 흰우유")</f>
        <v>참치, 식빵, 토마토, 버터, 고춧가루, 소금, 소주, 인스턴트 커피, 흰우유</v>
      </c>
    </row>
    <row r="26">
      <c r="A26" s="2" t="str">
        <f>recipe!C26
</f>
        <v>삼층돈탑</v>
      </c>
      <c r="B26" s="1" t="str">
        <f>IFERROR(__xludf.DUMMYFUNCTION("TRIM(
  REGEXEXTRACT(
    raw!A26,
    ""(?s)●\s*재료(.*)●\s*조리 방법""
  )
)
"),"알배추, 대파, 목살, 다진 고추 장아찌, 설탕, 스테이크 소스, 올리고당")</f>
        <v>알배추, 대파, 목살, 다진 고추 장아찌, 설탕, 스테이크 소스, 올리고당</v>
      </c>
    </row>
    <row r="27">
      <c r="A27" s="2" t="str">
        <f>recipe!C27
</f>
        <v>엠티 오후의 라면</v>
      </c>
      <c r="B27" s="1" t="str">
        <f>IFERROR(__xludf.DUMMYFUNCTION("TRIM(
  REGEXEXTRACT(
    raw!A27,
    ""(?s)●\s*재료(.*)●\s*조리 방법""
  )
)
"),"라면, 밀가루, 쇠고기 스프, 오징어, 계란")</f>
        <v>라면, 밀가루, 쇠고기 스프, 오징어, 계란</v>
      </c>
    </row>
    <row r="28">
      <c r="A28" s="2" t="str">
        <f>recipe!C28
</f>
        <v>봉선아 시집가자미</v>
      </c>
      <c r="B28" s="1" t="str">
        <f>IFERROR(__xludf.DUMMYFUNCTION("TRIM(
  REGEXEXTRACT(
    raw!A28,
    ""(?s)●\s*재료(.*)●\s*조리 방법""
  )
)
"),"가자미, 양송이 버섯, 복분자 엑기스, 대파, 소금, 후추, 밀가루, 화이트 와인, 버터")</f>
        <v>가자미, 양송이 버섯, 복분자 엑기스, 대파, 소금, 후추, 밀가루, 화이트 와인, 버터</v>
      </c>
    </row>
    <row r="29">
      <c r="A29" s="2" t="str">
        <f>recipe!C29
</f>
        <v>스키니 신</v>
      </c>
      <c r="B29" s="1" t="str">
        <f>IFERROR(__xludf.DUMMYFUNCTION("TRIM(
  REGEXEXTRACT(
    raw!A29,
    ""(?s)●\s*재료(.*)●\s*조리 방법""
  )
)
"),"키조개 관자, 단감, 양상추, 양파, 고구마, 감자, 올리브유")</f>
        <v>키조개 관자, 단감, 양상추, 양파, 고구마, 감자, 올리브유</v>
      </c>
    </row>
    <row r="30">
      <c r="A30" s="2" t="str">
        <f>recipe!C30
</f>
        <v>파티비프</v>
      </c>
      <c r="B30" s="1" t="str">
        <f>IFERROR(__xludf.DUMMYFUNCTION("TRIM(
  REGEXEXTRACT(
    raw!A30,
    ""(?s)●\s*재료(.*)●\s*조리 방법""
  )
)
"),"밥, 등심, 느타리 버섯, 양송이 버섯, 양상추, 양파, 총각김치, 쌈장, 생크림")</f>
        <v>밥, 등심, 느타리 버섯, 양송이 버섯, 양상추, 양파, 총각김치, 쌈장, 생크림</v>
      </c>
    </row>
    <row r="31">
      <c r="A31" s="2" t="str">
        <f>recipe!C31
</f>
        <v>아이러브유부</v>
      </c>
      <c r="B31" s="1" t="str">
        <f>IFERROR(__xludf.DUMMYFUNCTION("TRIM(
  REGEXEXTRACT(
    raw!A31,
    ""(?s)●\s*재료(.*)●\s*조리 방법""
  )
)
"),"삼겹살, 생크림, 달걀, 통마늘, 잣, 양파, 두반장, 굴소스, 고추장아찌 국물, 핫소스")</f>
        <v>삼겹살, 생크림, 달걀, 통마늘, 잣, 양파, 두반장, 굴소스, 고추장아찌 국물, 핫소스</v>
      </c>
    </row>
    <row r="32">
      <c r="A32" s="2" t="str">
        <f>recipe!C32
</f>
        <v>곤약 봉골레 곤봉</v>
      </c>
      <c r="B32" s="1" t="str">
        <f>IFERROR(__xludf.DUMMYFUNCTION("TRIM(
  REGEXEXTRACT(
    raw!A32,
    ""(?s)●\s*재료(.*)●\s*조리 방법""
  )
)
"),"곤약, 파프리카, 바지락, 올리브 오일, 마늘, 소금, 후추")</f>
        <v>곤약, 파프리카, 바지락, 올리브 오일, 마늘, 소금, 후추</v>
      </c>
    </row>
    <row r="33">
      <c r="A33" s="2" t="str">
        <f>recipe!C33
</f>
        <v>렛잇컵</v>
      </c>
      <c r="B33" s="1" t="str">
        <f>IFERROR(__xludf.DUMMYFUNCTION("TRIM(
  REGEXEXTRACT(
    raw!A33,
    ""(?s)●\s*재료(.*)●\s*조리 방법""
  )
)
"),"찐고구마, 두유, 딸기, 키위, 사과, 홍시, 플레인 요거트, 생고구마")</f>
        <v>찐고구마, 두유, 딸기, 키위, 사과, 홍시, 플레인 요거트, 생고구마</v>
      </c>
    </row>
    <row r="34">
      <c r="A34" s="2" t="str">
        <f>recipe!C34
</f>
        <v>마이 러블리 튀밥</v>
      </c>
      <c r="B34" s="1" t="str">
        <f>IFERROR(__xludf.DUMMYFUNCTION("TRIM(
  REGEXEXTRACT(
    raw!A34,
    ""(?s)●\s*재료(.*)●\s*조리 방법""
  )
)
"),"파프리카, 버섯, 양파, 명란젓, 대파, 즉석밥, 참기름, 치즈, 소금, 후추, 올리브유, 마늘, 블랙올리브, 홍고추, 방울토마토, 토마토소스, 밀가루, 달걀, 빵가루, 식용유, 파슬리")</f>
        <v>파프리카, 버섯, 양파, 명란젓, 대파, 즉석밥, 참기름, 치즈, 소금, 후추, 올리브유, 마늘, 블랙올리브, 홍고추, 방울토마토, 토마토소스, 밀가루, 달걀, 빵가루, 식용유, 파슬리</v>
      </c>
    </row>
    <row r="35">
      <c r="A35" s="2" t="str">
        <f>recipe!C35
</f>
        <v>자투리타타</v>
      </c>
      <c r="B35" s="1" t="str">
        <f>IFERROR(__xludf.DUMMYFUNCTION("TRIM(
  REGEXEXTRACT(
    raw!A35,
    ""(?s)●\s*재료(.*)●\s*조리 방법""
  )
)
"),"파프리카, 양파, 버섯, 명란젓, 달걀, 올리브유, 방울토마토, 마늘, 팽이버섯, 베이컨")</f>
        <v>파프리카, 양파, 버섯, 명란젓, 달걀, 올리브유, 방울토마토, 마늘, 팽이버섯, 베이컨</v>
      </c>
    </row>
    <row r="36">
      <c r="A36" s="2" t="str">
        <f>recipe!C36
</f>
        <v>괜찮아, 목심이야</v>
      </c>
      <c r="B36" s="1" t="str">
        <f>IFERROR(__xludf.DUMMYFUNCTION("TRIM(
  REGEXEXTRACT(
    raw!A36,
    ""(?s)●\s*재료(.*)●\s*조리 방법""
  )
)
"),"돼지고기 목심, 양파, 당근, 양상추, 사과, 전분, 소금, 후추, 오리엔탈 소스, 식초, 설탕")</f>
        <v>돼지고기 목심, 양파, 당근, 양상추, 사과, 전분, 소금, 후추, 오리엔탈 소스, 식초, 설탕</v>
      </c>
    </row>
    <row r="37">
      <c r="A37" s="2" t="str">
        <f>recipe!C37
</f>
        <v>마이 스위트 베이비</v>
      </c>
      <c r="B37" s="1" t="str">
        <f>IFERROR(__xludf.DUMMYFUNCTION("TRIM(
  REGEXEXTRACT(
    raw!A37,
    ""(?s)●\s*재료(.*)●\s*조리 방법""
  )
)
"),"소고기 등심, 사과, 레드와인, 흑설탕, 소금, 후추")</f>
        <v>소고기 등심, 사과, 레드와인, 흑설탕, 소금, 후추</v>
      </c>
    </row>
    <row r="38">
      <c r="A38" s="2" t="str">
        <f>recipe!C38
</f>
        <v>어란대첩</v>
      </c>
      <c r="B38" s="1" t="str">
        <f>IFERROR(__xludf.DUMMYFUNCTION("TRIM(
  REGEXEXTRACT(
    raw!A38,
    ""(?s)●\s*재료(.*)●\s*조리 방법""
  )
)
"),"파스타면(엔젤헤어), 무, 어란, 올리브유, 쯔유, 소금, 후추")</f>
        <v>파스타면(엔젤헤어), 무, 어란, 올리브유, 쯔유, 소금, 후추</v>
      </c>
    </row>
    <row r="39">
      <c r="A39" s="2" t="str">
        <f>recipe!C39
</f>
        <v>뉴타운 달팽이</v>
      </c>
      <c r="B39" s="1" t="str">
        <f>IFERROR(__xludf.DUMMYFUNCTION("TRIM(
  REGEXEXTRACT(
    raw!A39,
    ""(?s)●\s*재료(.*)●\s*조리 방법""
  )
)
"),"달팽이, 양파, 버터, 매시드 포테이토 분말, 레드와인, 시금치")</f>
        <v>달팽이, 양파, 버터, 매시드 포테이토 분말, 레드와인, 시금치</v>
      </c>
    </row>
    <row r="40">
      <c r="A40" s="2" t="str">
        <f>recipe!C40
</f>
        <v>삼국회담</v>
      </c>
      <c r="B40" s="1" t="str">
        <f>IFERROR(__xludf.DUMMYFUNCTION("TRIM(
  REGEXEXTRACT(
    raw!A40,
    ""(?s)●\s*재료(.*)●\s*조리 방법""
  )
)
"),"양갈비, 쌀국수면, 커민, 마늘, 중국 고추소스, 코코넛 밀크, 새우젓, 말린 양파, 피쉬소스, 동치미 국물, 탄산수, 참기름")</f>
        <v>양갈비, 쌀국수면, 커민, 마늘, 중국 고추소스, 코코넛 밀크, 새우젓, 말린 양파, 피쉬소스, 동치미 국물, 탄산수, 참기름</v>
      </c>
    </row>
    <row r="41">
      <c r="A41" s="2" t="str">
        <f>recipe!C41
</f>
        <v>로맨티스튜~♡</v>
      </c>
      <c r="B41" s="1" t="str">
        <f>IFERROR(__xludf.DUMMYFUNCTION("TRIM(
  REGEXEXTRACT(
    raw!A41,
    ""(?s)●\s*재료(.*)●\s*조리 방법""
  )
)
"),"한우 등심, 밀가루, 베이컨, 양파, 토마토, 생크림, 코코넛 밀크, 커리 페이스트, 양배추, 밥, 레몬즙, 고수, 홍고추, 청고추, 올리브유")</f>
        <v>한우 등심, 밀가루, 베이컨, 양파, 토마토, 생크림, 코코넛 밀크, 커리 페이스트, 양배추, 밥, 레몬즙, 고수, 홍고추, 청고추, 올리브유</v>
      </c>
    </row>
    <row r="42">
      <c r="A42" s="2" t="str">
        <f>recipe!C42
</f>
        <v>섹시 한 컵</v>
      </c>
      <c r="B42" s="1" t="str">
        <f>IFERROR(__xludf.DUMMYFUNCTION("TRIM(
  REGEXEXTRACT(
    raw!A42,
    ""(?s)●\s*재료(.*)●\s*조리 방법""
  )
)
"),"통조림햄, 슬라이스 치즈, 바질페스토, 달걀, 할라피뇨")</f>
        <v>통조림햄, 슬라이스 치즈, 바질페스토, 달걀, 할라피뇨</v>
      </c>
    </row>
    <row r="43">
      <c r="A43" s="2" t="str">
        <f>recipe!C43
</f>
        <v>가희에게 반하나</v>
      </c>
      <c r="B43" s="1" t="str">
        <f>IFERROR(__xludf.DUMMYFUNCTION("TRIM(
  REGEXEXTRACT(
    raw!A43,
    ""(?s)●\s*재료(.*)●\s*조리 방법""
  )
)
"),"달걀, 탄산수, 바나나, 초콜릿 잼, 견과류, 블루베리")</f>
        <v>달걀, 탄산수, 바나나, 초콜릿 잼, 견과류, 블루베리</v>
      </c>
    </row>
    <row r="44">
      <c r="A44" s="2" t="str">
        <f>recipe!C44
</f>
        <v>엑소 떡볶이</v>
      </c>
      <c r="B44" s="1" t="str">
        <f>IFERROR(__xludf.DUMMYFUNCTION("TRIM(
  REGEXEXTRACT(
    raw!A44,
    ""(?s)●\s*재료(.*)●\s*조리 방법""
  )
)
"),"인스턴트 떡볶이, 굴소스, XO소스, 양배추, 로메인 상추")</f>
        <v>인스턴트 떡볶이, 굴소스, XO소스, 양배추, 로메인 상추</v>
      </c>
    </row>
    <row r="45">
      <c r="A45" s="2" t="str">
        <f>recipe!C45
</f>
        <v>한 뚝볶이 하실래예?</v>
      </c>
      <c r="B45" s="1" t="str">
        <f>IFERROR(__xludf.DUMMYFUNCTION("TRIM(
  REGEXEXTRACT(
    raw!A45,
    ""(?s)●\s*재료(.*)●\s*조리 방법""
  )
)
"),"떡국떡, 감자, 냉동만두, 페페로치노")</f>
        <v>떡국떡, 감자, 냉동만두, 페페로치노</v>
      </c>
    </row>
    <row r="46">
      <c r="A46" s="2" t="str">
        <f>recipe!C46
</f>
        <v>굴로장생</v>
      </c>
      <c r="B46" s="1" t="str">
        <f>IFERROR(__xludf.DUMMYFUNCTION("TRIM(
  REGEXEXTRACT(
    raw!A46,
    ""(?s)●\s*재료(.*)●\s*조리 방법""
  )
)
"),"멸치가루, 굴비, 호두오일, 레몬, 느타리버섯, 그라나파다노 치즈, 후추, 고추장, 양파, 마늘, 소금, 후추, 버터")</f>
        <v>멸치가루, 굴비, 호두오일, 레몬, 느타리버섯, 그라나파다노 치즈, 후추, 고추장, 양파, 마늘, 소금, 후추, 버터</v>
      </c>
    </row>
    <row r="47">
      <c r="A47" s="2" t="str">
        <f>recipe!C47
</f>
        <v>낙지 호로록</v>
      </c>
      <c r="B47" s="1" t="str">
        <f>IFERROR(__xludf.DUMMYFUNCTION("TRIM(
  REGEXEXTRACT(
    raw!A47,
    ""(?s)●\s*재료(.*)●\s*조리 방법""
  )
)
"),"낙지, 돌나물, 레몬청, 레몬, 청양고추, 페페로치노, 소금, 양파, 식초, 설탕, 다진 마늘, 참기름, 깨")</f>
        <v>낙지, 돌나물, 레몬청, 레몬, 청양고추, 페페로치노, 소금, 양파, 식초, 설탕, 다진 마늘, 참기름, 깨</v>
      </c>
    </row>
    <row r="48">
      <c r="A48" s="2" t="str">
        <f>recipe!C48
</f>
        <v>달.고.나</v>
      </c>
      <c r="B48" s="1" t="str">
        <f>IFERROR(__xludf.DUMMYFUNCTION("TRIM(
  REGEXEXTRACT(
    raw!A48,
    ""(?s)●\s*재료(.*)●\s*조리 방법""
  )
)
"),"돼지고기 앞다리살, 마살라, 양파, 당근, 밀가루, 버터, 쪽파")</f>
        <v>돼지고기 앞다리살, 마살라, 양파, 당근, 밀가루, 버터, 쪽파</v>
      </c>
    </row>
    <row r="49">
      <c r="A49" s="2" t="str">
        <f>recipe!C49
</f>
        <v>오순도순</v>
      </c>
      <c r="B49" s="1" t="str">
        <f>IFERROR(__xludf.DUMMYFUNCTION("TRIM(
  REGEXEXTRACT(
    raw!A49,
    ""(?s)●\s*재료(.*)●\s*조리 방법""
  )
)
"),"오징어, 청양고추, 쌈채소, 토마토, 레몬, 케이퍼, 그라나파다노 치즈, 양파, 대파, 밥, 쌈장")</f>
        <v>오징어, 청양고추, 쌈채소, 토마토, 레몬, 케이퍼, 그라나파다노 치즈, 양파, 대파, 밥, 쌈장</v>
      </c>
    </row>
    <row r="50">
      <c r="A50" s="2" t="str">
        <f>recipe!C50
</f>
        <v>굴링굴링</v>
      </c>
      <c r="B50" s="1" t="str">
        <f>IFERROR(__xludf.DUMMYFUNCTION("TRIM(
  REGEXEXTRACT(
    raw!A50,
    ""(?s)●\s*재료(.*)●\s*조리 방법""
  )
)
"),"굴, 우스터소스, 굴소스, 매실장아찌, 소금, 식초, 설탕, 간장, 국수장국, 연겨자, 전분, 양차, 고추, 쪽파")</f>
        <v>굴, 우스터소스, 굴소스, 매실장아찌, 소금, 식초, 설탕, 간장, 국수장국, 연겨자, 전분, 양차, 고추, 쪽파</v>
      </c>
    </row>
    <row r="51">
      <c r="A51" s="2" t="str">
        <f>recipe!C51
</f>
        <v>보굴보굴</v>
      </c>
      <c r="B51" s="1" t="str">
        <f>IFERROR(__xludf.DUMMYFUNCTION("TRIM(
  REGEXEXTRACT(
    raw!A51,
    ""(?s)●\s*재료(.*)●\s*조리 방법""
  )
)
"),"굴, 미역, 우유, 양파, 버터, 밀가루, 참기름, 마늘")</f>
        <v>굴, 미역, 우유, 양파, 버터, 밀가루, 참기름, 마늘</v>
      </c>
    </row>
    <row r="52">
      <c r="A52" s="2" t="str">
        <f>recipe!C52
</f>
        <v>허풍찜닭밥</v>
      </c>
      <c r="B52" s="1" t="str">
        <f>IFERROR(__xludf.DUMMYFUNCTION("TRIM(
  REGEXEXTRACT(
    raw!A52,
    ""(?s)●\s*재료(.*)●\s*조리 방법""
  )
)
"),"닭가슴살 통조림, 참치 통조림, 우스터소스, 김치, 카레가루, 달걀, 토마토, 레몬즙, 굴소스, 양파, 소금, 후추, 밥, 전분, 설탕")</f>
        <v>닭가슴살 통조림, 참치 통조림, 우스터소스, 김치, 카레가루, 달걀, 토마토, 레몬즙, 굴소스, 양파, 소금, 후추, 밥, 전분, 설탕</v>
      </c>
    </row>
    <row r="53">
      <c r="A53" s="2" t="str">
        <f>recipe!C53
</f>
        <v>허달달</v>
      </c>
      <c r="B53" s="1" t="str">
        <f>IFERROR(__xludf.DUMMYFUNCTION("TRIM(
  REGEXEXTRACT(
    raw!A53,
    ""(?s)●\s*재료(.*)●\s*조리 방법""
  )
)
"),"치킨 비프볼, 굴소스, 달걀, 우유, 소보로빵, 새송이 버섯, 두부, 다시마, 멸치, 대파, 양파, 다진 마늘, 다진 생강, 즉석밥")</f>
        <v>치킨 비프볼, 굴소스, 달걀, 우유, 소보로빵, 새송이 버섯, 두부, 다시마, 멸치, 대파, 양파, 다진 마늘, 다진 생강, 즉석밥</v>
      </c>
    </row>
    <row r="54">
      <c r="A54" s="2" t="str">
        <f>recipe!C54
</f>
        <v>파콘 투게더</v>
      </c>
      <c r="B54" s="1" t="str">
        <f>IFERROR(__xludf.DUMMYFUNCTION("TRIM(
  REGEXEXTRACT(
    raw!A54,
    ""(?s)●\s*재료(.*)●\s*조리 방법""
  )
)
"),"옥수수캔, 참치캔, 펜네, 방울토마토, 베이컨, 아보카도, 칠리파우더, 파마산 치즈, 고수, 소금, 레몬즙, 양파")</f>
        <v>옥수수캔, 참치캔, 펜네, 방울토마토, 베이컨, 아보카도, 칠리파우더, 파마산 치즈, 고수, 소금, 레몬즙, 양파</v>
      </c>
    </row>
    <row r="55">
      <c r="A55" s="2" t="str">
        <f>recipe!C55
</f>
        <v>백 투 더 치킨</v>
      </c>
      <c r="B55" s="1" t="str">
        <f>IFERROR(__xludf.DUMMYFUNCTION("TRIM(
  REGEXEXTRACT(
    raw!A55,
    ""(?s)●\s*재료(.*)●\s*조리 방법""
  )
)
"),"닭고기, 생강, 달걀, 방울토마토, 고수, 올리브유, 양파, 당근, 전분")</f>
        <v>닭고기, 생강, 달걀, 방울토마토, 고수, 올리브유, 양파, 당근, 전분</v>
      </c>
    </row>
    <row r="56">
      <c r="A56" s="2" t="str">
        <f>recipe!C56
</f>
        <v>멕시코 갓(god) 쌈?!</v>
      </c>
      <c r="B56" s="1" t="str">
        <f>IFERROR(__xludf.DUMMYFUNCTION("TRIM(
  REGEXEXTRACT(
    raw!A56,
    ""(?s)●\s*재료(.*)●\s*조리 방법""
  )
)
"),"망고스틴, 방울토마토, 고수, 사워크림, 사과, 타코시즈닝, 식빵, 소시지, 슬라이스 치즈, 화이트와인")</f>
        <v>망고스틴, 방울토마토, 고수, 사워크림, 사과, 타코시즈닝, 식빵, 소시지, 슬라이스 치즈, 화이트와인</v>
      </c>
    </row>
    <row r="57">
      <c r="A57" s="2" t="str">
        <f>recipe!C57
</f>
        <v>타코 리턴</v>
      </c>
      <c r="B57" s="1" t="str">
        <f>IFERROR(__xludf.DUMMYFUNCTION("TRIM(
  REGEXEXTRACT(
    raw!A57,
    ""(?s)●\s*재료(.*)●\s*조리 방법""
  )
)
"),"만두피, 다진 소고기, 타코시즈닝, 방울토마토, 얼린 토마토, 고수, 마늘장아찌, 아보카도, 사워크림, 스리라차 소스, 핫소스, 소금, 후추, 양파, 올리브유, 레몬즙")</f>
        <v>만두피, 다진 소고기, 타코시즈닝, 방울토마토, 얼린 토마토, 고수, 마늘장아찌, 아보카도, 사워크림, 스리라차 소스, 핫소스, 소금, 후추, 양파, 올리브유, 레몬즙</v>
      </c>
    </row>
    <row r="58">
      <c r="A58" s="2" t="str">
        <f>recipe!C58
</f>
        <v>냉장고탕</v>
      </c>
      <c r="B58" s="1" t="str">
        <f>IFERROR(__xludf.DUMMYFUNCTION("TRIM(
  REGEXEXTRACT(
    raw!A58,
    ""(?s)●\s*재료(.*)●\s*조리 방법""
  )
)
"),"김치, 고등어, 상추, 된장, 두부")</f>
        <v>김치, 고등어, 상추, 된장, 두부</v>
      </c>
    </row>
    <row r="59">
      <c r="A59" s="2" t="str">
        <f>recipe!C59
</f>
        <v>고된 밀푀유</v>
      </c>
      <c r="B59" s="1" t="str">
        <f>IFERROR(__xludf.DUMMYFUNCTION("TRIM(
  REGEXEXTRACT(
    raw!A59,
    ""(?s)●\s*재료(.*)●\s*조리 방법""
  )
)
"),"두부, 감자, 된장, 할라피뇨, 유자청, 상추")</f>
        <v>두부, 감자, 된장, 할라피뇨, 유자청, 상추</v>
      </c>
    </row>
    <row r="60">
      <c r="A60" s="2" t="str">
        <f>recipe!C60
</f>
        <v>안심하드라고~!</v>
      </c>
      <c r="B60" s="1" t="str">
        <f>IFERROR(__xludf.DUMMYFUNCTION("TRIM(
  REGEXEXTRACT(
    raw!A60,
    ""(?s)●\s*재료(.*)●\s*조리 방법""
  )
)
"),"감자, 당근, 안심, 팥 아이스크림")</f>
        <v>감자, 당근, 안심, 팥 아이스크림</v>
      </c>
    </row>
    <row r="61">
      <c r="A61" s="2" t="str">
        <f>recipe!C61
</f>
        <v>미숫가루보나라</v>
      </c>
      <c r="B61" s="1" t="str">
        <f>IFERROR(__xludf.DUMMYFUNCTION("TRIM(
  REGEXEXTRACT(
    raw!A61,
    ""(?s)●\s*재료(.*)●\s*조리 방법""
  )
)
"),"미숫가루, 달걀, 우유, 초콜릿")</f>
        <v>미숫가루, 달걀, 우유, 초콜릿</v>
      </c>
    </row>
    <row r="62">
      <c r="A62" s="2" t="str">
        <f>recipe!C62
</f>
        <v>미소볼</v>
      </c>
      <c r="B62" s="1" t="str">
        <f>IFERROR(__xludf.DUMMYFUNCTION("TRIM(
  REGEXEXTRACT(
    raw!A62,
    ""(?s)●\s*재료(.*)●\s*조리 방법""
  )
)
"),"미트볼, 크림치즈, 옥수수, 팽이버섯, 새송이버섯, 달걀, 마늘, 레드와인, 생강, 토마토소스, 버터, 설탕, 간장, 고추, 대파, 양파, 소금, 후추, 레몬, 파마산 치즈, 즉석밥")</f>
        <v>미트볼, 크림치즈, 옥수수, 팽이버섯, 새송이버섯, 달걀, 마늘, 레드와인, 생강, 토마토소스, 버터, 설탕, 간장, 고추, 대파, 양파, 소금, 후추, 레몬, 파마산 치즈, 즉석밥</v>
      </c>
    </row>
    <row r="63">
      <c r="A63" s="2" t="str">
        <f>recipe!C63
</f>
        <v>와풍 주니어 버거</v>
      </c>
      <c r="B63" s="1" t="str">
        <f>IFERROR(__xludf.DUMMYFUNCTION("TRIM(
  REGEXEXTRACT(
    raw!A63,
    ""(?s)●\s*재료(.*)●\s*조리 방법""
  )
)
"),"미트볼, 통조림햄, 달걀, 팽이버섯, 카스테라, 슬라이스 치즈, 버터, 양파, 소금, 후추, 마요네즈, 머스터드, 마늘")</f>
        <v>미트볼, 통조림햄, 달걀, 팽이버섯, 카스테라, 슬라이스 치즈, 버터, 양파, 소금, 후추, 마요네즈, 머스터드, 마늘</v>
      </c>
    </row>
    <row r="64">
      <c r="A64" s="2" t="str">
        <f>recipe!C64
</f>
        <v>트리퐁크라운</v>
      </c>
      <c r="B64" s="1" t="str">
        <f>IFERROR(__xludf.DUMMYFUNCTION("TRIM(
  REGEXEXTRACT(
    raw!A64,
    ""(?s)●\s*재료(.*)●\s*조리 방법""
  )
)
"),"우유, 크림치즈, 달걀, 사과주스, 초콜릿, 호두, 바닐라 시럽, 카스테라, 시리얼, 아몬드, 설탕, 레몬즙")</f>
        <v>우유, 크림치즈, 달걀, 사과주스, 초콜릿, 호두, 바닐라 시럽, 카스테라, 시리얼, 아몬드, 설탕, 레몬즙</v>
      </c>
    </row>
    <row r="65">
      <c r="A65" s="2" t="str">
        <f>recipe!C65
</f>
        <v>라벤더숲</v>
      </c>
      <c r="B65" s="1" t="str">
        <f>IFERROR(__xludf.DUMMYFUNCTION("TRIM(
  REGEXEXTRACT(
    raw!A65,
    ""(?s)●\s*재료(.*)●\s*조리 방법""
  )
)
"),"우유, 라벤더 티백, 달걀, 아사이베리즙, 사과, 카스테라, 초콜릿, 쿠키, 아몬드, 설탕, 레몬즙")</f>
        <v>우유, 라벤더 티백, 달걀, 아사이베리즙, 사과, 카스테라, 초콜릿, 쿠키, 아몬드, 설탕, 레몬즙</v>
      </c>
    </row>
    <row r="66">
      <c r="A66" s="2" t="str">
        <f>recipe!C66
</f>
        <v>살치는 매운 요리</v>
      </c>
      <c r="B66" s="1" t="str">
        <f>IFERROR(__xludf.DUMMYFUNCTION("TRIM(
  REGEXEXTRACT(
    raw!A66,
    ""(?s)●\s*재료(.*)●\s*조리 방법""
  )
)
"),"페페론치노, 파슬리, 양배추, 살치살, 콜라비, 아보카도, 올리브유, 마늘, 레몬, 소금, 후추, 고추")</f>
        <v>페페론치노, 파슬리, 양배추, 살치살, 콜라비, 아보카도, 올리브유, 마늘, 레몬, 소금, 후추, 고추</v>
      </c>
    </row>
    <row r="67">
      <c r="A67" s="2" t="str">
        <f>recipe!C67
</f>
        <v>삼고마비</v>
      </c>
      <c r="B67" s="1" t="str">
        <f>IFERROR(__xludf.DUMMYFUNCTION("TRIM(
  REGEXEXTRACT(
    raw!A67,
    ""(?s)●\s*재료(.*)●\s*조리 방법""
  )
)
"),"고춧가루, 페페론치노, 콜라비, 꽃갈비살, 매실액, 꿀, 청양고추, 대파, 소금, 후추, 설탕, 레몬")</f>
        <v>고춧가루, 페페론치노, 콜라비, 꽃갈비살, 매실액, 꿀, 청양고추, 대파, 소금, 후추, 설탕, 레몬</v>
      </c>
    </row>
    <row r="68">
      <c r="A68" s="2" t="str">
        <f>recipe!C68
</f>
        <v>가슴이 콩닭콩닭</v>
      </c>
      <c r="B68" s="1" t="str">
        <f>IFERROR(__xludf.DUMMYFUNCTION("TRIM(
  REGEXEXTRACT(
    raw!A68,
    ""(?s)●\s*재료(.*)●\s*조리 방법""
  )
)
"),"파슬리, 닭가슴살, 고춧가루, 애호박, 콜라비, 발사믹 드레싱, 설탕, 올리브유, 후추, 소금, 양파, 고추, 마늘")</f>
        <v>파슬리, 닭가슴살, 고춧가루, 애호박, 콜라비, 발사믹 드레싱, 설탕, 올리브유, 후추, 소금, 양파, 고추, 마늘</v>
      </c>
    </row>
    <row r="69">
      <c r="A69" s="2" t="str">
        <f>recipe!C69
</f>
        <v>나 혼자 쓰리볼</v>
      </c>
      <c r="B69" s="1" t="str">
        <f>IFERROR(__xludf.DUMMYFUNCTION("TRIM(
  REGEXEXTRACT(
    raw!A69,
    ""(?s)●\s*재료(.*)●\s*조리 방법""
  )
)
"),"닭가슴살, 달걀, 크림소스, 페페론치노, 바질페스토, 훈제연어, 석류, 볶은 현미, 화이트와인, 소금, 후추, 청양고추, 마늘, 양파, 파르메산 치즈")</f>
        <v>닭가슴살, 달걀, 크림소스, 페페론치노, 바질페스토, 훈제연어, 석류, 볶은 현미, 화이트와인, 소금, 후추, 청양고추, 마늘, 양파, 파르메산 치즈</v>
      </c>
    </row>
    <row r="70">
      <c r="A70" s="2" t="str">
        <f>recipe!C70
</f>
        <v>연양만점</v>
      </c>
      <c r="B70" s="1" t="str">
        <f>IFERROR(__xludf.DUMMYFUNCTION("TRIM(
  REGEXEXTRACT(
    raw!A70,
    ""(?s)●\s*재료(.*)●\s*조리 방법""
  )
)
"),"양배추, 감자, 훈제연어, 플레인 요거트, 발사믹 식초, 딸기, 소금, 대파, 양파, 레몬즙")</f>
        <v>양배추, 감자, 훈제연어, 플레인 요거트, 발사믹 식초, 딸기, 소금, 대파, 양파, 레몬즙</v>
      </c>
    </row>
    <row r="71">
      <c r="A71" s="2" t="str">
        <f>recipe!C71
</f>
        <v>의기양양</v>
      </c>
      <c r="B71" s="1" t="str">
        <f>IFERROR(__xludf.DUMMYFUNCTION("TRIM(
  REGEXEXTRACT(
    raw!A71,
    ""(?s)●\s*재료(.*)●\s*조리 방법""
  )
)
"),"양배추, 훈제오리, 닭가슴살, 쯔유, 백김치, 달걀, 어린잎 채소, 밥, 양파, 대파, 버터, 마늘, 후추, 다진 생강")</f>
        <v>양배추, 훈제오리, 닭가슴살, 쯔유, 백김치, 달걀, 어린잎 채소, 밥, 양파, 대파, 버터, 마늘, 후추, 다진 생강</v>
      </c>
    </row>
    <row r="72">
      <c r="A72" s="2" t="str">
        <f>recipe!C72
</f>
        <v>감자봤수란</v>
      </c>
      <c r="B72" s="1" t="str">
        <f>IFERROR(__xludf.DUMMYFUNCTION("TRIM(
  REGEXEXTRACT(
    raw!A72,
    ""(?s)●\s*재료(.*)●\s*조리 방법""
  )
)
"),"감자, 어린잎 채소, 매실액, 쯔유, 달걀, 마늘장아찌, 소금, 양파, 밀가루, 버터, 후추, 깨, 식초")</f>
        <v>감자, 어린잎 채소, 매실액, 쯔유, 달걀, 마늘장아찌, 소금, 양파, 밀가루, 버터, 후추, 깨, 식초</v>
      </c>
    </row>
    <row r="73">
      <c r="A73" s="2" t="str">
        <f>recipe!C73
</f>
        <v>미치고 팔닭</v>
      </c>
      <c r="B73" s="1" t="str">
        <f>IFERROR(__xludf.DUMMYFUNCTION("TRIM(
  REGEXEXTRACT(
    raw!A73,
    ""(?s)●\s*재료(.*)●\s*조리 방법""
  )
)
"),"인절미, 닭가슴살 통조림, 조미료, 꿀, 다진 마늘, 양파, 후추, 간장")</f>
        <v>인절미, 닭가슴살 통조림, 조미료, 꿀, 다진 마늘, 양파, 후추, 간장</v>
      </c>
    </row>
    <row r="74">
      <c r="A74" s="2" t="str">
        <f>recipe!C74
</f>
        <v>2연타</v>
      </c>
      <c r="B74" s="1" t="str">
        <f>IFERROR(__xludf.DUMMYFUNCTION("TRIM(
  REGEXEXTRACT(
    raw!A74,
    ""(?s)●\s*재료(.*)●\s*조리 방법""
  )
)
"),"연어, 양배추, 옥수수 통조림, 매운 오리엔탈 소스, 고추장아찌, 방울토마토, 참치, 크림치즈, 소금, 후추, 레몬, 양파, 핫소스, 올리브유, 마요네즈")</f>
        <v>연어, 양배추, 옥수수 통조림, 매운 오리엔탈 소스, 고추장아찌, 방울토마토, 참치, 크림치즈, 소금, 후추, 레몬, 양파, 핫소스, 올리브유, 마요네즈</v>
      </c>
    </row>
    <row r="75">
      <c r="A75" s="2" t="str">
        <f>recipe!C75
</f>
        <v>홍런볼</v>
      </c>
      <c r="B75" s="1" t="str">
        <f>IFERROR(__xludf.DUMMYFUNCTION("TRIM(
  REGEXEXTRACT(
    raw!A75,
    ""(?s)●\s*재료(.*)●\s*조리 방법""
  )
)
"),"연어, 양배추, 멸치볶음, 고추장아찌, 김자반, 유산균 음료, 딸기 요거트, 청포도, 레몬, 소금, 후추, 버터, 참기름, 올리브오일")</f>
        <v>연어, 양배추, 멸치볶음, 고추장아찌, 김자반, 유산균 음료, 딸기 요거트, 청포도, 레몬, 소금, 후추, 버터, 참기름, 올리브오일</v>
      </c>
    </row>
    <row r="76">
      <c r="A76" s="2" t="str">
        <f>recipe!C76
</f>
        <v>비어 쉬림프</v>
      </c>
      <c r="B76" s="1" t="str">
        <f>IFERROR(__xludf.DUMMYFUNCTION("TRIM(
  REGEXEXTRACT(
    raw!A76,
    ""(?s)●\s*재료(.*)●\s*조리 방법""
  )
)
"),"새우, 달걀, 맥주, 양배추, 소금, 후추, 마늘, 밀가루, 당근, 올리브유, 식초, 레몬")</f>
        <v>새우, 달걀, 맥주, 양배추, 소금, 후추, 마늘, 밀가루, 당근, 올리브유, 식초, 레몬</v>
      </c>
    </row>
    <row r="77">
      <c r="A77" s="2" t="str">
        <f>recipe!C77
</f>
        <v>치튀치튀뱅뱅</v>
      </c>
      <c r="B77" s="1" t="str">
        <f>IFERROR(__xludf.DUMMYFUNCTION("TRIM(
  REGEXEXTRACT(
    raw!A77,
    ""(?s)●\s*재료(.*)●\s*조리 방법""
  )
)
"),"크림치즈, 오리엔탈 드레싱, 딸기잼, 딸기, 청포도, 버터, 토마토소스, 밀가루")</f>
        <v>크림치즈, 오리엔탈 드레싱, 딸기잼, 딸기, 청포도, 버터, 토마토소스, 밀가루</v>
      </c>
    </row>
    <row r="78">
      <c r="A78" s="2" t="str">
        <f>recipe!C78
</f>
        <v>사우나 육국수</v>
      </c>
      <c r="B78" s="1" t="str">
        <f>IFERROR(__xludf.DUMMYFUNCTION("TRIM(
  REGEXEXTRACT(
    raw!A78,
    ""(?s)●\s*재료(.*)●\s*조리 방법""
  )
)
"),"냉동만두, 페페론치노, 소주, 소고기 등심, 양송이버섯, 마카다미아, 곶감, 바닐라 아이스크림, 소면, 다진 생강, 다진 마늘, 양파, 대파, 고춧가루, 된장, 깻잎")</f>
        <v>냉동만두, 페페론치노, 소주, 소고기 등심, 양송이버섯, 마카다미아, 곶감, 바닐라 아이스크림, 소면, 다진 생강, 다진 마늘, 양파, 대파, 고춧가루, 된장, 깻잎</v>
      </c>
    </row>
    <row r="79">
      <c r="A79" s="2" t="str">
        <f>recipe!C79
</f>
        <v>완소짬뽕</v>
      </c>
      <c r="B79" s="1" t="str">
        <f>IFERROR(__xludf.DUMMYFUNCTION("TRIM(
  REGEXEXTRACT(
    raw!A79,
    ""(?s)●\s*재료(.*)●\s*조리 방법""
  )
)
"),"낙지, 양송이버섯, 새우, 칼국수 면, 달걀, 고추, 양파, 마늘, 대파, 전분")</f>
        <v>낙지, 양송이버섯, 새우, 칼국수 면, 달걀, 고추, 양파, 마늘, 대파, 전분</v>
      </c>
    </row>
    <row r="80">
      <c r="A80" s="2" t="str">
        <f>recipe!C80
</f>
        <v>털업 샐러드</v>
      </c>
      <c r="B80" s="1" t="str">
        <f>IFERROR(__xludf.DUMMYFUNCTION("TRIM(
  REGEXEXTRACT(
    raw!A80,
    ""(?s)●\s*재료(.*)●\s*조리 방법""
  )
)
"),"렌틸콩, 페페론치노, 주꾸미, 새우, 요거트, 메이플 시럽, 된장, 양파, 당근, 청양고추, 버터, 마늘, 고춧가루, 레몬즙, 마르메산 치즈, 레몬")</f>
        <v>렌틸콩, 페페론치노, 주꾸미, 새우, 요거트, 메이플 시럽, 된장, 양파, 당근, 청양고추, 버터, 마늘, 고춧가루, 레몬즙, 마르메산 치즈, 레몬</v>
      </c>
    </row>
    <row r="81">
      <c r="A81" s="2" t="str">
        <f>recipe!C81
</f>
        <v>하우 두 유두?</v>
      </c>
      <c r="B81" s="1" t="str">
        <f>IFERROR(__xludf.DUMMYFUNCTION("TRIM(
  REGEXEXTRACT(
    raw!A81,
    ""(?s)●\s*재료(.*)●\s*조리 방법""
  )
)
"),"두부, 소고기 등심, 양송이버섯, 달걀, 레드페퍼, 소금, 후추, 국수장국, 맛술, 식초, 다진생강, 대파, 전분, 밀가루, 양파, 버터, 케첩, 돈가스 소스, 설탕")</f>
        <v>두부, 소고기 등심, 양송이버섯, 달걀, 레드페퍼, 소금, 후추, 국수장국, 맛술, 식초, 다진생강, 대파, 전분, 밀가루, 양파, 버터, 케첩, 돈가스 소스, 설탕</v>
      </c>
    </row>
    <row r="82">
      <c r="A82" s="2" t="str">
        <f>recipe!C82
</f>
        <v>치즈 듬풍 토스트</v>
      </c>
      <c r="B82" s="1" t="str">
        <f>IFERROR(__xludf.DUMMYFUNCTION("TRIM(
  REGEXEXTRACT(
    raw!A82,
    ""(?s)●\s*재료(.*)●\s*조리 방법""
  )
)
"),"호두, 식빵, 체다 치즈, 모차렐라 치즈, 설탕, 소금")</f>
        <v>호두, 식빵, 체다 치즈, 모차렐라 치즈, 설탕, 소금</v>
      </c>
    </row>
    <row r="83">
      <c r="A83" s="2" t="str">
        <f>recipe!C83
</f>
        <v>샘 앤 치즈 그라탱</v>
      </c>
      <c r="B83" s="1" t="str">
        <f>IFERROR(__xludf.DUMMYFUNCTION("TRIM(
  REGEXEXTRACT(
    raw!A83,
    ""(?s)●\s*재료(.*)●\s*조리 방법""
  )
)
"),"감자, 마카로니, 우유, 모차렐라 치즈, 체다 치즈, 소금, 버터, 밀가루, 양파")</f>
        <v>감자, 마카로니, 우유, 모차렐라 치즈, 체다 치즈, 소금, 버터, 밀가루, 양파</v>
      </c>
    </row>
    <row r="84">
      <c r="A84" s="2" t="str">
        <f>recipe!C84
</f>
        <v>베리베리 러블리걸</v>
      </c>
      <c r="B84" s="1" t="str">
        <f>IFERROR(__xludf.DUMMYFUNCTION("TRIM(
  REGEXEXTRACT(
    raw!A84,
    ""(?s)●\s*재료(.*)●\s*조리 방법""
  )
)
"),"마카로니, 블루베리, 우유, 달걀, 호두, 키위, 석류, 소금, 설탕, 버터")</f>
        <v>마카로니, 블루베리, 우유, 달걀, 호두, 키위, 석류, 소금, 설탕, 버터</v>
      </c>
    </row>
    <row r="85">
      <c r="A85" s="2" t="str">
        <f>recipe!C85
</f>
        <v>LOL : The love of your life</v>
      </c>
      <c r="B85" s="1" t="str">
        <f>IFERROR(__xludf.DUMMYFUNCTION("TRIM(
  REGEXEXTRACT(
    raw!A85,
    ""(?s)●\s*재료(.*)●\s*조리 방법""
  )
)
"),"감자, 우유, 만두, 불고기, 식빵, 부추, 복분자 원액, 석류, 강황 가루, 소금, 버터, 올리브오일, 설탕")</f>
        <v>감자, 우유, 만두, 불고기, 식빵, 부추, 복분자 원액, 석류, 강황 가루, 소금, 버터, 올리브오일, 설탕</v>
      </c>
    </row>
    <row r="86">
      <c r="A86" s="2" t="str">
        <f>recipe!C86
</f>
        <v>순결한 튀김</v>
      </c>
      <c r="B86" s="1" t="str">
        <f>IFERROR(__xludf.DUMMYFUNCTION("TRIM(
  REGEXEXTRACT(
    raw!A86,
    ""(?s)●\s*재료(.*)●\s*조리 방법""
  )
)
"),"소고기 안심, 사과, 블루 치즈, 태국고추, 멸치액젓, 마카다미아, 레몬청, 양상추, 소금, 후추, 청양고추, 식초, 레몬즙, 설탕, 다진 마늘, 파")</f>
        <v>소고기 안심, 사과, 블루 치즈, 태국고추, 멸치액젓, 마카다미아, 레몬청, 양상추, 소금, 후추, 청양고추, 식초, 레몬즙, 설탕, 다진 마늘, 파</v>
      </c>
    </row>
    <row r="87">
      <c r="A87" s="2" t="str">
        <f>recipe!C87
</f>
        <v>고기 차이나</v>
      </c>
      <c r="B87" s="1" t="str">
        <f>IFERROR(__xludf.DUMMYFUNCTION("TRIM(
  REGEXEXTRACT(
    raw!A87,
    ""(?s)●\s*재료(.*)●\s*조리 방법""
  )
)
"),"닭가슴살, 달걀, 채끝살, 청경채, 파프리카, 굴소스, 양상추, 감자 전분, 밀가루, 식용유, 양파, 대파, 마늘, 간장, 설탕, 식초, 레몬즙, 다진 마늘")</f>
        <v>닭가슴살, 달걀, 채끝살, 청경채, 파프리카, 굴소스, 양상추, 감자 전분, 밀가루, 식용유, 양파, 대파, 마늘, 간장, 설탕, 식초, 레몬즙, 다진 마늘</v>
      </c>
    </row>
    <row r="88">
      <c r="A88" s="2" t="str">
        <f>recipe!C88
</f>
        <v>힘을 내요 슈퍼 나베</v>
      </c>
      <c r="B88" s="1" t="str">
        <f>IFERROR(__xludf.DUMMYFUNCTION("TRIM(
  REGEXEXTRACT(
    raw!A88,
    ""(?s)●\s*재료(.*)●\s*조리 방법""
  )
)
"),"사골 육수, 양지머리, 양배추, 송화 버섯, 청경채, 소면, 팽이 버섯, 소고기 안심, 깻잎, 달걀, 된장, 마늘, 대파, 국간장")</f>
        <v>사골 육수, 양지머리, 양배추, 송화 버섯, 청경채, 소면, 팽이 버섯, 소고기 안심, 깻잎, 달걀, 된장, 마늘, 대파, 국간장</v>
      </c>
    </row>
    <row r="89">
      <c r="A89" s="2" t="str">
        <f>recipe!C89
</f>
        <v>소테미너</v>
      </c>
      <c r="B89" s="1" t="str">
        <f>IFERROR(__xludf.DUMMYFUNCTION("TRIM(
  REGEXEXTRACT(
    raw!A89,
    ""(?s)●\s*재료(.*)●\s*조리 방법""
  )
)
"),"방울 양배추, 콜리플라워, 파프리카, 브로콜리, 살치살, 소금, 버터, 마늘, 양파, 후추")</f>
        <v>방울 양배추, 콜리플라워, 파프리카, 브로콜리, 살치살, 소금, 버터, 마늘, 양파, 후추</v>
      </c>
    </row>
    <row r="90">
      <c r="A90" s="2" t="str">
        <f>recipe!C90
</f>
        <v>초코 모찌 맛있찌</v>
      </c>
      <c r="B90" s="1" t="str">
        <f>IFERROR(__xludf.DUMMYFUNCTION("TRIM(
  REGEXEXTRACT(
    raw!A90,
    ""(?s)●\s*재료(.*)●\s*조리 방법""
  )
)
"),"초코 비스킷, 쑥떡, 달걀, 커피 음료, 믹스커피, 커피 우유, 냉동 블루베리, 딸기, 아이스크림, 버터, 소금, 밀가루, 설탕")</f>
        <v>초코 비스킷, 쑥떡, 달걀, 커피 음료, 믹스커피, 커피 우유, 냉동 블루베리, 딸기, 아이스크림, 버터, 소금, 밀가루, 설탕</v>
      </c>
    </row>
    <row r="91">
      <c r="A91" s="2" t="str">
        <f>recipe!C91
</f>
        <v>수플레가 머랭?</v>
      </c>
      <c r="B91" s="1" t="str">
        <f>IFERROR(__xludf.DUMMYFUNCTION("TRIM(
  REGEXEXTRACT(
    raw!A91,
    ""(?s)●\s*재료(.*)●\s*조리 방법""
  )
)
"),"초콜릿, 달걀, 커피 우유, 냉동 블루베리, 설탕, 전분")</f>
        <v>초콜릿, 달걀, 커피 우유, 냉동 블루베리, 설탕, 전분</v>
      </c>
    </row>
    <row r="92">
      <c r="A92" s="2" t="str">
        <f>recipe!C92
</f>
        <v>그.레.요 (그대를 위한 레토르트 요리)</v>
      </c>
      <c r="B92" s="1" t="str">
        <f>IFERROR(__xludf.DUMMYFUNCTION("TRIM(
  REGEXEXTRACT(
    raw!A92,
    ""(?s)●\s*재료(.*)●\s*조리 방법""
  )
)
"),"토마토 소스, 참치 통조림, 건자두, 레드 와인, 달걀, 햄 통조림, 옥수수 수프 분말, 데친 브로콜리, 버터, 양파, 즉석밥, 레드 와인, 설탕, 밀가루, 빵가루, 파르메산 치즈, 후추")</f>
        <v>토마토 소스, 참치 통조림, 건자두, 레드 와인, 달걀, 햄 통조림, 옥수수 수프 분말, 데친 브로콜리, 버터, 양파, 즉석밥, 레드 와인, 설탕, 밀가루, 빵가루, 파르메산 치즈, 후추</v>
      </c>
    </row>
    <row r="93">
      <c r="A93" s="2" t="str">
        <f>recipe!C93
</f>
        <v>수픈데 오믈렛</v>
      </c>
      <c r="B93" s="1" t="str">
        <f>IFERROR(__xludf.DUMMYFUNCTION("TRIM(
  REGEXEXTRACT(
    raw!A93,
    ""(?s)●\s*재료(.*)●\s*조리 방법""
  )
)
"),"달걀, 햄 통조림, 참치 통조림, 데친 브로콜리, 머스터드 소스, 옥수수 수프 분말, 스위트 칠리 소스, 레몬, 소금, 후추, 버터, 올리브유, 설탕")</f>
        <v>달걀, 햄 통조림, 참치 통조림, 데친 브로콜리, 머스터드 소스, 옥수수 수프 분말, 스위트 칠리 소스, 레몬, 소금, 후추, 버터, 올리브유, 설탕</v>
      </c>
    </row>
    <row r="94">
      <c r="A94" s="2" t="str">
        <f>recipe!C94
</f>
        <v>빠리송로</v>
      </c>
      <c r="B94" s="1" t="str">
        <f>IFERROR(__xludf.DUMMYFUNCTION("TRIM(
  REGEXEXTRACT(
    raw!A94,
    ""(?s)●\s*재료(.*)●\s*조리 방법""
  )
)
"),"치킨 스톡, 두부, 느타리버섯, 트러플 소스, 우유, 트러플 오일, 당근, 버터, 양파")</f>
        <v>치킨 스톡, 두부, 느타리버섯, 트러플 소스, 우유, 트러플 오일, 당근, 버터, 양파</v>
      </c>
    </row>
    <row r="95">
      <c r="A95" s="2" t="str">
        <f>recipe!C95
</f>
        <v>머라노</v>
      </c>
      <c r="B95" s="1" t="str">
        <f>IFERROR(__xludf.DUMMYFUNCTION("TRIM(
  REGEXEXTRACT(
    raw!A95,
    ""(?s)●\s*재료(.*)●\s*조리 방법""
  )
)
"),"표고버섯, 느타리버섯, 그라나파다노 치즈, 올리브 오일, 양파, 당근, 올리브 오일, 마늘, 즉석밥, 버터, 소금, 후추")</f>
        <v>표고버섯, 느타리버섯, 그라나파다노 치즈, 올리브 오일, 양파, 당근, 올리브 오일, 마늘, 즉석밥, 버터, 소금, 후추</v>
      </c>
    </row>
    <row r="96">
      <c r="A96" s="2" t="str">
        <f>recipe!C96
</f>
        <v>파프리콘</v>
      </c>
      <c r="B96" s="1" t="str">
        <f>IFERROR(__xludf.DUMMYFUNCTION("TRIM(
  REGEXEXTRACT(
    raw!A96,
    ""(?s)●\s*재료(.*)●\s*조리 방법""
  )
)
"),"파프리카, 토마토 통조림, 파슬리, 바질페스토, 페타 치즈, 옥수수, 블랙 올리브, 마늘, 소금, 후추, 올리브 오일, 밀가루")</f>
        <v>파프리카, 토마토 통조림, 파슬리, 바질페스토, 페타 치즈, 옥수수, 블랙 올리브, 마늘, 소금, 후추, 올리브 오일, 밀가루</v>
      </c>
    </row>
    <row r="97">
      <c r="A97" s="2" t="str">
        <f>recipe!C97
</f>
        <v>섬섬옥수수</v>
      </c>
      <c r="B97" s="1" t="str">
        <f>IFERROR(__xludf.DUMMYFUNCTION("TRIM(
  REGEXEXTRACT(
    raw!A97,
    ""(?s)●\s*재료(.*)●\s*조리 방법""
  )
)
"),"옥수수, 리코타 치즈, 치킨 스톡, 우유, 해바라기씨, 트러플 오일, 그라나파다노 치즈, 버터, 마늘, 양파, 소금, 후추, 밀가루, 설탕")</f>
        <v>옥수수, 리코타 치즈, 치킨 스톡, 우유, 해바라기씨, 트러플 오일, 그라나파다노 치즈, 버터, 마늘, 양파, 소금, 후추, 밀가루, 설탕</v>
      </c>
    </row>
    <row r="98">
      <c r="A98" s="2" t="str">
        <f>recipe!C98
</f>
        <v>스푼 파스타</v>
      </c>
      <c r="B98" s="1" t="str">
        <f>IFERROR(__xludf.DUMMYFUNCTION("TRIM(
  REGEXEXTRACT(
    raw!A98,
    ""(?s)●\s*재료(.*)●\s*조리 방법""
  )
)
"),"밴댕이, 갑오징어 알, 새우, 키조개 관자, 카망베르 치즈, 올리브 오일, 다진 마늘, 후추")</f>
        <v>밴댕이, 갑오징어 알, 새우, 키조개 관자, 카망베르 치즈, 올리브 오일, 다진 마늘, 후추</v>
      </c>
    </row>
    <row r="99">
      <c r="A99" s="2" t="str">
        <f>recipe!C99
</f>
        <v>연복쌈</v>
      </c>
      <c r="B99" s="1" t="str">
        <f>IFERROR(__xludf.DUMMYFUNCTION("TRIM(
  REGEXEXTRACT(
    raw!A99,
    ""(?s)●\s*재료(.*)●\s*조리 방법""
  )
)
"),"전복, 돼지고기, 애호박, 오이, 춘장, 전복소스, 양파, 밀가루, 소금, 참기름, 올리브 오일, 대파")</f>
        <v>전복, 돼지고기, 애호박, 오이, 춘장, 전복소스, 양파, 밀가루, 소금, 참기름, 올리브 오일, 대파</v>
      </c>
    </row>
    <row r="100">
      <c r="A100" s="2" t="str">
        <f>recipe!C100
</f>
        <v>갈갈이 풍면</v>
      </c>
      <c r="B100" s="1" t="str">
        <f>IFERROR(__xludf.DUMMYFUNCTION("TRIM(
  REGEXEXTRACT(
    raw!A100,
    ""(?s)●\s*재료(.*)●\s*조리 방법""
  )
)
"),"황태채, 새우가루, 홍합가루, 토마토, 할라피뇨, 매실 장아찌, 마늘 장아찌, 매실액, 삼겹살, 엔젤헤어, 고춧가루, 올리브 오일, 후추")</f>
        <v>황태채, 새우가루, 홍합가루, 토마토, 할라피뇨, 매실 장아찌, 마늘 장아찌, 매실액, 삼겹살, 엔젤헤어, 고춧가루, 올리브 오일, 후추</v>
      </c>
    </row>
    <row r="101">
      <c r="A101" s="2" t="str">
        <f>recipe!C101
</f>
        <v>한식 브런찜</v>
      </c>
      <c r="B101" s="1" t="str">
        <f>IFERROR(__xludf.DUMMYFUNCTION("TRIM(
  REGEXEXTRACT(
    raw!A101,
    ""(?s)●\s*재료(.*)●\s*조리 방법""
  )
)
"),"솔잎, 굴비채, 눈개승마, 아가베 시럽, 유자청, 된장, 요리술, 즉석밥, 소금, 다진 마늘, 다진 파, 고춧가루, 깨, 참기름, 양조간장")</f>
        <v>솔잎, 굴비채, 눈개승마, 아가베 시럽, 유자청, 된장, 요리술, 즉석밥, 소금, 다진 마늘, 다진 파, 고춧가루, 깨, 참기름, 양조간장</v>
      </c>
    </row>
    <row r="102">
      <c r="A102" s="2" t="str">
        <f>recipe!C102
</f>
        <v>연복풍 덮밥</v>
      </c>
      <c r="B102" s="1" t="str">
        <f>IFERROR(__xludf.DUMMYFUNCTION("TRIM(
  REGEXEXTRACT(
    raw!A102,
    ""(?s)●\s*재료(.*)●\s*조리 방법""
  )
)
"),"게맛살, 고량주, 팽이버섯, 달걀, 식용유, 참기름, 마늘, 생강, 대파, 간장, 고춧가루, 전분, 즉석밥")</f>
        <v>게맛살, 고량주, 팽이버섯, 달걀, 식용유, 참기름, 마늘, 생강, 대파, 간장, 고춧가루, 전분, 즉석밥</v>
      </c>
    </row>
    <row r="103">
      <c r="A103" s="2" t="str">
        <f>recipe!C103
</f>
        <v>윌나잇까스</v>
      </c>
      <c r="B103" s="1" t="str">
        <f>IFERROR(__xludf.DUMMYFUNCTION("TRIM(
  REGEXEXTRACT(
    raw!A103,
    ""(?s)●\s*재료(.*)●\s*조리 방법""
  )
)
"),"소고기 등심, 달걀, 팽이버섯, 당근, 양파, 소금, 후추, 버터, 밀가루, 레몬즙, 밀가루, 빵가루")</f>
        <v>소고기 등심, 달걀, 팽이버섯, 당근, 양파, 소금, 후추, 버터, 밀가루, 레몬즙, 밀가루, 빵가루</v>
      </c>
    </row>
    <row r="104">
      <c r="A104" s="2" t="str">
        <f>recipe!C104
</f>
        <v>이것이 원윌이닭</v>
      </c>
      <c r="B104" s="1" t="str">
        <f>IFERROR(__xludf.DUMMYFUNCTION("TRIM(
  REGEXEXTRACT(
    raw!A104,
    ""(?s)●\s*재료(.*)●\s*조리 방법""
  )
)
"),"닭가슴살, 메밀라면, 알배추, 사과, 깻잎, 사과 주스, 소금, 후추, 레몬즙, 식초, 마늘, 고추, 연겨자")</f>
        <v>닭가슴살, 메밀라면, 알배추, 사과, 깻잎, 사과 주스, 소금, 후추, 레몬즙, 식초, 마늘, 고추, 연겨자</v>
      </c>
    </row>
    <row r="105">
      <c r="A105" s="2" t="str">
        <f>recipe!C105
</f>
        <v>치킨 마요랑깨</v>
      </c>
      <c r="B105" s="1" t="str">
        <f>IFERROR(__xludf.DUMMYFUNCTION("TRIM(
  REGEXEXTRACT(
    raw!A105,
    ""(?s)●\s*재료(.*)●\s*조리 방법""
  )
)
"),"닭가슴살, 김치, 달걀, 간장, 후추, 마늘, 깨, 밀가루, 허니 머스터드, 레몬즙, 소금, 청양고추")</f>
        <v>닭가슴살, 김치, 달걀, 간장, 후추, 마늘, 깨, 밀가루, 허니 머스터드, 레몬즙, 소금, 청양고추</v>
      </c>
    </row>
    <row r="106">
      <c r="A106" s="2" t="str">
        <f>recipe!C106
</f>
        <v>감동의 더가니</v>
      </c>
      <c r="B106" s="1" t="str">
        <f>IFERROR(__xludf.DUMMYFUNCTION("TRIM(
  REGEXEXTRACT(
    raw!A106,
    ""(?s)●\s*재료(.*)●\s*조리 방법""
  )
)
"),"새우, 인스턴트 도가니탕, 레드 와인, 더치커피, 선드라이드 토마토, 파슬리, 미나리 잎, 소금, 후추, 밀가루, 토마토 소스, 올리브 오일, 즉석밥, 레몬")</f>
        <v>새우, 인스턴트 도가니탕, 레드 와인, 더치커피, 선드라이드 토마토, 파슬리, 미나리 잎, 소금, 후추, 밀가루, 토마토 소스, 올리브 오일, 즉석밥, 레몬</v>
      </c>
    </row>
    <row r="107">
      <c r="A107" s="2" t="str">
        <f>recipe!C107
</f>
        <v>치사의 사탑</v>
      </c>
      <c r="B107" s="1" t="str">
        <f>IFERROR(__xludf.DUMMYFUNCTION("TRIM(
  REGEXEXTRACT(
    raw!A107,
    ""(?s)●\s*재료(.*)●\s*조리 방법""
  )
)
"),"사과, 살치살, 포트 와인, 레드 와인, 소시지, 베이컨, 할라피뇨, 베이크드 빈, 표고 버섯, 스리라차 소스, 칠리 플레이크, 파슬리, 버터, 양파, 다진 마늘, 케첩, 설탕")</f>
        <v>사과, 살치살, 포트 와인, 레드 와인, 소시지, 베이컨, 할라피뇨, 베이크드 빈, 표고 버섯, 스리라차 소스, 칠리 플레이크, 파슬리, 버터, 양파, 다진 마늘, 케첩, 설탕</v>
      </c>
    </row>
    <row r="108">
      <c r="A108" s="2" t="str">
        <f>recipe!C108
</f>
        <v>와인퐁당</v>
      </c>
      <c r="B108" s="1" t="str">
        <f>IFERROR(__xludf.DUMMYFUNCTION("TRIM(
  REGEXEXTRACT(
    raw!A108,
    ""(?s)●\s*재료(.*)●\s*조리 방법""
  )
)
"),"스모크 치즈, 화이트 와인, 카망베르 치즈, 애호박, 살치살, 새우, 칠리 플레이크, 로즈마리, 마늘")</f>
        <v>스모크 치즈, 화이트 와인, 카망베르 치즈, 애호박, 살치살, 새우, 칠리 플레이크, 로즈마리, 마늘</v>
      </c>
    </row>
    <row r="109">
      <c r="A109" s="2" t="str">
        <f>recipe!C109
</f>
        <v>우와한 양갈비</v>
      </c>
      <c r="B109" s="1" t="str">
        <f>IFERROR(__xludf.DUMMYFUNCTION("TRIM(
  REGEXEXTRACT(
    raw!A109,
    ""(?s)●\s*재료(.*)●\s*조리 방법""
  )
)
"),"사과, 애호박, 베이크드 빈, 베이컨, 블랙 올리브, 양갈비, 레드 와인, 표고 버섯, 로즈마리, 파슬리, 칠리 플레이크, 양꼬치 분말 소스, 버터, 소금, 후추, 다진 마늘, 식용유")</f>
        <v>사과, 애호박, 베이크드 빈, 베이컨, 블랙 올리브, 양갈비, 레드 와인, 표고 버섯, 로즈마리, 파슬리, 칠리 플레이크, 양꼬치 분말 소스, 버터, 소금, 후추, 다진 마늘, 식용유</v>
      </c>
    </row>
    <row r="110">
      <c r="A110" s="2" t="str">
        <f>recipe!C110
</f>
        <v>이길 만두 하자냐</v>
      </c>
      <c r="B110" s="1" t="str">
        <f>IFERROR(__xludf.DUMMYFUNCTION("TRIM(
  REGEXEXTRACT(
    raw!A110,
    ""(?s)●\s*재료(.*)●\s*조리 방법""
  )
)
"),"새우 물만두, 배추김치, 방울토마토, 양송이 수프 통조림, 모차렐라 치즈, 찬밥, 버터, 고추장, 설탕")</f>
        <v>새우 물만두, 배추김치, 방울토마토, 양송이 수프 통조림, 모차렐라 치즈, 찬밥, 버터, 고추장, 설탕</v>
      </c>
    </row>
    <row r="111">
      <c r="A111" s="2" t="str">
        <f>recipe!C111
</f>
        <v>복꽃엔딩</v>
      </c>
      <c r="B111" s="1" t="str">
        <f>IFERROR(__xludf.DUMMYFUNCTION("TRIM(
  REGEXEXTRACT(
    raw!A111,
    ""(?s)●\s*재료(.*)●\s*조리 방법""
  )
)
"),"달걀, 배추김치, 표고버섯, 돼지고기, 오징어, 굴소스, 식용유, 전분, 소금, 양파, 설탕, 밀가루")</f>
        <v>달걀, 배추김치, 표고버섯, 돼지고기, 오징어, 굴소스, 식용유, 전분, 소금, 양파, 설탕, 밀가루</v>
      </c>
    </row>
    <row r="112">
      <c r="A112" s="2" t="str">
        <f>recipe!C112
</f>
        <v>맹모닝</v>
      </c>
      <c r="B112" s="1" t="str">
        <f>IFERROR(__xludf.DUMMYFUNCTION("TRIM(
  REGEXEXTRACT(
    raw!A112,
    ""(?s)●\s*재료(.*)●\s*조리 방법""
  )
)
"),"꽁치 통조림, 오렌지, 레몬 식초, 식빵, 토마토, 양송이 수프 통조림, 배추김치, 열무김치, 옥수수 통조림, 잣, 슬라이스 치즈, 다진 피클, 양파, 소금, 청양고추, 후추, 다진 마늘, 당근, 마요네즈")</f>
        <v>꽁치 통조림, 오렌지, 레몬 식초, 식빵, 토마토, 양송이 수프 통조림, 배추김치, 열무김치, 옥수수 통조림, 잣, 슬라이스 치즈, 다진 피클, 양파, 소금, 청양고추, 후추, 다진 마늘, 당근, 마요네즈</v>
      </c>
    </row>
    <row r="113">
      <c r="A113" s="2" t="str">
        <f>recipe!C113
</f>
        <v>LA 떡다져스</v>
      </c>
      <c r="B113" s="1" t="str">
        <f>IFERROR(__xludf.DUMMYFUNCTION("TRIM(
  REGEXEXTRACT(
    raw!A113,
    ""(?s)●\s*재료(.*)●\s*조리 방법""
  )
)
"),"소고기, 떡국떡, 표고버섯, 관자구이 제품, 갈릭&amp;차이브 치즈, 맛간장, 모차렐라 치즈, 잣, 간장, 설탕, 다진 마늘, 참기름, 깨, 파, 양파")</f>
        <v>소고기, 떡국떡, 표고버섯, 관자구이 제품, 갈릭&amp;차이브 치즈, 맛간장, 모차렐라 치즈, 잣, 간장, 설탕, 다진 마늘, 참기름, 깨, 파, 양파</v>
      </c>
    </row>
    <row r="114">
      <c r="A114" s="2" t="str">
        <f>recipe!C114
</f>
        <v>혜.품.닭</v>
      </c>
      <c r="B114" s="1" t="str">
        <f>IFERROR(__xludf.DUMMYFUNCTION("TRIM(
  REGEXEXTRACT(
    raw!A114,
    ""(?s)●\s*재료(.*)●\s*조리 방법""
  )
)
"),"닭가슴살, 리코타 치즈, 크림 치즈, 말린 크랜베리, 가쓰오부시, 샤프란, 생크림, 파슬리, 소금, 화이트 와인")</f>
        <v>닭가슴살, 리코타 치즈, 크림 치즈, 말린 크랜베리, 가쓰오부시, 샤프란, 생크림, 파슬리, 소금, 화이트 와인</v>
      </c>
    </row>
    <row r="115">
      <c r="A115" s="2" t="str">
        <f>recipe!C115
</f>
        <v>커룽지</v>
      </c>
      <c r="B115" s="1" t="str">
        <f>IFERROR(__xludf.DUMMYFUNCTION("TRIM(
  REGEXEXTRACT(
    raw!A115,
    ""(?s)●\s*재료(.*)●\s*조리 방법""
  )
)
"),"페페론치노, 레드 페퍼, 커리 가루, 코코넛 밀크, 생크림, 방울토마토, 레드와인 식초, 다마리 간장, 진간장, 레드 커리 페이스트, 요거트, 닭가슴살, 누룽지, 그라나파다노 치즈, 바질, 고추, 양파, 설탕, 소금, 레몬즙, 올리브 오일")</f>
        <v>페페론치노, 레드 페퍼, 커리 가루, 코코넛 밀크, 생크림, 방울토마토, 레드와인 식초, 다마리 간장, 진간장, 레드 커리 페이스트, 요거트, 닭가슴살, 누룽지, 그라나파다노 치즈, 바질, 고추, 양파, 설탕, 소금, 레몬즙, 올리브 오일</v>
      </c>
    </row>
    <row r="116">
      <c r="A116" s="2" t="str">
        <f>recipe!C116
</f>
        <v>아빠손 피자</v>
      </c>
      <c r="B116" s="1" t="str">
        <f>IFERROR(__xludf.DUMMYFUNCTION("TRIM(
  REGEXEXTRACT(
    raw!A116,
    ""(?s)●\s*재료(.*)●\s*조리 방법""
  )
)
"),"애호박, 파프리카, 느타리 버섯, 우유, 리코타 치즈, 토르티야, 고르곤졸라 치즈, 생크림, 양상추, 사과, 마카다미아, 말린 크랜베리, 올리브 오일, 소금, 후추, 마늘, 올리고당")</f>
        <v>애호박, 파프리카, 느타리 버섯, 우유, 리코타 치즈, 토르티야, 고르곤졸라 치즈, 생크림, 양상추, 사과, 마카다미아, 말린 크랜베리, 올리브 오일, 소금, 후추, 마늘, 올리고당</v>
      </c>
    </row>
    <row r="117">
      <c r="A117" s="2" t="str">
        <f>recipe!C117
</f>
        <v>따라미소</v>
      </c>
      <c r="B117" s="1" t="str">
        <f>IFERROR(__xludf.DUMMYFUNCTION("TRIM(
  REGEXEXTRACT(
    raw!A117,
    ""(?s)●\s*재료(.*)●\s*조리 방법""
  )
)
"),"달걀, 리코타 치즈, 바닐라 오일, 생크림, 레이디핑거 쿠키, 딸기잼, 키위, 코코아 파우더, 체리, 사과, 설탕")</f>
        <v>달걀, 리코타 치즈, 바닐라 오일, 생크림, 레이디핑거 쿠키, 딸기잼, 키위, 코코아 파우더, 체리, 사과, 설탕</v>
      </c>
    </row>
    <row r="118">
      <c r="A118" s="2" t="str">
        <f>recipe!C118
</f>
        <v>흥.칩.풍</v>
      </c>
      <c r="B118" s="1" t="str">
        <f>IFERROR(__xludf.DUMMYFUNCTION("TRIM(
  REGEXEXTRACT(
    raw!A118,
    ""(?s)●\s*재료(.*)●\s*조리 방법""
  )
)
"),"플레인 치즈, 바나나, 생크림, 라이스 페이퍼, 블루베리 퓌레, 딸기, 설탕")</f>
        <v>플레인 치즈, 바나나, 생크림, 라이스 페이퍼, 블루베리 퓌레, 딸기, 설탕</v>
      </c>
    </row>
    <row r="119">
      <c r="A119" s="2" t="str">
        <f>recipe!C119
</f>
        <v>이롤슈가</v>
      </c>
      <c r="B119" s="1" t="str">
        <f>IFERROR(__xludf.DUMMYFUNCTION("TRIM(
  REGEXEXTRACT(
    raw!A119,
    ""(?s)●\s*재료(.*)●\s*조리 방법""
  )
)
"),"커피 리큐어, 달걀, 생크림, 요거트, 조청, 사과, 딸기, 아몬드, 버터, 설탕, 소금, 박력분, 전분")</f>
        <v>커피 리큐어, 달걀, 생크림, 요거트, 조청, 사과, 딸기, 아몬드, 버터, 설탕, 소금, 박력분, 전분</v>
      </c>
    </row>
    <row r="120">
      <c r="A120" s="2" t="str">
        <f>recipe!C120
</f>
        <v>나이스 춘권</v>
      </c>
      <c r="B120" s="1" t="str">
        <f>IFERROR(__xludf.DUMMYFUNCTION("TRIM(
  REGEXEXTRACT(
    raw!A120,
    ""(?s)●\s*재료(.*)●\s*조리 방법""
  )
)
"),"차돌박이, 표고버섯, 삶은 죽순, 콩나물, 굴소스, 해선장, 라이스 페이퍼, 달걀, 샐러드 채소, 대파, 소금, 후추, 다진 마늘, 고추, 설탕, 식초, 맛술, 간장")</f>
        <v>차돌박이, 표고버섯, 삶은 죽순, 콩나물, 굴소스, 해선장, 라이스 페이퍼, 달걀, 샐러드 채소, 대파, 소금, 후추, 다진 마늘, 고추, 설탕, 식초, 맛술, 간장</v>
      </c>
    </row>
    <row r="121">
      <c r="A121" s="2" t="str">
        <f>recipe!C121
</f>
        <v>오리감자 너엇~!</v>
      </c>
      <c r="B121" s="1" t="str">
        <f>IFERROR(__xludf.DUMMYFUNCTION("TRIM(
  REGEXEXTRACT(
    raw!A121,
    ""(?s)●\s*재료(.*)●\s*조리 방법""
  )
)
"),"오이, 토마토, 감자, 달걀, 어니언 파우더, 파슬리, 훈제오리, 아몬드, 호두, 밀가루, 소금, 양파, 마요네즈, 레몬즙, 올리고당, 간장, 들기름, 올리브 오일, 다진 마늘, 식초")</f>
        <v>오이, 토마토, 감자, 달걀, 어니언 파우더, 파슬리, 훈제오리, 아몬드, 호두, 밀가루, 소금, 양파, 마요네즈, 레몬즙, 올리고당, 간장, 들기름, 올리브 오일, 다진 마늘, 식초</v>
      </c>
    </row>
    <row r="122">
      <c r="A122" s="2" t="str">
        <f>recipe!C122
</f>
        <v>행사의 완자님</v>
      </c>
      <c r="B122" s="1" t="str">
        <f>IFERROR(__xludf.DUMMYFUNCTION("TRIM(
  REGEXEXTRACT(
    raw!A122,
    ""(?s)●\s*재료(.*)●\s*조리 방법""
  )
)
"),"삼겹살, 새우, 달걀, 청국장, 양배추, 김치, 번데기 통조림, 고추기름, 유자청, 소금, 후추, 버터, 대파, 고추, 고춧가루, 전분, 탄산수, 마요네즈, 다진 마늘, 핫소스")</f>
        <v>삼겹살, 새우, 달걀, 청국장, 양배추, 김치, 번데기 통조림, 고추기름, 유자청, 소금, 후추, 버터, 대파, 고추, 고춧가루, 전분, 탄산수, 마요네즈, 다진 마늘, 핫소스</v>
      </c>
    </row>
    <row r="123">
      <c r="A123" s="2" t="str">
        <f>recipe!C123
</f>
        <v>막창 한 번 믿어봐~</v>
      </c>
      <c r="B123" s="1" t="str">
        <f>IFERROR(__xludf.DUMMYFUNCTION("TRIM(
  REGEXEXTRACT(
    raw!A123,
    ""(?s)●\s*재료(.*)●\s*조리 방법""
  )
)
"),"막창, 우유, 레드 페퍼, 마늘, 식초, 올리브 오일, 버터")</f>
        <v>막창, 우유, 레드 페퍼, 마늘, 식초, 올리브 오일, 버터</v>
      </c>
    </row>
    <row r="124">
      <c r="A124" s="2" t="str">
        <f>recipe!C124
</f>
        <v>김마삼</v>
      </c>
      <c r="B124" s="1" t="str">
        <f>IFERROR(__xludf.DUMMYFUNCTION("TRIM(
  REGEXEXTRACT(
    raw!A124,
    ""(?s)●\s*재료(.*)●\s*조리 방법""
  )
)
"),"당면, 갈릭 디핑소스, 명란젓, 슬라이스 체다 치즈, 새우, 김밥용 김, 간장, 소금, 후추, 튀김가루, 밀가루")</f>
        <v>당면, 갈릭 디핑소스, 명란젓, 슬라이스 체다 치즈, 새우, 김밥용 김, 간장, 소금, 후추, 튀김가루, 밀가루</v>
      </c>
    </row>
    <row r="125">
      <c r="A125" s="2" t="str">
        <f>recipe!C125
</f>
        <v>누르삼</v>
      </c>
      <c r="B125" s="1" t="str">
        <f>IFERROR(__xludf.DUMMYFUNCTION("TRIM(
  REGEXEXTRACT(
    raw!A125,
    ""(?s)●\s*재료(.*)●\s*조리 방법""
  )
)
"),"막창, 레드 페퍼, 토마토, 브로콜리, 베이컨, 달걀, 명란젓, 누룽지, 슬라이스 체다 치즈, 울외 장아찌, 당근, 양파, 소금, 후추, 토마토 소스, 올리브 오일, 참기름, 설탕, 대파")</f>
        <v>막창, 레드 페퍼, 토마토, 브로콜리, 베이컨, 달걀, 명란젓, 누룽지, 슬라이스 체다 치즈, 울외 장아찌, 당근, 양파, 소금, 후추, 토마토 소스, 올리브 오일, 참기름, 설탕, 대파</v>
      </c>
    </row>
    <row r="126">
      <c r="A126" s="2" t="str">
        <f>recipe!C126
</f>
        <v>만두렀써니</v>
      </c>
      <c r="B126" s="1" t="str">
        <f>IFERROR(__xludf.DUMMYFUNCTION("TRIM(
  REGEXEXTRACT(
    raw!A126,
    ""(?s)●\s*재료(.*)●\s*조리 방법""
  )
)
"),"소고기 등심, 우유, 파르메산 치즈, 설렁탕 국물, 밀싹, 소금, 후추, 양파, 밀가루, 버터")</f>
        <v>소고기 등심, 우유, 파르메산 치즈, 설렁탕 국물, 밀싹, 소금, 후추, 양파, 밀가루, 버터</v>
      </c>
    </row>
    <row r="127">
      <c r="A127" s="2" t="str">
        <f>recipe!C127
</f>
        <v>오겹시대</v>
      </c>
      <c r="B127" s="1" t="str">
        <f>IFERROR(__xludf.DUMMYFUNCTION("TRIM(
  REGEXEXTRACT(
    raw!A127,
    ""(?s)●\s*재료(.*)●\s*조리 방법""
  )
)
"),"사과즙, 오겹살, 양배추, 시나몬 설탕, 살라미, 마늘, 대파, 당근, 양파, 올리브 오일, 소금, 후추, 레몬")</f>
        <v>사과즙, 오겹살, 양배추, 시나몬 설탕, 살라미, 마늘, 대파, 당근, 양파, 올리브 오일, 소금, 후추, 레몬</v>
      </c>
    </row>
    <row r="128">
      <c r="A128" s="2" t="str">
        <f>recipe!C128
</f>
        <v>코드네임 써니</v>
      </c>
      <c r="B128" s="1" t="str">
        <f>IFERROR(__xludf.DUMMYFUNCTION("TRIM(
  REGEXEXTRACT(
    raw!A128,
    ""(?s)●\s*재료(.*)●\s*조리 방법""
  )
)
"),"대구, 살라미, 데이츠, 설렁탕 국물, 꿀, 데이츠 시럽, 샤프란, 감자, 파르메산 치즈, 밀싹, 올리브 오일, 레몬, 소금, 후추")</f>
        <v>대구, 살라미, 데이츠, 설렁탕 국물, 꿀, 데이츠 시럽, 샤프란, 감자, 파르메산 치즈, 밀싹, 올리브 오일, 레몬, 소금, 후추</v>
      </c>
    </row>
    <row r="129">
      <c r="A129" s="2" t="str">
        <f>recipe!C129
</f>
        <v>오시지</v>
      </c>
      <c r="B129" s="1" t="str">
        <f>IFERROR(__xludf.DUMMYFUNCTION("TRIM(
  REGEXEXTRACT(
    raw!A129,
    ""(?s)●\s*재료(.*)●\s*조리 방법""
  )
)
"),"오징어, 양배추, 오렌지 주스, 케이퍼, 버터, 다진 마늘, 후추, 설탕, 고춧가루, 소주, 맛술, 간장, 다진 생강, 전분, 마요네즈, 대파")</f>
        <v>오징어, 양배추, 오렌지 주스, 케이퍼, 버터, 다진 마늘, 후추, 설탕, 고춧가루, 소주, 맛술, 간장, 다진 생강, 전분, 마요네즈, 대파</v>
      </c>
    </row>
    <row r="130">
      <c r="A130" s="2" t="str">
        <f>recipe!C130
</f>
        <v>나이스 투 미튜</v>
      </c>
      <c r="B130" s="1" t="str">
        <f>IFERROR(__xludf.DUMMYFUNCTION("TRIM(
  REGEXEXTRACT(
    raw!A130,
    ""(?s)●\s*재료(.*)●\s*조리 방법""
  )
)
"),"컵라면, 감자칩, 야채참치, 달걀, 밀가루, 소금, 후추, 버터, 레몬, 케첩, 마요네즈, 방울토마토")</f>
        <v>컵라면, 감자칩, 야채참치, 달걀, 밀가루, 소금, 후추, 버터, 레몬, 케첩, 마요네즈, 방울토마토</v>
      </c>
    </row>
    <row r="131">
      <c r="A131" s="2" t="str">
        <f>recipe!C131
</f>
        <v>복침개</v>
      </c>
      <c r="B131" s="1" t="str">
        <f>IFERROR(__xludf.DUMMYFUNCTION("TRIM(
  REGEXEXTRACT(
    raw!A131,
    ""(?s)●\s*재료(.*)●\s*조리 방법""
  )
)
"),"햄 통조림, 인스턴트 우동, 양파, 대파, 당근, 다진 마늘, 전분")</f>
        <v>햄 통조림, 인스턴트 우동, 양파, 대파, 당근, 다진 마늘, 전분</v>
      </c>
    </row>
    <row r="132">
      <c r="A132" s="2" t="str">
        <f>recipe!C132
</f>
        <v>토달토달</v>
      </c>
      <c r="B132" s="1" t="str">
        <f>IFERROR(__xludf.DUMMYFUNCTION("TRIM(
  REGEXEXTRACT(
    raw!A132,
    ""(?s)●\s*재료(.*)●\s*조리 방법""
  )
)
"),"방울토마토, 식빵, 곰탕라면, 달걀, 마늘, 참기름, 간장, 식초, 맛술, 전분")</f>
        <v>방울토마토, 식빵, 곰탕라면, 달걀, 마늘, 참기름, 간장, 식초, 맛술, 전분</v>
      </c>
    </row>
    <row r="133">
      <c r="A133" s="2" t="str">
        <f>recipe!C133
</f>
        <v>아육동</v>
      </c>
      <c r="B133" s="1" t="str">
        <f>IFERROR(__xludf.DUMMYFUNCTION("TRIM(
  REGEXEXTRACT(
    raw!A133,
    ""(?s)●\s*재료(.*)●\s*조리 방법""
  )
)
"),"육포, 장조림 통조림, 깻잎 장아찌 통조림, 인스턴트 우동, 양파, 마늘, 당근, 대파, 소주, 밀가루, 소금, 참기름, 다진 마늘, 청양고추, 설탕")</f>
        <v>육포, 장조림 통조림, 깻잎 장아찌 통조림, 인스턴트 우동, 양파, 마늘, 당근, 대파, 소주, 밀가루, 소금, 참기름, 다진 마늘, 청양고추, 설탕</v>
      </c>
    </row>
    <row r="134">
      <c r="A134" s="2" t="str">
        <f>recipe!C134
</f>
        <v>뽀빠이롤</v>
      </c>
      <c r="B134" s="1" t="str">
        <f>IFERROR(__xludf.DUMMYFUNCTION("TRIM(
  REGEXEXTRACT(
    raw!A134,
    ""(?s)●\s*재료(.*)●\s*조리 방법""
  )
)
"),"냉동 시금치, 훈제 연어, 크림 치즈, 페타 치즈, 플레인 요거트, 샐러드 채소, 마요네즈, 소금, 탄산수, 밀가루, 꿀")</f>
        <v>냉동 시금치, 훈제 연어, 크림 치즈, 페타 치즈, 플레인 요거트, 샐러드 채소, 마요네즈, 소금, 탄산수, 밀가루, 꿀</v>
      </c>
    </row>
    <row r="135">
      <c r="A135" s="2" t="str">
        <f>recipe!C135
</f>
        <v>부드러어</v>
      </c>
      <c r="B135" s="1" t="str">
        <f>IFERROR(__xludf.DUMMYFUNCTION("TRIM(
  REGEXEXTRACT(
    raw!A135,
    ""(?s)●\s*재료(.*)●\s*조리 방법""
  )
)
"),"달걀, 살라미, 우유, 방울양배추, 냉동 대구살, 방울토마토, 소금, 후추, 올리브 오일, 버터, 밀가루, 화이트 와인, 꿀, 레몬, 대파")</f>
        <v>달걀, 살라미, 우유, 방울양배추, 냉동 대구살, 방울토마토, 소금, 후추, 올리브 오일, 버터, 밀가루, 화이트 와인, 꿀, 레몬, 대파</v>
      </c>
    </row>
    <row r="136">
      <c r="A136" s="2" t="str">
        <f>recipe!C136
</f>
        <v>오린기</v>
      </c>
      <c r="B136" s="1" t="str">
        <f>IFERROR(__xludf.DUMMYFUNCTION("TRIM(
  REGEXEXTRACT(
    raw!A136,
    ""(?s)●\s*재료(.*)●\s*조리 방법""
  )
)
"),"반건조 오징어, 옥수수 전분, 달걀, 코코넛 밀크, 고추냉이, 양파, 감자 전분, 식용유, 마요네즈, 레몬, 설탕")</f>
        <v>반건조 오징어, 옥수수 전분, 달걀, 코코넛 밀크, 고추냉이, 양파, 감자 전분, 식용유, 마요네즈, 레몬, 설탕</v>
      </c>
    </row>
    <row r="137">
      <c r="A137" s="2" t="str">
        <f>recipe!C137
</f>
        <v>허니버터징</v>
      </c>
      <c r="B137" s="1" t="str">
        <f>IFERROR(__xludf.DUMMYFUNCTION("TRIM(
  REGEXEXTRACT(
    raw!A137,
    ""(?s)●\s*재료(.*)●\s*조리 방법""
  )
)
"),"반건조 오징어, 브로콜리, 애호박, 방울양배추, 쪽파, 매실청, 쯔유, 파슬리, 달걀, 오이지, 소금, 양파, 레몬, 마늘, 고추, 꿀, 후추, 버터, 대파, 다진 마늘, 참기름, 깨")</f>
        <v>반건조 오징어, 브로콜리, 애호박, 방울양배추, 쪽파, 매실청, 쯔유, 파슬리, 달걀, 오이지, 소금, 양파, 레몬, 마늘, 고추, 꿀, 후추, 버터, 대파, 다진 마늘, 참기름, 깨</v>
      </c>
    </row>
    <row r="138">
      <c r="A138" s="2" t="str">
        <f>recipe!C138
</f>
        <v>납작 탕수육</v>
      </c>
      <c r="B138" s="1" t="str">
        <f>IFERROR(__xludf.DUMMYFUNCTION("TRIM(
  REGEXEXTRACT(
    raw!A138,
    ""(?s)●\s*재료(.*)●\s*조리 방법""
  )
)
"),"대파, 소고기 등심, 찹쌀가루, 달걀, 당근, 토마토소스, 굴소스, 식용유, 고춧가루, 전분, 고추, 양파, 마늘, 다진 마늘, 간장, 설탕")</f>
        <v>대파, 소고기 등심, 찹쌀가루, 달걀, 당근, 토마토소스, 굴소스, 식용유, 고춧가루, 전분, 고추, 양파, 마늘, 다진 마늘, 간장, 설탕</v>
      </c>
    </row>
    <row r="139">
      <c r="A139" s="2" t="str">
        <f>recipe!C139
</f>
        <v>샐러드 올리오</v>
      </c>
      <c r="B139" s="1" t="str">
        <f>IFERROR(__xludf.DUMMYFUNCTION("TRIM(
  REGEXEXTRACT(
    raw!A139,
    ""(?s)●\s*재료(.*)●\s*조리 방법""
  )
)
"),"애호박, 토마토, 파스타면, 새싹 채소, 마늘, 후추, 소금, 올리브 오일, 레몬즙, 설탕")</f>
        <v>애호박, 토마토, 파스타면, 새싹 채소, 마늘, 후추, 소금, 올리브 오일, 레몬즙, 설탕</v>
      </c>
    </row>
    <row r="140">
      <c r="A140" s="2" t="str">
        <f>recipe!C140
</f>
        <v>소고기 냉부</v>
      </c>
      <c r="B140" s="1" t="str">
        <f>IFERROR(__xludf.DUMMYFUNCTION("TRIM(
  REGEXEXTRACT(
    raw!A140,
    ""(?s)●\s*재료(.*)●\s*조리 방법""
  )
)
"),"무, 당근, 다시마, 애호박, 양배추, 청경채, 달걀, 일본 된장, 소고기, 소금, 참깨, 마요네즈, 간장, 설탕, 식초, 통마늘, 다진 마늘, 참기름")</f>
        <v>무, 당근, 다시마, 애호박, 양배추, 청경채, 달걀, 일본 된장, 소고기, 소금, 참깨, 마요네즈, 간장, 설탕, 식초, 통마늘, 다진 마늘, 참기름</v>
      </c>
    </row>
    <row r="141">
      <c r="A141" s="2" t="str">
        <f>recipe!C141
</f>
        <v>채면차림</v>
      </c>
      <c r="B141" s="1" t="str">
        <f>IFERROR(__xludf.DUMMYFUNCTION("TRIM(
  REGEXEXTRACT(
    raw!A141,
    ""(?s)●\s*재료(.*)●\s*조리 방법""
  )
)
"),"채끝살, 두릅 장아찌, 마늘 장아찌, 고구마, 당근, 무, 대파, 레몬&amp;산수유청, 새싹 채소, 견과류, 소금, 후추, 고춧가루, 올리브 오일, 레몬즙, 버터, 마늘, 양파, 간장")</f>
        <v>채끝살, 두릅 장아찌, 마늘 장아찌, 고구마, 당근, 무, 대파, 레몬&amp;산수유청, 새싹 채소, 견과류, 소금, 후추, 고춧가루, 올리브 오일, 레몬즙, 버터, 마늘, 양파, 간장</v>
      </c>
    </row>
    <row r="142">
      <c r="A142" s="2" t="str">
        <f>recipe!C142
</f>
        <v>보아 씨, 초면입니다</v>
      </c>
      <c r="B142" s="1" t="str">
        <f>IFERROR(__xludf.DUMMYFUNCTION("TRIM(
  REGEXEXTRACT(
    raw!A142,
    ""(?s)●\s*재료(.*)●\s*조리 방법""
  )
)
"),"소면, 표고버섯, 소고기 안심, 오징어, 미나리, 파채, 청양고추, 양파, 대파, 청양고추, 소금, 다진 마늘, 후추, 맛술, 간장, 고춧가루, 통마늘, 참기름")</f>
        <v>소면, 표고버섯, 소고기 안심, 오징어, 미나리, 파채, 청양고추, 양파, 대파, 청양고추, 소금, 다진 마늘, 후추, 맛술, 간장, 고춧가루, 통마늘, 참기름</v>
      </c>
    </row>
    <row r="143">
      <c r="A143" s="2" t="str">
        <f>recipe!C143
</f>
        <v>최.면.석</v>
      </c>
      <c r="B143" s="1" t="str">
        <f>IFERROR(__xludf.DUMMYFUNCTION("TRIM(
  REGEXEXTRACT(
    raw!A143,
    ""(?s)●\s*재료(.*)●\s*조리 방법""
  )
)
"),"달걀, 아스파라거스, 새우, 멸치육수, 카레가루, 밀가루, 청양고추, 마늘, 소금, 후추, 화이트 와인, 올리브 오일")</f>
        <v>달걀, 아스파라거스, 새우, 멸치육수, 카레가루, 밀가루, 청양고추, 마늘, 소금, 후추, 화이트 와인, 올리브 오일</v>
      </c>
    </row>
    <row r="144">
      <c r="A144" s="2" t="str">
        <f>recipe!C144
</f>
        <v>맛있게 자시오</v>
      </c>
      <c r="B144" s="1" t="str">
        <f>IFERROR(__xludf.DUMMYFUNCTION("TRIM(
  REGEXEXTRACT(
    raw!A144,
    ""(?s)●\s*재료(.*)●\s*조리 방법""
  )
)
"),"냉면육수, 표고버섯, 잣, 소고기 안심, 카레가루, 새우, 쑥갓, 청양고추, 후추, 레몬, 버터, 소금, 고춧가루")</f>
        <v>냉면육수, 표고버섯, 잣, 소고기 안심, 카레가루, 새우, 쑥갓, 청양고추, 후추, 레몬, 버터, 소금, 고춧가루</v>
      </c>
    </row>
    <row r="145">
      <c r="A145" s="2" t="str">
        <f>recipe!C145
</f>
        <v>옥돔이 맛있돔</v>
      </c>
      <c r="B145" s="1" t="str">
        <f>IFERROR(__xludf.DUMMYFUNCTION("TRIM(
  REGEXEXTRACT(
    raw!A145,
    ""(?s)●\s*재료(.*)●\s*조리 방법""
  )
)
"),"멸치육수, 옥돔, 북어채, 고추장아찌, 깻잎, 소금, 후추, 양파, 대파, 마늘, 즉석밥, 맛술, 설탕, 참기름")</f>
        <v>멸치육수, 옥돔, 북어채, 고추장아찌, 깻잎, 소금, 후추, 양파, 대파, 마늘, 즉석밥, 맛술, 설탕, 참기름</v>
      </c>
    </row>
    <row r="146">
      <c r="A146" s="2" t="str">
        <f>recipe!C146
</f>
        <v>키스 버거</v>
      </c>
      <c r="B146" s="1" t="str">
        <f>IFERROR(__xludf.DUMMYFUNCTION("TRIM(
  REGEXEXTRACT(
    raw!A146,
    ""(?s)●\s*재료(.*)●\s*조리 방법""
  )
)
"),"베이컨, 새우, 소고기 안심, 바질, 사과, 오이 장아찌, 고추 장아찌, 진저 시럽, 훈제 닭가슴살, 명이나물, 버터, 후추, 소금, 양파, 마요네즈, 올리브 오일, 레몬즙")</f>
        <v>베이컨, 새우, 소고기 안심, 바질, 사과, 오이 장아찌, 고추 장아찌, 진저 시럽, 훈제 닭가슴살, 명이나물, 버터, 후추, 소금, 양파, 마요네즈, 올리브 오일, 레몬즙</v>
      </c>
    </row>
    <row r="147">
      <c r="A147" s="2" t="str">
        <f>recipe!C147
</f>
        <v>소시지 달콤하시지</v>
      </c>
      <c r="B147" s="1" t="str">
        <f>IFERROR(__xludf.DUMMYFUNCTION("TRIM(
  REGEXEXTRACT(
    raw!A147,
    ""(?s)●\s*재료(.*)●\s*조리 방법""
  )
)
"),"소시지, 새우, 만가닥버섯, 베이컨, 우유, 발사믹 크림, 소금, 마늘, 양파, 버터, 밀가루, 후추, 레몬즙, 대파")</f>
        <v>소시지, 새우, 만가닥버섯, 베이컨, 우유, 발사믹 크림, 소금, 마늘, 양파, 버터, 밀가루, 후추, 레몬즙, 대파</v>
      </c>
    </row>
    <row r="148">
      <c r="A148" s="2" t="str">
        <f>recipe!C148
</f>
        <v>소고기가 살아있네~</v>
      </c>
      <c r="B148" s="1" t="str">
        <f>IFERROR(__xludf.DUMMYFUNCTION("TRIM(
  REGEXEXTRACT(
    raw!A148,
    ""(?s)●\s*재료(.*)●\s*조리 방법""
  )
)
"),"소고기 안심, 오이 장아찌, 달걀, 쌈채소, 유자청, 발사믹 식초, 발사믹 크림,파슬리, 양파, 청양고추, 소금, 올리브 오일, 핫소스, 케첩, 머스터드, 레몬즙, 후추")</f>
        <v>소고기 안심, 오이 장아찌, 달걀, 쌈채소, 유자청, 발사믹 식초, 발사믹 크림,파슬리, 양파, 청양고추, 소금, 올리브 오일, 핫소스, 케첩, 머스터드, 레몬즙, 후추</v>
      </c>
    </row>
    <row r="149">
      <c r="A149" s="2" t="str">
        <f>recipe!C149
</f>
        <v>족발 먹을 곤약?</v>
      </c>
      <c r="B149" s="1" t="str">
        <f>IFERROR(__xludf.DUMMYFUNCTION("TRIM(
  REGEXEXTRACT(
    raw!A149,
    ""(?s)●\s*재료(.*)●\s*조리 방법""
  )
)
"),"곤약, 유자청, 족발, 상추, 고춧가루, 간장, 다진 마늘")</f>
        <v>곤약, 유자청, 족발, 상추, 고춧가루, 간장, 다진 마늘</v>
      </c>
    </row>
    <row r="150">
      <c r="A150" s="2" t="str">
        <f>recipe!C150
</f>
        <v>술푸자냐</v>
      </c>
      <c r="B150" s="1" t="str">
        <f>IFERROR(__xludf.DUMMYFUNCTION("TRIM(
  REGEXEXTRACT(
    raw!A150,
    ""(?s)●\s*재료(.*)●\s*조리 방법""
  )
)
"),"방울토마토, 미역, 크림치즈, 술떡, 에멘탈 치즈, 체다 치즈, 생모차렐라 치즈, 하몬, 김, 소금, 후추, 파르메산 치즈")</f>
        <v>방울토마토, 미역, 크림치즈, 술떡, 에멘탈 치즈, 체다 치즈, 생모차렐라 치즈, 하몬, 김, 소금, 후추, 파르메산 치즈</v>
      </c>
    </row>
    <row r="151">
      <c r="A151" s="2" t="str">
        <f>recipe!C151
</f>
        <v>새로운 샐러드와 수란잔</v>
      </c>
      <c r="B151" s="1" t="str">
        <f>IFERROR(__xludf.DUMMYFUNCTION("TRIM(
  REGEXEXTRACT(
    raw!A151,
    ""(?s)●\s*재료(.*)●\s*조리 방법""
  )
)
"),"방울토마토, 미역, 달걀, 생모차렐라 치즈, 그린 올리브, 하몬, 식초, 올리브 오일, 화이트 와인, 소금, 후추, 레몬즙, 버터, 다진 마늘")</f>
        <v>방울토마토, 미역, 달걀, 생모차렐라 치즈, 그린 올리브, 하몬, 식초, 올리브 오일, 화이트 와인, 소금, 후추, 레몬즙, 버터, 다진 마늘</v>
      </c>
    </row>
    <row r="152">
      <c r="A152" s="2" t="str">
        <f>recipe!C152
</f>
        <v>별미 리소토</v>
      </c>
      <c r="B152" s="1" t="str">
        <f>IFERROR(__xludf.DUMMYFUNCTION("TRIM(
  REGEXEXTRACT(
    raw!A152,
    ""(?s)●\s*재료(.*)●\s*조리 방법""
  )
)
"),"하몬, 차돌박이, 미역, 방울토마토, 크림치즈, 견과류, 양파, 당근, 올리브 오일, 마늘, 참기름, 파르메산 치즈, 대파, 소금, 즉석밥, 버터")</f>
        <v>하몬, 차돌박이, 미역, 방울토마토, 크림치즈, 견과류, 양파, 당근, 올리브 오일, 마늘, 참기름, 파르메산 치즈, 대파, 소금, 즉석밥, 버터</v>
      </c>
    </row>
    <row r="153">
      <c r="A153" s="2" t="str">
        <f>recipe!C153
</f>
        <v>이 참외 비빔면</v>
      </c>
      <c r="B153" s="1" t="str">
        <f>IFERROR(__xludf.DUMMYFUNCTION("TRIM(
  REGEXEXTRACT(
    raw!A153,
    ""(?s)●\s*재료(.*)●\s*조리 방법""
  )
)
"),"참외, 미역, 감자라면, 달걀, 소금, 식초, 설탕, 양파, 고추, 대파, 마늘, 고추장, 고춧가루, 다진 마늘, 간장, 생강, 참기름, 깨")</f>
        <v>참외, 미역, 감자라면, 달걀, 소금, 식초, 설탕, 양파, 고추, 대파, 마늘, 고추장, 고춧가루, 다진 마늘, 간장, 생강, 참기름, 깨</v>
      </c>
    </row>
    <row r="154">
      <c r="A154" s="2" t="str">
        <f>recipe!C154
</f>
        <v>넘사복</v>
      </c>
      <c r="B154" s="1" t="str">
        <f>IFERROR(__xludf.DUMMYFUNCTION("TRIM(
  REGEXEXTRACT(
    raw!A154,
    ""(?s)●\s*재료(.*)●\s*조리 방법""
  )
)
"),"닭가슴살, 냉동낙지, 아스파라거스, 오이, 땅콩버터, 굴소스, 두반장, 매운 냉면양념, 소면, 고추기름, 잣, 설탕, 물")</f>
        <v>닭가슴살, 냉동낙지, 아스파라거스, 오이, 땅콩버터, 굴소스, 두반장, 매운 냉면양념, 소면, 고추기름, 잣, 설탕, 물</v>
      </c>
    </row>
    <row r="155">
      <c r="A155" s="2" t="str">
        <f>recipe!C155
</f>
        <v>풍살기</v>
      </c>
      <c r="B155" s="1" t="str">
        <f>IFERROR(__xludf.DUMMYFUNCTION("TRIM(
  REGEXEXTRACT(
    raw!A155,
    ""(?s)●\s*재료(.*)●\s*조리 방법""
  )
)
"),"달걀, 식빵, 냉동 블루베리, 우유, 설탕, 박력분, 레몬즙, 소금, 물")</f>
        <v>달걀, 식빵, 냉동 블루베리, 우유, 설탕, 박력분, 레몬즙, 소금, 물</v>
      </c>
    </row>
    <row r="156">
      <c r="A156" s="2" t="str">
        <f>recipe!C156
</f>
        <v>요거닭</v>
      </c>
      <c r="B156" s="1" t="str">
        <f>IFERROR(__xludf.DUMMYFUNCTION("TRIM(
  REGEXEXTRACT(
    raw!A156,
    ""(?s)●\s*재료(.*)●\s*조리 방법""
  )
)
"),"애호박, 훈제 닭가슴살, 모차렐라 치즈, 그릭 요거트, 타임, 딜, 샐러드 채소, 오이, 플레인 요거트, 바질, 잣, 소금, 후추, 마늘, 레몬즙, 올리브 오일, 물")</f>
        <v>애호박, 훈제 닭가슴살, 모차렐라 치즈, 그릭 요거트, 타임, 딜, 샐러드 채소, 오이, 플레인 요거트, 바질, 잣, 소금, 후추, 마늘, 레몬즙, 올리브 오일, 물</v>
      </c>
    </row>
    <row r="157">
      <c r="A157" s="2" t="str">
        <f>recipe!C157
</f>
        <v>가지가지 한다</v>
      </c>
      <c r="B157" s="1" t="str">
        <f>IFERROR(__xludf.DUMMYFUNCTION("TRIM(
  REGEXEXTRACT(
    raw!A157,
    ""(?s)●\s*재료(.*)●\s*조리 방법""
  )
)
"),"가지, 홀토마토, 앤초비, 바질, 방울토마토, 말린 토마토, 페페론치노, 고르곤졸라 치즈, 모차렐라 치즈, 포르치니 버섯, 로즈마리, 샐러드 채소, 아스파라거스, 마늘, 양파, 올리브 오일, 버터, 레몬, 소금, 후추")</f>
        <v>가지, 홀토마토, 앤초비, 바질, 방울토마토, 말린 토마토, 페페론치노, 고르곤졸라 치즈, 모차렐라 치즈, 포르치니 버섯, 로즈마리, 샐러드 채소, 아스파라거스, 마늘, 양파, 올리브 오일, 버터, 레몬, 소금, 후추</v>
      </c>
    </row>
    <row r="158">
      <c r="A158" s="2" t="str">
        <f>recipe!C158
</f>
        <v>명란 한주먹</v>
      </c>
      <c r="B158" s="1" t="str">
        <f>IFERROR(__xludf.DUMMYFUNCTION("TRIM(
  REGEXEXTRACT(
    raw!A158,
    ""(?s)●\s*재료(.*)●\s*조리 방법""
  )
)
"),"유자청, 잔멸치, 명란젓, 견과류, 즉석밥, 다진 생강, 간장, 식초, 다진 마늘, 올리브 오일, 파, 설탕, 레몬, 참기름, 양파, 전분, 후추, 들기름, 후추")</f>
        <v>유자청, 잔멸치, 명란젓, 견과류, 즉석밥, 다진 생강, 간장, 식초, 다진 마늘, 올리브 오일, 파, 설탕, 레몬, 참기름, 양파, 전분, 후추, 들기름, 후추</v>
      </c>
    </row>
    <row r="159">
      <c r="A159" s="2" t="str">
        <f>recipe!C159
</f>
        <v>다 이 김</v>
      </c>
      <c r="B159" s="1" t="str">
        <f>IFERROR(__xludf.DUMMYFUNCTION("TRIM(
  REGEXEXTRACT(
    raw!A159,
    ""(?s)●\s*재료(.*)●\s*조리 방법""
  )
)
"),"김, 참치액, 다진 마늘, 양파, 파, 고춧가루, 맛술, 식초, 참기름, 즉석밥")</f>
        <v>김, 참치액, 다진 마늘, 양파, 파, 고춧가루, 맛술, 식초, 참기름, 즉석밥</v>
      </c>
    </row>
    <row r="160">
      <c r="A160" s="2" t="str">
        <f>recipe!C160
</f>
        <v>동파면</v>
      </c>
      <c r="B160" s="1" t="str">
        <f>IFERROR(__xludf.DUMMYFUNCTION("TRIM(
  REGEXEXTRACT(
    raw!A160,
    ""(?s)●\s*재료(.*)●\s*조리 방법""
  )
)
"),"동치미, 청양고추, 마늘, 설탕, 소금, 파스타면, 후추, 버터, 파, 조미료")</f>
        <v>동치미, 청양고추, 마늘, 설탕, 소금, 파스타면, 후추, 버터, 파, 조미료</v>
      </c>
    </row>
    <row r="161">
      <c r="A161" s="2" t="str">
        <f>recipe!C161
</f>
        <v>커리업</v>
      </c>
      <c r="B161" s="1" t="str">
        <f>IFERROR(__xludf.DUMMYFUNCTION("TRIM(
  REGEXEXTRACT(
    raw!A161,
    ""(?s)●\s*재료(.*)●\s*조리 방법""
  )
)
"),"반건조 우럭, 자두, 카레가루, 두유, 다진 생강, 파, 고춧가루, 후추, 청주, 맛술, 즉석밥, 버터")</f>
        <v>반건조 우럭, 자두, 카레가루, 두유, 다진 생강, 파, 고춧가루, 후추, 청주, 맛술, 즉석밥, 버터</v>
      </c>
    </row>
    <row r="162">
      <c r="A162" s="2" t="str">
        <f>recipe!C162
</f>
        <v>복면완자</v>
      </c>
      <c r="B162" s="1" t="str">
        <f>IFERROR(__xludf.DUMMYFUNCTION("TRIM(
  REGEXEXTRACT(
    raw!A162,
    ""(?s)●\s*재료(.*)●\s*조리 방법""
  )
)
"),"돼지안심, 두부, 소면, 달걀, 우유")</f>
        <v>돼지안심, 두부, 소면, 달걀, 우유</v>
      </c>
    </row>
    <row r="163">
      <c r="A163" s="2" t="str">
        <f>recipe!C163
</f>
        <v>돈 워리 비 해피</v>
      </c>
      <c r="B163" s="1" t="str">
        <f>IFERROR(__xludf.DUMMYFUNCTION("TRIM(
  REGEXEXTRACT(
    raw!A163,
    ""(?s)●\s*재료(.*)●\s*조리 방법""
  )
)
"),"식빵, 돼지안심, 리코타 치즈, 달걀, 스모크 치즈, 표고버섯, 적양파, 얼그레이 티백, 화이트 소스, 모차렐라 슬라이스 치즈, 바질")</f>
        <v>식빵, 돼지안심, 리코타 치즈, 달걀, 스모크 치즈, 표고버섯, 적양파, 얼그레이 티백, 화이트 소스, 모차렐라 슬라이스 치즈, 바질</v>
      </c>
    </row>
    <row r="164">
      <c r="A164" s="2" t="str">
        <f>recipe!C164
</f>
        <v>연어가 똠얌꽁냥</v>
      </c>
      <c r="B164" s="1" t="str">
        <f>IFERROR(__xludf.DUMMYFUNCTION("TRIM(
  REGEXEXTRACT(
    raw!A164,
    ""(?s)●\s*재료(.*)●\s*조리 방법""
  )
)
"),"연어, 똠얌 페이스트, 카옌페퍼 가루, 연어볼, 다진 레몬그라스, 파프리카, 태국고추, 연유, 적양파, 팟타이 페이스트, 필리핀 라면, 소금, 다진 생강, 파, 버터, 후추, 파")</f>
        <v>연어, 똠얌 페이스트, 카옌페퍼 가루, 연어볼, 다진 레몬그라스, 파프리카, 태국고추, 연유, 적양파, 팟타이 페이스트, 필리핀 라면, 소금, 다진 생강, 파, 버터, 후추, 파</v>
      </c>
    </row>
    <row r="165">
      <c r="A165" s="2" t="str">
        <f>recipe!C165
</f>
        <v>삼겹살 팟티</v>
      </c>
      <c r="B165" s="1" t="str">
        <f>IFERROR(__xludf.DUMMYFUNCTION("TRIM(
  REGEXEXTRACT(
    raw!A165,
    ""(?s)●\s*재료(.*)●\s*조리 방법""
  )
)
"),"당면, 통삼겹살, 샌드위치용 햄, 똠얌 페이스트, 그린 커리 페이스트, 다진 레몬그라스, 연유, 태국고추, 두부, 간장, 당근, 양파, 마늘, 파, 고추, 올리브 오일, 다진 생강, 마늘")</f>
        <v>당면, 통삼겹살, 샌드위치용 햄, 똠얌 페이스트, 그린 커리 페이스트, 다진 레몬그라스, 연유, 태국고추, 두부, 간장, 당근, 양파, 마늘, 파, 고추, 올리브 오일, 다진 생강, 마늘</v>
      </c>
    </row>
    <row r="166">
      <c r="A166" s="2" t="str">
        <f>recipe!C166
</f>
        <v>돔 샤카라카</v>
      </c>
      <c r="B166" s="1" t="str">
        <f>IFERROR(__xludf.DUMMYFUNCTION("TRIM(
  REGEXEXTRACT(
    raw!A166,
    ""(?s)●\s*재료(.*)●\s*조리 방법""
  )
)
"),"옥돔, 달걀, 토마토, 애플망고, 대파, 양파, 후추, 당근, 마늘, 레몬즙, 올리브 오일, 소금, 올리고당")</f>
        <v>옥돔, 달걀, 토마토, 애플망고, 대파, 양파, 후추, 당근, 마늘, 레몬즙, 올리브 오일, 소금, 올리고당</v>
      </c>
    </row>
    <row r="167">
      <c r="A167" s="2" t="str">
        <f>recipe!C167
</f>
        <v>베스트 오브 베스튜</v>
      </c>
      <c r="B167" s="1" t="str">
        <f>IFERROR(__xludf.DUMMYFUNCTION("TRIM(
  REGEXEXTRACT(
    raw!A167,
    ""(?s)●\s*재료(.*)●\s*조리 방법""
  )
)
"),"돼지고기, 배추김치, 애플망고, 소불고기 양념, 표고버섯가루, 코코넛 워터, 유자맛 소주, 새우젓, 토마토, 소금, 후추, 밀가루, 깨")</f>
        <v>돼지고기, 배추김치, 애플망고, 소불고기 양념, 표고버섯가루, 코코넛 워터, 유자맛 소주, 새우젓, 토마토, 소금, 후추, 밀가루, 깨</v>
      </c>
    </row>
    <row r="168">
      <c r="A168" s="2" t="str">
        <f>recipe!C168
</f>
        <v>화채 얼쑤</v>
      </c>
      <c r="B168" s="1" t="str">
        <f>IFERROR(__xludf.DUMMYFUNCTION("TRIM(
  REGEXEXTRACT(
    raw!A168,
    ""(?s)●\s*재료(.*)●\s*조리 방법""
  )
)
"),"오미자 원액, 칼라만시 원액, 코코넛 워터, 청포도, 참외, 애플망고, 복숭아, 피스타치오, 탄산수, 꿀, 설탕, 레몬즙, 옥수수 전분")</f>
        <v>오미자 원액, 칼라만시 원액, 코코넛 워터, 청포도, 참외, 애플망고, 복숭아, 피스타치오, 탄산수, 꿀, 설탕, 레몬즙, 옥수수 전분</v>
      </c>
    </row>
    <row r="169">
      <c r="A169" s="2" t="str">
        <f>recipe!C169
</f>
        <v>오 마이 갓토</v>
      </c>
      <c r="B169" s="1" t="str">
        <f>IFERROR(__xludf.DUMMYFUNCTION("TRIM(
  REGEXEXTRACT(
    raw!A169,
    ""(?s)●\s*재료(.*)●\s*조리 방법""
  )
)
"),"미니 파프리카, 갈치, 발사믹 식초, 쯔유, 낫토, 갓김치, 김, 달걀, 소금, 파스타면, 마늘, 양파, 참기름, 대파")</f>
        <v>미니 파프리카, 갈치, 발사믹 식초, 쯔유, 낫토, 갓김치, 김, 달걀, 소금, 파스타면, 마늘, 양파, 참기름, 대파</v>
      </c>
    </row>
    <row r="170">
      <c r="A170" s="2" t="str">
        <f>recipe!C170
</f>
        <v>갈쌈만두</v>
      </c>
      <c r="B170" s="1" t="str">
        <f>IFERROR(__xludf.DUMMYFUNCTION("TRIM(
  REGEXEXTRACT(
    raw!A170,
    ""(?s)●\s*재료(.*)●\s*조리 방법""
  )
)
"),"갈치, 그린빈, 표고버섯, 쯔유, 밀가루, 양파, 파, 식용유")</f>
        <v>갈치, 그린빈, 표고버섯, 쯔유, 밀가루, 양파, 파, 식용유</v>
      </c>
    </row>
    <row r="171">
      <c r="A171" s="2" t="str">
        <f>recipe!C171
</f>
        <v>판타스틱 어묵</v>
      </c>
      <c r="B171" s="1" t="str">
        <f>IFERROR(__xludf.DUMMYFUNCTION("TRIM(
  REGEXEXTRACT(
    raw!A171,
    ""(?s)●\s*재료(.*)●\s*조리 방법""
  )
)
"),"오징어, 푸아그라 트러플 파테, 레몬&amp;소금이 들어간 고춧가루, 달걀, 명란젓, 카망베르 치즈, 캐비아, 딸기잼, 소금, 후추, 고춧가루, 깨, 버터, 파, 꿀")</f>
        <v>오징어, 푸아그라 트러플 파테, 레몬&amp;소금이 들어간 고춧가루, 달걀, 명란젓, 카망베르 치즈, 캐비아, 딸기잼, 소금, 후추, 고춧가루, 깨, 버터, 파, 꿀</v>
      </c>
    </row>
    <row r="172">
      <c r="A172" s="2" t="str">
        <f>recipe!C172
</f>
        <v>분짜지용</v>
      </c>
      <c r="B172" s="1" t="str">
        <f>IFERROR(__xludf.DUMMYFUNCTION("TRIM(
  REGEXEXTRACT(
    raw!A172,
    ""(?s)●\s*재료(.*)●\s*조리 방법""
  )
)
"),"삼겹살, 피시소스, 메밀 라면, 고추, 양파, 다진 마늘, 레몬즙, 설탕")</f>
        <v>삼겹살, 피시소스, 메밀 라면, 고추, 양파, 다진 마늘, 레몬즙, 설탕</v>
      </c>
    </row>
    <row r="173">
      <c r="A173" s="2" t="str">
        <f>recipe!C173
</f>
        <v>양싸퀴진</v>
      </c>
      <c r="B173" s="1" t="str">
        <f>IFERROR(__xludf.DUMMYFUNCTION("TRIM(
  REGEXEXTRACT(
    raw!A173,
    ""(?s)●\s*재료(.*)●\s*조리 방법""
  )
)
"),"장어흑마늘즙, 삼겹살, 전복, 능이버섯, 그린빈, 트러플, 소금, 후추, 다진 생강, 설탕, 올리브 오일")</f>
        <v>장어흑마늘즙, 삼겹살, 전복, 능이버섯, 그린빈, 트러플, 소금, 후추, 다진 생강, 설탕, 올리브 오일</v>
      </c>
    </row>
    <row r="174">
      <c r="A174" s="2" t="str">
        <f>recipe!C174
</f>
        <v>텐미닛 수프</v>
      </c>
      <c r="B174" s="1" t="str">
        <f>IFERROR(__xludf.DUMMYFUNCTION("TRIM(
  REGEXEXTRACT(
    raw!A174,
    ""(?s)●\s*재료(.*)●\s*조리 방법""
  )
)
"),"꼬리곰탕, 알감자조림, 소시지, 크림 치즈, 망고푸딩, 말린 크랜베리, 버터, 밀가루, 양파, 후추")</f>
        <v>꼬리곰탕, 알감자조림, 소시지, 크림 치즈, 망고푸딩, 말린 크랜베리, 버터, 밀가루, 양파, 후추</v>
      </c>
    </row>
    <row r="175">
      <c r="A175" s="2" t="str">
        <f>recipe!C175
</f>
        <v>10분 스테이크 맛있찬오</v>
      </c>
      <c r="B175" s="1" t="str">
        <f>IFERROR(__xludf.DUMMYFUNCTION("TRIM(
  REGEXEXTRACT(
    raw!A175,
    ""(?s)●\s*재료(.*)●\s*조리 방법""
  )
)
"),"소고기 안심, 햄, 홀그레인 머스터드, 알감자조림, 카망베르 치즈, 소금, 후추, 올리브 오일, 대파, 다진 마늘, 진간장, 꿀, 참기름")</f>
        <v>소고기 안심, 햄, 홀그레인 머스터드, 알감자조림, 카망베르 치즈, 소금, 후추, 올리브 오일, 대파, 다진 마늘, 진간장, 꿀, 참기름</v>
      </c>
    </row>
    <row r="176">
      <c r="A176" s="2" t="str">
        <f>recipe!C176
</f>
        <v>영광의 바지락</v>
      </c>
      <c r="B176" s="1" t="str">
        <f>IFERROR(__xludf.DUMMYFUNCTION("TRIM(
  REGEXEXTRACT(
    raw!A176,
    ""(?s)●\s*재료(.*)●\s*조리 방법""
  )
)
"),"감자, 바지락, 햄, 우유, 전복, 빵, 올리브 오일, 통마늘, 대파, 당근, 양파, 통후추, 화이트 와인, 소금, 후추, 버터, 밀가루")</f>
        <v>감자, 바지락, 햄, 우유, 전복, 빵, 올리브 오일, 통마늘, 대파, 당근, 양파, 통후추, 화이트 와인, 소금, 후추, 버터, 밀가루</v>
      </c>
    </row>
    <row r="177">
      <c r="A177" s="2" t="str">
        <f>recipe!C177
</f>
        <v>파워 비어 롤</v>
      </c>
      <c r="B177" s="1" t="str">
        <f>IFERROR(__xludf.DUMMYFUNCTION("TRIM(
  REGEXEXTRACT(
    raw!A177,
    ""(?s)●\s*재료(.*)●\s*조리 방법""
  )
)
"),"소고기 안심, 카망베르 치즈, 말린 크랜베리, 크림 치즈, 햄, 흑맥주, 월계수잎, 알감자조림, 소금, 후추, 통마늘, 설탕, 올리브 오일, 밀가루, 버터")</f>
        <v>소고기 안심, 카망베르 치즈, 말린 크랜베리, 크림 치즈, 햄, 흑맥주, 월계수잎, 알감자조림, 소금, 후추, 통마늘, 설탕, 올리브 오일, 밀가루, 버터</v>
      </c>
    </row>
    <row r="178">
      <c r="A178" s="2" t="str">
        <f>recipe!C178
</f>
        <v>새로 깐풍치킨</v>
      </c>
      <c r="B178" s="1" t="str">
        <f>IFERROR(__xludf.DUMMYFUNCTION("TRIM(
  REGEXEXTRACT(
    raw!A178,
    ""(?s)●\s*재료(.*)●\s*조리 방법""
  )
)
"),"프라이드 치킨, 굴소스, 밀가루, 양파, 다진 마늘, 설탕, 간장, 식초, 후추, 레몬즙, 파, 청양고추")</f>
        <v>프라이드 치킨, 굴소스, 밀가루, 양파, 다진 마늘, 설탕, 간장, 식초, 후추, 레몬즙, 파, 청양고추</v>
      </c>
    </row>
    <row r="179">
      <c r="A179" s="2" t="str">
        <f>recipe!C179
</f>
        <v>피자 말아또</v>
      </c>
      <c r="B179" s="1" t="str">
        <f>IFERROR(__xludf.DUMMYFUNCTION("TRIM(
  REGEXEXTRACT(
    raw!A179,
    ""(?s)●\s*재료(.*)●\s*조리 방법""
  )
)
"),"불고기, 오레가노, 피자, 달걀, 살라미, 파, 다진 마늘, 진간장, 설탕, 참기름, 소금, 양파, 후추, 버터")</f>
        <v>불고기, 오레가노, 피자, 달걀, 살라미, 파, 다진 마늘, 진간장, 설탕, 참기름, 소금, 양파, 후추, 버터</v>
      </c>
    </row>
    <row r="180">
      <c r="A180" s="2" t="str">
        <f>recipe!C180
</f>
        <v>후룩국</v>
      </c>
      <c r="B180" s="1" t="str">
        <f>IFERROR(__xludf.DUMMYFUNCTION("TRIM(
  REGEXEXTRACT(
    raw!A180,
    ""(?s)●\s*재료(.*)●\s*조리 방법""
  )
)
"),"파르팔레, 고체카레, 항정살, 라임즙, 소금, 양파, 파, 다진 마늘, 다진 생강, 식용유")</f>
        <v>파르팔레, 고체카레, 항정살, 라임즙, 소금, 양파, 파, 다진 마늘, 다진 생강, 식용유</v>
      </c>
    </row>
    <row r="181">
      <c r="A181" s="2" t="str">
        <f>recipe!C181
</f>
        <v>고새 한 그릇</v>
      </c>
      <c r="B181" s="1" t="str">
        <f>IFERROR(__xludf.DUMMYFUNCTION("TRIM(
  REGEXEXTRACT(
    raw!A181,
    ""(?s)●\s*재료(.*)●\s*조리 방법""
  )
)
"),"치킨스톡, 칵테일 새우, 달걀, 마늘, 파, 다진 생강, 양파, 소금, 후추, 전분, 다진 마늘, 고춧가루, 식용유")</f>
        <v>치킨스톡, 칵테일 새우, 달걀, 마늘, 파, 다진 생강, 양파, 소금, 후추, 전분, 다진 마늘, 고춧가루, 식용유</v>
      </c>
    </row>
    <row r="182">
      <c r="A182" s="2" t="str">
        <f>recipe!C182
</f>
        <v>야밤엔 복쌈</v>
      </c>
      <c r="B182" s="1" t="str">
        <f>IFERROR(__xludf.DUMMYFUNCTION("TRIM(
  REGEXEXTRACT(
    raw!A182,
    ""(?s)●\s*재료(.*)●\s*조리 방법""
  )
)
"),"현미국수면, 채끝살, 양배추, 해선장, 쯔유, 아스파라거스, 표고버섯, 고추, 파, 마늘, 간장, 참기름, 전분")</f>
        <v>현미국수면, 채끝살, 양배추, 해선장, 쯔유, 아스파라거스, 표고버섯, 고추, 파, 마늘, 간장, 참기름, 전분</v>
      </c>
    </row>
    <row r="183">
      <c r="A183" s="2" t="str">
        <f>recipe!C183
</f>
        <v>나물 버물 파스타</v>
      </c>
      <c r="B183" s="1" t="str">
        <f>IFERROR(__xludf.DUMMYFUNCTION("TRIM(
  REGEXEXTRACT(
    raw!A183,
    ""(?s)●\s*재료(.*)●\s*조리 방법""
  )
)
"),"토마토, 새우, 미니 파프리카, 삶은 고구마줄기, 아욱, 아스파라거스, 루꼴라, 파스타면, 소금, 올리브 오일, 화이트 와인, 다진 마늘")</f>
        <v>토마토, 새우, 미니 파프리카, 삶은 고구마줄기, 아욱, 아스파라거스, 루꼴라, 파스타면, 소금, 올리브 오일, 화이트 와인, 다진 마늘</v>
      </c>
    </row>
    <row r="184">
      <c r="A184" s="2" t="str">
        <f>recipe!C184
</f>
        <v>스윗 펌킨</v>
      </c>
      <c r="B184" s="1" t="str">
        <f>IFERROR(__xludf.DUMMYFUNCTION("TRIM(
  REGEXEXTRACT(
    raw!A184,
    ""(?s)●\s*재료(.*)●\s*조리 방법""
  )
)
"),"단호박, 호두, 코코넛 오일, 사과, 건포도, 라이스페이퍼, 냉동 베리, 올리브 오일, 버터, 설탕, 전분")</f>
        <v>단호박, 호두, 코코넛 오일, 사과, 건포도, 라이스페이퍼, 냉동 베리, 올리브 오일, 버터, 설탕, 전분</v>
      </c>
    </row>
    <row r="185">
      <c r="A185" s="2" t="str">
        <f>recipe!C185
</f>
        <v>해물 달라고 졸라</v>
      </c>
      <c r="B185" s="1" t="str">
        <f>IFERROR(__xludf.DUMMYFUNCTION("TRIM(
  REGEXEXTRACT(
    raw!A185,
    ""(?s)●\s*재료(.*)●\s*조리 방법""
  )
)
"),"새우, 가지, 양송이버섯, 고르곤졸라 치즈, 해물모듬, 사과, 토르티야, 버터, 다진 마늘, 화이트 와인, 소금, 후추")</f>
        <v>새우, 가지, 양송이버섯, 고르곤졸라 치즈, 해물모듬, 사과, 토르티야, 버터, 다진 마늘, 화이트 와인, 소금, 후추</v>
      </c>
    </row>
    <row r="186">
      <c r="A186" s="2" t="str">
        <f>recipe!C186
</f>
        <v>낭만 시래기</v>
      </c>
      <c r="B186" s="1" t="str">
        <f>IFERROR(__xludf.DUMMYFUNCTION("TRIM(
  REGEXEXTRACT(
    raw!A186,
    ""(?s)●\s*재료(.*)●\s*조리 방법""
  )
)
"),"전복 내장, 시래기, 맛술, 청주, 간장, 식초, 마늘, 파, 다진 생강, 고춧가루, 식용유, 양파, 고추, 소금, 참기름")</f>
        <v>전복 내장, 시래기, 맛술, 청주, 간장, 식초, 마늘, 파, 다진 생강, 고춧가루, 식용유, 양파, 고추, 소금, 참기름</v>
      </c>
    </row>
    <row r="187">
      <c r="A187" s="2" t="str">
        <f>recipe!C187
</f>
        <v>낙엽 두부</v>
      </c>
      <c r="B187" s="1" t="str">
        <f>IFERROR(__xludf.DUMMYFUNCTION("TRIM(
  REGEXEXTRACT(
    raw!A187,
    ""(?s)●\s*재료(.*)●\s*조리 방법""
  )
)
"),"우유, 찐 고구마, 크림치즈, 두부, 채끝등심, 달걀, 소금, 후추, 올리브 오일, 파, 양파, 간장, 고춧가루, 올리고당, 참기름, 다진 마늘")</f>
        <v>우유, 찐 고구마, 크림치즈, 두부, 채끝등심, 달걀, 소금, 후추, 올리브 오일, 파, 양파, 간장, 고춧가루, 올리고당, 참기름, 다진 마늘</v>
      </c>
    </row>
    <row r="188">
      <c r="A188" s="2" t="str">
        <f>recipe!C188
</f>
        <v>쑥테이크</v>
      </c>
      <c r="B188" s="1" t="str">
        <f>IFERROR(__xludf.DUMMYFUNCTION("TRIM(
  REGEXEXTRACT(
    raw!A188,
    ""(?s)●\s*재료(.*)●\s*조리 방법""
  )
)
"),"크림치즈, 땅콩가루, 쑥, 잣, 표고버섯, 채끝등심, 파르메산 치즈, 마늘, 고추, 올리브 오일, 소금, 후추, 마늘, 고춧가루, 버터, 설탕")</f>
        <v>크림치즈, 땅콩가루, 쑥, 잣, 표고버섯, 채끝등심, 파르메산 치즈, 마늘, 고추, 올리브 오일, 소금, 후추, 마늘, 고춧가루, 버터, 설탕</v>
      </c>
    </row>
    <row r="189">
      <c r="A189" s="2" t="str">
        <f>recipe!C189
</f>
        <v>최면육회</v>
      </c>
      <c r="B189" s="1" t="str">
        <f>IFERROR(__xludf.DUMMYFUNCTION("TRIM(
  REGEXEXTRACT(
    raw!A189,
    ""(?s)●\s*재료(.*)●\s*조리 방법""
  )
)
"),"채끝등심, 명란젓, 크림치즈, 소면, 땅콩소스, 사과, 후추, 소금, 올리브 오일, 간장")</f>
        <v>채끝등심, 명란젓, 크림치즈, 소면, 땅콩소스, 사과, 후추, 소금, 올리브 오일, 간장</v>
      </c>
    </row>
    <row r="190">
      <c r="A190" s="2" t="str">
        <f>recipe!C190
</f>
        <v>터치 마이 주꾸미</v>
      </c>
      <c r="B190" s="1" t="str">
        <f>IFERROR(__xludf.DUMMYFUNCTION("TRIM(
  REGEXEXTRACT(
    raw!A190,
    ""(?s)●\s*재료(.*)●\s*조리 방법""
  )
)
"),"주꾸미, 유자청, 완두콩 통조림, 우유, 시금치 무침, 양파장아찌, 소금, 레몬, 올리브 오일, 꿀, 후추")</f>
        <v>주꾸미, 유자청, 완두콩 통조림, 우유, 시금치 무침, 양파장아찌, 소금, 레몬, 올리브 오일, 꿀, 후추</v>
      </c>
    </row>
    <row r="191">
      <c r="A191" s="2" t="str">
        <f>recipe!C191
</f>
        <v>리소토 먹어보라</v>
      </c>
      <c r="B191" s="1" t="str">
        <f>IFERROR(__xludf.DUMMYFUNCTION("TRIM(
  REGEXEXTRACT(
    raw!A191,
    ""(?s)●\s*재료(.*)●\s*조리 방법""
  )
)
"),"단호박, 블루베리즙, 강낭콩, 살치살, 체다&amp;모차렐라 치즈, 당근, 양파, 대파, 마늘, 올리브 오일, 소금, 후추, 즉석밥, 파르메산 치즈, 버터")</f>
        <v>단호박, 블루베리즙, 강낭콩, 살치살, 체다&amp;모차렐라 치즈, 당근, 양파, 대파, 마늘, 올리브 오일, 소금, 후추, 즉석밥, 파르메산 치즈, 버터</v>
      </c>
    </row>
    <row r="192">
      <c r="A192" s="2" t="str">
        <f>recipe!C192
</f>
        <v>기세등등갈비</v>
      </c>
      <c r="B192" s="1" t="str">
        <f>IFERROR(__xludf.DUMMYFUNCTION("TRIM(
  REGEXEXTRACT(
    raw!A192,
    ""(?s)●\s*재료(.*)●\s*조리 방법""
  )
)
"),"등갈비, 찹쌀, 오이, 간장, 설탕, 청주, 후추, 대파, 마늘, 고춧가루, 양파, 식초, 레몬즙, 참기름, 소금")</f>
        <v>등갈비, 찹쌀, 오이, 간장, 설탕, 청주, 후추, 대파, 마늘, 고춧가루, 양파, 식초, 레몬즙, 참기름, 소금</v>
      </c>
    </row>
    <row r="193">
      <c r="A193" s="2" t="str">
        <f>recipe!C193
</f>
        <v>등갈빈</v>
      </c>
      <c r="B193" s="1" t="str">
        <f>IFERROR(__xludf.DUMMYFUNCTION("TRIM(
  REGEXEXTRACT(
    raw!A193,
    ""(?s)●\s*재료(.*)●\s*조리 방법""
  )
)
"),"등갈비, 김밥용 햄, 강낭콩 통조림, 옥수수 통조림, 부추, 오이장아찌, 등갈비 양념, 올리브 오일, 후추, 간장, 소금, 고추, 마늘, 양파, 케첩, 버터, 레몬즙, 핫소스")</f>
        <v>등갈비, 김밥용 햄, 강낭콩 통조림, 옥수수 통조림, 부추, 오이장아찌, 등갈비 양념, 올리브 오일, 후추, 간장, 소금, 고추, 마늘, 양파, 케첩, 버터, 레몬즙, 핫소스</v>
      </c>
    </row>
    <row r="194">
      <c r="A194" s="2" t="str">
        <f>recipe!C194
</f>
        <v>짱짱면</v>
      </c>
      <c r="B194" s="1" t="str">
        <f>IFERROR(__xludf.DUMMYFUNCTION("TRIM(
  REGEXEXTRACT(
    raw!A194,
    ""(?s)●\s*재료(.*)●\s*조리 방법""
  )
)
"),"냉이, 삼겹살, 창난젓, 탄탄면 면, 대파, 양파, 다진 마늘, 간장, 된장, 꿀, 소주, 전분, 깨")</f>
        <v>냉이, 삼겹살, 창난젓, 탄탄면 면, 대파, 양파, 다진 마늘, 간장, 된장, 꿀, 소주, 전분, 깨</v>
      </c>
    </row>
    <row r="195">
      <c r="A195" s="2" t="str">
        <f>recipe!C195
</f>
        <v>리소토 위~아래 곱창</v>
      </c>
      <c r="B195" s="1" t="str">
        <f>IFERROR(__xludf.DUMMYFUNCTION("TRIM(
  REGEXEXTRACT(
    raw!A195,
    ""(?s)●\s*재료(.*)●\s*조리 방법""
  )
)
"),"양념곱창, 달걀, 레몬청, 삼겹살, 사골육수, 소금, 양파, 대파, 다진 마늘, 즉석밥, 후추, 버터, 대파, 참기름")</f>
        <v>양념곱창, 달걀, 레몬청, 삼겹살, 사골육수, 소금, 양파, 대파, 다진 마늘, 즉석밥, 후추, 버터, 대파, 참기름</v>
      </c>
    </row>
    <row r="196">
      <c r="A196" s="2" t="str">
        <f>recipe!C196
</f>
        <v>풍기명란 토스트</v>
      </c>
      <c r="B196" s="1" t="str">
        <f>IFERROR(__xludf.DUMMYFUNCTION("TRIM(
  REGEXEXTRACT(
    raw!A196,
    ""(?s)●\s*재료(.*)●\s*조리 방법""
  )
)
"),"명란젓, 달걀, 우유, 식빵, 밀가루, 양파, 청양고추, 마늘, 소금, 마요네즈")</f>
        <v>명란젓, 달걀, 우유, 식빵, 밀가루, 양파, 청양고추, 마늘, 소금, 마요네즈</v>
      </c>
    </row>
    <row r="197">
      <c r="A197" s="2" t="str">
        <f>recipe!C197
</f>
        <v>창난하니?</v>
      </c>
      <c r="B197" s="1" t="str">
        <f>IFERROR(__xludf.DUMMYFUNCTION("TRIM(
  REGEXEXTRACT(
    raw!A197,
    ""(?s)●\s*재료(.*)●\s*조리 방법""
  )
)
"),"삼겹살, 창난젓, 탄탄면 면, 소금, 후추, 다진 마늘, 청주, 대파, 참기름")</f>
        <v>삼겹살, 창난젓, 탄탄면 면, 소금, 후추, 다진 마늘, 청주, 대파, 참기름</v>
      </c>
    </row>
    <row r="198">
      <c r="A198" s="2" t="str">
        <f>recipe!C198
</f>
        <v>입에 불레리나</v>
      </c>
      <c r="B198" s="1" t="str">
        <f>IFERROR(__xludf.DUMMYFUNCTION("TRIM(
  REGEXEXTRACT(
    raw!A198,
    ""(?s)●\s*재료(.*)●\s*조리 방법""
  )
)
"),"전복, 채소육수 파우더, 두부, 강황가루, 낙지, 새우, 달걀, 고춧가루, 양파, 레몬, 대파, 다진 마늘, 화이트 와인, 청양고추, 핫소스, 고추냉이, 꿀, 간장")</f>
        <v>전복, 채소육수 파우더, 두부, 강황가루, 낙지, 새우, 달걀, 고춧가루, 양파, 레몬, 대파, 다진 마늘, 화이트 와인, 청양고추, 핫소스, 고추냉이, 꿀, 간장</v>
      </c>
    </row>
    <row r="199">
      <c r="A199" s="2" t="str">
        <f>recipe!C199
</f>
        <v>불새닭</v>
      </c>
      <c r="B199" s="1" t="str">
        <f>IFERROR(__xludf.DUMMYFUNCTION("TRIM(
  REGEXEXTRACT(
    raw!A199,
    ""(?s)●\s*재료(.*)●\s*조리 방법""
  )
)
"),"닭가슴살, 새우, 복숭아잼, 월남쌈용 채소, 빵, 대파, 소금, 청양고추, 양파, 마요네즈, 간장, 설탕, 올리브 오일")</f>
        <v>닭가슴살, 새우, 복숭아잼, 월남쌈용 채소, 빵, 대파, 소금, 청양고추, 양파, 마요네즈, 간장, 설탕, 올리브 오일</v>
      </c>
    </row>
    <row r="200">
      <c r="A200" s="2" t="str">
        <f>recipe!C200
</f>
        <v>유 캔 플라이롤</v>
      </c>
      <c r="B200" s="1" t="str">
        <f>IFERROR(__xludf.DUMMYFUNCTION("TRIM(
  REGEXEXTRACT(
    raw!A200,
    ""(?s)●\s*재료(.*)●\s*조리 방법""
  )
)
"),"펜네, 연어, 바나나, 아보카도, 케일, 오이, 플레인 요거트, 블루베리잼, 딸기잼, 레몬, 소금, 후추, 레몬")</f>
        <v>펜네, 연어, 바나나, 아보카도, 케일, 오이, 플레인 요거트, 블루베리잼, 딸기잼, 레몬, 소금, 후추, 레몬</v>
      </c>
    </row>
    <row r="201">
      <c r="A201" s="2" t="str">
        <f>recipe!C201
</f>
        <v>연어 타다익선</v>
      </c>
      <c r="B201" s="1" t="str">
        <f>IFERROR(__xludf.DUMMYFUNCTION("TRIM(
  REGEXEXTRACT(
    raw!A201,
    ""(?s)●\s*재료(.*)●\s*조리 방법""
  )
)
"),"방울토마토, 두부, 아보카도, 연어, 꿀, 간장, 맛술, 청주, 설탕, 양파, 올리브 오일, 소금, 식초, 와사비, 간장")</f>
        <v>방울토마토, 두부, 아보카도, 연어, 꿀, 간장, 맛술, 청주, 설탕, 양파, 올리브 오일, 소금, 식초, 와사비, 간장</v>
      </c>
    </row>
    <row r="202">
      <c r="A202" s="2" t="str">
        <f>recipe!C202
</f>
        <v>햄복한 밥</v>
      </c>
      <c r="B202" s="1" t="str">
        <f>IFERROR(__xludf.DUMMYFUNCTION("TRIM(
  REGEXEXTRACT(
    raw!A202,
    ""(?s)●\s*재료(.*)●\s*조리 방법""
  )
)
"),"즉석밥, 차돌박이, 달걀, 소시지, 통조림햄, 양파, 당근, 대파, 마늘, 간장, 전분")</f>
        <v>즉석밥, 차돌박이, 달걀, 소시지, 통조림햄, 양파, 당근, 대파, 마늘, 간장, 전분</v>
      </c>
    </row>
    <row r="203">
      <c r="A203" s="2" t="str">
        <f>recipe!C203
</f>
        <v>불량식풍</v>
      </c>
      <c r="B203" s="1" t="str">
        <f>IFERROR(__xludf.DUMMYFUNCTION("TRIM(
  REGEXEXTRACT(
    raw!A203,
    ""(?s)●\s*재료(.*)●\s*조리 방법""
  )
)
"),"즉석밥, 달걀, 맥주, 통조림햄, 밀가루, 전분, 소금, 후추, 설탕, 식용유, 참깨, 간장, 마요네즈, 다진 마늘, 연겨자")</f>
        <v>즉석밥, 달걀, 맥주, 통조림햄, 밀가루, 전분, 소금, 후추, 설탕, 식용유, 참깨, 간장, 마요네즈, 다진 마늘, 연겨자</v>
      </c>
    </row>
    <row r="204">
      <c r="A204" s="2" t="str">
        <f>recipe!C204
</f>
        <v>3점 슛테이크</v>
      </c>
      <c r="B204" s="1" t="str">
        <f>IFERROR(__xludf.DUMMYFUNCTION("TRIM(
  REGEXEXTRACT(
    raw!A204,
    ""(?s)●\s*재료(.*)●\s*조리 방법""
  )
)
"),"등심, 양파, 당근, 대파, 올리브 오일, 소금, 후추, 밀가루, 파르메산 치즈, 버터")</f>
        <v>등심, 양파, 당근, 대파, 올리브 오일, 소금, 후추, 밀가루, 파르메산 치즈, 버터</v>
      </c>
    </row>
    <row r="205">
      <c r="A205" s="2" t="str">
        <f>recipe!C205
</f>
        <v>아이스테키</v>
      </c>
      <c r="B205" s="1" t="str">
        <f>IFERROR(__xludf.DUMMYFUNCTION("TRIM(
  REGEXEXTRACT(
    raw!A205,
    ""(?s)●\s*재료(.*)●\s*조리 방법""
  )
)
"),"달걀, 마카다미아 아이스크림, 채끝살, 올리브 오일, 다진 마늘, 후추, 소금, 간장, 대파, 양파")</f>
        <v>달걀, 마카다미아 아이스크림, 채끝살, 올리브 오일, 다진 마늘, 후추, 소금, 간장, 대파, 양파</v>
      </c>
    </row>
    <row r="206">
      <c r="A206" s="2" t="str">
        <f>recipe!C206
</f>
        <v>가슴이 심쿵해</v>
      </c>
      <c r="B206" s="1" t="str">
        <f>IFERROR(__xludf.DUMMYFUNCTION("TRIM(
  SUBSTITUTE(
    REGEXEXTRACT(raw!A206, ""(?s)재료\s*(.*?)●\s*조리\s*방법""),
    CHAR(10), "", ""
  )
)
"),"닭가슴살, 파슬리, 애호박, 양파, 발사믹 드레싱, 후추,
, 소금, 올리브 오일, 설탕, 양파, 꿀, 다진 마늘, 양파
, 
,")</f>
        <v>닭가슴살, 파슬리, 애호박, 양파, 발사믹 드레싱, 후추,
, 소금, 올리브 오일, 설탕, 양파, 꿀, 다진 마늘, 양파
, 
,</v>
      </c>
    </row>
    <row r="207">
      <c r="A207" s="2" t="str">
        <f>recipe!C207
</f>
        <v>돈달돈달 + 여보 밥 안 안치니?</v>
      </c>
      <c r="B207" s="1" t="str">
        <f>IFERROR(__xludf.DUMMYFUNCTION("TRIM(
  SUBSTITUTE(
    REGEXEXTRACT(raw!A207, ""(?s)재료\s*(.*?)●\s*조리\s*방법""),
    CHAR(10), "", ""
  )
)
"),"멸치볶음, 방울토마토, 식빵, 곰탕라면, 달걀, 마늘, 즉석밥,
, 식용유, 참기름, 식초, 맛술, 간장, 전분, 깨
, 
,")</f>
        <v>멸치볶음, 방울토마토, 식빵, 곰탕라면, 달걀, 마늘, 즉석밥,
, 식용유, 참기름, 식초, 맛술, 간장, 전분, 깨
, 
,</v>
      </c>
    </row>
    <row r="208">
      <c r="A208" s="2" t="str">
        <f>recipe!C208
</f>
        <v>이런 돈장</v>
      </c>
      <c r="B208" s="1" t="str">
        <f>IFERROR(__xludf.DUMMYFUNCTION("TRIM(
  SUBSTITUTE(
    REGEXEXTRACT(raw!A208, ""(?s)재료\s*(.*?)●\s*조리\s*방법""),
    CHAR(10), "", ""
  )
)
"),"불고기용 돼지고기, 갓김치, 두부, 애호박, 부추, 배, 양파,
, 된장, 꿀, 다진 생강, 다진 마늘, 깨, 참기름, 후추
, 
,")</f>
        <v>불고기용 돼지고기, 갓김치, 두부, 애호박, 부추, 배, 양파,
, 된장, 꿀, 다진 생강, 다진 마늘, 깨, 참기름, 후추
, 
,</v>
      </c>
    </row>
    <row r="209">
      <c r="A209" s="2" t="str">
        <f>recipe!C209
</f>
        <v>허세우</v>
      </c>
      <c r="B209" s="1" t="str">
        <f>IFERROR(__xludf.DUMMYFUNCTION("TRIM(
  SUBSTITUTE(
    REGEXEXTRACT(raw!A209, ""(?s)재료\s*(.*?)●\s*조리\s*방법""),
    CHAR(10), "", ""
  )
)
"),"감자, 우유, 북어, 새우, 라이스 페이퍼, 과일간장, 대파, 버터, 간장
, 
,")</f>
        <v>감자, 우유, 북어, 새우, 라이스 페이퍼, 과일간장, 대파, 버터, 간장
, 
,</v>
      </c>
    </row>
    <row r="210">
      <c r="A210" s="2" t="str">
        <f>recipe!C210
</f>
        <v>단칼국수</v>
      </c>
      <c r="B210" s="1" t="str">
        <f>IFERROR(__xludf.DUMMYFUNCTION("TRIM(
  SUBSTITUTE(
    REGEXEXTRACT(raw!A210, ""(?s)재료\s*(.*?)●\s*조리\s*방법""),
    CHAR(10), "", ""
  )
)
"),"라유, 필리핀식 새우젓, 불고기용 돼지고기, 고춧가루, 칼국수면, 파프리카,
, 새송이버섯, 땅콩버터, 부추, 대파, 다진 마늘, 고춧가루, 소금, 후추, 청양고추, 레몬
, 
,")</f>
        <v>라유, 필리핀식 새우젓, 불고기용 돼지고기, 고춧가루, 칼국수면, 파프리카,
, 새송이버섯, 땅콩버터, 부추, 대파, 다진 마늘, 고춧가루, 소금, 후추, 청양고추, 레몬
, 
,</v>
      </c>
    </row>
    <row r="211">
      <c r="A211" s="2" t="str">
        <f>recipe!C211
</f>
        <v>맛있소면</v>
      </c>
      <c r="B211" s="1" t="str">
        <f>IFERROR(__xludf.DUMMYFUNCTION("TRIM(
  SUBSTITUTE(
    REGEXEXTRACT(raw!A211, ""(?s)재료\s*(.*?)●\s*조리\s*방법""),
    CHAR(10), "", ""
  )
)
"),"불고기용 돼지고기, 베이컨, 새송이버섯, 소면, 방울토마토, 달걀, 부추,
, 파프리카, 애호박, 김치, 양파, 후추, 소금, 간장, 식초, 마늘, 설탕
, 
,")</f>
        <v>불고기용 돼지고기, 베이컨, 새송이버섯, 소면, 방울토마토, 달걀, 부추,
, 파프리카, 애호박, 김치, 양파, 후추, 소금, 간장, 식초, 마늘, 설탕
, 
,</v>
      </c>
    </row>
    <row r="212">
      <c r="A212" s="2" t="str">
        <f>recipe!C212
</f>
        <v>갓김치치즈스마일</v>
      </c>
      <c r="B212" s="1" t="str">
        <f>IFERROR(__xludf.DUMMYFUNCTION("TRIM(
  SUBSTITUTE(
    REGEXEXTRACT(raw!A212, ""(?s)재료\s*(.*?)●\s*조리\s*방법""),
    CHAR(10), "", ""
  )
)
"),"달걀, 베이컨, 에멘탈 치즈, 크림 치즈, 모차렐라 치즈,
, 소시지, 갓김치, 생크림, 단팥, 파슬리, 소금, 후추
, 
,")</f>
        <v>달걀, 베이컨, 에멘탈 치즈, 크림 치즈, 모차렐라 치즈,
, 소시지, 갓김치, 생크림, 단팥, 파슬리, 소금, 후추
, 
,</v>
      </c>
    </row>
    <row r="213">
      <c r="A213" s="2" t="str">
        <f>recipe!C213
</f>
        <v>고풍격 디저트</v>
      </c>
      <c r="B213" s="1" t="str">
        <f>IFERROR(__xludf.DUMMYFUNCTION("TRIM(
  SUBSTITUTE(
    REGEXEXTRACT(raw!A213, ""(?s)재료\s*(.*?)●\s*조리\s*방법""),
    CHAR(10), "", ""
  )
)
"),"블루베리즙, 복분자 원액, 달걀, 우유, 장미잼, 생크림, 설탕
, 
,")</f>
        <v>블루베리즙, 복분자 원액, 달걀, 우유, 장미잼, 생크림, 설탕
, 
,</v>
      </c>
    </row>
    <row r="214">
      <c r="A214" s="2" t="str">
        <f>recipe!C214
</f>
        <v>배추 카르복나라</v>
      </c>
      <c r="B214" s="1" t="str">
        <f>IFERROR(__xludf.DUMMYFUNCTION("TRIM(
  SUBSTITUTE(
    REGEXEXTRACT(raw!A214, ""(?s)재료\s*(.*?)●\s*조리\s*방법""),
    CHAR(10), "", ""
  )
)
"),"배추, 푸실리, 베이컨, 우유, 생크림, 소금, 마늘, 대파
, 
,")</f>
        <v>배추, 푸실리, 베이컨, 우유, 생크림, 소금, 마늘, 대파
, 
,</v>
      </c>
    </row>
    <row r="215">
      <c r="A215" s="2" t="str">
        <f>recipe!C215
</f>
        <v>샘(킴)표 탕수육</v>
      </c>
      <c r="B215" s="1" t="str">
        <f>IFERROR(__xludf.DUMMYFUNCTION("TRIM(
  SUBSTITUTE(
    REGEXEXTRACT(raw!A215, ""(?s)재료\s*(.*?)●\s*조리\s*방법""),
    CHAR(10), "", ""
  )
)
"),"표고버섯, 청경채, 양파, 당근, 대파, 맛술, 간장, 고추, 식초, 설탕, 밀가루, 전분
, 
,")</f>
        <v>표고버섯, 청경채, 양파, 당근, 대파, 맛술, 간장, 고추, 식초, 설탕, 밀가루, 전분
, 
,</v>
      </c>
    </row>
    <row r="216">
      <c r="A216" s="2" t="str">
        <f>recipe!C216
</f>
        <v>쓰리스타 풍코스</v>
      </c>
      <c r="B216" s="1" t="str">
        <f>IFERROR(__xludf.DUMMYFUNCTION("TRIM(
  SUBSTITUTE(
    REGEXEXTRACT(raw!A216, ""(?s)재료\s*(.*?)●\s*조리\s*방법""),
    CHAR(10), "", ""
  )
)
"),"반건조 오징어, 베이컨, 양지 육수, 병아리콩 통조림, 우유, 들깨가루,
, 달걀, XO소스, 파슬리, 게살 통조림, 생크림, 화이트 트러플 오일, 고구마 말랭이,
, 올리브 오일, 양파, 다진 마늘, 소금, 후추, 대파, 버터, 설탕
, 
,")</f>
        <v>반건조 오징어, 베이컨, 양지 육수, 병아리콩 통조림, 우유, 들깨가루,
, 달걀, XO소스, 파슬리, 게살 통조림, 생크림, 화이트 트러플 오일, 고구마 말랭이,
, 올리브 오일, 양파, 다진 마늘, 소금, 후추, 대파, 버터, 설탕
, 
,</v>
      </c>
    </row>
    <row r="217">
      <c r="A217" s="2" t="str">
        <f>recipe!C217
</f>
        <v>미슐랭 쓰리스타는 게뿔</v>
      </c>
      <c r="B217" s="1" t="str">
        <f>IFERROR(__xludf.DUMMYFUNCTION("TRIM(
  SUBSTITUTE(
    REGEXEXTRACT(raw!A217, ""(?s)재료\s*(.*?)●\s*조리\s*방법""),
    CHAR(10), "", ""
  )
)
"),"오르초, 소고기, 파슬리, 홀토마토 통조림, 티카 마살라 소스, 게살 통조림,
, 오렌지 리큐르, 비프 스톡, 코코넛 크림, 라즈베리, 소금, 올리브 오일, 튀김가루, 후추
, 
,")</f>
        <v>오르초, 소고기, 파슬리, 홀토마토 통조림, 티카 마살라 소스, 게살 통조림,
, 오렌지 리큐르, 비프 스톡, 코코넛 크림, 라즈베리, 소금, 올리브 오일, 튀김가루, 후추
, 
,</v>
      </c>
    </row>
    <row r="218">
      <c r="A218" s="2" t="str">
        <f>recipe!C218
</f>
        <v>로맨티스타 케이크</v>
      </c>
      <c r="B218" s="1" t="str">
        <f>IFERROR(__xludf.DUMMYFUNCTION("TRIM(
  SUBSTITUTE(
    REGEXEXTRACT(raw!A218, ""(?s)재료\s*(.*?)●\s*조리\s*방법""),
    CHAR(10), "", ""
  )
)
"),"파스타면, 차돌박이, 베이컨, 팽이버섯, 백김치, 달걀, 크림소스,
, 오징어 젓갈, 크림치즈, 새우, 소금, 다진 마늘, 후추
, 
,")</f>
        <v>파스타면, 차돌박이, 베이컨, 팽이버섯, 백김치, 달걀, 크림소스,
, 오징어 젓갈, 크림치즈, 새우, 소금, 다진 마늘, 후추
, 
,</v>
      </c>
    </row>
    <row r="219">
      <c r="A219" s="2" t="str">
        <f>recipe!C219
</f>
        <v>마이 ♥ 케이크</v>
      </c>
      <c r="B219" s="1" t="str">
        <f>IFERROR(__xludf.DUMMYFUNCTION("TRIM(
  SUBSTITUTE(
    REGEXEXTRACT(raw!A219, ""(?s)재료\s*(.*?)●\s*조리\s*방법""),
    CHAR(10), "", ""
  )
)
"),"인스턴트 카레, 돈코츠 라면 수프, 트러플 오일, 달걀, 크림소스, 핫케이크 가루,
, 브로콜리, 파프리카, 팽이버섯, 칵테일 새우, 날치알, 물, 후추, 대파, 소금
, 
,")</f>
        <v>인스턴트 카레, 돈코츠 라면 수프, 트러플 오일, 달걀, 크림소스, 핫케이크 가루,
, 브로콜리, 파프리카, 팽이버섯, 칵테일 새우, 날치알, 물, 후추, 대파, 소금
, 
,</v>
      </c>
    </row>
    <row r="220">
      <c r="A220" s="2" t="str">
        <f>recipe!C220
</f>
        <v>크림 속에 비친 파프리카</v>
      </c>
      <c r="B220" s="1" t="str">
        <f>IFERROR(__xludf.DUMMYFUNCTION("TRIM(
  SUBSTITUTE(
    REGEXEXTRACT(raw!A220, ""(?s)재료\s*(.*?)●\s*조리\s*방법""),
    CHAR(10), "", ""
  )
)
"),"파프리카, 오븐구이용 삼치, 콩나물, 팽이버섯, 날치알, 크림치즈, 달걀,
, 마늘, 양파, 소금, 후추, 간장, 맛술, 참디름, 레몬, 올리고당, 파, 올리브 오일
, 
,")</f>
        <v>파프리카, 오븐구이용 삼치, 콩나물, 팽이버섯, 날치알, 크림치즈, 달걀,
, 마늘, 양파, 소금, 후추, 간장, 맛술, 참디름, 레몬, 올리고당, 파, 올리브 오일
, 
,</v>
      </c>
    </row>
    <row r="221">
      <c r="A221" s="2" t="str">
        <f>recipe!C221
</f>
        <v>사장님 라이스 버거~</v>
      </c>
      <c r="B221" s="1" t="str">
        <f>IFERROR(__xludf.DUMMYFUNCTION("TRIM(
  SUBSTITUTE(
    REGEXEXTRACT(raw!A221, ""(?s)재료\s*(.*?)●\s*조리\s*방법""),
    CHAR(10), "", ""
  )
)
"),"차돌박이, 장조림, 양상추, 트러플 오일, 체다 치즈, 레몬, 즉석밥,
, 물, 꿀, 파, 다진 마늘, 후추, 깨, 소금, 마요네즈, 된장, 참기름, 레몬
, 
,")</f>
        <v>차돌박이, 장조림, 양상추, 트러플 오일, 체다 치즈, 레몬, 즉석밥,
, 물, 꿀, 파, 다진 마늘, 후추, 깨, 소금, 마요네즈, 된장, 참기름, 레몬
, 
,</v>
      </c>
    </row>
    <row r="222">
      <c r="A222" s="2" t="str">
        <f>recipe!C222
</f>
        <v>이탈리안 특급 파스타</v>
      </c>
      <c r="B222" s="1" t="str">
        <f>IFERROR(__xludf.DUMMYFUNCTION("TRIM(
  SUBSTITUTE(
    REGEXEXTRACT(raw!A222, ""(?s)재료\s*(.*?)●\s*조리\s*방법""),
    CHAR(10), "", ""
  )
)
"),"파스타면, 새송이버섯, 우설, 우유, 양파, 소금, 다진 마늘, 화이트 와인,
, 후추, 레몬, 토마토 소스, 설탕, 올리브 오일
, 
,")</f>
        <v>파스타면, 새송이버섯, 우설, 우유, 양파, 소금, 다진 마늘, 화이트 와인,
, 후추, 레몬, 토마토 소스, 설탕, 올리브 오일
, 
,</v>
      </c>
    </row>
    <row r="223">
      <c r="A223" s="2" t="str">
        <f>recipe!C223
</f>
        <v>당근 체인지업</v>
      </c>
      <c r="B223" s="1" t="str">
        <f>IFERROR(__xludf.DUMMYFUNCTION("TRIM(
  SUBSTITUTE(
    REGEXEXTRACT(raw!A223, ""(?s)재료\s*(.*?)●\s*조리\s*방법""),
    CHAR(10), "", ""
  )
)
"),"고기 안심, 누룽지, 소금, 양파, 후추, 레드와인, 꿀, 연겨자, 당근, 버터
, 
,")</f>
        <v>고기 안심, 누룽지, 소금, 양파, 후추, 레드와인, 꿀, 연겨자, 당근, 버터
, 
,</v>
      </c>
    </row>
    <row r="224">
      <c r="A224" s="2" t="str">
        <f>recipe!C224
</f>
        <v>입이 떡~갈비</v>
      </c>
      <c r="B224" s="1" t="str">
        <f>IFERROR(__xludf.DUMMYFUNCTION("TRIM(
  SUBSTITUTE(
    REGEXEXTRACT(raw!A224, ""(?s)재료\s*(.*?)●\s*조리\s*방법""),
    CHAR(10), "", ""
  )
)
"),"매실고추장, 양파장아찌, 고추장아찌, 베트남 고추, 소고기, 새송이버섯, 사과, 밤, 다진 마늘,
, 다진 생강, 맛술, 참기름, 개, 꿀, 설탕, 양파, 대파, 고추, 참기름, 전분, 버터, 올리브 오일, 레몬
, 
,")</f>
        <v>매실고추장, 양파장아찌, 고추장아찌, 베트남 고추, 소고기, 새송이버섯, 사과, 밤, 다진 마늘,
, 다진 생강, 맛술, 참기름, 개, 꿀, 설탕, 양파, 대파, 고추, 참기름, 전분, 버터, 올리브 오일, 레몬
, 
,</v>
      </c>
    </row>
    <row r="225">
      <c r="A225" s="2" t="str">
        <f>recipe!C225
</f>
        <v>콩나물 팍팍 무쳤돔</v>
      </c>
      <c r="B225" s="1" t="str">
        <f>IFERROR(__xludf.DUMMYFUNCTION("TRIM(
  SUBSTITUTE(
    REGEXEXTRACT(raw!A225, ""(?s)재료\s*(.*?)●\s*조리\s*방법""),
    CHAR(10), "", ""
  )
)
"),"옥돔, 낙지, 콩나물, 청양고추, 간장, 달걀, 청주, 소금, 양파, 대파, 청양고추,
, 고춧가루, 고추장, 간장, 후추, 설탕, 다진 마늘, 다진 생강, 즉석밥, 밀가루
, 
,")</f>
        <v>옥돔, 낙지, 콩나물, 청양고추, 간장, 달걀, 청주, 소금, 양파, 대파, 청양고추,
, 고춧가루, 고추장, 간장, 후추, 설탕, 다진 마늘, 다진 생강, 즉석밥, 밀가루
, 
,</v>
      </c>
    </row>
    <row r="226">
      <c r="A226" s="2" t="str">
        <f>recipe!C226
</f>
        <v>토마토 쓴다고 놀리지 말아요</v>
      </c>
      <c r="B226" s="1" t="str">
        <f>IFERROR(__xludf.DUMMYFUNCTION("TRIM(
  SUBSTITUTE(
    REGEXEXTRACT(raw!A226, ""(?s)재료\s*(.*?)●\s*조리\s*방법""),
    CHAR(10), "", ""
  )
)
"),"게, 대구살, 잣, 파르메산 치즈, 올리브, 케이퍼, 선드라이 토마토,
, 마늘, 당근, 양파, 전분, 올리브 오일
, 
,")</f>
        <v>게, 대구살, 잣, 파르메산 치즈, 올리브, 케이퍼, 선드라이 토마토,
, 마늘, 당근, 양파, 전분, 올리브 오일
, 
,</v>
      </c>
    </row>
    <row r="227">
      <c r="A227" s="2" t="str">
        <f>recipe!C227
</f>
        <v>밖으로 나가버리곤약</v>
      </c>
      <c r="B227" s="1" t="str">
        <f>IFERROR(__xludf.DUMMYFUNCTION("TRIM(
  SUBSTITUTE(
    REGEXEXTRACT(raw!A227, ""(?s)재료\s*(.*?)●\s*조리\s*방법""),
    CHAR(10), "", ""
  )
)
"),"불고기용 소고기, 카레가루, 돈가스 소스, 배즙, 배, 표고버섯,
, 애호박, 실곤약, 트러플 꿀, 아스파라거스, 소금, 후추, 레드와인
, 
,")</f>
        <v>불고기용 소고기, 카레가루, 돈가스 소스, 배즙, 배, 표고버섯,
, 애호박, 실곤약, 트러플 꿀, 아스파라거스, 소금, 후추, 레드와인
, 
,</v>
      </c>
    </row>
    <row r="228">
      <c r="A228" s="2" t="str">
        <f>recipe!C228
</f>
        <v>안심하그라탱</v>
      </c>
      <c r="B228" s="1" t="str">
        <f>IFERROR(__xludf.DUMMYFUNCTION("TRIM(
  SUBSTITUTE(
    REGEXEXTRACT(raw!A228, ""(?s)재료\s*(.*?)●\s*조리\s*방법""),
    CHAR(10), "", ""
  )
)
"),"닭안심살, 생모차렐라 치즈, 흑토마토, 모차렐라 치즈, 토마토,
, 상추, 올리브, 데친 아스파라거스, 소금, 후추, 올리브 오일
, 
,")</f>
        <v>닭안심살, 생모차렐라 치즈, 흑토마토, 모차렐라 치즈, 토마토,
, 상추, 올리브, 데친 아스파라거스, 소금, 후추, 올리브 오일
, 
,</v>
      </c>
    </row>
    <row r="229">
      <c r="A229" s="2" t="str">
        <f>recipe!C229
</f>
        <v>홍시 밭의 거위</v>
      </c>
      <c r="B229" s="1" t="str">
        <f>IFERROR(__xludf.DUMMYFUNCTION("TRIM(
  SUBSTITUTE(
    REGEXEXTRACT(raw!A229, ""(?s)재료\s*(.*?)●\s*조리\s*방법""),
    CHAR(10), "", ""
  )
)
"),"푸아그라 통조림, 홍삼정과, 상추, 허니 아몬드, 홍시, 트러플 오일,
, 트러플 꿀, 트러플 소금, 아스파라거스, 소금, 후추
, 
,")</f>
        <v>푸아그라 통조림, 홍삼정과, 상추, 허니 아몬드, 홍시, 트러플 오일,
, 트러플 꿀, 트러플 소금, 아스파라거스, 소금, 후추
, 
,</v>
      </c>
    </row>
    <row r="230">
      <c r="A230" s="2" t="str">
        <f>recipe!C230
</f>
        <v>장어 팔복채</v>
      </c>
      <c r="B230" s="1" t="str">
        <f>IFERROR(__xludf.DUMMYFUNCTION("TRIM(
  SUBSTITUTE(
    REGEXEXTRACT(raw!A230, ""(?s)재료\s*(.*?)●\s*조리\s*방법""),
    CHAR(10), "", ""
  )
)
"),"전복, 오징어, 새우, 장어, 브로콜리, 파프리카, 표고버섯, 배추, 장어구이용 소스,
, 두반장, 대파, 마늘, 고추, 다진 생강, 고춧가루, 전분, 간장, 청주
, 
,")</f>
        <v>전복, 오징어, 새우, 장어, 브로콜리, 파프리카, 표고버섯, 배추, 장어구이용 소스,
, 두반장, 대파, 마늘, 고추, 다진 생강, 고춧가루, 전분, 간장, 청주
, 
,</v>
      </c>
    </row>
    <row r="231">
      <c r="A231" s="2" t="str">
        <f>recipe!C231
</f>
        <v>트러플 메이커</v>
      </c>
      <c r="B231" s="1" t="str">
        <f>IFERROR(__xludf.DUMMYFUNCTION("TRIM(
  SUBSTITUTE(
    REGEXEXTRACT(raw!A231, ""(?s)재료\s*(.*?)●\s*조리\s*방법""),
    CHAR(10), "", ""
  )
)
"),"달걀, 화이트 트러플 페이스트, 곡물빵, 나초 치즈, 화이트 트러플, 버터, 식초
, 
,")</f>
        <v>달걀, 화이트 트러플 페이스트, 곡물빵, 나초 치즈, 화이트 트러플, 버터, 식초
, 
,</v>
      </c>
    </row>
    <row r="232">
      <c r="A232" s="2" t="str">
        <f>recipe!C232
</f>
        <v>자연풍 주의보</v>
      </c>
      <c r="B232" s="1" t="str">
        <f>IFERROR(__xludf.DUMMYFUNCTION("TRIM(
  SUBSTITUTE(
    REGEXEXTRACT(raw!A232, ""(?s)재료\s*(.*?)●\s*조리\s*방법""),
    CHAR(10), "", ""
  )
)
"),"파프리카, 새우, 들기름, 우유, 들깨가루, 아보카도, 파르메산 치즈, 소금, 후추, 버터, 화이트와인
, 
,")</f>
        <v>파프리카, 새우, 들기름, 우유, 들깨가루, 아보카도, 파르메산 치즈, 소금, 후추, 버터, 화이트와인
, 
,</v>
      </c>
    </row>
    <row r="233">
      <c r="A233" s="2" t="str">
        <f>recipe!C233
</f>
        <v>마성의 해물면</v>
      </c>
      <c r="B233" s="1" t="str">
        <f>IFERROR(__xludf.DUMMYFUNCTION("TRIM(
  SUBSTITUTE(
    REGEXEXTRACT(raw!A233, ""(?s)재료\s*(.*?)●\s*조리\s*방법""),
    CHAR(10), "", ""
  )
)
"),"마, 오징어, 새우, 달걀, 성게알, 전복, 애호박, 트러플 오일, 전분, 간장, 소금, ,")</f>
        <v>마, 오징어, 새우, 달걀, 성게알, 전복, 애호박, 트러플 오일, 전분, 간장, 소금, ,</v>
      </c>
    </row>
    <row r="234">
      <c r="A234" s="2" t="str">
        <f>recipe!C234
</f>
        <v>라자냐는 나자냐</v>
      </c>
      <c r="B234" s="1" t="str">
        <f>IFERROR(__xludf.DUMMYFUNCTION("TRIM(
  SUBSTITUTE(
    REGEXEXTRACT(raw!A234, ""(?s)재료\s*(.*?)●\s*조리\s*방법""),
    CHAR(10), "", ""
  )
)
"),"라자냐, 파프리카, 삶은 호박고지, 느타리버섯, 브로콜리, 가지, 닭다리살,
, 파르메산 치즈, 화이트 와인 식초, 토마토 소스, 슬라이스 치즈, 소금, 양파,
, 후추, 버터, 밀가루, 설탕, 올리브 오일
, 
,")</f>
        <v>라자냐, 파프리카, 삶은 호박고지, 느타리버섯, 브로콜리, 가지, 닭다리살,
, 파르메산 치즈, 화이트 와인 식초, 토마토 소스, 슬라이스 치즈, 소금, 양파,
, 후추, 버터, 밀가루, 설탕, 올리브 오일
, 
,</v>
      </c>
    </row>
    <row r="235">
      <c r="A235" s="2" t="str">
        <f>recipe!C235
</f>
        <v>사랑햄</v>
      </c>
      <c r="B235" s="1" t="str">
        <f>IFERROR(__xludf.DUMMYFUNCTION("TRIM(
  SUBSTITUTE(
    REGEXEXTRACT(raw!A235, ""(?s)재료\s*(.*?)●\s*조리\s*방법""),
    CHAR(10), "", ""
  )
)
"),"달걀, 슬라이스 치즈, 통조림 햄, 사과, 사과주스, 설탕, 버터, 밀가루, 우유, 빵가루
, 
,")</f>
        <v>달걀, 슬라이스 치즈, 통조림 햄, 사과, 사과주스, 설탕, 버터, 밀가루, 우유, 빵가루
, 
,</v>
      </c>
    </row>
    <row r="236">
      <c r="A236" s="2" t="str">
        <f>recipe!C236
</f>
        <v>가지 싸움에 새우등 터진다</v>
      </c>
      <c r="B236" s="1" t="str">
        <f>IFERROR(__xludf.DUMMYFUNCTION("TRIM(
  SUBSTITUTE(
    REGEXEXTRACT(raw!A236, ""(?s)재료\s*(.*?)●\s*조리\s*방법""),
    CHAR(10), "", ""
  )
)
"),"가지, 칵테일 새우, 소고기, 달걀, 파프리카, 밀가루, 감자 전분,
, 생강즙, 옥수수 전분, 마늘, 대파, 파프리카, 간장, 식초, 설탕
, 
,")</f>
        <v>가지, 칵테일 새우, 소고기, 달걀, 파프리카, 밀가루, 감자 전분,
, 생강즙, 옥수수 전분, 마늘, 대파, 파프리카, 간장, 식초, 설탕
, 
,</v>
      </c>
    </row>
    <row r="237">
      <c r="A237" s="2" t="str">
        <f>recipe!C237
</f>
        <v>대게 맛있는 따로 덮밥</v>
      </c>
      <c r="B237" s="1" t="str">
        <f>IFERROR(__xludf.DUMMYFUNCTION("TRIM(
  SUBSTITUTE(
    REGEXEXTRACT(raw!A237, ""(?s)재료\s*(.*?)●\s*조리\s*방법""),
    CHAR(10), "", ""
  )
)
"),"양파, 삶은 호박고지, 대파, 삶은 고사리, 맛간장, 표고버섯, 고추, 대게살, 삶은 문어,
, 참기름, 삶은 시래기, 다진 마늘, 맛술, 올리고당, 후추, 즉석밥, 달걀, 참기름, 소금, 깨
, 
,")</f>
        <v>양파, 삶은 호박고지, 대파, 삶은 고사리, 맛간장, 표고버섯, 고추, 대게살, 삶은 문어,
, 참기름, 삶은 시래기, 다진 마늘, 맛술, 올리고당, 후추, 즉석밥, 달걀, 참기름, 소금, 깨
, 
,</v>
      </c>
    </row>
    <row r="238">
      <c r="A238" s="2" t="str">
        <f>recipe!C238
</f>
        <v>삼치렐라</v>
      </c>
      <c r="B238" s="1" t="str">
        <f>IFERROR(__xludf.DUMMYFUNCTION("TRIM(
  SUBSTITUTE(
    REGEXEXTRACT(raw!A238, ""(?s)재료\s*(.*?)●\s*조리\s*방법""),
    CHAR(10), "", ""
  )
)
"),"삼치, 호두, 달걀, 브로콜리, 마늘, 파프리카, 토마토, 바질 페스토, 수제 요거트,
, 실파, 소금, 후추, 레몬, 밀가루, 버터, 올리브 오일, 청양고추, 마요네즈
, 
,")</f>
        <v>삼치, 호두, 달걀, 브로콜리, 마늘, 파프리카, 토마토, 바질 페스토, 수제 요거트,
, 실파, 소금, 후추, 레몬, 밀가루, 버터, 올리브 오일, 청양고추, 마요네즈
, 
,</v>
      </c>
    </row>
    <row r="239">
      <c r="A239" s="2" t="str">
        <f>recipe!C239
</f>
        <v>개천에서 용 났새우</v>
      </c>
      <c r="B239" s="1" t="str">
        <f>IFERROR(__xludf.DUMMYFUNCTION("TRIM(
  SUBSTITUTE(
    REGEXEXTRACT(raw!A239, ""(?s)재료\s*(.*?)●\s*조리\s*방법""),
    CHAR(10), "", ""
  )
)
"),"브로콜리, 북어채, 새우, 다진 청양고추, 대파, 마늘, 라면, 올리브 오일
, 
,")</f>
        <v>브로콜리, 북어채, 새우, 다진 청양고추, 대파, 마늘, 라면, 올리브 오일
, 
,</v>
      </c>
    </row>
    <row r="240">
      <c r="A240" s="2" t="str">
        <f>recipe!C240
</f>
        <v>부드럽끼</v>
      </c>
      <c r="B240" s="1" t="str">
        <f>IFERROR(__xludf.DUMMYFUNCTION("TRIM(
  SUBSTITUTE(
    REGEXEXTRACT(raw!A240, ""(?s)재료\s*(.*?)●\s*조리\s*방법""),
    CHAR(10), "", ""
  )
)
"),"감자, 우유, 꼬리곰탕, 리코타 치즈, 카망베르 치즈, 달걀, 양파, 소금, 후추, 밀가루
, 
,")</f>
        <v>감자, 우유, 꼬리곰탕, 리코타 치즈, 카망베르 치즈, 달걀, 양파, 소금, 후추, 밀가루
, 
,</v>
      </c>
    </row>
    <row r="241">
      <c r="A241" s="2" t="str">
        <f>recipe!C241
</f>
        <v>유아식망고땡!</v>
      </c>
      <c r="B241" s="1" t="str">
        <f>IFERROR(__xludf.DUMMYFUNCTION("TRIM(
  SUBSTITUTE(
    REGEXEXTRACT(raw!A241, ""(?s)재료\s*(.*?)●\s*조리\s*방법""),
    CHAR(10), "", ""
  )
)
"),"우유, 망고, 호두, 잣, 대추, 당근, 즉석밥, 꿀, 소금
, 
,")</f>
        <v>우유, 망고, 호두, 잣, 대추, 당근, 즉석밥, 꿀, 소금
, 
,</v>
      </c>
    </row>
    <row r="242">
      <c r="A242" s="2" t="str">
        <f>recipe!C242
</f>
        <v>요기조기 탕수</v>
      </c>
      <c r="B242" s="1" t="str">
        <f>IFERROR(__xludf.DUMMYFUNCTION("TRIM(
  SUBSTITUTE(
    REGEXEXTRACT(raw!A242, ""(?s)재료\s*(.*?)●\s*조리\s*방법""),
    CHAR(10), "", ""
  )
)
"),"조기, 표고버섯채, 청양고추, 감자전분, 양파, 당근, 파, 간장, 후추, 식초, 꿀
, 
,")</f>
        <v>조기, 표고버섯채, 청양고추, 감자전분, 양파, 당근, 파, 간장, 후추, 식초, 꿀
, 
,</v>
      </c>
    </row>
    <row r="243">
      <c r="A243" s="2" t="str">
        <f>recipe!C243
</f>
        <v>뒤집었닭</v>
      </c>
      <c r="B243" s="1" t="str">
        <f>IFERROR(__xludf.DUMMYFUNCTION("TRIM(
  SUBSTITUTE(
    REGEXEXTRACT(raw!A243, ""(?s)재료\s*(.*?)●\s*조리\s*방법""),
    CHAR(10), "", ""
  )
)
"),"닭날개, 반숙란, 삶은 양배추, 총각김치, 올리브, 느타리버섯 볶음,
, 맥주, 파슬리, 소금, 고춧가루, 후추, 식초
, 
,")</f>
        <v>닭날개, 반숙란, 삶은 양배추, 총각김치, 올리브, 느타리버섯 볶음,
, 맥주, 파슬리, 소금, 고춧가루, 후추, 식초
, 
,</v>
      </c>
    </row>
    <row r="244">
      <c r="A244" s="2" t="str">
        <f>recipe!C244
</f>
        <v>명란 대파주이소</v>
      </c>
      <c r="B244" s="1" t="str">
        <f>IFERROR(__xludf.DUMMYFUNCTION("TRIM(
  SUBSTITUTE(
    REGEXEXTRACT(raw!A244, ""(?s)재료\s*(.*?)●\s*조리\s*방법""),
    CHAR(10), "", ""
  )
)
"),"채끝등심, 삶은 양배추, 명란, 청양고추, 올리브, 표고버섯채,
, 참기름, 참깨, 다진 마늘, 파, 소금, 후추, 고춧가루, 마늘
, 
,")</f>
        <v>채끝등심, 삶은 양배추, 명란, 청양고추, 올리브, 표고버섯채,
, 참기름, 참깨, 다진 마늘, 파, 소금, 후추, 고춧가루, 마늘
, 
,</v>
      </c>
    </row>
    <row r="245">
      <c r="A245" s="2" t="str">
        <f>recipe!C245
</f>
        <v>채끝과 당근</v>
      </c>
      <c r="B245" s="1" t="str">
        <f>IFERROR(__xludf.DUMMYFUNCTION("TRIM(
  SUBSTITUTE(
    REGEXEXTRACT(raw!A245, ""(?s)재료\s*(.*?)●\s*조리\s*방법""),
    CHAR(10), "", ""
  )
)
"),"채끝등심, 삶은 양배추, 느타리버섯 볶음, 당근, 찹쌀가루,
, 파슬리, 소금, 설탕, 후추, 레몬, 버터, 레드와인, 꿀
, 
,")</f>
        <v>채끝등심, 삶은 양배추, 느타리버섯 볶음, 당근, 찹쌀가루,
, 파슬리, 소금, 설탕, 후추, 레몬, 버터, 레드와인, 꿀
, 
,</v>
      </c>
    </row>
    <row r="246">
      <c r="A246" s="2" t="str">
        <f>recipe!C246
</f>
        <v>위풍닭닭</v>
      </c>
      <c r="B246" s="1" t="str">
        <f>IFERROR(__xludf.DUMMYFUNCTION("TRIM(
  SUBSTITUTE(
    REGEXEXTRACT(raw!A246, ""(?s)재료\s*(.*?)●\s*조리\s*방법""),
    CHAR(10), "", ""
  )
)
"),"호두, 땅콩, 포트와인, 말린 대추, 생닭, 사과, 양파, 당근, 대파,
, 설탕, 고춧가루, 소금, 후추, 버터, 꿀
, 
,")</f>
        <v>호두, 땅콩, 포트와인, 말린 대추, 생닭, 사과, 양파, 당근, 대파,
, 설탕, 고춧가루, 소금, 후추, 버터, 꿀
, 
,</v>
      </c>
    </row>
    <row r="247">
      <c r="A247" s="2" t="str">
        <f>recipe!C247
</f>
        <v>미트볼그레</v>
      </c>
      <c r="B247" s="1" t="str">
        <f>IFERROR(__xludf.DUMMYFUNCTION("TRIM(
  SUBSTITUTE(
    REGEXEXTRACT(raw!A247, ""(?s)재료\s*(.*?)●\s*조리\s*방법""),
    CHAR(10), "", ""
  )
)
"),"돼지고기, 소고기, 달걀, 사과, 파프리카, 호두, 잣, 포트와인, 꿀,
, 양파, 대파, 고추, 다진 생강, 소금, 간장, 청주, 후추, 맛술, 설탕
, 
,")</f>
        <v>돼지고기, 소고기, 달걀, 사과, 파프리카, 호두, 잣, 포트와인, 꿀,
, 양파, 대파, 고추, 다진 생강, 소금, 간장, 청주, 후추, 맛술, 설탕
, 
,</v>
      </c>
    </row>
    <row r="248">
      <c r="A248" s="2" t="str">
        <f>recipe!C248
</f>
        <v>장풍덮밥</v>
      </c>
      <c r="B248" s="1" t="str">
        <f>IFERROR(__xludf.DUMMYFUNCTION("TRIM(
  SUBSTITUTE(
    REGEXEXTRACT(raw!A248, ""(?s)재료\s*(.*?)●\s*조리\s*방법""),
    CHAR(10), "", ""
  )
)
"),"돼지고기, 새우살, 파프리카, 인스턴트 카레, 달걀, 대파, 마늘,
, 고추, 파프리카, 고춧가루, 맛술, 간장, 된장, 식초, 즉석밥
, 
,")</f>
        <v>돼지고기, 새우살, 파프리카, 인스턴트 카레, 달걀, 대파, 마늘,
, 고추, 파프리카, 고춧가루, 맛술, 간장, 된장, 식초, 즉석밥
, 
,</v>
      </c>
    </row>
    <row r="249">
      <c r="A249" s="2" t="str">
        <f>recipe!C249
</f>
        <v>돼.새.김</v>
      </c>
      <c r="B249" s="1" t="str">
        <f>IFERROR(__xludf.DUMMYFUNCTION("TRIM(
  SUBSTITUTE(
    REGEXEXTRACT(raw!A249, ""(?s)재료\s*(.*?)●\s*조리\s*방법""),
    CHAR(10), "", ""
  )
)
"),"조미김, 돼지고기, 생강대추청, 달걀, 새우살, 대파, 맛술, 간장, 전분, 고춧가루, 버터, 즉석밥
, 
,")</f>
        <v>조미김, 돼지고기, 생강대추청, 달걀, 새우살, 대파, 맛술, 간장, 전분, 고춧가루, 버터, 즉석밥
, 
,</v>
      </c>
    </row>
    <row r="250">
      <c r="A250" s="2" t="str">
        <f>recipe!C250
</f>
        <v>아! 추로스~</v>
      </c>
      <c r="B250" s="1" t="str">
        <f>IFERROR(__xludf.DUMMYFUNCTION("TRIM(
  SUBSTITUTE(
    REGEXEXTRACT(raw!A250, ""(?s)재료\s*(.*?)●\s*조리\s*방법""),
    CHAR(10), "", ""
  )
)
"),"우유, 블루베리즙, 블루베리, 달걀, 버터, 소금, 설탕, 레몬즙, 밀가루
, 
,")</f>
        <v>우유, 블루베리즙, 블루베리, 달걀, 버터, 소금, 설탕, 레몬즙, 밀가루
, 
,</v>
      </c>
    </row>
    <row r="251">
      <c r="A251" s="2" t="str">
        <f>recipe!C251
</f>
        <v>퍼펙타르트</v>
      </c>
      <c r="B251" s="1" t="str">
        <f>IFERROR(__xludf.DUMMYFUNCTION("TRIM(
  SUBSTITUTE(
    REGEXEXTRACT(raw!A251, ""(?s)재료\s*(.*?)●\s*조리\s*방법""),
    CHAR(10), "", ""
  )
)
"),"블루베리, 블루베리즙, 해시 브라운 포테이토, 사과, 모차렐라 치즈, 딸기, 땅콩, 설탕
, 
,")</f>
        <v>블루베리, 블루베리즙, 해시 브라운 포테이토, 사과, 모차렐라 치즈, 딸기, 땅콩, 설탕
, 
,</v>
      </c>
    </row>
    <row r="252">
      <c r="A252" s="2" t="str">
        <f>recipe!C252
</f>
        <v>한잔비어떡</v>
      </c>
      <c r="B252" s="1" t="str">
        <f>IFERROR(__xludf.DUMMYFUNCTION("TRIM(
  SUBSTITUTE(
    REGEXEXTRACT(raw!A252, ""(?s)재료\s*(.*?)●\s*조리\s*방법""),
    CHAR(10), "", ""
  )
)
"),"훈제 닭가슴살, 대파, 밀가루, 소금, 참기름, 버터
, 
,")</f>
        <v>훈제 닭가슴살, 대파, 밀가루, 소금, 참기름, 버터
, 
,</v>
      </c>
    </row>
    <row r="253">
      <c r="A253" s="2" t="str">
        <f>recipe!C253
</f>
        <v>닭고치</v>
      </c>
      <c r="B253" s="1" t="str">
        <f>IFERROR(__xludf.DUMMYFUNCTION("TRIM(
  SUBSTITUTE(
    REGEXEXTRACT(raw!A253, ""(?s)재료\s*(.*?)●\s*조리\s*방법""),
    CHAR(10), "", ""
  )
)
"),"해시 브라운 포테이토, 훈제 닭가슴살, 데리야키 소스, 시럽용 올리고당,
, 슬라이스 치즈, 모차렐라 치즈, 대파, 양파, 청양고추, 고추장, 설탕, 고춧가루
, 
,")</f>
        <v>해시 브라운 포테이토, 훈제 닭가슴살, 데리야키 소스, 시럽용 올리고당,
, 슬라이스 치즈, 모차렐라 치즈, 대파, 양파, 청양고추, 고추장, 설탕, 고춧가루
, 
,</v>
      </c>
    </row>
    <row r="254">
      <c r="A254" s="2" t="str">
        <f>recipe!C254
</f>
        <v>긴밤지새우콩</v>
      </c>
      <c r="B254" s="1" t="str">
        <f>IFERROR(__xludf.DUMMYFUNCTION("TRIM(
  SUBSTITUTE(
    REGEXEXTRACT(raw!A254, ""(?s)재료\s*(.*?)●\s*조리\s*방법""),
    CHAR(10), "", ""
  )
)
"),"새우, 감자, 완두콩, 인스턴트 사골곰탕, 고르곤졸라 치즈,
, 돼지고기, 쯔유, 양파, 버터, 소금, 후추, 밀가루
, 
,")</f>
        <v>새우, 감자, 완두콩, 인스턴트 사골곰탕, 고르곤졸라 치즈,
, 돼지고기, 쯔유, 양파, 버터, 소금, 후추, 밀가루
, 
,</v>
      </c>
    </row>
    <row r="255">
      <c r="A255" s="2" t="str">
        <f>recipe!C255
</f>
        <v>살빠질톰얌</v>
      </c>
      <c r="B255" s="1" t="str">
        <f>IFERROR(__xludf.DUMMYFUNCTION("TRIM(
  SUBSTITUTE(
    REGEXEXTRACT(raw!A255, ""(?s)재료\s*(.*?)●\s*조리\s*방법""),
    CHAR(10), "", ""
  )
)
"),"새우, 감자, 베트남 고추, 톰얌 페이스트, 액상조미료,
, 토마토, 달걀, 당근, 양파, 대파, 마늘, 소금, 후추
, 
,")</f>
        <v>새우, 감자, 베트남 고추, 톰얌 페이스트, 액상조미료,
, 토마토, 달걀, 당근, 양파, 대파, 마늘, 소금, 후추
, 
,</v>
      </c>
    </row>
    <row r="256">
      <c r="A256" s="2" t="str">
        <f>recipe!C256
</f>
        <v>한잔하새우</v>
      </c>
      <c r="B256" s="1" t="str">
        <f>IFERROR(__xludf.DUMMYFUNCTION("TRIM(
  SUBSTITUTE(
    REGEXEXTRACT(raw!A256, ""(?s)재료\s*(.*?)●\s*조리\s*방법""),
    CHAR(10), "", ""
  )
)
"),"자숙새우살, 올리브, 할라페뇨, 식빵, 조미김, 낙지젓, 멸치볶음, 칠리소스,
, 머스터드소스, 향쑥리큐어, 알배추, 양파, 레몬, 마요네즈, 소금, 후추, 올리브오일
, 
,")</f>
        <v>자숙새우살, 올리브, 할라페뇨, 식빵, 조미김, 낙지젓, 멸치볶음, 칠리소스,
, 머스터드소스, 향쑥리큐어, 알배추, 양파, 레몬, 마요네즈, 소금, 후추, 올리브오일
, 
,</v>
      </c>
    </row>
    <row r="257">
      <c r="A257" s="2" t="str">
        <f>recipe!C257
</f>
        <v>뱅뱅뱅볶음</v>
      </c>
      <c r="B257" s="1" t="str">
        <f>IFERROR(__xludf.DUMMYFUNCTION("TRIM(
  SUBSTITUTE(
    REGEXEXTRACT(raw!A257, ""(?s)재료\s*(.*?)●\s*조리\s*방법""),
    CHAR(10), "", ""
  )
)
"),"알배추, 골뱅이 통조림, 들깨가루, 인스턴트 사골곰탕, 양파, 다진 마늘,
, 청양고추, 고춧가루, 간장, 설탕, 참기름, 맛술, 식용유, 들기름
, 
,")</f>
        <v>알배추, 골뱅이 통조림, 들깨가루, 인스턴트 사골곰탕, 양파, 다진 마늘,
, 청양고추, 고춧가루, 간장, 설탕, 참기름, 맛술, 식용유, 들기름
, 
,</v>
      </c>
    </row>
    <row r="258">
      <c r="A258" s="2" t="str">
        <f>recipe!C258
</f>
        <v>소풍가는 닭</v>
      </c>
      <c r="B258" s="1" t="str">
        <f>IFERROR(__xludf.DUMMYFUNCTION("TRIM(
  SUBSTITUTE(
    REGEXEXTRACT(raw!A258, ""(?s)재료\s*(.*?)●\s*조리\s*방법""),
    CHAR(10), "", ""
  )
)
"),"감자, 양배추, 데친 브로콜리, 닭안심살, 시금치, 허니버터 브레드, 보코치니 치즈,
, 달걀, 명이나물 장아찌, 크림소스, 버터, 다진 마늘, 다진 파, 소금, 후추, 밀가루
, 
,")</f>
        <v>감자, 양배추, 데친 브로콜리, 닭안심살, 시금치, 허니버터 브레드, 보코치니 치즈,
, 달걀, 명이나물 장아찌, 크림소스, 버터, 다진 마늘, 다진 파, 소금, 후추, 밀가루
, 
,</v>
      </c>
    </row>
    <row r="259">
      <c r="A259" s="2" t="str">
        <f>recipe!C259
</f>
        <v>함박웃음치~즈</v>
      </c>
      <c r="B259" s="1" t="str">
        <f>IFERROR(__xludf.DUMMYFUNCTION("TRIM(
  SUBSTITUTE(
    REGEXEXTRACT(raw!A259, ""(?s)재료\s*(.*?)●\s*조리\s*방법""),
    CHAR(10), "", ""
  )
)
"),"동치미, 미니 파프리카, 오이, 치마살, 달걀, 슬라이스 치즈, 냉동된 밥,
, 멸치볶음, 버터,맛술, 간장, 설탕, 식초, 소금, 후추, 전분, 깨, 청주
, 
,")</f>
        <v>동치미, 미니 파프리카, 오이, 치마살, 달걀, 슬라이스 치즈, 냉동된 밥,
, 멸치볶음, 버터,맛술, 간장, 설탕, 식초, 소금, 후추, 전분, 깨, 청주
, 
,</v>
      </c>
    </row>
    <row r="260">
      <c r="A260" s="2" t="str">
        <f>recipe!C260
</f>
        <v>육해공 연볶이</v>
      </c>
      <c r="B260" s="1" t="str">
        <f>IFERROR(__xludf.DUMMYFUNCTION("TRIM(
  SUBSTITUTE(
    REGEXEXTRACT(raw!A260, ""(?s)재료\s*(.*?)●\s*조리\s*방법""),
    CHAR(10), "", ""
  )
)
"),"닭날개, 가래떡, 통조림 햄, 애호박, 수제비 반죽, 콩나물, 문어숙회,
, 모차렐라 치즈, 고추장, 고형카레, 대파, 마늘, 고춧가루, 설탕, 간장, 청주
, 
,")</f>
        <v>닭날개, 가래떡, 통조림 햄, 애호박, 수제비 반죽, 콩나물, 문어숙회,
, 모차렐라 치즈, 고추장, 고형카레, 대파, 마늘, 고춧가루, 설탕, 간장, 청주
, 
,</v>
      </c>
    </row>
    <row r="261">
      <c r="A261" s="2" t="str">
        <f>recipe!C261
</f>
        <v>너는 힙합! 나는 햄팝!</v>
      </c>
      <c r="B261" s="1" t="str">
        <f>IFERROR(__xludf.DUMMYFUNCTION("TRIM(
  SUBSTITUTE(
    REGEXEXTRACT(raw!A261, ""(?s)재료\s*(.*?)●\s*조리\s*방법""),
    CHAR(10), "", ""
  )
)
"),"통조림 햄, 땅콩버터, 설탕, 밀가루, 전분
, 
,")</f>
        <v>통조림 햄, 땅콩버터, 설탕, 밀가루, 전분
, 
,</v>
      </c>
    </row>
    <row r="262">
      <c r="A262" s="2" t="str">
        <f>recipe!C262
</f>
        <v>쌈삼한 리소토</v>
      </c>
      <c r="B262" s="1" t="str">
        <f>IFERROR(__xludf.DUMMYFUNCTION("TRIM(
  SUBSTITUTE(
    REGEXEXTRACT(raw!A262, ""(?s)재료\s*(.*?)●\s*조리\s*방법""),
    CHAR(10), "", ""
  )
)
"),"얼린 밥, 삼계탕, 꽃게맛 과자, 치즈맛 과자, 묵은지, 무김치, 파르메산 치즈분말,
, 깨, 양파, 청양고추, 다진 마늘, 소금, 후추, 고춧가루, 버터
, 
,")</f>
        <v>얼린 밥, 삼계탕, 꽃게맛 과자, 치즈맛 과자, 묵은지, 무김치, 파르메산 치즈분말,
, 깨, 양파, 청양고추, 다진 마늘, 소금, 후추, 고춧가루, 버터
, 
,</v>
      </c>
    </row>
    <row r="263">
      <c r="A263" s="2" t="str">
        <f>recipe!C263
</f>
        <v>쌈닭 파스타</v>
      </c>
      <c r="B263" s="1" t="str">
        <f>IFERROR(__xludf.DUMMYFUNCTION("TRIM(
  SUBSTITUTE(
    REGEXEXTRACT(raw!A263, ""(?s)재료\s*(.*?)●\s*조리\s*방법""),
    CHAR(10), "", ""
  )
)
"),"갈비탕, 파스타면, 매운 양념숯불치킨, 유자소주,
, 차르메산 치즈분말, 당근, 양파, 마늘, 후추, 소금
, 
,")</f>
        <v>갈비탕, 파스타면, 매운 양념숯불치킨, 유자소주,
, 차르메산 치즈분말, 당근, 양파, 마늘, 후추, 소금
, 
,</v>
      </c>
    </row>
    <row r="264">
      <c r="A264" s="2" t="str">
        <f>recipe!C264
</f>
        <v>소울 푸드의 고참</v>
      </c>
      <c r="B264" s="1" t="str">
        <f>IFERROR(__xludf.DUMMYFUNCTION("TRIM(
  SUBSTITUTE(
    REGEXEXTRACT(raw!A264, ""(?s)재료\s*(.*?)●\s*조리\s*방법""),
    CHAR(10), "", ""
  )
)
"),"스위트콘 통조림, 고추참치 통조림, 토마토 소스, 당근, 양파, 마늘, 설탕,
, 마요네즈, 버터, 레몬, 올리브오일, 소금, 후추, 맛술, 간장, 전분, 즉석밥
, 
,")</f>
        <v>스위트콘 통조림, 고추참치 통조림, 토마토 소스, 당근, 양파, 마늘, 설탕,
, 마요네즈, 버터, 레몬, 올리브오일, 소금, 후추, 맛술, 간장, 전분, 즉석밥
, 
,</v>
      </c>
    </row>
    <row r="265">
      <c r="A265" s="2" t="str">
        <f>recipe!C265
</f>
        <v>옥수스웨그 팬케이크</v>
      </c>
      <c r="B265" s="1" t="str">
        <f>IFERROR(__xludf.DUMMYFUNCTION("TRIM(
  SUBSTITUTE(
    REGEXEXTRACT(raw!A265, ""(?s)재료\s*(.*?)●\s*조리\s*방법""),
    CHAR(10), "", ""
  )
)
"),"인스턴트 체다치즈 수프, 파르메산 치즈분말, 매운 양념숯불치킨, 스위트콘 통조림,
, 오이피클, 고추참치 통조림, 토마토 소스, 달걀, 양파, 청양고추, 밀가루, 소금, 후추, 레몬
, 
,")</f>
        <v>인스턴트 체다치즈 수프, 파르메산 치즈분말, 매운 양념숯불치킨, 스위트콘 통조림,
, 오이피클, 고추참치 통조림, 토마토 소스, 달걀, 양파, 청양고추, 밀가루, 소금, 후추, 레몬
, 
,</v>
      </c>
    </row>
    <row r="266">
      <c r="A266" s="2" t="str">
        <f>recipe!C266
</f>
        <v>등심빵빵</v>
      </c>
      <c r="B266" s="1" t="str">
        <f>IFERROR(__xludf.DUMMYFUNCTION("TRIM(
  SUBSTITUTE(
    REGEXEXTRACT(raw!A266, ""(?s)재료\s*(.*?)●\s*조리\s*방법""),
    CHAR(10), "", ""
  )
)
"),"등심, 식빵, 매실맛 후리카케, 석류알, 달걀, 버터, 다진 생강, 전분, 케첩, 양파, 레몬
, 
,")</f>
        <v>등심, 식빵, 매실맛 후리카케, 석류알, 달걀, 버터, 다진 생강, 전분, 케첩, 양파, 레몬
, 
,</v>
      </c>
    </row>
    <row r="267">
      <c r="A267" s="2" t="str">
        <f>recipe!C267
</f>
        <v>달콤하게 튀겼지우</v>
      </c>
      <c r="B267" s="1" t="str">
        <f>IFERROR(__xludf.DUMMYFUNCTION("TRIM(
  SUBSTITUTE(
    REGEXEXTRACT(raw!A267, ""(?s)재료\s*(.*?)●\s*조리\s*방법""),
    CHAR(10), "", ""
  )
)
"),"사과, 브리 치즈, 블루베리, 스파클링 사과주스, 믹스너츠, 과일맛 맥주, 설탕, 달걀, 밀가루
, 
,")</f>
        <v>사과, 브리 치즈, 블루베리, 스파클링 사과주스, 믹스너츠, 과일맛 맥주, 설탕, 달걀, 밀가루
, 
,</v>
      </c>
    </row>
    <row r="268">
      <c r="A268" s="2" t="str">
        <f>recipe!C268
</f>
        <v>여심전복</v>
      </c>
      <c r="B268" s="1" t="str">
        <f>IFERROR(__xludf.DUMMYFUNCTION("TRIM(
  SUBSTITUTE(
    REGEXEXTRACT(raw!A268, ""(?s)재료\s*(.*?)●\s*조리\s*방법""),
    CHAR(10), "", ""
  )
)
"),"전복, 올리브, 케이퍼, 하몬, 석류알, 영양부추, 망고맛 젤리, 배추, 올리브오일, 소금, 레몬
, 
,")</f>
        <v>전복, 올리브, 케이퍼, 하몬, 석류알, 영양부추, 망고맛 젤리, 배추, 올리브오일, 소금, 레몬
, 
,</v>
      </c>
    </row>
    <row r="269">
      <c r="A269" s="2" t="str">
        <f>recipe!C269
</f>
        <v>여식공략</v>
      </c>
      <c r="B269" s="1" t="str">
        <f>IFERROR(__xludf.DUMMYFUNCTION("TRIM(
  SUBSTITUTE(
    REGEXEXTRACT(raw!A269, ""(?s)재료\s*(.*?)●\s*조리\s*방법""),
    CHAR(10), "", ""
  )
)
"),"배추, 영양부추, 콜라비, 반건조 문어다리, 게맛살, 믹스너츠, 크림치즈, 아스파라거스,
, 두릅, 올리브, 아보카도, 발사믹 식초, 하몬, 올리브오일, 후추, 레몬, 소금
, 
,")</f>
        <v>배추, 영양부추, 콜라비, 반건조 문어다리, 게맛살, 믹스너츠, 크림치즈, 아스파라거스,
, 두릅, 올리브, 아보카도, 발사믹 식초, 하몬, 올리브오일, 후추, 레몬, 소금
, 
,</v>
      </c>
    </row>
    <row r="270">
      <c r="A270" s="2" t="str">
        <f>recipe!C270
</f>
        <v>최후의 소보로</v>
      </c>
      <c r="B270" s="1" t="str">
        <f>IFERROR(__xludf.DUMMYFUNCTION("TRIM(
  SUBSTITUTE(
    REGEXEXTRACT(raw!A270, ""(?s)재료\s*(.*?)●\s*조리\s*방법""),
    CHAR(10), "", ""
  )
)
"),"식빵, 잣, 우유, 달걀, 파인애플&amp;망고잼, 밀가루, 설탕, 버터, 소금
, 
,")</f>
        <v>식빵, 잣, 우유, 달걀, 파인애플&amp;망고잼, 밀가루, 설탕, 버터, 소금
, 
,</v>
      </c>
    </row>
    <row r="271">
      <c r="A271" s="2" t="str">
        <f>recipe!C271
</f>
        <v>봉주르마끼</v>
      </c>
      <c r="B271" s="1" t="str">
        <f>IFERROR(__xludf.DUMMYFUNCTION("TRIM(
  SUBSTITUTE(
    REGEXEXTRACT(raw!A271, ""(?s)재료\s*(.*?)●\s*조리\s*방법""),
    CHAR(10), "", ""
  )
)
"),"베이컨, 게맛살, 사과, 우유, 식빵, 달걀, 양파, 당근, 마요네즈, 버터, 설탕, 밀가루, 소금, 맛술
, 
,")</f>
        <v>베이컨, 게맛살, 사과, 우유, 식빵, 달걀, 양파, 당근, 마요네즈, 버터, 설탕, 밀가루, 소금, 맛술
, 
,</v>
      </c>
    </row>
    <row r="272">
      <c r="A272" s="2" t="str">
        <f>recipe!C272
</f>
        <v>어무이라이스</v>
      </c>
      <c r="B272" s="1" t="str">
        <f>IFERROR(__xludf.DUMMYFUNCTION("TRIM(
  SUBSTITUTE(
    REGEXEXTRACT(raw!A272, ""(?s)재료\s*(.*?)●\s*조리\s*방법""),
    CHAR(10), "", ""
  )
)
"),"베이컨, 차돌박이, 달걀, 마늘, 대파, 당근, 양파, 소금, 후추, 맛술,
, 간장, 식초, 전분, 고춧가루, 설탕, 올리브오일, 깨, 즉석밥
, 
,")</f>
        <v>베이컨, 차돌박이, 달걀, 마늘, 대파, 당근, 양파, 소금, 후추, 맛술,
, 간장, 식초, 전분, 고춧가루, 설탕, 올리브오일, 깨, 즉석밥
, 
,</v>
      </c>
    </row>
    <row r="273">
      <c r="A273" s="2" t="str">
        <f>recipe!C273
</f>
        <v>돼새찌개</v>
      </c>
      <c r="B273" s="1" t="str">
        <f>IFERROR(__xludf.DUMMYFUNCTION("TRIM(
  SUBSTITUTE(
    REGEXEXTRACT(raw!A273, ""(?s)재료\s*(.*?)●\s*조리\s*방법""),
    CHAR(10), "", ""
  )
)
"),"삼겹살, 새우젓, 목이버섯, 양파, 대파, 청양고추, 마늘, 다진 마늘, 고춧가루, 간장, 즉석밥
, 
,")</f>
        <v>삼겹살, 새우젓, 목이버섯, 양파, 대파, 청양고추, 마늘, 다진 마늘, 고춧가루, 간장, 즉석밥
, 
,</v>
      </c>
    </row>
    <row r="274">
      <c r="A274" s="2" t="str">
        <f>recipe!C274
</f>
        <v>못 먹어도 고! 등어</v>
      </c>
      <c r="B274" s="1" t="str">
        <f>IFERROR(__xludf.DUMMYFUNCTION("TRIM(
  SUBSTITUTE(
    REGEXEXTRACT(raw!A274, ""(?s)재료\s*(.*?)●\s*조리\s*방법""),
    CHAR(10), "", ""
  )
)
"),"고등어, 명란젓, 방울토마토, 코코넛 밀크, 우유, 양파,
, 화이트와인, 밀가루, 후추, 올리브오일, 소금, 버터
, 
,")</f>
        <v>고등어, 명란젓, 방울토마토, 코코넛 밀크, 우유, 양파,
, 화이트와인, 밀가루, 후추, 올리브오일, 소금, 버터
, 
,</v>
      </c>
    </row>
    <row r="275">
      <c r="A275" s="2" t="str">
        <f>recipe!C275
</f>
        <v>맛있을 고양</v>
      </c>
      <c r="B275" s="1" t="str">
        <f>IFERROR(__xludf.DUMMYFUNCTION("TRIM(
  SUBSTITUTE(
    REGEXEXTRACT(raw!A275, ""(?s)재료\s*(.*?)●\s*조리\s*방법""),
    CHAR(10), "", ""
  )
)
"),"고등어, 고형카레, 우유, 달걀, 맥주, 밀가루, 전분, 라면스프, 맛술, 버터, 밀가루, 레몬
, 
,")</f>
        <v>고등어, 고형카레, 우유, 달걀, 맥주, 밀가루, 전분, 라면스프, 맛술, 버터, 밀가루, 레몬
, 
,</v>
      </c>
    </row>
    <row r="276">
      <c r="A276" s="2" t="str">
        <f>recipe!C276
</f>
        <v>싹쓸이 팬</v>
      </c>
      <c r="B276" s="1" t="str">
        <f>IFERROR(__xludf.DUMMYFUNCTION("TRIM(
  SUBSTITUTE(
    REGEXEXTRACT(raw!A276, ""(?s)재료\s*(.*?)●\s*조리\s*방법""),
    CHAR(10), "", ""
  )
)
"),"방울토마토, 페타 치즈, 달걀, 양파, 풋고추, 후추
, 
,")</f>
        <v>방울토마토, 페타 치즈, 달걀, 양파, 풋고추, 후추
, 
,</v>
      </c>
    </row>
    <row r="277">
      <c r="A277" s="2" t="str">
        <f>recipe!C277
</f>
        <v>설레기 없수</v>
      </c>
      <c r="B277" s="1" t="str">
        <f>IFERROR(__xludf.DUMMYFUNCTION("TRIM(
  SUBSTITUTE(
    REGEXEXTRACT(raw!A277, ""(?s)재료\s*(.*?)●\s*조리\s*방법""),
    CHAR(10), "", ""
  )
)
"),"고형카레, 훈제 닭가슴살, 코코넛 밀크, 말린 바나나,
, 아이스 망고바, 아이스 파인애플바, 육포, 버터, 소금, 후추
, 
,")</f>
        <v>고형카레, 훈제 닭가슴살, 코코넛 밀크, 말린 바나나,
, 아이스 망고바, 아이스 파인애플바, 육포, 버터, 소금, 후추
, 
,</v>
      </c>
    </row>
    <row r="278">
      <c r="A278" s="2" t="str">
        <f>recipe!C278
</f>
        <v>쌈싸시지</v>
      </c>
      <c r="B278" s="1" t="str">
        <f>IFERROR(__xludf.DUMMYFUNCTION("TRIM(
  SUBSTITUTE(
    REGEXEXTRACT(raw!A278, ""(?s)재료\s*(.*?)●\s*조리\s*방법""),
    CHAR(10), "", ""
  )
)
"),"어육소시지, 소고기 등심, 매실맛 술, 땅콩버터, 달걀, 청양고추,
, 양파, 당근, 대파, 마늘, 밀가루, 소금, 식용유, 전분, 간장, 후추
, 
,")</f>
        <v>어육소시지, 소고기 등심, 매실맛 술, 땅콩버터, 달걀, 청양고추,
, 양파, 당근, 대파, 마늘, 밀가루, 소금, 식용유, 전분, 간장, 후추
, 
,</v>
      </c>
    </row>
    <row r="279">
      <c r="A279" s="2" t="str">
        <f>recipe!C279
</f>
        <v>살몬의 지혜</v>
      </c>
      <c r="B279" s="1" t="str">
        <f>IFERROR(__xludf.DUMMYFUNCTION("TRIM(
  SUBSTITUTE(
    REGEXEXTRACT(raw!A279, ""(?s)재료\s*(.*?)●\s*조리\s*방법""),
    CHAR(10), "", ""
  )
)
"),"연어 통조림, 훈제닭가슴살소시지, 베이컨, 크루아상, 사과맛 음용식초,
, 아로니아액, 달걀, 양파, 대파, 소금, 후추, 마요네즈, 전분
, 
,")</f>
        <v>연어 통조림, 훈제닭가슴살소시지, 베이컨, 크루아상, 사과맛 음용식초,
, 아로니아액, 달걀, 양파, 대파, 소금, 후추, 마요네즈, 전분
, 
,</v>
      </c>
    </row>
    <row r="280">
      <c r="A280" s="2" t="str">
        <f>recipe!C280
</f>
        <v>알콜달콤</v>
      </c>
      <c r="B280" s="1" t="str">
        <f>IFERROR(__xludf.DUMMYFUNCTION("TRIM(
  SUBSTITUTE(
    REGEXEXTRACT(raw!A280, ""(?s)재료\s*(.*?)●\s*조리\s*방법""),
    CHAR(10), "", ""
  )
)
"),"복숭아맛 술, 딸기맛 술, 레몬맛 술, 크루아상, 딸기 초콜릿 과자, 달걀, 설탕, 레몬, 버터
, 
,")</f>
        <v>복숭아맛 술, 딸기맛 술, 레몬맛 술, 크루아상, 딸기 초콜릿 과자, 달걀, 설탕, 레몬, 버터
, 
,</v>
      </c>
    </row>
    <row r="281">
      <c r="A281" s="2" t="str">
        <f>recipe!C281
</f>
        <v>우동 노 미</v>
      </c>
      <c r="B281" s="1" t="str">
        <f>IFERROR(__xludf.DUMMYFUNCTION("TRIM(
  SUBSTITUTE(
    REGEXEXTRACT(raw!A281, ""(?s)재료\s*(.*?)●\s*조리\s*방법""),
    CHAR(10), "", ""
  )
)
"),"콜라, 불고기용 소고기, 인스턴트 우동, 달걀, 양파, 대파, 당근, 청양고추, 맛술, 간장, 설탕
, 
,")</f>
        <v>콜라, 불고기용 소고기, 인스턴트 우동, 달걀, 양파, 대파, 당근, 청양고추, 맛술, 간장, 설탕
, 
,</v>
      </c>
    </row>
    <row r="282">
      <c r="A282" s="2" t="str">
        <f>recipe!C282
</f>
        <v>천하젤면</v>
      </c>
      <c r="B282" s="1" t="str">
        <f>IFERROR(__xludf.DUMMYFUNCTION("TRIM(
  SUBSTITUTE(
    REGEXEXTRACT(raw!A282, ""(?s)재료\s*(.*?)●\s*조리\s*방법""),
    CHAR(10), "", ""
  )
)
"),"돼지목살, 애호박, 아스파라거스, 샐러리, 굴소스, 밀가루, 옥수수전분, 감자전분,
, 소금, 양파, 당근, 대파, 마늘, 고춧가루, 청양고추, 간장, 맛술, 참기름
, 
,")</f>
        <v>돼지목살, 애호박, 아스파라거스, 샐러리, 굴소스, 밀가루, 옥수수전분, 감자전분,
, 소금, 양파, 당근, 대파, 마늘, 고춧가루, 청양고추, 간장, 맛술, 참기름
, 
,</v>
      </c>
    </row>
    <row r="283">
      <c r="A283" s="2" t="str">
        <f>recipe!C283
</f>
        <v>젤 맛있돔</v>
      </c>
      <c r="B283" s="1" t="str">
        <f>IFERROR(__xludf.DUMMYFUNCTION("TRIM(
  SUBSTITUTE(
    REGEXEXTRACT(raw!A283, ""(?s)재료\s*(.*?)●\s*조리\s*방법""),
    CHAR(10), "", ""
  )
)
"),"코코넛워터, 방울토마토, 사과주스, 방울양배추, 라임, 달래, 인스턴트 새우딤섬,
, 아보카도, 판 젤라틴, 간장, 마요네즈, 후추, 소금, 올리브오일
, 
,")</f>
        <v>코코넛워터, 방울토마토, 사과주스, 방울양배추, 라임, 달래, 인스턴트 새우딤섬,
, 아보카도, 판 젤라틴, 간장, 마요네즈, 후추, 소금, 올리브오일
, 
,</v>
      </c>
    </row>
    <row r="284">
      <c r="A284" s="2" t="str">
        <f>recipe!C284
</f>
        <v>컵있슈</v>
      </c>
      <c r="B284" s="1" t="str">
        <f>IFERROR(__xludf.DUMMYFUNCTION("TRIM(
  SUBSTITUTE(
    REGEXEXTRACT(raw!A284, ""(?s)재료\s*(.*?)●\s*조리\s*방법""),
    CHAR(10), "", ""
  )
)
"),"달걀, 우유, 두유, 파르메산 치즈, 핫초코 분말, 열대과일 통조림, 파인애플 병조림,
, 망고, 소프트 아이스크림, 젤리, 체리, 버터, 설탕, 밀가루
, 
,")</f>
        <v>달걀, 우유, 두유, 파르메산 치즈, 핫초코 분말, 열대과일 통조림, 파인애플 병조림,
, 망고, 소프트 아이스크림, 젤리, 체리, 버터, 설탕, 밀가루
, 
,</v>
      </c>
    </row>
    <row r="285">
      <c r="A285" s="2" t="str">
        <f>recipe!C285
</f>
        <v>버블버블버블밥!</v>
      </c>
      <c r="B285" s="1" t="str">
        <f>IFERROR(__xludf.DUMMYFUNCTION("TRIM(
  SUBSTITUTE(
    REGEXEXTRACT(raw!A285, ""(?s)재료\s*(.*?)●\s*조리\s*방법""),
    CHAR(10), "", ""
  )
)
"),"삶은 옥수수, 아스파라거스, 파인애플, 인스턴트 깍두기 볶음밥, 달걀,
, 방울토마토, 파르메산 치즈, 양파, 청양고추, 케첩, 설탕, 밀가루, 버터
, 
,")</f>
        <v>삶은 옥수수, 아스파라거스, 파인애플, 인스턴트 깍두기 볶음밥, 달걀,
, 방울토마토, 파르메산 치즈, 양파, 청양고추, 케첩, 설탕, 밀가루, 버터
, 
,</v>
      </c>
    </row>
    <row r="286">
      <c r="A286" s="2" t="str">
        <f>recipe!C286
</f>
        <v>어머님이 샘이니</v>
      </c>
      <c r="B286" s="1" t="str">
        <f>IFERROR(__xludf.DUMMYFUNCTION("TRIM(
  SUBSTITUTE(
    REGEXEXTRACT(raw!A286, ""(?s)재료\s*(.*?)●\s*조리\s*방법""),
    CHAR(10), "", ""
  )
)
"),"감자, 양송이버섯, 대하, 크림치즈, 달걀, 샐러드 채소, 발사믹 드레싱,
, 청포도, 소금, 레몬, 후추, 버터, 올리브오일
, 
,")</f>
        <v>감자, 양송이버섯, 대하, 크림치즈, 달걀, 샐러드 채소, 발사믹 드레싱,
, 청포도, 소금, 레몬, 후추, 버터, 올리브오일
, 
,</v>
      </c>
    </row>
    <row r="287">
      <c r="A287" s="2" t="str">
        <f>recipe!C287
</f>
        <v>버섯닭</v>
      </c>
      <c r="B287" s="1" t="str">
        <f>IFERROR(__xludf.DUMMYFUNCTION("TRIM(
  SUBSTITUTE(
    REGEXEXTRACT(raw!A287, ""(?s)재료\s*(.*?)●\s*조리\s*방법""),
    CHAR(10), "", ""
  )
)
"),"파프리카, 새송이버섯, 데친 콩나물, 닭가슴살 치킨, 굴소스, 조미료
, 양파, 대파, 청양고추, 고춧가루, 다진 마늘, 즉석밥, 간장, 소금, 후추, 참기름, 깨
, 
,")</f>
        <v>파프리카, 새송이버섯, 데친 콩나물, 닭가슴살 치킨, 굴소스, 조미료
, 양파, 대파, 청양고추, 고춧가루, 다진 마늘, 즉석밥, 간장, 소금, 후추, 참기름, 깨
, 
,</v>
      </c>
    </row>
    <row r="288">
      <c r="A288" s="2" t="str">
        <f>recipe!C288
</f>
        <v>기절초(코)풍</v>
      </c>
      <c r="B288" s="1" t="str">
        <f>IFERROR(__xludf.DUMMYFUNCTION("TRIM(
  SUBSTITUTE(
    REGEXEXTRACT(raw!A288, ""(?s)재료\s*(.*?)●\s*조리\s*방법""),
    CHAR(10), "", ""
  )
)
"),"우유, 달걀, 크림치즈, 핫초코 분말, 슬라이스 치즈, 딸기, 청포도, 설탕, 버터, 밀가루
, 
,")</f>
        <v>우유, 달걀, 크림치즈, 핫초코 분말, 슬라이스 치즈, 딸기, 청포도, 설탕, 버터, 밀가루
, 
,</v>
      </c>
    </row>
    <row r="289">
      <c r="A289" s="2" t="str">
        <f>recipe!C289
</f>
        <v>부티 귀티 싼티</v>
      </c>
      <c r="B289" s="1" t="str">
        <f>IFERROR(__xludf.DUMMYFUNCTION("TRIM(
  SUBSTITUTE(
    REGEXEXTRACT(raw!A289, ""(?s)재료\s*(.*?)●\s*조리\s*방법""),
    CHAR(10), "", ""
  )
)
"),"미트볼, 토마토소스, 감자, 애호박, 달걀, 피망, 슬라이스 치즈,
, 당근, 양파, 설탕, 후추, 소금, 전분, 밀가루
, 
,")</f>
        <v>미트볼, 토마토소스, 감자, 애호박, 달걀, 피망, 슬라이스 치즈,
, 당근, 양파, 설탕, 후추, 소금, 전분, 밀가루
, 
,</v>
      </c>
    </row>
    <row r="290">
      <c r="A290" s="2" t="str">
        <f>recipe!C290
</f>
        <v>만두가 머랭?</v>
      </c>
      <c r="B290" s="1" t="str">
        <f>IFERROR(__xludf.DUMMYFUNCTION("TRIM(
  SUBSTITUTE(
    REGEXEXTRACT(raw!A290, ""(?s)재료\s*(.*?)●\s*조리\s*방법""),
    CHAR(10), "", ""
  )
)
"),"달걀, 게맛살, 인스턴트 소고기무국, 대파, 후추, 전분
, 
,")</f>
        <v>달걀, 게맛살, 인스턴트 소고기무국, 대파, 후추, 전분
, 
,</v>
      </c>
    </row>
    <row r="291">
      <c r="A291" s="2" t="str">
        <f>recipe!C291
</f>
        <v>계이득</v>
      </c>
      <c r="B291" s="1" t="str">
        <f>IFERROR(__xludf.DUMMYFUNCTION("TRIM(
  SUBSTITUTE(
    REGEXEXTRACT(raw!A291, ""(?s)재료\s*(.*?)●\s*조리\s*방법""),
    CHAR(10), "", ""
  )
)
"),"달걀, 찜갈비용 소고기, 알배추, 인스턴트 사골곰탕, 마늘, 대파,
, 소금, 간장, 설탕, 밀가루, 참기름, 전분, 후추
, 
,")</f>
        <v>달걀, 찜갈비용 소고기, 알배추, 인스턴트 사골곰탕, 마늘, 대파,
, 소금, 간장, 설탕, 밀가루, 참기름, 전분, 후추
, 
,</v>
      </c>
    </row>
    <row r="292">
      <c r="A292" s="2" t="str">
        <f>recipe!C292
</f>
        <v>김흥국</v>
      </c>
      <c r="B292" s="1" t="str">
        <f>IFERROR(__xludf.DUMMYFUNCTION("TRIM(
  SUBSTITUTE(
    REGEXEXTRACT(raw!A292, ""(?s)재료\s*(.*?)●\s*조리\s*방법""),
    CHAR(10), "", ""
  )
)
"),"인스턴트 사골곰탕, 인스턴트 설렁탕, 찜갈비용 소고기, 대하, 달걀, 알배추,
, 굴소스, 우동면, 대파, 마늘, 양파, 청양고추, 간장, 청주, 굴소스, 전분
, 
,")</f>
        <v>인스턴트 사골곰탕, 인스턴트 설렁탕, 찜갈비용 소고기, 대하, 달걀, 알배추,
, 굴소스, 우동면, 대파, 마늘, 양파, 청양고추, 간장, 청주, 굴소스, 전분
, 
,</v>
      </c>
    </row>
    <row r="293">
      <c r="A293" s="2" t="str">
        <f>recipe!C293
</f>
        <v>앗싸~ 호랑나베!</v>
      </c>
      <c r="B293" s="1" t="str">
        <f>IFERROR(__xludf.DUMMYFUNCTION("TRIM(
  SUBSTITUTE(
    REGEXEXTRACT(raw!A293, ""(?s)재료\s*(.*?)●\s*조리\s*방법""),
    CHAR(10), "", ""
  )
)
"),"찜갈비용 소고기, 무, 알배추, 대하, 달걀, 마른 멸치, 대파,
, 마늘, 양파, 전분, 맛술, 간장, 다진 마늘, 소금
, 
,")</f>
        <v>찜갈비용 소고기, 무, 알배추, 대하, 달걀, 마른 멸치, 대파,
, 마늘, 양파, 전분, 맛술, 간장, 다진 마늘, 소금
, 
,</v>
      </c>
    </row>
    <row r="294">
      <c r="A294" s="2" t="str">
        <f>recipe!C294
</f>
        <v>오필승 파에야</v>
      </c>
      <c r="B294" s="1" t="str">
        <f>IFERROR(__xludf.DUMMYFUNCTION("TRIM(
  SUBSTITUTE(
    REGEXEXTRACT(raw!A294, ""(?s)재료\s*(.*?)●\s*조리\s*방법""),
    CHAR(10), "", ""
  )
)
"),"바지락, 모시조개, 굴, 낙지, 대하, 새우살, 문어, 전복, 강황가루, 토마토주스,
, 그린올리브, 블랙올리브, 마늘, 소금, 후추, 화이트와인, 즉석밥, 올리브오일
, 
,")</f>
        <v>바지락, 모시조개, 굴, 낙지, 대하, 새우살, 문어, 전복, 강황가루, 토마토주스,
, 그린올리브, 블랙올리브, 마늘, 소금, 후추, 화이트와인, 즉석밥, 올리브오일
, 
,</v>
      </c>
    </row>
    <row r="295">
      <c r="A295" s="2" t="str">
        <f>recipe!C295
</f>
        <v>레알 만두리드</v>
      </c>
      <c r="B295" s="1" t="str">
        <f>IFERROR(__xludf.DUMMYFUNCTION("TRIM(
  SUBSTITUTE(
    REGEXEXTRACT(raw!A295, ""(?s)재료\s*(.*?)●\s*조리\s*방법""),
    CHAR(10), "", ""
  )
)
"),"살치살, 돼지고기, 달걀, 파프리카, 그린올리브, 블랙올리브, 우유,
, 토마토주스, 달래, 플레인요거트, 양파, 마늘, 소금, 후추, 밀가루, 올리브오일
, 
,")</f>
        <v>살치살, 돼지고기, 달걀, 파프리카, 그린올리브, 블랙올리브, 우유,
, 토마토주스, 달래, 플레인요거트, 양파, 마늘, 소금, 후추, 밀가루, 올리브오일
, 
,</v>
      </c>
    </row>
    <row r="296">
      <c r="A296" s="2" t="str">
        <f>recipe!C296
</f>
        <v>아따~ 조기찜 맛있다잉!</v>
      </c>
      <c r="B296" s="1" t="str">
        <f>IFERROR(__xludf.DUMMYFUNCTION("TRIM(
  SUBSTITUTE(
    REGEXEXTRACT(raw!A296, ""(?s)재료\s*(.*?)●\s*조리\s*방법""),
    CHAR(10), "", ""
  )
)
"),"조기, 설탕에 잰 마늘, 달래무침, 매실액, 청고추, 홍고추, 콜리플라워, 방울양배추, 파프리카,
, 아스파라거스, 달래, 태국간장, 간장, 참기름, 깨, 대파, 즉석밥, 청주, 소금, 후추, 레몬,
, 마늘, 올리브오일, 식초
, 
,")</f>
        <v>조기, 설탕에 잰 마늘, 달래무침, 매실액, 청고추, 홍고추, 콜리플라워, 방울양배추, 파프리카,
, 아스파라거스, 달래, 태국간장, 간장, 참기름, 깨, 대파, 즉석밥, 청주, 소금, 후추, 레몬,
, 마늘, 올리브오일, 식초
, 
,</v>
      </c>
    </row>
    <row r="297">
      <c r="A297" s="2" t="str">
        <f>recipe!C297
</f>
        <v>민어는 축구선수를 좋아해</v>
      </c>
      <c r="B297" s="1" t="str">
        <f>IFERROR(__xludf.DUMMYFUNCTION("TRIM(
  SUBSTITUTE(
    REGEXEXTRACT(raw!A297, ""(?s)재료\s*(.*?)●\s*조리\s*방법""),
    CHAR(10), "", ""
  )
)
"),"반건조민어, 낙지, 묵은지, 사골국, 파래무침, 새우젓, 인스턴트 곤드레나물밥, 냉이,
, 달래무침, 설탕에 잰 마늘, 대파, 고춧가루, 설탕, 버터, 올리브오일, 참기름
, 
,")</f>
        <v>반건조민어, 낙지, 묵은지, 사골국, 파래무침, 새우젓, 인스턴트 곤드레나물밥, 냉이,
, 달래무침, 설탕에 잰 마늘, 대파, 고춧가루, 설탕, 버터, 올리브오일, 참기름
, 
,</v>
      </c>
    </row>
    <row r="298">
      <c r="A298" s="2" t="str">
        <f>recipe!C298
</f>
        <v>다 털었Show!</v>
      </c>
      <c r="B298" s="1" t="str">
        <f>IFERROR(__xludf.DUMMYFUNCTION("TRIM(
  SUBSTITUTE(
    REGEXEXTRACT(raw!A298, ""(?s)재료\s*(.*?)●\s*조리\s*방법""),
    CHAR(10), "", ""
  )
)
"),"참치 통조림, 달걀, 식빵, 양상추, 채 썬 양파, 파프리카, 호두 드레싱, 멸치볶음, 마카다미아,
, 금귤, 딸기, 바나나맛 우유, 마누카 꿀, 양파, 소금, 전분, 후추, 버터, 올리브오일, 레몬즙,
, 
,")</f>
        <v>참치 통조림, 달걀, 식빵, 양상추, 채 썬 양파, 파프리카, 호두 드레싱, 멸치볶음, 마카다미아,
, 금귤, 딸기, 바나나맛 우유, 마누카 꿀, 양파, 소금, 전분, 후추, 버터, 올리브오일, 레몬즙,
, 
,</v>
      </c>
    </row>
    <row r="299">
      <c r="A299" s="2" t="str">
        <f>recipe!C299
</f>
        <v>떡.고.치</v>
      </c>
      <c r="B299" s="1" t="str">
        <f>IFERROR(__xludf.DUMMYFUNCTION("TRIM(
  SUBSTITUTE(
    REGEXEXTRACT(raw!A299, ""(?s)재료\s*(.*?)●\s*조리\s*방법""),
    CHAR(10), "", ""
  )
)
"),"참치 통조림, 야채참치 통조림, 떡볶이 떡, 식빵, 달걀, 파프리카, 마늘, 대파,
, 소금, 후추, 마요네즈, 고추장, 물엿, 맛술, 고춧가루, 간장, 청주, 참기름, 깨
, 
,")</f>
        <v>참치 통조림, 야채참치 통조림, 떡볶이 떡, 식빵, 달걀, 파프리카, 마늘, 대파,
, 소금, 후추, 마요네즈, 고추장, 물엿, 맛술, 고춧가루, 간장, 청주, 참기름, 깨
, 
,</v>
      </c>
    </row>
    <row r="300">
      <c r="A300" s="2" t="str">
        <f>recipe!C300
</f>
        <v>파니니 안파니</v>
      </c>
      <c r="B300" s="1" t="str">
        <f>IFERROR(__xludf.DUMMYFUNCTION("TRIM(
  SUBSTITUTE(
    REGEXEXTRACT(raw!A300, ""(?s)재료\s*(.*?)●\s*조리\s*방법""),
    CHAR(10), "", ""
  )
)
"),"뜯어먹는 식빵, 장조림 통조림, 맛밤, 금귤, 참치 통조림,
, 양상추, 당근, 양파, 밀가루, 소금, 후추, 마요네즈,
, 
,")</f>
        <v>뜯어먹는 식빵, 장조림 통조림, 맛밤, 금귤, 참치 통조림,
, 양상추, 당근, 양파, 밀가루, 소금, 후추, 마요네즈,
, 
,</v>
      </c>
    </row>
    <row r="301">
      <c r="A301" s="2" t="str">
        <f>recipe!C301
</f>
        <v>검사외조</v>
      </c>
      <c r="B301" s="1" t="str">
        <f>IFERROR(__xludf.DUMMYFUNCTION("TRIM(
  SUBSTITUTE(
    REGEXEXTRACT(raw!A301, ""(?s)재료\s*(.*?)●\s*조리\s*방법""),
    CHAR(10), "", ""
  )
)
"),"달걀, 식빵, 슈크림빵, 장조림 통조림, 멸치볶음, 딸기, 마카롱,
, 마카다미아, 핫소스, 바나나맛 우유, 버터, 케첩
, 
,")</f>
        <v>달걀, 식빵, 슈크림빵, 장조림 통조림, 멸치볶음, 딸기, 마카롱,
, 마카다미아, 핫소스, 바나나맛 우유, 버터, 케첩
, 
,</v>
      </c>
    </row>
    <row r="302">
      <c r="A302" s="2" t="str">
        <f>recipe!C302
</f>
        <v>샤부의 샐러드</v>
      </c>
      <c r="B302" s="1" t="str">
        <f>IFERROR(__xludf.DUMMYFUNCTION("TRIM(
  SUBSTITUTE(
    REGEXEXTRACT(raw!A302, ""(?s)재료\s*(.*?)●\s*조리\s*방법""),
    CHAR(10), "", ""
  )
)
"),"솜땀 파우더, 가쓰오간장, 매운 참깨소스, 명란젓, 샤부샤부용 소고기, 애호박,
, 스노우크랩, 상추, 삶은 죽순, 성게알 통조림, 달걀, 레몬, 양파, 고추, 전분
, 
,")</f>
        <v>솜땀 파우더, 가쓰오간장, 매운 참깨소스, 명란젓, 샤부샤부용 소고기, 애호박,
, 스노우크랩, 상추, 삶은 죽순, 성게알 통조림, 달걀, 레몬, 양파, 고추, 전분
, 
,</v>
      </c>
    </row>
    <row r="303">
      <c r="A303" s="2" t="str">
        <f>recipe!C303
</f>
        <v>연어를 찾아~ 사바</v>
      </c>
      <c r="B303" s="1" t="str">
        <f>IFERROR(__xludf.DUMMYFUNCTION("TRIM(
  SUBSTITUTE(
    REGEXEXTRACT(raw!A303, ""(?s)재료\s*(.*?)●\s*조리\s*방법""),
    CHAR(10), "", ""
  )
)
"),"애호박, 연어머리, 팟타이소스, 건새우, 달걀, 양파, 대파, 마늘, 레몬, 소금, 후추, 밀가루
, 
,")</f>
        <v>애호박, 연어머리, 팟타이소스, 건새우, 달걀, 양파, 대파, 마늘, 레몬, 소금, 후추, 밀가루
, 
,</v>
      </c>
    </row>
    <row r="304">
      <c r="A304" s="2" t="str">
        <f>recipe!C304
</f>
        <v>사와디캡 누들</v>
      </c>
      <c r="B304" s="1" t="str">
        <f>IFERROR(__xludf.DUMMYFUNCTION("TRIM(
  SUBSTITUTE(
    REGEXEXTRACT(raw!A304, ""(?s)재료\s*(.*?)●\s*조리\s*방법""),
    CHAR(10), "", ""
  )
)
"),"솜땀 파우더, 매실액, 건새우, 페페론치노, 우메보시, 바나나, 꾸지뽕, 흑설탕, 토마토소스, 삼겹살,
, 커피가루, 비빔라면, 상추, 오렌지, 블루베리, 해바라기씨, 레몬, 대파, 고추, 양파,마늘, 된장
, 
,")</f>
        <v>솜땀 파우더, 매실액, 건새우, 페페론치노, 우메보시, 바나나, 꾸지뽕, 흑설탕, 토마토소스, 삼겹살,
, 커피가루, 비빔라면, 상추, 오렌지, 블루베리, 해바라기씨, 레몬, 대파, 고추, 양파,마늘, 된장
, 
,</v>
      </c>
    </row>
    <row r="305">
      <c r="A305" s="2" t="str">
        <f>recipe!C305
</f>
        <v>두부딥두부딥</v>
      </c>
      <c r="B305" s="1" t="str">
        <f>IFERROR(__xludf.DUMMYFUNCTION("TRIM(
  SUBSTITUTE(
    REGEXEXTRACT(raw!A305, ""(?s)재료\s*(.*?)●\s*조리\s*방법""),
    CHAR(10), "", ""
  )
)
"),"연두부, 삼겹살, 가쓰오간장, 건새우, 대파, 마늘, 고추, 소금, 식초, 고춧가루, 전분
, 
,")</f>
        <v>연두부, 삼겹살, 가쓰오간장, 건새우, 대파, 마늘, 고추, 소금, 식초, 고춧가루, 전분
, 
,</v>
      </c>
    </row>
    <row r="306">
      <c r="A306" s="2" t="str">
        <f>recipe!C306
</f>
        <v>효도르</v>
      </c>
      <c r="B306" s="1" t="str">
        <f>IFERROR(__xludf.DUMMYFUNCTION("TRIM(
  SUBSTITUTE(
    REGEXEXTRACT(raw!A306, ""(?s)재료\s*(.*?)●\s*조리\s*방법""),
    CHAR(10), "", ""
  )
)
"),"동태, 대합살, 두부, 애호박, 무, 표고버섯, 홍고추, 달걀, 오코노미야키소스,
, 삼발소스, 당근, 소금, 다진 생강, 식초, 청양고추
, 
,")</f>
        <v>동태, 대합살, 두부, 애호박, 무, 표고버섯, 홍고추, 달걀, 오코노미야키소스,
, 삼발소스, 당근, 소금, 다진 생강, 식초, 청양고추
, 
,</v>
      </c>
    </row>
    <row r="307">
      <c r="A307" s="2" t="str">
        <f>recipe!C307
</f>
        <v>아브라카부라무시</v>
      </c>
      <c r="B307" s="1" t="str">
        <f>IFERROR(__xludf.DUMMYFUNCTION("TRIM(
  SUBSTITUTE(
    REGEXEXTRACT(raw!A307, ""(?s)재료\s*(.*?)●\s*조리\s*방법""),
    CHAR(10), "", ""
  )
)
"),"대구살, 무, 목이버섯, 달걀, 표고버섯, 피망, 북어포, 청주,
, 소금, 대파, 소금, 맛술, 간장, 전분, 레몬
, 
,")</f>
        <v>대구살, 무, 목이버섯, 달걀, 표고버섯, 피망, 북어포, 청주,
, 소금, 대파, 소금, 맛술, 간장, 전분, 레몬
, 
,</v>
      </c>
    </row>
    <row r="308">
      <c r="A308" s="2" t="str">
        <f>recipe!C308
</f>
        <v>이 만두는 모닝?</v>
      </c>
      <c r="B308" s="1" t="str">
        <f>IFERROR(__xludf.DUMMYFUNCTION("TRIM(
  SUBSTITUTE(
    REGEXEXTRACT(raw!A308, ""(?s)재료\s*(.*?)●\s*조리\s*방법""),
    CHAR(10), "", ""
  )
)
"),"농어, 샐러리, 표고버섯, 크림치즈, 달걀, 파프리카, 양파,
, 당근, 대파, 마늘, 화이트와인, 밀가루, 소금
, 
,")</f>
        <v>농어, 샐러리, 표고버섯, 크림치즈, 달걀, 파프리카, 양파,
, 당근, 대파, 마늘, 화이트와인, 밀가루, 소금
, 
,</v>
      </c>
    </row>
    <row r="309">
      <c r="A309" s="2" t="str">
        <f>recipe!C309
</f>
        <v>사랑하지롤♡</v>
      </c>
      <c r="B309" s="1" t="str">
        <f>IFERROR(__xludf.DUMMYFUNCTION("TRIM(
  SUBSTITUTE(
    REGEXEXTRACT(raw!A309, ""(?s)재료\s*(.*?)●\s*조리\s*방법""),
    CHAR(10), "", ""
  )
)
"),"훈제연어, 애호박, 브로콜리, 크림치즈, 달걀, 케이퍼, 머스터드,
, 소금, 후추, 식초, 올리브오일, 밀가루
, 
,")</f>
        <v>훈제연어, 애호박, 브로콜리, 크림치즈, 달걀, 케이퍼, 머스터드,
, 소금, 후추, 식초, 올리브오일, 밀가루
, 
,</v>
      </c>
    </row>
    <row r="310">
      <c r="A310" s="2" t="str">
        <f>recipe!C310
</f>
        <v>샐러드 바이블</v>
      </c>
      <c r="B310" s="1" t="str">
        <f>IFERROR(__xludf.DUMMYFUNCTION("TRIM(
  SUBSTITUTE(
    REGEXEXTRACT(raw!A310, ""(?s)재료\s*(.*?)●\s*조리\s*방법""),
    CHAR(10), "", ""
  )
)
"),"아랍염소치즈, 생모차렐라치즈, 딸기, 청포도, 방울토마토, 레몬, 이탈리안 파슬리, 루콜라, 바질,
, 휘핑크림, 마누카 꿀, 트러플 페스토, 발사믹크림, 올리브오일, 홍차잼, 전분, 퓨어 올리브오일,
, 양파, 마늘, 소금
, 
,")</f>
        <v>아랍염소치즈, 생모차렐라치즈, 딸기, 청포도, 방울토마토, 레몬, 이탈리안 파슬리, 루콜라, 바질,
, 휘핑크림, 마누카 꿀, 트러플 페스토, 발사믹크림, 올리브오일, 홍차잼, 전분, 퓨어 올리브오일,
, 양파, 마늘, 소금
, 
,</v>
      </c>
    </row>
    <row r="311">
      <c r="A311" s="2" t="str">
        <f>recipe!C311
</f>
        <v>풍미풍미풍미 업</v>
      </c>
      <c r="B311" s="1" t="str">
        <f>IFERROR(__xludf.DUMMYFUNCTION("TRIM(
  SUBSTITUTE(
    REGEXEXTRACT(raw!A311, ""(?s)재료\s*(.*?)●\s*조리\s*방법""),
    CHAR(10), "", ""
  )
)
"),"글루텐프리 파스타면, 인스턴트 카레가루, 삼겹살, 등심 햄, 스위트콘 통조림, 휘핑크림, 바질,
, 통후추, 치킨스톡, 마늘, 다진 마늘, 양파, 버터, 후추, 고춧가루, 간장
, 
,")</f>
        <v>글루텐프리 파스타면, 인스턴트 카레가루, 삼겹살, 등심 햄, 스위트콘 통조림, 휘핑크림, 바질,
, 통후추, 치킨스톡, 마늘, 다진 마늘, 양파, 버터, 후추, 고춧가루, 간장
, 
,</v>
      </c>
    </row>
    <row r="312">
      <c r="A312" s="2" t="str">
        <f>recipe!C312
</f>
        <v>채끝 인 더 대파</v>
      </c>
      <c r="B312" s="1" t="str">
        <f>IFERROR(__xludf.DUMMYFUNCTION("TRIM(
  SUBSTITUTE(
    REGEXEXTRACT(raw!A312, ""(?s)재료\s*(.*?)●\s*조리\s*방법""),
    CHAR(10), "", ""
  )
)
"),"채끝등심, 이탈리안 파슬리, 트러플 페스토, 발사믹크림, 휘핑크림, 우유,
, 올리브오일, 마누카 꿀, 양파, 대파, 버터, 즉석밥, 통후추, 소금, 후추, 마늘
, 
,")</f>
        <v>채끝등심, 이탈리안 파슬리, 트러플 페스토, 발사믹크림, 휘핑크림, 우유,
, 올리브오일, 마누카 꿀, 양파, 대파, 버터, 즉석밥, 통후추, 소금, 후추, 마늘
, 
,</v>
      </c>
    </row>
    <row r="313">
      <c r="A313" s="2" t="str">
        <f>recipe!C313
</f>
        <v>퐁네프의 연어들</v>
      </c>
      <c r="B313" s="1" t="str">
        <f>IFERROR(__xludf.DUMMYFUNCTION("TRIM(
  SUBSTITUTE(
    REGEXEXTRACT(raw!A313, ""(?s)재료\s*(.*?)●\s*조리\s*방법""),
    CHAR(10), "", ""
  )
)
"),"연어, 새우, 레드향, 석류알, 손질한 딸기, 아랍염소치즈, 루콜라, 이탈리안 파슬리,
, 올리브오일, 휘핑크림, 우유, 레몬, 소금, 후추, 설탕, 다진 마늘, 대파,
, 
,")</f>
        <v>연어, 새우, 레드향, 석류알, 손질한 딸기, 아랍염소치즈, 루콜라, 이탈리안 파슬리,
, 올리브오일, 휘핑크림, 우유, 레몬, 소금, 후추, 설탕, 다진 마늘, 대파,
, 
,</v>
      </c>
    </row>
    <row r="314">
      <c r="A314" s="2" t="str">
        <f>recipe!C314
</f>
        <v>아뵤~카도</v>
      </c>
      <c r="B314" s="1" t="str">
        <f>IFERROR(__xludf.DUMMYFUNCTION("TRIM(
  SUBSTITUTE(
    REGEXEXTRACT(raw!A314, ""(?s)재료\s*(.*?)●\s*조리\s*방법""),
    CHAR(10), "", ""
  )
)
"),"연어, 토마토, 블루베리, 케이퍼, 홀그레인 머스터드, 랠리시 소스, 아보카도,
, 마늘, 당근, 양파, 대파, 통후추, 후추, 레몬, 소금, 설탕, 올리브오일, 밀가루
, 
,")</f>
        <v>연어, 토마토, 블루베리, 케이퍼, 홀그레인 머스터드, 랠리시 소스, 아보카도,
, 마늘, 당근, 양파, 대파, 통후추, 후추, 레몬, 소금, 설탕, 올리브오일, 밀가루
, 
,</v>
      </c>
    </row>
    <row r="315">
      <c r="A315" s="2" t="str">
        <f>recipe!C315
</f>
        <v>불량만쥬</v>
      </c>
      <c r="B315" s="1" t="str">
        <f>IFERROR(__xludf.DUMMYFUNCTION("TRIM(
  SUBSTITUTE(
    REGEXEXTRACT(raw!A315, ""(?s)재료\s*(.*?)●\s*조리\s*방법""),
    CHAR(10), "", ""
  )
)
"),"바나나, 테프, 찹쌀가루, 베이킹파우더, 우유, 베이컨, 땅콩버터, 휘핑크림,
, 부추, 달걀, 양파, 밀가루, 소금, 설탕, 버터, 후추, 식초
, 
,")</f>
        <v>바나나, 테프, 찹쌀가루, 베이킹파우더, 우유, 베이컨, 땅콩버터, 휘핑크림,
, 부추, 달걀, 양파, 밀가루, 소금, 설탕, 버터, 후추, 식초
, 
,</v>
      </c>
    </row>
    <row r="316">
      <c r="A316" s="2" t="str">
        <f>recipe!C316
</f>
        <v>탄복면</v>
      </c>
      <c r="B316" s="1" t="str">
        <f>IFERROR(__xludf.DUMMYFUNCTION("TRIM(
  SUBSTITUTE(
    REGEXEXTRACT(raw!A316, ""(?s)재료\s*(.*?)●\s*조리\s*방법""),
    CHAR(10), "", ""
  )
)
"),"새우, 오징어, 땅콩버터, 두반장, 참깨드레싱, 굴소스, 오이, 대파, 밀가루, 소금, 고춧가루
, 
,")</f>
        <v>새우, 오징어, 땅콩버터, 두반장, 참깨드레싱, 굴소스, 오이, 대파, 밀가루, 소금, 고춧가루
, 
,</v>
      </c>
    </row>
    <row r="317">
      <c r="A317" s="2" t="str">
        <f>recipe!C317
</f>
        <v>녹아내리면</v>
      </c>
      <c r="B317" s="1" t="str">
        <f>IFERROR(__xludf.DUMMYFUNCTION("TRIM(
  SUBSTITUTE(
    REGEXEXTRACT(raw!A317, ""(?s)재료\s*(.*?)●\s*조리\s*방법""),
    CHAR(10), "", ""
  )
)
"),"녹차맛 생초콜릿, 달걀, 파프리카, 토마토소스, 바질페스토, 잣,
, 낫토, 모차렐라 치즈, 청양고추, 밀가루, 소금
, 
,")</f>
        <v>녹차맛 생초콜릿, 달걀, 파프리카, 토마토소스, 바질페스토, 잣,
, 낫토, 모차렐라 치즈, 청양고추, 밀가루, 소금
, 
,</v>
      </c>
    </row>
    <row r="318">
      <c r="A318" s="2" t="str">
        <f>recipe!C318
</f>
        <v>포켓몽</v>
      </c>
      <c r="B318" s="1" t="str">
        <f>IFERROR(__xludf.DUMMYFUNCTION("TRIM(
  SUBSTITUTE(
    REGEXEXTRACT(raw!A318, ""(?s)재료\s*(.*?)●\s*조리\s*방법""),
    CHAR(10), "", ""
  )
)
"),"닭가슴살, 자몽청, 애호박, 슬라이스치즈, 모차렐라치즈, 크림파스타소스,
, 오렌지주스, 우유, 당근, 레몬, 소금, 버터, 후추, 레드와인
, 
,")</f>
        <v>닭가슴살, 자몽청, 애호박, 슬라이스치즈, 모차렐라치즈, 크림파스타소스,
, 오렌지주스, 우유, 당근, 레몬, 소금, 버터, 후추, 레드와인
, 
,</v>
      </c>
    </row>
    <row r="319">
      <c r="A319" s="2" t="str">
        <f>recipe!C319
</f>
        <v>무적 카레레인저</v>
      </c>
      <c r="B319" s="1" t="str">
        <f>IFERROR(__xludf.DUMMYFUNCTION("TRIM(
  SUBSTITUTE(
    REGEXEXTRACT(raw!A319, ""(?s)재료\s*(.*?)●\s*조리\s*방법""),
    CHAR(10), "", ""
  )
)
"),"인스턴트 카레, 연어, 망고, 브로콜리, 사과맛 음용식초, 우유, 크림파스타소스,
, 미역, 대파, 양파, 다진 생강, 즉석밥, 후추, 소금, 참기름, 간장, 버터, 고춧가루
, 
,")</f>
        <v>인스턴트 카레, 연어, 망고, 브로콜리, 사과맛 음용식초, 우유, 크림파스타소스,
, 미역, 대파, 양파, 다진 생강, 즉석밥, 후추, 소금, 참기름, 간장, 버터, 고춧가루
, 
,</v>
      </c>
    </row>
    <row r="320">
      <c r="A320" s="2" t="str">
        <f>recipe!C320
</f>
        <v>민들레 만들래</v>
      </c>
      <c r="B320" s="1" t="str">
        <f>IFERROR(__xludf.DUMMYFUNCTION("TRIM(
  SUBSTITUTE(
    REGEXEXTRACT(raw!A320, ""(?s)재료\s*(.*?)●\s*조리\s*방법""),
    CHAR(10), "", ""
  )
)
"),"민들레, 닭가슴살, 달걀, 모차렐라 치즈, 애호박, 오이,
, 토마토, 레몬, 후추, 소금, 밀가루, 올리브오일
, 
,")</f>
        <v>민들레, 닭가슴살, 달걀, 모차렐라 치즈, 애호박, 오이,
, 토마토, 레몬, 후추, 소금, 밀가루, 올리브오일
, 
,</v>
      </c>
    </row>
    <row r="321">
      <c r="A321" s="2" t="str">
        <f>recipe!C321
</f>
        <v>자반 방아를 돌려라</v>
      </c>
      <c r="B321" s="1" t="str">
        <f>IFERROR(__xludf.DUMMYFUNCTION("TRIM(
  SUBSTITUTE(
    REGEXEXTRACT(raw!A321, ""(?s)재료\s*(.*?)●\s*조리\s*방법""),
    CHAR(10), "", ""
  )
)
"),"자반고등어, 방아잎, 애호박, 파인애플, 오징어, 톰얌페이스트,
, 오이, 대게육수, 레몬, 고추, 양파, 다진 마늘, 올리브오일, 후추
, 
,")</f>
        <v>자반고등어, 방아잎, 애호박, 파인애플, 오징어, 톰얌페이스트,
, 오이, 대게육수, 레몬, 고추, 양파, 다진 마늘, 올리브오일, 후추
, 
,</v>
      </c>
    </row>
    <row r="322">
      <c r="A322" s="2" t="str">
        <f>recipe!C322
</f>
        <v>다말았씨유</v>
      </c>
      <c r="B322" s="1" t="str">
        <f>IFERROR(__xludf.DUMMYFUNCTION("TRIM(
  SUBSTITUTE(
    REGEXEXTRACT(raw!A322, ""(?s)재료\s*(.*?)●\s*조리\s*방법""),
    CHAR(10), "", ""
  )
)
"),"핫바, 인스턴트 불닭 볶음밥, 스트링 치즈, 사과, 명이나물 장아찌, 참깨&amp;흑임자 드레싱,
, 스위트칠리소스, 밀가루, 소금, 대파, 양파, 달걀, 케첩, 참기름
, 
,")</f>
        <v>핫바, 인스턴트 불닭 볶음밥, 스트링 치즈, 사과, 명이나물 장아찌, 참깨&amp;흑임자 드레싱,
, 스위트칠리소스, 밀가루, 소금, 대파, 양파, 달걀, 케첩, 참기름
, 
,</v>
      </c>
    </row>
    <row r="323">
      <c r="A323" s="2" t="str">
        <f>recipe!C323
</f>
        <v>닭.된.겨</v>
      </c>
      <c r="B323" s="1" t="str">
        <f>IFERROR(__xludf.DUMMYFUNCTION("TRIM(
  SUBSTITUTE(
    REGEXEXTRACT(raw!A323, ""(?s)재료\s*(.*?)●\s*조리\s*방법""),
    CHAR(10), "", ""
  )
)
"),"훈제닭가슴살, 간장, 대파, 고추, 마늘, 된장, 달걀, 연겨자, 설탕, 레몬, 깨
, 
,")</f>
        <v>훈제닭가슴살, 간장, 대파, 고추, 마늘, 된장, 달걀, 연겨자, 설탕, 레몬, 깨
, 
,</v>
      </c>
    </row>
    <row r="324">
      <c r="A324" s="2" t="str">
        <f>recipe!C324
</f>
        <v>애플리케이크</v>
      </c>
      <c r="B324" s="1" t="str">
        <f>IFERROR(__xludf.DUMMYFUNCTION("TRIM(
  SUBSTITUTE(
    REGEXEXTRACT(raw!A324, ""(?s)재료\s*(.*?)●\s*조리\s*방법""),
    CHAR(10), "", ""
  )
)
"),"사과, 건빵, 버터쿠키, 맛밤, 우유, 설탕, 밀가루, 달걀
, 
,")</f>
        <v>사과, 건빵, 버터쿠키, 맛밤, 우유, 설탕, 밀가루, 달걀
, 
,</v>
      </c>
    </row>
    <row r="325">
      <c r="A325" s="2" t="str">
        <f>recipe!C325
</f>
        <v>본능족으로</v>
      </c>
      <c r="B325" s="1" t="str">
        <f>IFERROR(__xludf.DUMMYFUNCTION("TRIM(
  SUBSTITUTE(
    REGEXEXTRACT(raw!A325, ""(?s)재료\s*(.*?)●\s*조리\s*방법""),
    CHAR(10), "", ""
  )
)
"),"족발, 감자샐러드, 매운맛 감자칩, 건빵, 사과, 스트링 치즈, 해바라기씨,
, 갈릭디핑소스, 스위트칠리소스, 레몬, 후추, 소금, 올리브오일
, 
,")</f>
        <v>족발, 감자샐러드, 매운맛 감자칩, 건빵, 사과, 스트링 치즈, 해바라기씨,
, 갈릭디핑소스, 스위트칠리소스, 레몬, 후추, 소금, 올리브오일
, 
,</v>
      </c>
    </row>
    <row r="326">
      <c r="A326" s="2" t="str">
        <f>recipe!C326
</f>
        <v>오빤 채소스타일</v>
      </c>
      <c r="B326" s="1" t="str">
        <f>IFERROR(__xludf.DUMMYFUNCTION("TRIM(
  SUBSTITUTE(
    REGEXEXTRACT(raw!A326, ""(?s)재료\s*(.*?)●\s*조리\s*방법""),
    CHAR(10), "", ""
  )
)
"),"느타리버섯, 팽이버섯, 애호박, 냉동 완두콩, 닭안심살, 깻잎, 토마토, 양상추, 오렌지,
, 라이스페이퍼, 복분자 데리야키 소스, 오리엔탈 드레싱, 아몬드 슬라이스, 마늘, 양파, 당근,
, 레몬, 소금, 후추, 올리브오일, 간장, 참기름, 식초, 설탕
, 
,")</f>
        <v>느타리버섯, 팽이버섯, 애호박, 냉동 완두콩, 닭안심살, 깻잎, 토마토, 양상추, 오렌지,
, 라이스페이퍼, 복분자 데리야키 소스, 오리엔탈 드레싱, 아몬드 슬라이스, 마늘, 양파, 당근,
, 레몬, 소금, 후추, 올리브오일, 간장, 참기름, 식초, 설탕
, 
,</v>
      </c>
    </row>
    <row r="327">
      <c r="A327" s="2" t="str">
        <f>recipe!C327
</f>
        <v>아임 소바</v>
      </c>
      <c r="B327" s="1" t="str">
        <f>IFERROR(__xludf.DUMMYFUNCTION("TRIM(
  SUBSTITUTE(
    REGEXEXTRACT(raw!A327, ""(?s)재료\s*(.*?)●\s*조리\s*방법""),
    CHAR(10), "", ""
  )
)
"),"메밀생면, 메밀소스, 무, 밴댕이, 건새우, 다시마, 토마토, 닭안심살, 콜라비, 양상추,
, 애호박, 참깨&amp;흑임자소스, 양파, 레몬, 맛술, 간장, 설탕, 식초, 깨, 와사비
, 
,")</f>
        <v>메밀생면, 메밀소스, 무, 밴댕이, 건새우, 다시마, 토마토, 닭안심살, 콜라비, 양상추,
, 애호박, 참깨&amp;흑임자소스, 양파, 레몬, 맛술, 간장, 설탕, 식초, 깨, 와사비
, 
,</v>
      </c>
    </row>
    <row r="328">
      <c r="A328" s="2" t="str">
        <f>recipe!C328
</f>
        <v>바나나를 튀기면 반하나?</v>
      </c>
      <c r="B328" s="1" t="str">
        <f>IFERROR(__xludf.DUMMYFUNCTION("TRIM(
  SUBSTITUTE(
    REGEXEXTRACT(raw!A328, ""(?s)재료\s*(.*?)●\s*조리\s*방법""),
    CHAR(10), "", ""
  )
)
"),"바나나, 탄산수, 오리엔탈 드레싱, 밀가루, 전분, 올리브오일, 레몬
, 
,")</f>
        <v>바나나, 탄산수, 오리엔탈 드레싱, 밀가루, 전분, 올리브오일, 레몬
, 
,</v>
      </c>
    </row>
    <row r="329">
      <c r="A329" s="2" t="str">
        <f>recipe!C329
</f>
        <v>렌틸콩그레츄레이션</v>
      </c>
      <c r="B329" s="1" t="str">
        <f>IFERROR(__xludf.DUMMYFUNCTION("TRIM(
  SUBSTITUTE(
    REGEXEXTRACT(raw!A329, ""(?s)재료\s*(.*?)●\s*조리\s*방법""),
    CHAR(10), "", ""
  )
)
"),"렌틸콩, 베이컨, 토마토, 파프리카, 대파, 당근, 마늘, 고추, 소금, 후추, 식초
, 
,")</f>
        <v>렌틸콩, 베이컨, 토마토, 파프리카, 대파, 당근, 마늘, 고추, 소금, 후추, 식초
, 
,</v>
      </c>
    </row>
    <row r="330">
      <c r="A330" s="2" t="str">
        <f>recipe!C330
</f>
        <v>오늘도전</v>
      </c>
      <c r="B330" s="1" t="str">
        <f>IFERROR(__xludf.DUMMYFUNCTION("TRIM(
  SUBSTITUTE(
    REGEXEXTRACT(raw!A330, ""(?s)재료\s*(.*?)●\s*조리\s*방법""),
    CHAR(10), "", ""
  )
)
"),"반건조오징어, 햄 통조림, 아스파라거스, 소면, 망고,
, 체리, 달걀, 대파, 레몬, 밀가루, 전분, 소금, 마요네즈
, 
,")</f>
        <v>반건조오징어, 햄 통조림, 아스파라거스, 소면, 망고,
, 체리, 달걀, 대파, 레몬, 밀가루, 전분, 소금, 마요네즈
, 
,</v>
      </c>
    </row>
    <row r="331">
      <c r="A331" s="2" t="str">
        <f>recipe!C331
</f>
        <v>풍볶이 말았소면</v>
      </c>
      <c r="B331" s="1" t="str">
        <f>IFERROR(__xludf.DUMMYFUNCTION("TRIM(
  SUBSTITUTE(
    REGEXEXTRACT(raw!A331, ""(?s)재료\s*(.*?)●\s*조리\s*방법""),
    CHAR(10), "", ""
  )
)
"),"베이컨, 소면, 햄 통조림, 청경채, 양파, 대파,
, 다진 마늘, 고추장, 고춧가루, 간장, 물엿, 설탕, 전분
, 
,")</f>
        <v>베이컨, 소면, 햄 통조림, 청경채, 양파, 대파,
, 다진 마늘, 고추장, 고춧가루, 간장, 물엿, 설탕, 전분
, 
,</v>
      </c>
    </row>
    <row r="332">
      <c r="A332" s="2" t="str">
        <f>recipe!C332
</f>
        <v>오닭후면</v>
      </c>
      <c r="B332" s="1" t="str">
        <f>IFERROR(__xludf.DUMMYFUNCTION("TRIM(
  SUBSTITUTE(
    REGEXEXTRACT(raw!A332, ""(?s)재료\s*(.*?)●\s*조리\s*방법""),
    CHAR(10), "", ""
  )
)
"),"곰탕라면, 짬뽕라면, 베이컨, 반건조오징어, 닭가슴살 통조림,
, 청경채, 조미김, 달걀, 대파, 청양고추, 식초, 간장, 소금
, 
,")</f>
        <v>곰탕라면, 짬뽕라면, 베이컨, 반건조오징어, 닭가슴살 통조림,
, 청경채, 조미김, 달걀, 대파, 청양고추, 식초, 간장, 소금
, 
,</v>
      </c>
    </row>
    <row r="333">
      <c r="A333" s="2" t="str">
        <f>recipe!C333
</f>
        <v>짬뽕의 순정</v>
      </c>
      <c r="B333" s="1" t="str">
        <f>IFERROR(__xludf.DUMMYFUNCTION("TRIM(
  SUBSTITUTE(
    REGEXEXTRACT(raw!A333, ""(?s)재료\s*(.*?)●\s*조리\s*방법""),
    CHAR(10), "", ""
  )
)
"),"짬뽕라면, 양배추, 청경채, 베이컨, 소시지, 어묵, 고다치즈, 골뱅이 통조림,
, 우유, 달걀, 마늘, 양파, 청양고추, 대파, 소금, 식초, 고춧가루, 간장, 후추
, 
,")</f>
        <v>짬뽕라면, 양배추, 청경채, 베이컨, 소시지, 어묵, 고다치즈, 골뱅이 통조림,
, 우유, 달걀, 마늘, 양파, 청양고추, 대파, 소금, 식초, 고춧가루, 간장, 후추
, 
,</v>
      </c>
    </row>
    <row r="334">
      <c r="A334" s="2" t="str">
        <f>recipe!C334
</f>
        <v>터미네미트볼</v>
      </c>
      <c r="B334" s="1" t="str">
        <f>IFERROR(__xludf.DUMMYFUNCTION("TRIM(
  SUBSTITUTE(
    REGEXEXTRACT(raw!A334, ""(?s)재료\s*(.*?)●\s*조리\s*방법""),
    CHAR(10), "", ""
  )
)
"),"소고기 등심, 애호박, 감자, 우유, 카망베르 치즈, 발사믹 드레싱, 빵가루,
, 양파, 레몬, 소금, 후추, 밀가루, 화이트와인, 올리브오일, 버터
, 
,")</f>
        <v>소고기 등심, 애호박, 감자, 우유, 카망베르 치즈, 발사믹 드레싱, 빵가루,
, 양파, 레몬, 소금, 후추, 밀가루, 화이트와인, 올리브오일, 버터
, 
,</v>
      </c>
    </row>
    <row r="335">
      <c r="A335" s="2" t="str">
        <f>recipe!C335
</f>
        <v>트랜스두부</v>
      </c>
      <c r="B335" s="1" t="str">
        <f>IFERROR(__xludf.DUMMYFUNCTION("TRIM(
  SUBSTITUTE(
    REGEXEXTRACT(raw!A335, ""(?s)재료\s*(.*?)●\s*조리\s*방법""),
    CHAR(10), "", ""
  )
)
"),"두부, 오이, 다진 소고기 등심, 굴소스, 스위트 칠리소스,
, 당근, 양파, 대파, 마늘, 레몬, 소금, 전분
, 
,")</f>
        <v>두부, 오이, 다진 소고기 등심, 굴소스, 스위트 칠리소스,
, 당근, 양파, 대파, 마늘, 레몬, 소금, 전분
, 
,</v>
      </c>
    </row>
    <row r="336">
      <c r="A336" s="2" t="str">
        <f>recipe!C336
</f>
        <v>오트밀 맛있삼</v>
      </c>
      <c r="B336" s="1" t="str">
        <f>IFERROR(__xludf.DUMMYFUNCTION("TRIM(
  SUBSTITUTE(
    REGEXEXTRACT(raw!A336, ""(?s)재료\s*(.*?)●\s*조리\s*방법""),
    CHAR(10), "", ""
  )
)
"),"오트밀, 삼겹살, 우유, 건포도, 연유, 견과류, 고추마늘장아찌, 곶감, 레몬, 소금, 후추, 맛술, 깨
, 
,")</f>
        <v>오트밀, 삼겹살, 우유, 건포도, 연유, 견과류, 고추마늘장아찌, 곶감, 레몬, 소금, 후추, 맛술, 깨
, 
,</v>
      </c>
    </row>
    <row r="337">
      <c r="A337" s="2" t="str">
        <f>recipe!C337
</f>
        <v>미카옐로</v>
      </c>
      <c r="B337" s="1" t="str">
        <f>IFERROR(__xludf.DUMMYFUNCTION("TRIM(
  SUBSTITUTE(
    REGEXEXTRACT(raw!A337, ""(?s)재료\s*(.*?)●\s*조리\s*방법""),
    CHAR(10), "", ""
  )
)
"),"감자, 당근, 애호박, 다진 돼지고기, 달걀, 사골국, 우유, 즉석밥,
, 양파, 레몬, 청양고추, 대파, 버터, 소금, 후추, 밀가루
, 
,")</f>
        <v>감자, 당근, 애호박, 다진 돼지고기, 달걀, 사골국, 우유, 즉석밥,
, 양파, 레몬, 청양고추, 대파, 버터, 소금, 후추, 밀가루
, 
,</v>
      </c>
    </row>
    <row r="338">
      <c r="A338" s="2" t="str">
        <f>recipe!C338
</f>
        <v>하트비트</v>
      </c>
      <c r="B338" s="1" t="str">
        <f>IFERROR(__xludf.DUMMYFUNCTION("TRIM(
  SUBSTITUTE(
    REGEXEXTRACT(raw!A338, ""(?s)재료\s*(.*?)●\s*조리\s*방법""),
    CHAR(10), "", ""
  )
)
"),"돼지염통, 돼지간, 방울토마토, 양파, 고추, 레몬, 대파,
, 마늘, 달걀, 소금, 후추, 밀가루, 레드와인
, 
,")</f>
        <v>돼지염통, 돼지간, 방울토마토, 양파, 고추, 레몬, 대파,
, 마늘, 달걀, 소금, 후추, 밀가루, 레드와인
, 
,</v>
      </c>
    </row>
    <row r="339">
      <c r="A339" s="2" t="str">
        <f>recipe!C339
</f>
        <v>내장풍 냉채</v>
      </c>
      <c r="B339" s="1" t="str">
        <f>IFERROR(__xludf.DUMMYFUNCTION("TRIM(
  SUBSTITUTE(
    REGEXEXTRACT(raw!A339, ""(?s)재료\s*(.*?)●\s*조리\s*방법""),
    CHAR(10), "", ""
  )
)
"),"돼지염통, 돼지허파, 오이, 상추, 대파, 마늘, 맛술, 고춧가루,
, 다진 생강, 맛술, 간장, 설탕, 식초, 밀가루, 전분, 소금, 식용유
, 
,")</f>
        <v>돼지염통, 돼지허파, 오이, 상추, 대파, 마늘, 맛술, 고춧가루,
, 다진 생강, 맛술, 간장, 설탕, 식초, 밀가루, 전분, 소금, 식용유
, 
,</v>
      </c>
    </row>
    <row r="340">
      <c r="A340" s="2" t="str">
        <f>recipe!C340
</f>
        <v>염통이 바샤샤샤~</v>
      </c>
      <c r="B340" s="1" t="str">
        <f>IFERROR(__xludf.DUMMYFUNCTION("TRIM(
  SUBSTITUTE(
    REGEXEXTRACT(raw!A340, ""(?s)재료\s*(.*?)●\s*조리\s*방법""),
    CHAR(10), "", ""
  )
)
"),"돼지염통, 새우맛 후리카게, 양파, 대파, 즉석밥, 간장, 맛술, 설탕, 청주, 밀가루, 전분, 참기름
, 
,")</f>
        <v>돼지염통, 새우맛 후리카게, 양파, 대파, 즉석밥, 간장, 맛술, 설탕, 청주, 밀가루, 전분, 참기름
, 
,</v>
      </c>
    </row>
    <row r="341">
      <c r="A341" s="2" t="str">
        <f>recipe!C341
</f>
        <v>초밥 베이베</v>
      </c>
      <c r="B341" s="1" t="str">
        <f>IFERROR(__xludf.DUMMYFUNCTION("TRIM(
  SUBSTITUTE(
    REGEXEXTRACT(raw!A341, ""(?s)재료\s*(.*?)●\s*조리\s*방법""),
    CHAR(10), "", ""
  )
)
"),"불고기용 소고기, 닭가슴살 소시지, 열무김치, 멸치볶음, 청포도, 김
, 즉석밥, 식초, 소금, 설탕, 맛술, 청주, 간장, 밀가루, 들기름, 케첩
, 
,")</f>
        <v>불고기용 소고기, 닭가슴살 소시지, 열무김치, 멸치볶음, 청포도, 김
, 즉석밥, 식초, 소금, 설탕, 맛술, 청주, 간장, 밀가루, 들기름, 케첩
, 
,</v>
      </c>
    </row>
    <row r="342">
      <c r="A342" s="2" t="str">
        <f>recipe!C342
</f>
        <v>크레이지 크레페</v>
      </c>
      <c r="B342" s="1" t="str">
        <f>IFERROR(__xludf.DUMMYFUNCTION("TRIM(
  SUBSTITUTE(
    REGEXEXTRACT(raw!A342, ""(?s)재료\s*(.*?)●\s*조리\s*방법""),
    CHAR(10), "", ""
  )
)
"),"우유, 두유, 고구마 아이스크림, 오렌지, 바나나, 달걀, 버터, 밀가루, 설탕
, 
,")</f>
        <v>우유, 두유, 고구마 아이스크림, 오렌지, 바나나, 달걀, 버터, 밀가루, 설탕
, 
,</v>
      </c>
    </row>
    <row r="343">
      <c r="A343" s="2" t="str">
        <f>recipe!C343
</f>
        <v>술이 깰랑말랑 몽블랑</v>
      </c>
      <c r="B343" s="1" t="str">
        <f>IFERROR(__xludf.DUMMYFUNCTION("TRIM(
  SUBSTITUTE(
    REGEXEXTRACT(raw!A343, ""(?s)재료\s*(.*?)●\s*조리\s*방법""),
    CHAR(10), "", ""
  )
)
"),"견과류, 맛밤, 커피우유, 식빵, 청포도, 적포도, 녹차아이스크림, 밀가루, 설탕, 버터, 전분, 소금
, 
,")</f>
        <v>견과류, 맛밤, 커피우유, 식빵, 청포도, 적포도, 녹차아이스크림, 밀가루, 설탕, 버터, 전분, 소금
, 
,</v>
      </c>
    </row>
    <row r="344">
      <c r="A344" s="2" t="str">
        <f>recipe!C344
</f>
        <v>복차오루는 쌈</v>
      </c>
      <c r="B344" s="1" t="str">
        <f>IFERROR(__xludf.DUMMYFUNCTION("TRIM(
  SUBSTITUTE(
    REGEXEXTRACT(raw!A344, ""(?s)재료\s*(.*?)●\s*조리\s*방법""),
    CHAR(10), "", ""
  )
)
"),"돼지고기 등심, 건표고버섯채, 깍두기, 두반장, 중국식 다진 고추소스, 굴소스, 두부피,
, 중국 찹쌀떡, 흰목이버섯, 고수, 전분, 달걀, 대파, 당근, 양파, 고추, 마늘, 고춧가루, 간장, 설탕
, 
,")</f>
        <v>돼지고기 등심, 건표고버섯채, 깍두기, 두반장, 중국식 다진 고추소스, 굴소스, 두부피,
, 중국 찹쌀떡, 흰목이버섯, 고수, 전분, 달걀, 대파, 당근, 양파, 고추, 마늘, 고춧가루, 간장, 설탕
, 
,</v>
      </c>
    </row>
    <row r="345">
      <c r="A345" s="2" t="str">
        <f>recipe!C345
</f>
        <v>일거양두</v>
      </c>
      <c r="B345" s="1" t="str">
        <f>IFERROR(__xludf.DUMMYFUNCTION("TRIM(
  SUBSTITUTE(
    REGEXEXTRACT(raw!A345, ""(?s)재료\s*(.*?)●\s*조리\s*방법""),
    CHAR(10), "", ""
  )
)
"),"양고기, 굴소스, 건표고버섯채, 건두부, 흰목이버섯, 목이버섯, 라조장,
, 자차이, 고수, 설탕, 간장, 다진 마늘, 청주, 대파, 양파, 고추
, 
,")</f>
        <v>양고기, 굴소스, 건표고버섯채, 건두부, 흰목이버섯, 목이버섯, 라조장,
, 자차이, 고수, 설탕, 간장, 다진 마늘, 청주, 대파, 양파, 고추
, 
,</v>
      </c>
    </row>
    <row r="346">
      <c r="A346" s="2" t="str">
        <f>recipe!C346
</f>
        <v>나 혼자 먹게 낫토</v>
      </c>
      <c r="B346" s="1" t="str">
        <f>IFERROR(__xludf.DUMMYFUNCTION("TRIM(
  SUBSTITUTE(
    REGEXEXTRACT(raw!A346, ""(?s)재료\s*(.*?)●\s*조리\s*방법""),
    CHAR(10), "", ""
  )
)
"),"닭다리, 검은콩 낫토, 청양고추, 쪽파, 파프리카, 무, 소금, 마늘, 식용유,
, 고춧가루, 양파, 간장, 식초, 레몬, 설탕, 청주, 와사비, 마요네즈, 참기름, 즉석밥
, 
,")</f>
        <v>닭다리, 검은콩 낫토, 청양고추, 쪽파, 파프리카, 무, 소금, 마늘, 식용유,
, 고춧가루, 양파, 간장, 식초, 레몬, 설탕, 청주, 와사비, 마요네즈, 참기름, 즉석밥
, 
,</v>
      </c>
    </row>
    <row r="347">
      <c r="A347" s="2" t="str">
        <f>recipe!C347
</f>
        <v>닭날두</v>
      </c>
      <c r="B347" s="1" t="str">
        <f>IFERROR(__xludf.DUMMYFUNCTION("TRIM(
  SUBSTITUTE(
    REGEXEXTRACT(raw!A347, ""(?s)재료\s*(.*?)●\s*조리\s*방법""),
    CHAR(10), "", ""
  )
)
"),"닭날개, 닭가슴살, 삼겹살, 손질한 양파, 손질한 적양파, 손질한 쪽파, 손질한 건표고버섯,
, 모차렐라 치즈, 가지, 방울토마토, 파프리카, 토마토소스, 달걀, 소금, 밀가루, 후추, 설탕, 고추
, 
,")</f>
        <v>닭날개, 닭가슴살, 삼겹살, 손질한 양파, 손질한 적양파, 손질한 쪽파, 손질한 건표고버섯,
, 모차렐라 치즈, 가지, 방울토마토, 파프리카, 토마토소스, 달걀, 소금, 밀가루, 후추, 설탕, 고추
, 
,</v>
      </c>
    </row>
    <row r="348">
      <c r="A348" s="2" t="str">
        <f>recipe!C348
</f>
        <v>쉑쉑 파스타</v>
      </c>
      <c r="B348" s="1" t="str">
        <f>IFERROR(__xludf.DUMMYFUNCTION("TRIM(
  SUBSTITUTE(
    REGEXEXTRACT(raw!A348, ""(?s)재료\s*(.*?)●\s*조리\s*방법""),
    CHAR(10), "", ""
  )
)
"),"파스타면, 게살, 삶은 소라살, 새우살, 문어, 낙지, 라이스페이퍼, 게맛살, 양배추, 적양파, 깻잎,
, 파프리카, 타르타르소스, 땅콩버터, 매운 굴소스, 견과류, 소금, 레몬, 고추, 마늘, 양파, 후추
, 
,")</f>
        <v>파스타면, 게살, 삶은 소라살, 새우살, 문어, 낙지, 라이스페이퍼, 게맛살, 양배추, 적양파, 깻잎,
, 파프리카, 타르타르소스, 땅콩버터, 매운 굴소스, 견과류, 소금, 레몬, 고추, 마늘, 양파, 후추
, 
,</v>
      </c>
    </row>
    <row r="349">
      <c r="A349" s="2" t="str">
        <f>recipe!C349
</f>
        <v>바로빵</v>
      </c>
      <c r="B349" s="1" t="str">
        <f>IFERROR(__xludf.DUMMYFUNCTION("TRIM(
  SUBSTITUTE(
    REGEXEXTRACT(raw!A349, ""(?s)재료\s*(.*?)●\s*조리\s*방법""),
    CHAR(10), "", ""
  )
)
"),"수제 요거트, 훈제연어, 토마토, 양상추, 적양파, 쪽파, 버터,
, 밀가루, 소금, 달걀, 마요네즈, 다진 마늘, 레몬, 후추, 고춧가루
, 
,")</f>
        <v>수제 요거트, 훈제연어, 토마토, 양상추, 적양파, 쪽파, 버터,
, 밀가루, 소금, 달걀, 마요네즈, 다진 마늘, 레몬, 후추, 고춧가루
, 
,</v>
      </c>
    </row>
    <row r="350">
      <c r="A350" s="2" t="str">
        <f>recipe!C350
</f>
        <v>카우복이</v>
      </c>
      <c r="B350" s="1" t="str">
        <f>IFERROR(__xludf.DUMMYFUNCTION("TRIM(
  SUBSTITUTE(
    REGEXEXTRACT(raw!A350, ""(?s)재료\s*(.*?)●\s*조리\s*방법""),
    CHAR(10), "", ""
  )
)
"),"소갈비, 감자, 브로콜리, 콜리플라워, 애호박, 고추, 누룽지, 핫소스, 굴소스,
, 보리굴비살, 양파, 마늘, 대파, 전분, 간장, 달걀, 고춧가루, 설탕, 참기름
, 
,")</f>
        <v>소갈비, 감자, 브로콜리, 콜리플라워, 애호박, 고추, 누룽지, 핫소스, 굴소스,
, 보리굴비살, 양파, 마늘, 대파, 전분, 간장, 달걀, 고춧가루, 설탕, 참기름
, 
,</v>
      </c>
    </row>
    <row r="351">
      <c r="A351" s="2" t="str">
        <f>recipe!C351
</f>
        <v>오! 가닉~ 고등어</v>
      </c>
      <c r="B351" s="1" t="str">
        <f>IFERROR(__xludf.DUMMYFUNCTION("TRIM(
  SUBSTITUTE(
    REGEXEXTRACT(raw!A351, ""(?s)재료\s*(.*?)●\s*조리\s*방법""),
    CHAR(10), "", ""
  )
)
"),"고등어, 토마토, 강낭콩 통조림, 가지, 감자, 애호박, 베이컨, 발사믹크림,
, 토마토소스, 보리굴비살, 양파, 당근, 대파, 레몬, 후추, 마요네즈, 밀가루
, 
,")</f>
        <v>고등어, 토마토, 강낭콩 통조림, 가지, 감자, 애호박, 베이컨, 발사믹크림,
, 토마토소스, 보리굴비살, 양파, 당근, 대파, 레몬, 후추, 마요네즈, 밀가루
, 
,</v>
      </c>
    </row>
    <row r="352">
      <c r="A352" s="2" t="str">
        <f>recipe!C352
</f>
        <v>홀롤서기</v>
      </c>
      <c r="B352" s="1" t="str">
        <f>IFERROR(__xludf.DUMMYFUNCTION("TRIM(
  SUBSTITUTE(
    REGEXEXTRACT(raw!A352, ""(?s)재료\s*(.*?)●\s*조리\s*방법""),
    CHAR(10), "", ""
  )
)
"),"감자, 누룽지, 명란젓, 고추장아찌, 김밥용 김, 바닐라 아이스크림,
, 아보카도, 즉석밥, 다진 마늘, 참기름, 후추, 고추냉이, 간장
, 
,")</f>
        <v>감자, 누룽지, 명란젓, 고추장아찌, 김밥용 김, 바닐라 아이스크림,
, 아보카도, 즉석밥, 다진 마늘, 참기름, 후추, 고추냉이, 간장
, 
,</v>
      </c>
    </row>
    <row r="353">
      <c r="A353" s="2" t="str">
        <f>recipe!C353
</f>
        <v>눈물회밥</v>
      </c>
      <c r="B353" s="1" t="str">
        <f>IFERROR(__xludf.DUMMYFUNCTION("TRIM(
  SUBSTITUTE(
    REGEXEXTRACT(raw!A353, ""(?s)재료\s*(.*?)●\s*조리\s*방법""),
    CHAR(10), "", ""
  )
)
"),"불고기용 소고기, 상추, 로메인상추, 쑥갓, 사과, 참외, 양파, 마늘,
, 고추장, 된장, 맛술, 고춧가루, 설탕, 식초, 참기름, 깨, 물, 얼음, 즉석밥
, 
,")</f>
        <v>불고기용 소고기, 상추, 로메인상추, 쑥갓, 사과, 참외, 양파, 마늘,
, 고추장, 된장, 맛술, 고춧가루, 설탕, 식초, 참기름, 깨, 물, 얼음, 즉석밥
, 
,</v>
      </c>
    </row>
    <row r="354">
      <c r="A354" s="2" t="str">
        <f>recipe!C354
</f>
        <v>후덜덜이 김밥</v>
      </c>
      <c r="B354" s="1" t="str">
        <f>IFERROR(__xludf.DUMMYFUNCTION("TRIM(
  SUBSTITUTE(
    REGEXEXTRACT(raw!A354, ""(?s)재료\s*(.*?)●\s*조리\s*방법""),
    CHAR(10), "", ""
  )
)
"),"베이컨, 통조림 햄, 꽃등심, 갈릭소스, 라임, 케이퍼, 치포틀레 핫소스, 고수, 연어,
, 카옌페퍼, 체다치즈, 모차렐라치즈, 김밥김, 즉석밥, 통마늘, 소금, 후추, 마요네즈, 버터, 깨, 참기름
, 
,")</f>
        <v>베이컨, 통조림 햄, 꽃등심, 갈릭소스, 라임, 케이퍼, 치포틀레 핫소스, 고수, 연어,
, 카옌페퍼, 체다치즈, 모차렐라치즈, 김밥김, 즉석밥, 통마늘, 소금, 후추, 마요네즈, 버터, 깨, 참기름
, 
,</v>
      </c>
    </row>
    <row r="355">
      <c r="A355" s="2" t="str">
        <f>recipe!C355
</f>
        <v>칼로이스</v>
      </c>
      <c r="B355" s="1" t="str">
        <f>IFERROR(__xludf.DUMMYFUNCTION("TRIM(
  SUBSTITUTE(
    REGEXEXTRACT(raw!A355, ""(?s)재료\s*(.*?)●\s*조리\s*방법""),
    CHAR(10), "", ""
  )
)
"),"토르티야, 베이컨, 통조림 햄, 훈제닭가슴살, 아보카도, 고수, 커민, 초콜릿 잼, 딸기잼, 땅콩버터,
, 카옌페퍼, 치포틀레 핫소스, 모차렐라 치즈, 콜라, 양파, 마요네즈, 소금, 후추
, 
,")</f>
        <v>토르티야, 베이컨, 통조림 햄, 훈제닭가슴살, 아보카도, 고수, 커민, 초콜릿 잼, 딸기잼, 땅콩버터,
, 카옌페퍼, 치포틀레 핫소스, 모차렐라 치즈, 콜라, 양파, 마요네즈, 소금, 후추
, 
,</v>
      </c>
    </row>
    <row r="356">
      <c r="A356" s="2" t="str">
        <f>recipe!C356
</f>
        <v>중복냉면</v>
      </c>
      <c r="B356" s="1" t="str">
        <f>IFERROR(__xludf.DUMMYFUNCTION("TRIM(
  SUBSTITUTE(
    REGEXEXTRACT(raw!A356, ""(?s)재료\s*(.*?)●\s*조리\s*방법""),
    CHAR(10), "", ""
  )
)
"),"쯔유, 땅콩버터, 배, 로메인상추, 훈제닭가슴살, 레몬, 당근,
, 양파, 달걀, 레몬, 밀가루, 소금, 설탕, 연겨자
, 
,")</f>
        <v>쯔유, 땅콩버터, 배, 로메인상추, 훈제닭가슴살, 레몬, 당근,
, 양파, 달걀, 레몬, 밀가루, 소금, 설탕, 연겨자
, 
,</v>
      </c>
    </row>
    <row r="357">
      <c r="A357" s="2" t="str">
        <f>recipe!C357
</f>
        <v>풍양냉면</v>
      </c>
      <c r="B357" s="1" t="str">
        <f>IFERROR(__xludf.DUMMYFUNCTION("TRIM(
  SUBSTITUTE(
    REGEXEXTRACT(raw!A357, ""(?s)재료\s*(.*?)●\s*조리\s*방법""),
    CHAR(10), "", ""
  )
)
"),"메밀면, 인스턴트 곰탕, 배, 살치살, 달걀, 양파, 식초, 소금, 설탕, 조미료
, 
,")</f>
        <v>메밀면, 인스턴트 곰탕, 배, 살치살, 달걀, 양파, 식초, 소금, 설탕, 조미료
, 
,</v>
      </c>
    </row>
    <row r="358">
      <c r="A358" s="2" t="str">
        <f>recipe!C358
</f>
        <v>고기밀라노~</v>
      </c>
      <c r="B358" s="1" t="str">
        <f>IFERROR(__xludf.DUMMYFUNCTION("TRIM(
  SUBSTITUTE(
    REGEXEXTRACT(raw!A358, ""(?s)재료\s*(.*?)●\s*조리\s*방법""),
    CHAR(10), "", ""
  )
)
"),"소고기 등심, 비엔나소시지, 베이컨용 삼겹살, 천도복숭아, 흑토마토, 양상추,
, 발사믹글레이즈, 파슬리가루, 레몬, 양파, 화이트와인, 소금, 후추, 밀가루, 올리브오일, 설탕, 버터
, 
,")</f>
        <v>소고기 등심, 비엔나소시지, 베이컨용 삼겹살, 천도복숭아, 흑토마토, 양상추,
, 발사믹글레이즈, 파슬리가루, 레몬, 양파, 화이트와인, 소금, 후추, 밀가루, 올리브오일, 설탕, 버터
, 
,</v>
      </c>
    </row>
    <row r="359">
      <c r="A359" s="2" t="str">
        <f>recipe!C359
</f>
        <v>볼로네제는 처음이제?</v>
      </c>
      <c r="B359" s="1" t="str">
        <f>IFERROR(__xludf.DUMMYFUNCTION("TRIM(
  SUBSTITUTE(
    REGEXEXTRACT(raw!A359, ""(?s)재료\s*(.*?)●\s*조리\s*방법""),
    CHAR(10), "", ""
  )
)
"),"파스타면, 국거리용 소고기, 소고기 등심, 베이컨용 삼겹살, 애호박, 흑토마토, 양상추, 당귀,
, 토마토소스, 파슬리가루, 굴소스, 마늘, 양파, 대파, 고추, 레몬, 화이트와인, 소금, 후추,
, 올리브오일
, 
,")</f>
        <v>파스타면, 국거리용 소고기, 소고기 등심, 베이컨용 삼겹살, 애호박, 흑토마토, 양상추, 당귀,
, 토마토소스, 파슬리가루, 굴소스, 마늘, 양파, 대파, 고추, 레몬, 화이트와인, 소금, 후추,
, 올리브오일
, 
,</v>
      </c>
    </row>
    <row r="360">
      <c r="A360" s="2" t="str">
        <f>recipe!C360
</f>
        <v>웃음꼬치 피었습니다</v>
      </c>
      <c r="B360" s="1" t="str">
        <f>IFERROR(__xludf.DUMMYFUNCTION("TRIM(
  SUBSTITUTE(
    REGEXEXTRACT(raw!A360, ""(?s)재료\s*(.*?)●\s*조리\s*방법""),
    CHAR(10), "", ""
  )
)
"),"훈제오리, 베이컨용 삼겹살, 소고기 등심, 비엔나소시지, 진미채 무침, 홀스래디시 소스, 모과청
, 흑토마토, 크림치즈, 파슬리가루, 상추, 오이, 마늘, 양파, 레몬, 소금, 후추, 올리브오일, 식초
, 
,")</f>
        <v>훈제오리, 베이컨용 삼겹살, 소고기 등심, 비엔나소시지, 진미채 무침, 홀스래디시 소스, 모과청
, 흑토마토, 크림치즈, 파슬리가루, 상추, 오이, 마늘, 양파, 레몬, 소금, 후추, 올리브오일, 식초
, 
,</v>
      </c>
    </row>
    <row r="361">
      <c r="A361" s="2" t="str">
        <f>recipe!C361
</f>
        <v>연장전</v>
      </c>
      <c r="B361" s="1" t="str">
        <f>IFERROR(__xludf.DUMMYFUNCTION("TRIM(
  SUBSTITUTE(
    REGEXEXTRACT(raw!A361, ""(?s)재료\s*(.*?)●\s*조리\s*방법""),
    CHAR(10), "", ""
  )
)
"),"콩비지, 훈제오리, 찌개용 돼지고기, 애호박, 건표고버섯채, 해물다시팩, 굴소스
, 양파, 대파, 마늘, 청양고추, 달걀, 전분, 밀가루, 간장, 마요네즈, 후추, 소금, 청주, 참기름
, 
,")</f>
        <v>콩비지, 훈제오리, 찌개용 돼지고기, 애호박, 건표고버섯채, 해물다시팩, 굴소스
, 양파, 대파, 마늘, 청양고추, 달걀, 전분, 밀가루, 간장, 마요네즈, 후추, 소금, 청주, 참기름
, 
,</v>
      </c>
    </row>
    <row r="362">
      <c r="A362" s="2" t="str">
        <f>recipe!C362
</f>
        <v>발라버린닭</v>
      </c>
      <c r="B362" s="1" t="str">
        <f>IFERROR(__xludf.DUMMYFUNCTION("TRIM(
  SUBSTITUTE(
    REGEXEXTRACT(raw!A362, ""(?s)재료\s*(.*?)●\s*조리\s*방법""),
    CHAR(10), "", ""
  )
)
"),"닭, 수박, 구이용 모듬 버섯, 통마늘, 홀그레인 머스터드,
, 마늘, 고추, 적양파, 레몬, 올리브오일, 소금, 후추,
, 
,")</f>
        <v>닭, 수박, 구이용 모듬 버섯, 통마늘, 홀그레인 머스터드,
, 마늘, 고추, 적양파, 레몬, 올리브오일, 소금, 후추,
, 
,</v>
      </c>
    </row>
    <row r="363">
      <c r="A363" s="2" t="str">
        <f>recipe!C363
</f>
        <v>포크볼</v>
      </c>
      <c r="B363" s="1" t="str">
        <f>IFERROR(__xludf.DUMMYFUNCTION("TRIM(
  SUBSTITUTE(
    REGEXEXTRACT(raw!A363, ""(?s)재료\s*(.*?)●\s*조리\s*방법""),
    CHAR(10), "", ""
  )
)
"),"삼겹살, 골뱅이 통조림, 홀그레인 머스터드, 양파, 대파, 고추, 레몬,
, 다진 마늘, 소금, 후추, 설탕, 간장, 참기름, 고춧가루, 식초, 올리브오일
, 
,")</f>
        <v>삼겹살, 골뱅이 통조림, 홀그레인 머스터드, 양파, 대파, 고추, 레몬,
, 다진 마늘, 소금, 후추, 설탕, 간장, 참기름, 고춧가루, 식초, 올리브오일
, 
,</v>
      </c>
    </row>
    <row r="364">
      <c r="A364" s="2" t="str">
        <f>recipe!C364
</f>
        <v>긴급사테! 수박주의보!</v>
      </c>
      <c r="B364" s="1" t="str">
        <f>IFERROR(__xludf.DUMMYFUNCTION("TRIM(
  SUBSTITUTE(
    REGEXEXTRACT(raw!A364, ""(?s)재료\s*(.*?)●\s*조리\s*방법""),
    CHAR(10), "", ""
  )
)
"),"닭가슴살, 카레가루, 코코넛워터, 아몬드두유, 굴소스, 유자청, 수박, 고르곤졸라 치즈,
, 땅콩버터, 고추, 적양파, 레몬, 설탕, 후추, 조미료, 올리브오일, 간장, 깨
, 
,")</f>
        <v>닭가슴살, 카레가루, 코코넛워터, 아몬드두유, 굴소스, 유자청, 수박, 고르곤졸라 치즈,
, 땅콩버터, 고추, 적양파, 레몬, 설탕, 후추, 조미료, 올리브오일, 간장, 깨
, 
,</v>
      </c>
    </row>
    <row r="365">
      <c r="A365" s="2" t="str">
        <f>recipe!C365
</f>
        <v>불타는 등심폭탄</v>
      </c>
      <c r="B365" s="1" t="str">
        <f>IFERROR(__xludf.DUMMYFUNCTION("TRIM(
  SUBSTITUTE(
    REGEXEXTRACT(raw!A365, ""(?s)재료\s*(.*?)●\s*조리\s*방법""),
    CHAR(10), "", ""
  )
)
"),"소고기 등심, 굴소스, 레드와인, 콜라, 오렌지, 수박,
, 파인애플 통조림, 보드카, 다진 마늘, 소금, 통후추
, 
,")</f>
        <v>소고기 등심, 굴소스, 레드와인, 콜라, 오렌지, 수박,
, 파인애플 통조림, 보드카, 다진 마늘, 소금, 통후추
, 
,</v>
      </c>
    </row>
    <row r="366">
      <c r="A366" s="2" t="str">
        <f>recipe!C366
</f>
        <v>조전박살</v>
      </c>
      <c r="B366" s="1" t="str">
        <f>IFERROR(__xludf.DUMMYFUNCTION("TRIM(
  SUBSTITUTE(
    REGEXEXTRACT(raw!A366, ""(?s)재료\s*(.*?)●\s*조리\s*방법""),
    CHAR(10), "", ""
  )
)
"),"조기, 전복, 바지락, 딸기잼, 샐러리, 대파, 고추, 레몬, 다진 마늘,
, 전분, 설탕, 후추, 소금, 간장, 맛술, 참기름, 화이트와인
, 
,")</f>
        <v>조기, 전복, 바지락, 딸기잼, 샐러리, 대파, 고추, 레몬, 다진 마늘,
, 전분, 설탕, 후추, 소금, 간장, 맛술, 참기름, 화이트와인
, 
,</v>
      </c>
    </row>
    <row r="367">
      <c r="A367" s="2" t="str">
        <f>recipe!C367
</f>
        <v>도미 살을 바를래</v>
      </c>
      <c r="B367" s="1" t="str">
        <f>IFERROR(__xludf.DUMMYFUNCTION("TRIM(
  SUBSTITUTE(
    REGEXEXTRACT(raw!A367, ""(?s)재료\s*(.*?)●\s*조리\s*방법""),
    CHAR(10), "", ""
  )
)
"),"도미, 배추, 바지락, 고추냉이, 대파, 레몬, 된장, 맛술, 간장, 소금
, 
,")</f>
        <v>도미, 배추, 바지락, 고추냉이, 대파, 레몬, 된장, 맛술, 간장, 소금
, 
,</v>
      </c>
    </row>
    <row r="368">
      <c r="A368" s="2" t="str">
        <f>recipe!C368
</f>
        <v>우아한 프랑스튜</v>
      </c>
      <c r="B368" s="1" t="str">
        <f>IFERROR(__xludf.DUMMYFUNCTION("TRIM(
  SUBSTITUTE(
    REGEXEXTRACT(raw!A368, ""(?s)재료\s*(.*?)●\s*조리\s*방법""),
    CHAR(10), "", ""
  )
)
"),"도미, 가리비, 바지락, 모시조개, 토마토, 새우, 올리브오일, 화이트와인, 대파, 레몬, 소금, 후추
, 
,")</f>
        <v>도미, 가리비, 바지락, 모시조개, 토마토, 새우, 올리브오일, 화이트와인, 대파, 레몬, 소금, 후추
, 
,</v>
      </c>
    </row>
    <row r="369">
      <c r="A369" s="2" t="str">
        <f>recipe!C369
</f>
        <v>나랑 너랑 게랑</v>
      </c>
      <c r="B369" s="1" t="str">
        <f>IFERROR(__xludf.DUMMYFUNCTION("TRIM(
  SUBSTITUTE(
    REGEXEXTRACT(raw!A369, ""(?s)재료\s*(.*?)●\s*조리\s*방법""),
    CHAR(10), "", ""
  )
)
"),"게, 바지락, 새우, 파프리카, 샐러리, 토마토, 배추,
, 당근, 대파, 마늘, 후추, 소금, 버터, 화이트와인, 올리브오일, 식초
, 
,")</f>
        <v>게, 바지락, 새우, 파프리카, 샐러리, 토마토, 배추,
, 당근, 대파, 마늘, 후추, 소금, 버터, 화이트와인, 올리브오일, 식초
, 
,</v>
      </c>
    </row>
    <row r="370">
      <c r="A370" s="2" t="str">
        <f>recipe!C370
</f>
        <v>소스 하나면 돼</v>
      </c>
      <c r="B370" s="1" t="str">
        <f>IFERROR(__xludf.DUMMYFUNCTION("TRIM(
  SUBSTITUTE(
    REGEXEXTRACT(raw!A370, ""(?s)재료\s*(.*?)●\s*조리\s*방법""),
    CHAR(10), "", ""
  )
)
"),"삶은 강낭콩, 파프리카, 애호박, 그린 올리브, 데친 관자, 데친 소라,
, 천도복숭아, 고등어, 고수,마늘, 레몬, 소금, 올리브오일, 후추
, 
,")</f>
        <v>삶은 강낭콩, 파프리카, 애호박, 그린 올리브, 데친 관자, 데친 소라,
, 천도복숭아, 고등어, 고수,마늘, 레몬, 소금, 올리브오일, 후추
, 
,</v>
      </c>
    </row>
    <row r="371">
      <c r="A371" s="2" t="str">
        <f>recipe!C371
</f>
        <v>전병 말아요~</v>
      </c>
      <c r="B371" s="1" t="str">
        <f>IFERROR(__xludf.DUMMYFUNCTION("TRIM(
  SUBSTITUTE(
    REGEXEXTRACT(raw!A371, ""(?s)재료\s*(.*?)●\s*조리\s*방법""),
    CHAR(10), "", ""
  )
)
"),"오이, 적양배추, 오이지, 고기육수, 잣, 소면, 당근, 밀가루, 소금, 깨
, 
,")</f>
        <v>오이, 적양배추, 오이지, 고기육수, 잣, 소면, 당근, 밀가루, 소금, 깨
, 
,</v>
      </c>
    </row>
    <row r="372">
      <c r="A372" s="2" t="str">
        <f>recipe!C372
</f>
        <v>톰얌킹</v>
      </c>
      <c r="B372" s="1" t="str">
        <f>IFERROR(__xludf.DUMMYFUNCTION("TRIM(
  SUBSTITUTE(
    REGEXEXTRACT(raw!A372, ""(?s)재료\s*(.*?)●\s*조리\s*방법""),
    CHAR(10), "", ""
  )
)
"),"찌개용 게, 생강, 천도복숭아, 토마토소스, 사테소스, 새우, 데친 관자, 데친 소라, 포토벨로 버섯,
, 참타리 버섯, 프릭키누, 크러시드 칠리, 토마토주스, 베트남 매운 간장, 아몬드우유, 피시소스,
, 데친 관자, 데친 소라, 고수, 레몬, 소금
, 
,")</f>
        <v>찌개용 게, 생강, 천도복숭아, 토마토소스, 사테소스, 새우, 데친 관자, 데친 소라, 포토벨로 버섯,
, 참타리 버섯, 프릭키누, 크러시드 칠리, 토마토주스, 베트남 매운 간장, 아몬드우유, 피시소스,
, 데친 관자, 데친 소라, 고수, 레몬, 소금
, 
,</v>
      </c>
    </row>
    <row r="373">
      <c r="A373" s="2" t="str">
        <f>recipe!C373
</f>
        <v>톰얌의 고수</v>
      </c>
      <c r="B373" s="1" t="str">
        <f>IFERROR(__xludf.DUMMYFUNCTION("TRIM(
  SUBSTITUTE(
    REGEXEXTRACT(raw!A373, ""(?s)재료\s*(.*?)●\s*조리\s*방법""),
    CHAR(10), "", ""
  )
)
"),"창난젓, 소주, 황태포, 해물다시팩, 베이컨, 사테소스, 베트남 매운 간장, 프릭키누, 애호박,
, 찌개용 게, 새우, 포토벨로 버섯, 데친 소라, 데친 관자, 된장, 고수,
, 다진 마늘, 다진 생강, 레몬, 마늘, 양파, 대파, 즉석밥
, 
,")</f>
        <v>창난젓, 소주, 황태포, 해물다시팩, 베이컨, 사테소스, 베트남 매운 간장, 프릭키누, 애호박,
, 찌개용 게, 새우, 포토벨로 버섯, 데친 소라, 데친 관자, 된장, 고수,
, 다진 마늘, 다진 생강, 레몬, 마늘, 양파, 대파, 즉석밥
, 
,</v>
      </c>
    </row>
    <row r="374">
      <c r="A374" s="2" t="str">
        <f>recipe!C374
</f>
        <v>바쥐락펴락</v>
      </c>
      <c r="B374" s="1" t="str">
        <f>IFERROR(__xludf.DUMMYFUNCTION("TRIM(
  SUBSTITUTE(
    REGEXEXTRACT(raw!A374, ""(?s)재료\s*(.*?)●\s*조리\s*방법""),
    CHAR(10), "", ""
  )
)
"),"바지락, 달걀, 라면스프, 전분, 마요네즈, 레몬
, 
,")</f>
        <v>바지락, 달걀, 라면스프, 전분, 마요네즈, 레몬
, 
,</v>
      </c>
    </row>
    <row r="375">
      <c r="A375" s="2" t="str">
        <f>recipe!C375
</f>
        <v>일탈 닭돼지락</v>
      </c>
      <c r="B375" s="1" t="str">
        <f>IFERROR(__xludf.DUMMYFUNCTION("TRIM(
  SUBSTITUTE(
    REGEXEXTRACT(raw!A375, ""(?s)재료\s*(.*?)●\s*조리\s*방법""),
    CHAR(10), "", ""
  )
)
"),"바지락, 프라이드치킨, 삼겹살, 콩나물, 김가루, 대파,
, 마늘, 청양고추, 레몬, 다진 생강, 청주, 간장, 즉석밥
, 
,")</f>
        <v>바지락, 프라이드치킨, 삼겹살, 콩나물, 김가루, 대파,
, 마늘, 청양고추, 레몬, 다진 생강, 청주, 간장, 즉석밥
, 
,</v>
      </c>
    </row>
    <row r="376">
      <c r="A376" s="2" t="str">
        <f>recipe!C376
</f>
        <v>에그머니나</v>
      </c>
      <c r="B376" s="1" t="str">
        <f>IFERROR(__xludf.DUMMYFUNCTION("TRIM(
  SUBSTITUTE(
    REGEXEXTRACT(raw!A376, ""(?s)재료\s*(.*?)●\s*조리\s*방법""),
    CHAR(10), "", ""
  )
)
"),"달걀, 고추참치, 바지락, 우유, 양파, 마늘, 대파, 화이트와인, 소금, 버터, 고춧가루, 후추
, 
,")</f>
        <v>달걀, 고추참치, 바지락, 우유, 양파, 마늘, 대파, 화이트와인, 소금, 버터, 고춧가루, 후추
, 
,</v>
      </c>
    </row>
    <row r="377">
      <c r="A377" s="2" t="str">
        <f>recipe!C377
</f>
        <v>달걀의 대시</v>
      </c>
      <c r="B377" s="1" t="str">
        <f>IFERROR(__xludf.DUMMYFUNCTION("TRIM(
  SUBSTITUTE(
    REGEXEXTRACT(raw!A377, ""(?s)재료\s*(.*?)●\s*조리\s*방법""),
    CHAR(10), "", ""
  )
)
"),"달걀, 바지락, 김가루, 마늘, 대파, 청주, 맛술, 간장, 소금, 전분, 설탕
, 
,")</f>
        <v>달걀, 바지락, 김가루, 마늘, 대파, 청주, 맛술, 간장, 소금, 전분, 설탕
, 
,</v>
      </c>
    </row>
    <row r="378">
      <c r="A378" s="2" t="str">
        <f>recipe!C378
</f>
        <v>데워먹고 대어 낚는 낚시요리</v>
      </c>
      <c r="B378" s="1" t="str">
        <f>IFERROR(__xludf.DUMMYFUNCTION("TRIM(
  SUBSTITUTE(
    REGEXEXTRACT(raw!A378, ""(?s)재료\s*(.*?)●\s*조리\s*방법""),
    CHAR(10), "", ""
  )
)
"),"돼지고기, 소 안심, 새우젓, 건새우, 멸치, 무, 둥근 애호박, 표고버섯, 아로니아액,
, 햄 통조림, 참치 통조림, 전복, 떡갈비, 데친 얼갈이, 달걀, 두부,
, 양파, 대파, 소금, 후추, 설탕, 참기름, 밀가루, 전분
, 
,")</f>
        <v>돼지고기, 소 안심, 새우젓, 건새우, 멸치, 무, 둥근 애호박, 표고버섯, 아로니아액,
, 햄 통조림, 참치 통조림, 전복, 떡갈비, 데친 얼갈이, 달걀, 두부,
, 양파, 대파, 소금, 후추, 설탕, 참기름, 밀가루, 전분
, 
,</v>
      </c>
    </row>
    <row r="379">
      <c r="A379" s="2" t="str">
        <f>recipe!C379
</f>
        <v>낚았찌개</v>
      </c>
      <c r="B379" s="1" t="str">
        <f>IFERROR(__xludf.DUMMYFUNCTION("TRIM(
  SUBSTITUTE(
    REGEXEXTRACT(raw!A379, ""(?s)재료\s*(.*?)●\s*조리\s*방법""),
    CHAR(10), "", ""
  )
)
"),"토마토, 카레가루, 돼지고기, 건새우, 김, 둥근 애호박,
, 대파, 다진 마늘, 고추장, 고춧가루, 간장, 즉석밥
, 
,")</f>
        <v>토마토, 카레가루, 돼지고기, 건새우, 김, 둥근 애호박,
, 대파, 다진 마늘, 고추장, 고춧가루, 간장, 즉석밥
, 
,</v>
      </c>
    </row>
    <row r="380">
      <c r="A380" s="2" t="str">
        <f>recipe!C380
</f>
        <v>할아버지 최고닭!</v>
      </c>
      <c r="B380" s="1" t="str">
        <f>IFERROR(__xludf.DUMMYFUNCTION("TRIM(
  SUBSTITUTE(
    REGEXEXTRACT(raw!A380, ""(?s)재료\s*(.*?)●\s*조리\s*방법""),
    CHAR(10), "", ""
  )
)
"),"닭다리, 새우, 가지, 감자, 미니 파프리카, 케이퍼,
, 레몬, 양파, 마늘, 대파, 소금, 후추, 버터, 밀가루
, 
,")</f>
        <v>닭다리, 새우, 가지, 감자, 미니 파프리카, 케이퍼,
, 레몬, 양파, 마늘, 대파, 소금, 후추, 버터, 밀가루
, 
,</v>
      </c>
    </row>
    <row r="381">
      <c r="A381" s="2" t="str">
        <f>recipe!C381
</f>
        <v>그랜드파더 젠틀롤</v>
      </c>
      <c r="B381" s="1" t="str">
        <f>IFERROR(__xludf.DUMMYFUNCTION("TRIM(
  SUBSTITUTE(
    REGEXEXTRACT(raw!A381, ""(?s)재료\s*(.*?)●\s*조리\s*방법""),
    CHAR(10), "", ""
  )
)
"),"채끝살, 토마토, 사과, 미니 파프리카, 삶은 숙주나물, 감자, 우엉, 잣,
, 버터, 전분, 레드와인, 간장, 설탕, 맛술
, 
,")</f>
        <v>채끝살, 토마토, 사과, 미니 파프리카, 삶은 숙주나물, 감자, 우엉, 잣,
, 버터, 전분, 레드와인, 간장, 설탕, 맛술
, 
,</v>
      </c>
    </row>
    <row r="382">
      <c r="A382" s="2" t="str">
        <f>recipe!C382
</f>
        <v>제비 몰러 나간 알</v>
      </c>
      <c r="B382" s="1" t="str">
        <f>IFERROR(__xludf.DUMMYFUNCTION("TRIM(
  SUBSTITUTE(
    REGEXEXTRACT(raw!A382, ""(?s)재료\s*(.*?)●\s*조리\s*방법""),
    CHAR(10), "", ""
  )
)
"),"새우살, 옥돔, 골뱅이 통조림, 제비집, 파파야, 복숭아, 사과, 오이, 굴소스, 달걀,
, 양파, 레몬, 당근, 청양고추, 다진 생강, 버터, 전분, 간장, 식초, 설탕
, 
,")</f>
        <v>새우살, 옥돔, 골뱅이 통조림, 제비집, 파파야, 복숭아, 사과, 오이, 굴소스, 달걀,
, 양파, 레몬, 당근, 청양고추, 다진 생강, 버터, 전분, 간장, 식초, 설탕
, 
,</v>
      </c>
    </row>
    <row r="383">
      <c r="A383" s="2" t="str">
        <f>recipe!C383
</f>
        <v>타임 투 새우굿</v>
      </c>
      <c r="B383" s="1" t="str">
        <f>IFERROR(__xludf.DUMMYFUNCTION("TRIM(
  SUBSTITUTE(
    REGEXEXTRACT(raw!A383, ""(?s)재료\s*(.*?)●\s*조리\s*방법""),
    CHAR(10), "", ""
  )
)
"),"칵테일새우, 불고기용 소고기, 모차렐라 치즈, 블랙올리브, 할라피뇨,
, 자두, 굴소스, 대파, 양파, 마늘, 후추, 밀가루, 화이트와인
, 
,")</f>
        <v>칵테일새우, 불고기용 소고기, 모차렐라 치즈, 블랙올리브, 할라피뇨,
, 자두, 굴소스, 대파, 양파, 마늘, 후추, 밀가루, 화이트와인
, 
,</v>
      </c>
    </row>
    <row r="384">
      <c r="A384" s="2" t="str">
        <f>recipe!C384
</f>
        <v>묵은지 뚝배기</v>
      </c>
      <c r="B384" s="1" t="str">
        <f>IFERROR(__xludf.DUMMYFUNCTION("TRIM(
  SUBSTITUTE(
    REGEXEXTRACT(raw!A384, ""(?s)재료\s*(.*?)●\s*조리\s*방법""),
    CHAR(10), "", ""
  )
)
"),"묵은지, 소고기, 베이컨, 감자, 표고버섯, 애호박, 알프레도소스, 양배추,
, 달걀, 양파, 당근, 대파, 레몬, 후추, 고춧가루
, 
,")</f>
        <v>묵은지, 소고기, 베이컨, 감자, 표고버섯, 애호박, 알프레도소스, 양배추,
, 달걀, 양파, 당근, 대파, 레몬, 후추, 고춧가루
, 
,</v>
      </c>
    </row>
    <row r="385">
      <c r="A385" s="2" t="str">
        <f>recipe!C385
</f>
        <v>부자 나초</v>
      </c>
      <c r="B385" s="1" t="str">
        <f>IFERROR(__xludf.DUMMYFUNCTION("TRIM(
  SUBSTITUTE(
    REGEXEXTRACT(raw!A385, ""(?s)재료\s*(.*?)●\s*조리\s*방법""),
    CHAR(10), "", ""
  )
)
"),"김치, 나초, 떡갈비, 토마토소스, 피치망고잼, 스테이크소스, 고형카레, 핫소스, 유부초밥용 유부,
, 모차렐라치즈, 슬라이스 체다치즈, 블랙올리브, 양파, 대파, 청양고추, 즉석밥, 후추, 화이트와인
, 
,")</f>
        <v>김치, 나초, 떡갈비, 토마토소스, 피치망고잼, 스테이크소스, 고형카레, 핫소스, 유부초밥용 유부,
, 모차렐라치즈, 슬라이스 체다치즈, 블랙올리브, 양파, 대파, 청양고추, 즉석밥, 후추, 화이트와인
, 
,</v>
      </c>
    </row>
    <row r="386">
      <c r="A386" s="2" t="str">
        <f>recipe!C386
</f>
        <v>튀튀빵빵</v>
      </c>
      <c r="B386" s="1" t="str">
        <f>IFERROR(__xludf.DUMMYFUNCTION("TRIM(
  SUBSTITUTE(
    REGEXEXTRACT(raw!A386, ""(?s)재료\s*(.*?)●\s*조리\s*방법""),
    CHAR(10), "", ""
  )
)
"),"이스트, 코코넛오일, 사과, 자두, 오렌지, 연유, 꿀, 밀가루, 소금, 설탕
, 
,")</f>
        <v>이스트, 코코넛오일, 사과, 자두, 오렌지, 연유, 꿀, 밀가루, 소금, 설탕
, 
,</v>
      </c>
    </row>
    <row r="387">
      <c r="A387" s="2" t="str">
        <f>recipe!C387
</f>
        <v>두밥두밥 두부두밥♬</v>
      </c>
      <c r="B387" s="1" t="str">
        <f>IFERROR(__xludf.DUMMYFUNCTION("TRIM(
  SUBSTITUTE(
    REGEXEXTRACT(raw!A387, ""(?s)재료\s*(.*?)●\s*조리\s*방법""),
    CHAR(10), "", ""
  )
)
"),"두부, 아보카도, 불고기용 소고기, 적양파, 애호박, 표고버섯, 배, 김밥용 우엉,
, 매실액, 매운 수제양념장, 마늘, 청주, 맛술, 간장, 전분, 밀가루, 즉석밥, 설탕
, 
,")</f>
        <v>두부, 아보카도, 불고기용 소고기, 적양파, 애호박, 표고버섯, 배, 김밥용 우엉,
, 매실액, 매운 수제양념장, 마늘, 청주, 맛술, 간장, 전분, 밀가루, 즉석밥, 설탕
, 
,</v>
      </c>
    </row>
    <row r="388">
      <c r="A388" s="2" t="str">
        <f>recipe!C388
</f>
        <v>소주 한 잔 참치마</v>
      </c>
      <c r="B388" s="1" t="str">
        <f>IFERROR(__xludf.DUMMYFUNCTION("TRIM(
  SUBSTITUTE(
    REGEXEXTRACT(raw!A388, ""(?s)재료\s*(.*?)●\s*조리\s*방법""),
    CHAR(10), "", ""
  )
)
"),"참치 통조림, 아보카도, 적양파, 라임, 떡볶이 떡,
, 청양고추, 마늘, 대파, 간장, 고춧가루, 식초, 설탕, 밀가루, 전분, 소금, 깨
, 
,")</f>
        <v>참치 통조림, 아보카도, 적양파, 라임, 떡볶이 떡,
, 청양고추, 마늘, 대파, 간장, 고춧가루, 식초, 설탕, 밀가루, 전분, 소금, 깨
, 
,</v>
      </c>
    </row>
    <row r="389">
      <c r="A389" s="2" t="str">
        <f>recipe!C389
</f>
        <v>두부세요~ 나야♬</v>
      </c>
      <c r="B389" s="1" t="str">
        <f>IFERROR(__xludf.DUMMYFUNCTION("TRIM(
  SUBSTITUTE(
    REGEXEXTRACT(raw!A389, ""(?s)재료\s*(.*?)●\s*조리\s*방법""),
    CHAR(10), "", ""
  )
)
"),"두부, 불고기용 소고기, 표고버섯, 떡볶이 떡, 굴소스, 새우젓, 부추, 적양파,
, 태국고추, 마늘, 대파, 청양고추, 고춧가루, 맛술, 식초, 소금, 후추
, 
,")</f>
        <v>두부, 불고기용 소고기, 표고버섯, 떡볶이 떡, 굴소스, 새우젓, 부추, 적양파,
, 태국고추, 마늘, 대파, 청양고추, 고춧가루, 맛술, 식초, 소금, 후추
, 
,</v>
      </c>
    </row>
    <row r="390">
      <c r="A390" s="2" t="str">
        <f>recipe!C390
</f>
        <v>가위로 오리면</v>
      </c>
      <c r="B390" s="1" t="str">
        <f>IFERROR(__xludf.DUMMYFUNCTION("TRIM(
  SUBSTITUTE(
    REGEXEXTRACT(raw!A390, ""(?s)재료\s*(.*?)●\s*조리\s*방법""),
    CHAR(10), "", ""
  )
)
"),"훈제오리살, 적양파, 아스파라거스, 표고버섯, 연근, 귤, 돼지갈비양념,
, 밀가루, 소금, 마늘, 대파, 후추, 맛술
, 
,")</f>
        <v>훈제오리살, 적양파, 아스파라거스, 표고버섯, 연근, 귤, 돼지갈비양념,
, 밀가루, 소금, 마늘, 대파, 후추, 맛술
, 
,</v>
      </c>
    </row>
    <row r="391">
      <c r="A391" s="2" t="str">
        <f>recipe!C391
</f>
        <v>오늘부터 오리는♬</v>
      </c>
      <c r="B391" s="1" t="str">
        <f>IFERROR(__xludf.DUMMYFUNCTION("TRIM(
  SUBSTITUTE(
    REGEXEXTRACT(raw!A391, ""(?s)재료\s*(.*?)●\s*조리\s*방법""),
    CHAR(10), "", ""
  )
)
"),"오리고기, 아스파라거스, 적양파, 복숭아, 귤, 소금,
, 후추, 올리브오일, 레드와인, 레몬, 버터, 밀가루
, 
,")</f>
        <v>오리고기, 아스파라거스, 적양파, 복숭아, 귤, 소금,
, 후추, 올리브오일, 레드와인, 레몬, 버터, 밀가루
, 
,</v>
      </c>
    </row>
    <row r="392">
      <c r="A392" s="2" t="str">
        <f>recipe!C392
</f>
        <v>고등어가 놀라유</v>
      </c>
      <c r="B392" s="1" t="str">
        <f>IFERROR(__xludf.DUMMYFUNCTION("TRIM(
  SUBSTITUTE(
    REGEXEXTRACT(raw!A392, ""(?s)재료\s*(.*?)●\s*조리\s*방법""),
    CHAR(10), "", ""
  )
)
"),"고등어, 매운 고춧가루, 아이스군고구마, 청주, 다진 생강, 고추, 대파,
, 간장, 맛술, 양파, 즉석밥, 설탕, 물엿, 카놀라유
, 
,")</f>
        <v>고등어, 매운 고춧가루, 아이스군고구마, 청주, 다진 생강, 고추, 대파,
, 간장, 맛술, 양파, 즉석밥, 설탕, 물엿, 카놀라유
, 
,</v>
      </c>
    </row>
    <row r="393">
      <c r="A393" s="2" t="str">
        <f>recipe!C393
</f>
        <v>고등어 하나만 허락해주소서♬</v>
      </c>
      <c r="B393" s="1" t="str">
        <f>IFERROR(__xludf.DUMMYFUNCTION("TRIM(
  SUBSTITUTE(
    REGEXEXTRACT(raw!A393, ""(?s)재료\s*(.*?)●\s*조리\s*방법""),
    CHAR(10), "", ""
  )
)
"),"고등어, 감자, 명란젓, 옥수수 통조림, 아스파라거스, 청주, 맛술,
, 설탕, 소금, 버터, 깨, 참기름, 마요네즈, 다진 생강, 즉석밥
, 
,")</f>
        <v>고등어, 감자, 명란젓, 옥수수 통조림, 아스파라거스, 청주, 맛술,
, 설탕, 소금, 버터, 깨, 참기름, 마요네즈, 다진 생강, 즉석밥
, 
,</v>
      </c>
    </row>
    <row r="394">
      <c r="A394" s="2" t="str">
        <f>recipe!C394
</f>
        <v>블링토볼</v>
      </c>
      <c r="B394" s="1" t="str">
        <f>IFERROR(__xludf.DUMMYFUNCTION("TRIM(
  SUBSTITUTE(
    REGEXEXTRACT(raw!A394, ""(?s)재료\s*(.*?)●\s*조리\s*방법""),
    CHAR(10), "", ""
  )
)
"),"살치살, 조미료, 샐러드용 채소, 토마토, 양파, 소금, 식초, 설탕, 후추,
, 올리브오일, 마늘, 고추, 대파, 식용유, 달걀, 즉석밥
, 
,")</f>
        <v>살치살, 조미료, 샐러드용 채소, 토마토, 양파, 소금, 식초, 설탕, 후추,
, 올리브오일, 마늘, 고추, 대파, 식용유, 달걀, 즉석밥
, 
,</v>
      </c>
    </row>
    <row r="395">
      <c r="A395" s="2" t="str">
        <f>recipe!C395
</f>
        <v>입맛다시징</v>
      </c>
      <c r="B395" s="1" t="str">
        <f>IFERROR(__xludf.DUMMYFUNCTION("TRIM(
  SUBSTITUTE(
    REGEXEXTRACT(raw!A395, ""(?s)재료\s*(.*?)●\s*조리\s*방법""),
    CHAR(10), "", ""
  )
)
"),"오징어, 조미료, 태국고추, 엔다이브, 대파, 양파,
, 청양고추, 마늘, 간장, 전분, 참기름, 즉석밥
, 
,")</f>
        <v>오징어, 조미료, 태국고추, 엔다이브, 대파, 양파,
, 청양고추, 마늘, 간장, 전분, 참기름, 즉석밥
, 
,</v>
      </c>
    </row>
    <row r="396">
      <c r="A396" s="2" t="str">
        <f>recipe!C396
</f>
        <v>야들야들한~♬ 고추완자</v>
      </c>
      <c r="B396" s="1" t="str">
        <f>IFERROR(__xludf.DUMMYFUNCTION("TRIM(
  SUBSTITUTE(
    REGEXEXTRACT(raw!A396, ""(?s)재료\s*(.*?)●\s*조리\s*방법""),
    CHAR(10), "", ""
  )
)
"),"살치살, 닭가슴살, 애플망고, 아스파라거스, 매실장아찌, 양파,
, 청양고추, 달걀, 버터, 후추, 소금, 전분, 설탕, 레몬, 마요네즈
, 
,")</f>
        <v>살치살, 닭가슴살, 애플망고, 아스파라거스, 매실장아찌, 양파,
, 청양고추, 달걀, 버터, 후추, 소금, 전분, 설탕, 레몬, 마요네즈
, 
,</v>
      </c>
    </row>
    <row r="397">
      <c r="A397" s="2" t="str">
        <f>recipe!C397
</f>
        <v>오징어 카니발♬</v>
      </c>
      <c r="B397" s="1" t="str">
        <f>IFERROR(__xludf.DUMMYFUNCTION("TRIM(
  SUBSTITUTE(
    REGEXEXTRACT(raw!A397, ""(?s)재료\s*(.*?)●\s*조리\s*방법""),
    CHAR(10), "", ""
  )
)
"),"오징어, 태국고추, 달걀, 전분, 설탕, 소금, 버터, 마늘,
, 식용유, 고춧가루, 청양고추, 대파, 케첩
, 
,")</f>
        <v>오징어, 태국고추, 달걀, 전분, 설탕, 소금, 버터, 마늘,
, 식용유, 고춧가루, 청양고추, 대파, 케첩
, 
,</v>
      </c>
    </row>
    <row r="398">
      <c r="A398" s="2" t="str">
        <f>recipe!C398
</f>
        <v>짐승롤</v>
      </c>
      <c r="B398" s="1" t="str">
        <f>IFERROR(__xludf.DUMMYFUNCTION("TRIM(
  SUBSTITUTE(
    REGEXEXTRACT(raw!A398, ""(?s)재료\s*(.*?)●\s*조리\s*방법""),
    CHAR(10), "", ""
  )
)
"),"돼지고기, 인스턴트 LA갈비, 크림치즈, 우유, 토마토소스, 달걀,
, 표고버섯, 휘핑크림, 대파, 양파, 레몬, 밀가루, 소금
, 
,")</f>
        <v>돼지고기, 인스턴트 LA갈비, 크림치즈, 우유, 토마토소스, 달걀,
, 표고버섯, 휘핑크림, 대파, 양파, 레몬, 밀가루, 소금
, 
,</v>
      </c>
    </row>
    <row r="399">
      <c r="A399" s="2" t="str">
        <f>recipe!C399
</f>
        <v>스바라시멘</v>
      </c>
      <c r="B399" s="1" t="str">
        <f>IFERROR(__xludf.DUMMYFUNCTION("TRIM(
  SUBSTITUTE(
    REGEXEXTRACT(raw!A399, ""(?s)재료\s*(.*?)●\s*조리\s*방법""),
    CHAR(10), "", ""
  )
)
"),"돼지고기, 컵라면, 애호박, 깻잎, 견과류, 표고버섯, 갓김치, 냉면면, 청포도,
, 명란젓, 멸치볶음, 달걀, 전분, 올리브오일, 소금, 간장, 맛술, 후추, 고춧가루
, 
,")</f>
        <v>돼지고기, 컵라면, 애호박, 깻잎, 견과류, 표고버섯, 갓김치, 냉면면, 청포도,
, 명란젓, 멸치볶음, 달걀, 전분, 올리브오일, 소금, 간장, 맛술, 후추, 고춧가루
, 
,</v>
      </c>
    </row>
    <row r="400">
      <c r="A400" s="2" t="str">
        <f>recipe!C400
</f>
        <v>단결! 곰탕이지말입니다</v>
      </c>
      <c r="B400" s="1" t="str">
        <f>IFERROR(__xludf.DUMMYFUNCTION("TRIM(
  SUBSTITUTE(
    REGEXEXTRACT(raw!A400, ""(?s)재료\s*(.*?)●\s*조리\s*방법""),
    CHAR(10), "", ""
  )
)
"),"인스턴트 곰탕, 불고기용 돼지고기, 통오징어, 애호박, 깻잎, 미니파프리카, 양파, 다진 마늘,
, 레몬, 고추, 고춧가루, 고추장, 참기름, 간장, 물엿, 맛술, 후추, 화이트와인, 버터
, 
,")</f>
        <v>인스턴트 곰탕, 불고기용 돼지고기, 통오징어, 애호박, 깻잎, 미니파프리카, 양파, 다진 마늘,
, 레몬, 고추, 고춧가루, 고추장, 참기름, 간장, 물엿, 맛술, 후추, 화이트와인, 버터
, 
,</v>
      </c>
    </row>
    <row r="401">
      <c r="A401" s="2" t="str">
        <f>recipe!C401
</f>
        <v>I'll be back♬</v>
      </c>
      <c r="B401" s="1" t="str">
        <f>IFERROR(__xludf.DUMMYFUNCTION("TRIM(
  SUBSTITUTE(
    REGEXEXTRACT(raw!A401, ""(?s)재료\s*(.*?)●\s*조리\s*방법""),
    CHAR(10), "", ""
  )
)
"),"돼지목살, 훈제오리, 수비드치킨, 감자, 미니파프리카, 애호박, 청양고추, 그린올리브, 방울토마토,
, 휘핑크림, 인스턴트 곰탕, 모차렐라&amp;체다 치즈, 토마토소스, 양파, 마늘, 소금, 고춧가루
, 
,")</f>
        <v>돼지목살, 훈제오리, 수비드치킨, 감자, 미니파프리카, 애호박, 청양고추, 그린올리브, 방울토마토,
, 휘핑크림, 인스턴트 곰탕, 모차렐라&amp;체다 치즈, 토마토소스, 양파, 마늘, 소금, 고춧가루
, 
,</v>
      </c>
    </row>
    <row r="402">
      <c r="A402" s="2" t="str">
        <f>recipe!C402
</f>
        <v>하룻강아지 복 무서운 줄 알고 오삼</v>
      </c>
      <c r="B402" s="1" t="str">
        <f>IFERROR(__xludf.DUMMYFUNCTION("TRIM(
  SUBSTITUTE(
    REGEXEXTRACT(raw!A402, ""(?s)재료\s*(.*?)●\s*조리\s*방법""),
    CHAR(10), "", ""
  )
)
"),"삼겹살, 오징어, 명란젓, 케첩, 허니머스터드, 달걀, 양파, 대파, 마늘,
, 소금, 후추, 밀가루, 전분, 식용유, 고춧가루
, 
,")</f>
        <v>삼겹살, 오징어, 명란젓, 케첩, 허니머스터드, 달걀, 양파, 대파, 마늘,
, 소금, 후추, 밀가루, 전분, 식용유, 고춧가루
, 
,</v>
      </c>
    </row>
    <row r="403">
      <c r="A403" s="2" t="str">
        <f>recipe!C403
</f>
        <v>황금탕수육</v>
      </c>
      <c r="B403" s="1" t="str">
        <f>IFERROR(__xludf.DUMMYFUNCTION("TRIM(
  SUBSTITUTE(
    REGEXEXTRACT(raw!A403, ""(?s)재료\s*(.*?)●\s*조리\s*방법""),
    CHAR(10), "", ""
  )
)
"),"돼지목살, 청포도, 사과, 견과류, 복분자즙, 양파, 대파, 고추, 레몬,
, 다진 생강, 밀가루, 전분, 식용유, 간장, 식초, 설탕
, 
,")</f>
        <v>돼지목살, 청포도, 사과, 견과류, 복분자즙, 양파, 대파, 고추, 레몬,
, 다진 생강, 밀가루, 전분, 식용유, 간장, 식초, 설탕
, 
,</v>
      </c>
    </row>
    <row r="404">
      <c r="A404" s="2" t="str">
        <f>recipe!C404
</f>
        <v>청고마비</v>
      </c>
      <c r="B404" s="1" t="str">
        <f>IFERROR(__xludf.DUMMYFUNCTION("TRIM(
  SUBSTITUTE(
    REGEXEXTRACT(raw!A404, ""(?s)재료\s*(.*?)●\s*조리\s*방법""),
    CHAR(10), "", ""
  )
)
"),"고등어, 청포도, 사과주스, 레몬, 대파, 다진 생강, 버터, 소금, 후추, 밀가루
, 
,")</f>
        <v>고등어, 청포도, 사과주스, 레몬, 대파, 다진 생강, 버터, 소금, 후추, 밀가루
, 
,</v>
      </c>
    </row>
    <row r="405">
      <c r="A405" s="2" t="str">
        <f>recipe!C405
</f>
        <v>나비효과</v>
      </c>
      <c r="B405" s="1" t="str">
        <f>IFERROR(__xludf.DUMMYFUNCTION("TRIM(
  SUBSTITUTE(
    REGEXEXTRACT(raw!A405, ""(?s)재료\s*(.*?)●\s*조리\s*방법""),
    CHAR(10), "", ""
  )
)
"),"오징어, 전복, 명란젓, 멸치볶음, 두부, 조미김, 인스턴트 맛조개국, 깻잎장아찌,
, 마늘, 양파, 대파, 달걀, 화이트와인, 즉석밥, 밀가루, 전분, 올리브오일, 소금, 후추, 고추냉이
, 
,")</f>
        <v>오징어, 전복, 명란젓, 멸치볶음, 두부, 조미김, 인스턴트 맛조개국, 깻잎장아찌,
, 마늘, 양파, 대파, 달걀, 화이트와인, 즉석밥, 밀가루, 전분, 올리브오일, 소금, 후추, 고추냉이
, 
,</v>
      </c>
    </row>
    <row r="406">
      <c r="A406" s="2" t="str">
        <f>recipe!C406
</f>
        <v>샘통이다</v>
      </c>
      <c r="B406" s="1" t="str">
        <f>IFERROR(__xludf.DUMMYFUNCTION("TRIM(
  SUBSTITUTE(
    REGEXEXTRACT(raw!A406, ""(?s)재료\s*(.*?)●\s*조리\s*방법""),
    CHAR(10), "", ""
  )
)
"),"오징어, 낙지, 소고기 양지, 골뱅이 통조림, 애호박, 허니머스터드, 감자, 송이버섯,
, 파르메산 치즈가루, 무, 대파, 마늘, 레몬, 소금, 참기름, 간장, 후추, 마요네즈, 올리브오일
, 
,")</f>
        <v>오징어, 낙지, 소고기 양지, 골뱅이 통조림, 애호박, 허니머스터드, 감자, 송이버섯,
, 파르메산 치즈가루, 무, 대파, 마늘, 레몬, 소금, 참기름, 간장, 후추, 마요네즈, 올리브오일
, 
,</v>
      </c>
    </row>
    <row r="407">
      <c r="A407" s="2" t="str">
        <f>recipe!C407
</f>
        <v>낙장불입</v>
      </c>
      <c r="B407" s="1" t="str">
        <f>IFERROR(__xludf.DUMMYFUNCTION("TRIM(
  SUBSTITUTE(
    REGEXEXTRACT(raw!A407, ""(?s)재료\s*(.*?)●\s*조리\s*방법""),
    CHAR(10), "", ""
  )
)
"),"낙지, 장어, 인삼뿌리, 위스키, 인삼음료, 영양부추, 파르메산 치즈가루, 양파,
, 마늘, 밀가루, 식용유, 마요네즈, 고추냉이, 소금, 고춧가루, 즉석밥
, 
,")</f>
        <v>낙지, 장어, 인삼뿌리, 위스키, 인삼음료, 영양부추, 파르메산 치즈가루, 양파,
, 마늘, 밀가루, 식용유, 마요네즈, 고추냉이, 소금, 고춧가루, 즉석밥
, 
,</v>
      </c>
    </row>
    <row r="408">
      <c r="A408" s="2" t="str">
        <f>recipe!C408
</f>
        <v>깨지겠탕</v>
      </c>
      <c r="B408" s="1" t="str">
        <f>IFERROR(__xludf.DUMMYFUNCTION("TRIM(
  SUBSTITUTE(
    REGEXEXTRACT(raw!A408, ""(?s)재료\s*(.*?)●\s*조리\s*방법""),
    CHAR(10), "", ""
  )
)
"),"소고기 양지, 황태채, 들깨가루, 굴소스, 쌈추, 부추, 팽이버섯,
, 감자, 마늘, 청양고추, 참기름, 소금, 식초, 즉석밥
, 
,")</f>
        <v>소고기 양지, 황태채, 들깨가루, 굴소스, 쌈추, 부추, 팽이버섯,
, 감자, 마늘, 청양고추, 참기름, 소금, 식초, 즉석밥
, 
,</v>
      </c>
    </row>
    <row r="409">
      <c r="A409" s="2" t="str">
        <f>recipe!C409
</f>
        <v>콩닭거렸쌈</v>
      </c>
      <c r="B409" s="1" t="str">
        <f>IFERROR(__xludf.DUMMYFUNCTION("TRIM(
  SUBSTITUTE(
    REGEXEXTRACT(raw!A409, ""(?s)재료\s*(.*?)●\s*조리\s*방법""),
    CHAR(10), "", ""
  )
)
"),"인스턴트 닭발, 송편, 곶감, 블루베리, 꿀에 절인 인삼, 인삼음료, 마누카 꿀, 흑마늘액, 능이버섯 달인 물,
, 땅콩, 콩잎장아찌, 증류소주, 영양부추, 레몬, 설탕, 물엿, 참기름, 깨, 소금, 겨자, 즉석밥
, 
,")</f>
        <v>인스턴트 닭발, 송편, 곶감, 블루베리, 꿀에 절인 인삼, 인삼음료, 마누카 꿀, 흑마늘액, 능이버섯 달인 물,
, 땅콩, 콩잎장아찌, 증류소주, 영양부추, 레몬, 설탕, 물엿, 참기름, 깨, 소금, 겨자, 즉석밥
, 
,</v>
      </c>
    </row>
    <row r="410">
      <c r="A410" s="2" t="str">
        <f>recipe!C410
</f>
        <v>오마이갓코스</v>
      </c>
      <c r="B410" s="1" t="str">
        <f>IFERROR(__xludf.DUMMYFUNCTION("TRIM(
  SUBSTITUTE(
    REGEXEXTRACT(raw!A410, ""(?s)재료\s*(.*?)●\s*조리\s*방법""),
    CHAR(10), "", ""
  )
)
"),"소고기 등심, 수비드 닭가슴살, 바닐라 아이스크림, 크림치즈, 우유, 웨하스 초콜릿, 아몬드,
, 유자청, 체다치즈, 굴소스, 레몬, 양파, 대파, 당근, 달걀, 간장, 올리브오일, 버터, 밀가루, 소금
, 
,")</f>
        <v>소고기 등심, 수비드 닭가슴살, 바닐라 아이스크림, 크림치즈, 우유, 웨하스 초콜릿, 아몬드,
, 유자청, 체다치즈, 굴소스, 레몬, 양파, 대파, 당근, 달걀, 간장, 올리브오일, 버터, 밀가루, 소금
, 
,</v>
      </c>
    </row>
    <row r="411">
      <c r="A411" s="2" t="str">
        <f>recipe!C411
</f>
        <v>미식풀코스</v>
      </c>
      <c r="B411" s="1" t="str">
        <f>IFERROR(__xludf.DUMMYFUNCTION("TRIM(
  SUBSTITUTE(
    REGEXEXTRACT(raw!A411, ""(?s)재료\s*(.*?)●\s*조리\s*방법""),
    CHAR(10), "", ""
  )
)
"),"수비드 닭가슴살, 바닐라 아이스크림, 아몬드, 초콜릿, 짬뽕라면, 깍두기, 양배추즙,
, 대파, 당근, 양파, 레몬, 달걀, 올리브오일, 식초, 소금, 후추,
, 
,")</f>
        <v>수비드 닭가슴살, 바닐라 아이스크림, 아몬드, 초콜릿, 짬뽕라면, 깍두기, 양배추즙,
, 대파, 당근, 양파, 레몬, 달걀, 올리브오일, 식초, 소금, 후추,
, 
,</v>
      </c>
    </row>
    <row r="412">
      <c r="A412" s="2" t="str">
        <f>recipe!C412
</f>
        <v>잭슨 앤 치즈스테이크</v>
      </c>
      <c r="B412" s="1" t="str">
        <f>IFERROR(__xludf.DUMMYFUNCTION("TRIM(
  SUBSTITUTE(
    REGEXEXTRACT(raw!A412, ""(?s)재료\s*(.*?)●\s*조리\s*방법""),
    CHAR(10), "", ""
  )
)
"),"소고기 등심, 수비드 닭가슴살, 크림치즈, 체다치즈, 우유,
, 아몬드, 양파, 레몬, 소금, 후추, 밀가루, 버터
, 
,")</f>
        <v>소고기 등심, 수비드 닭가슴살, 크림치즈, 체다치즈, 우유,
, 아몬드, 양파, 레몬, 소금, 후추, 밀가루, 버터
, 
,</v>
      </c>
    </row>
    <row r="413">
      <c r="A413" s="2" t="str">
        <f>recipe!C413
</f>
        <v>소울을 느끼소</v>
      </c>
      <c r="B413" s="1" t="str">
        <f>IFERROR(__xludf.DUMMYFUNCTION("TRIM(
  SUBSTITUTE(
    REGEXEXTRACT(raw!A413, ""(?s)재료\s*(.*?)●\s*조리\s*방법""),
    CHAR(10), "", ""
  )
)
"),"소고기 등심, 크림치즈, 우유, 양파, 대파, 달걀, 즉석밥, 레드와인, 버터, 밀가루, 소금, 간장, 겨자, ,")</f>
        <v>소고기 등심, 크림치즈, 우유, 양파, 대파, 달걀, 즉석밥, 레드와인, 버터, 밀가루, 소금, 간장, 겨자, ,</v>
      </c>
    </row>
    <row r="414">
      <c r="A414" s="3" t="str">
        <f>recipe!C414
</f>
        <v>만두에 대한 경례</v>
      </c>
      <c r="B414" s="1" t="str">
        <f>IFERROR(__xludf.DUMMYFUNCTION("TRIM(
  SUBSTITUTE(
    REGEXEXTRACT(raw!A414, ""(?s)재료\s*(.*?)●\s*조리\s*방법""),
    CHAR(10), "", ""
  )
)
"),"삼겹살, 팽이버섯, 파프리카, 굴소스, 양파, 대파, 레몬, 마늘,
, 다진 생강, 버터, 맛술, 간장, 참기름, 밀가루, 설탕
, 
,")</f>
        <v>삼겹살, 팽이버섯, 파프리카, 굴소스, 양파, 대파, 레몬, 마늘,
, 다진 생강, 버터, 맛술, 간장, 참기름, 밀가루, 설탕
, 
,</v>
      </c>
    </row>
    <row r="415">
      <c r="A415" s="2" t="str">
        <f>recipe!C415
</f>
        <v>복 잡으러 왔단닭</v>
      </c>
      <c r="B415" s="1" t="str">
        <f>IFERROR(__xludf.DUMMYFUNCTION("TRIM(
  SUBSTITUTE(
    REGEXEXTRACT(raw!A415, ""(?s)재료\s*(.*?)●\s*조리\s*방법""),
    CHAR(10), "", ""
  )
)
"),"고추맛 닭가슴살볼, 삼겹살, 표고버섯, 굴소스, 레몬, 양파, 달걀, 청주, 케첩, 설탕, 식초
, 
,")</f>
        <v>고추맛 닭가슴살볼, 삼겹살, 표고버섯, 굴소스, 레몬, 양파, 달걀, 청주, 케첩, 설탕, 식초
, 
,</v>
      </c>
    </row>
    <row r="416">
      <c r="A416" s="2" t="str">
        <f>recipe!C416
</f>
        <v>풍절판</v>
      </c>
      <c r="B416" s="1" t="str">
        <f>IFERROR(__xludf.DUMMYFUNCTION("TRIM(
  SUBSTITUTE(
    REGEXEXTRACT(raw!A416, ""(?s)재료\s*(.*?)●\s*조리\s*방법""),
    CHAR(10), "", ""
  )
)
"),"삼겹살, 새송이버섯, 팽이버섯, 브로콜리, 파프리카, 감자, 굴소스, 다진 마늘, 다진 생강,
, 소금, 밀가루, 설탕, 맛술, 깨, 간장, 식초, 참기름
, 
,")</f>
        <v>삼겹살, 새송이버섯, 팽이버섯, 브로콜리, 파프리카, 감자, 굴소스, 다진 마늘, 다진 생강,
, 소금, 밀가루, 설탕, 맛술, 깨, 간장, 식초, 참기름
, 
,</v>
      </c>
    </row>
    <row r="417">
      <c r="A417" s="2" t="str">
        <f>recipe!C417
</f>
        <v>으르렁 으르렁 돼지불백♬</v>
      </c>
      <c r="B417" s="1" t="str">
        <f>IFERROR(__xludf.DUMMYFUNCTION("TRIM(
  SUBSTITUTE(
    REGEXEXTRACT(raw!A417, ""(?s)재료\s*(.*?)●\s*조리\s*방법""),
    CHAR(10), "", ""
  )
)
"),"삼겹살, 감자, 굴소스, 대파, 당근, 마늘, 양파, 다진 마늘, 간장, 설탕, 물엿, 맛술,, 소금, 후추, 식초, 참기름, 깨, 즉석밥, 달걀, ,")</f>
        <v>삼겹살, 감자, 굴소스, 대파, 당근, 마늘, 양파, 다진 마늘, 간장, 설탕, 물엿, 맛술,, 소금, 후추, 식초, 참기름, 깨, 즉석밥, 달걀, ,</v>
      </c>
    </row>
    <row r="418">
      <c r="A418" s="2" t="str">
        <f>recipe!C418
</f>
        <v>오빠 한번 믿어봐♬</v>
      </c>
      <c r="B418" s="1" t="str">
        <f>IFERROR(__xludf.DUMMYFUNCTION("TRIM(
  SUBSTITUTE(
    REGEXEXTRACT(raw!A418, ""(?s)재료\s*(.*?)●\s*조리\s*방법""),
    CHAR(10), "", ""
  )
)
"),"사과, 견과류, 건크랜베리, 발사믹소스, 딸기잼, 오미자 원액, 딸기맛 요거트,
, 버터, 설탕, 밀가루, 달걀, 소금, 전분
, 
,")</f>
        <v>사과, 견과류, 건크랜베리, 발사믹소스, 딸기잼, 오미자 원액, 딸기맛 요거트,
, 버터, 설탕, 밀가루, 달걀, 소금, 전분
, 
,</v>
      </c>
    </row>
    <row r="419">
      <c r="A419" s="2" t="str">
        <f>recipe!C419
</f>
        <v>머랭둥둥</v>
      </c>
      <c r="B419" s="1" t="str">
        <f>IFERROR(__xludf.DUMMYFUNCTION("TRIM(
  SUBSTITUTE(
    REGEXEXTRACT(raw!A419, ""(?s)재료\s*(.*?)●\s*조리\s*방법""),
    CHAR(10), "", ""
  )
)
"),"우유, 크림치즈, 체다치즈, 코코아가루, 자몽, 달걀, 설탕, 레몬, ,")</f>
        <v>우유, 크림치즈, 체다치즈, 코코아가루, 자몽, 달걀, 설탕, 레몬, ,</v>
      </c>
    </row>
    <row r="420">
      <c r="A420" s="2" t="str">
        <f>recipe!C420
</f>
        <v>식스센스</v>
      </c>
      <c r="B420" s="1" t="str">
        <f>IFERROR(__xludf.DUMMYFUNCTION("TRIM(
  SUBSTITUTE(
    REGEXEXTRACT(raw!A420, ""(?s)재료\s*(.*?)●\s*조리\s*방법""),
    CHAR(10), "", ""
  )
)
"),"바게트, 자숙새우, 우유, 레드와인식초, 불고기용 소고기, 아보카도, 전복장, 토마토, 루콜라, 자몽,, 크림치즈, 주꾸미, 토마토소스, 사과, 발사믹소스, 마요네즈, 올리브오일, 후추, 버터, 밀가루,, 소금, 레몬, ,")</f>
        <v>바게트, 자숙새우, 우유, 레드와인식초, 불고기용 소고기, 아보카도, 전복장, 토마토, 루콜라, 자몽,, 크림치즈, 주꾸미, 토마토소스, 사과, 발사믹소스, 마요네즈, 올리브오일, 후추, 버터, 밀가루,, 소금, 레몬, ,</v>
      </c>
    </row>
    <row r="421">
      <c r="A421" s="2" t="str">
        <f>recipe!C421
</f>
        <v>리듬채소</v>
      </c>
      <c r="B421" s="1" t="str">
        <f>IFERROR(__xludf.DUMMYFUNCTION("TRIM(
  SUBSTITUTE(
    REGEXEXTRACT(raw!A421, ""(?s)재료\s*(.*?)●\s*조리\s*방법""),
    CHAR(10), "", ""
  )
)
"),"파프리카, 아보카도, 복숭아맛 요거트, 발사믹소스, 미숫가루, 양배추, 불고기용 소고기,, 루콜라, 레드와인식초, 양파, 당근, 대파, 마늘, 설탕, 맛술, 청주, 간장, 마요네즈,, 올리브오일, 케첩, 소금, 버터, ,")</f>
        <v>파프리카, 아보카도, 복숭아맛 요거트, 발사믹소스, 미숫가루, 양배추, 불고기용 소고기,, 루콜라, 레드와인식초, 양파, 당근, 대파, 마늘, 설탕, 맛술, 청주, 간장, 마요네즈,, 올리브오일, 케첩, 소금, 버터, ,</v>
      </c>
    </row>
    <row r="422">
      <c r="A422" s="2" t="str">
        <f>recipe!C422
</f>
        <v>쉿테이크</v>
      </c>
      <c r="B422" s="1" t="str">
        <f>IFERROR(__xludf.DUMMYFUNCTION("TRIM(
  SUBSTITUTE(
    REGEXEXTRACT(raw!A422, ""(?s)재료\s*(.*?)●\s*조리\s*방법""),
    CHAR(10), "", ""
  )
)
"),"돼지목살, 새우, 두부, 새송이버섯, 아스파라거스, 요거트, 명이나물 장아찌, 완두콩, 오이,
, 알배추, 당근, 양파, 대파, 레몬, 달걀, 소금, 후추, 밀가루, 참기름, 간장
, 
,")</f>
        <v>돼지목살, 새우, 두부, 새송이버섯, 아스파라거스, 요거트, 명이나물 장아찌, 완두콩, 오이,
, 알배추, 당근, 양파, 대파, 레몬, 달걀, 소금, 후추, 밀가루, 참기름, 간장
, 
,</v>
      </c>
    </row>
    <row r="423">
      <c r="A423" s="2" t="str">
        <f>recipe!C423
</f>
        <v>꼭꼭 숨겼디야</v>
      </c>
      <c r="B423" s="1" t="str">
        <f>IFERROR(__xludf.DUMMYFUNCTION("TRIM(
  SUBSTITUTE(
    REGEXEXTRACT(raw!A423, ""(?s)재료\s*(.*?)●\s*조리\s*방법""),
    CHAR(10), "", ""
  )
)
"),"돼지목살, 토르티야, 모차렐라치즈, 슬라이스 치즈, 요거트, 두부, 아스파라거스,
, 양상추, 살사소스, 아보카도, 방울토마토, 양파, 당근, 소금, 후추
, 
,")</f>
        <v>돼지목살, 토르티야, 모차렐라치즈, 슬라이스 치즈, 요거트, 두부, 아스파라거스,
, 양상추, 살사소스, 아보카도, 방울토마토, 양파, 당근, 소금, 후추
, 
,</v>
      </c>
    </row>
    <row r="424">
      <c r="A424" s="2" t="str">
        <f>recipe!C424
</f>
        <v>복불복</v>
      </c>
      <c r="B424" s="1" t="str">
        <f>IFERROR(__xludf.DUMMYFUNCTION("TRIM(
  SUBSTITUTE(
    REGEXEXTRACT(raw!A424, ""(?s)재료\s*(.*?)●\s*조리\s*방법""),
    CHAR(10), "", ""
  )
)
"),"복어, 새우, 아스파라거스, 느타리버섯, 표고버섯, 굴소스, 양파, 대파,
, 달걀, 밀가루, 전분, 식용유, 간장, 맛술, 참기름
, 
,")</f>
        <v>복어, 새우, 아스파라거스, 느타리버섯, 표고버섯, 굴소스, 양파, 대파,
, 달걀, 밀가루, 전분, 식용유, 간장, 맛술, 참기름
, 
,</v>
      </c>
    </row>
    <row r="425">
      <c r="A425" s="2" t="str">
        <f>recipe!C425
</f>
        <v>복어~싶다♬</v>
      </c>
      <c r="B425" s="1" t="str">
        <f>IFERROR(__xludf.DUMMYFUNCTION("TRIM(
  SUBSTITUTE(
    REGEXEXTRACT(raw!A425, ""(?s)재료\s*(.*?)●\s*조리\s*방법""),
    CHAR(10), "", ""
  )
)
"),"복어, 게, 아스파라거스, 알배추, 대파, 양파, 즉석밥, 달걀, 간장,
, 식초, 설탕, 맛술, 전분, 청주, 소금, 깨, 고춧가루
, 
,")</f>
        <v>복어, 게, 아스파라거스, 알배추, 대파, 양파, 즉석밥, 달걀, 간장,
, 식초, 설탕, 맛술, 전분, 청주, 소금, 깨, 고춧가루
, 
,</v>
      </c>
    </row>
    <row r="426">
      <c r="A426" s="2" t="str">
        <f>recipe!C426
</f>
        <v>고르고 고른 파스타</v>
      </c>
      <c r="B426" s="1" t="str">
        <f>IFERROR(__xludf.DUMMYFUNCTION("TRIM(
  SUBSTITUTE(
    REGEXEXTRACT(raw!A426, ""(?s)재료\s*(.*?)●\s*조리\s*방법""),
    CHAR(10), "", ""
  )
)
"),"호두, 무화과, 양송이버섯, 새송이버섯, 느타리버섯, 표고버섯, 생크림, 고르곤졸라 치즈,
, 다진 마늘, 설탕, 밀가루, 달걀, 소금, 후추, 버터, 화이트와인, 올리브오일
, 
,")</f>
        <v>호두, 무화과, 양송이버섯, 새송이버섯, 느타리버섯, 표고버섯, 생크림, 고르곤졸라 치즈,
, 다진 마늘, 설탕, 밀가루, 달걀, 소금, 후추, 버터, 화이트와인, 올리브오일
, 
,</v>
      </c>
    </row>
    <row r="427">
      <c r="A427" s="2" t="str">
        <f>recipe!C427
</f>
        <v>조선의 파스타자</v>
      </c>
      <c r="B427" s="1" t="str">
        <f>IFERROR(__xludf.DUMMYFUNCTION("TRIM(
  SUBSTITUTE(
    REGEXEXTRACT(raw!A427, ""(?s)재료\s*(.*?)●\s*조리\s*방법""),
    CHAR(10), "", ""
  )
)
"),"바지락, 시금치, 관자, 전복, 새우, 고추, 마늘, 달걀, 밀가루, 소금, 후추, 화이트와인, 올리브오일
, 
,")</f>
        <v>바지락, 시금치, 관자, 전복, 새우, 고추, 마늘, 달걀, 밀가루, 소금, 후추, 화이트와인, 올리브오일
, 
,</v>
      </c>
    </row>
    <row r="428">
      <c r="A428" s="2" t="str">
        <f>recipe!C428
</f>
        <v>마이 무따아이가</v>
      </c>
      <c r="B428" s="1" t="str">
        <f>IFERROR(__xludf.DUMMYFUNCTION("TRIM(
  SUBSTITUTE(
    REGEXEXTRACT(raw!A428, ""(?s)재료\s*(.*?)●\s*조리\s*방법""),
    CHAR(10), "", ""
  )
)
"),"구이용 소고기, 불고기용 소고기, 적양파, 맥주, 무화과, 모차렐라 치즈,
, 고르곤졸라 치즈, 감자, 레몬청, 생크림, 머스터드소스, 달걀, 소금, 후추
, 
,")</f>
        <v>구이용 소고기, 불고기용 소고기, 적양파, 맥주, 무화과, 모차렐라 치즈,
, 고르곤졸라 치즈, 감자, 레몬청, 생크림, 머스터드소스, 달걀, 소금, 후추
, 
,</v>
      </c>
    </row>
    <row r="429">
      <c r="A429" s="2" t="str">
        <f>recipe!C429
</f>
        <v>모시 돼진디?</v>
      </c>
      <c r="B429" s="1" t="str">
        <f>IFERROR(__xludf.DUMMYFUNCTION("TRIM(
  SUBSTITUTE(
    REGEXEXTRACT(raw!A429, ""(?s)재료\s*(.*?)●\s*조리\s*방법""),
    CHAR(10), "", ""
  )
)
"),"적양파, 항정살, 삼겹살, 달래, 모시조개, 동죽, 바지락, 굴소스, 맥주, 대파,
, 마늘, 고추, 다진 마늘, 레몬, 고춧가루, 화이트와인
, 
,")</f>
        <v>적양파, 항정살, 삼겹살, 달래, 모시조개, 동죽, 바지락, 굴소스, 맥주, 대파,
, 마늘, 고추, 다진 마늘, 레몬, 고춧가루, 화이트와인
, 
,</v>
      </c>
    </row>
    <row r="430">
      <c r="A430" s="2" t="str">
        <f>recipe!C430
</f>
        <v>풍비박산</v>
      </c>
      <c r="B430" s="1" t="str">
        <f>IFERROR(__xludf.DUMMYFUNCTION("TRIM(
  SUBSTITUTE(
    REGEXEXTRACT(raw!A430, ""(?s)재료\s*(.*?)●\s*조리\s*방법""),
    CHAR(10), "", ""
  )
)
"),"베이컨용 삼겹살, 오징어, 게맛살, 게살장, 소시지, 두부, 애호박, 팽이버섯, 미니새송이버섯,
, 미니파프리카, 일본간장, 유자후추, 꽈리고추, 양파, 마늘, 대파, 케첩, 고추장, 깨, 전분, 달걀
, 
,")</f>
        <v>베이컨용 삼겹살, 오징어, 게맛살, 게살장, 소시지, 두부, 애호박, 팽이버섯, 미니새송이버섯,
, 미니파프리카, 일본간장, 유자후추, 꽈리고추, 양파, 마늘, 대파, 케첩, 고추장, 깨, 전분, 달걀
, 
,</v>
      </c>
    </row>
    <row r="431">
      <c r="A431" s="2" t="str">
        <f>recipe!C431
</f>
        <v>치즈듬풍만두</v>
      </c>
      <c r="B431" s="1" t="str">
        <f>IFERROR(__xludf.DUMMYFUNCTION("TRIM(
  SUBSTITUTE(
    REGEXEXTRACT(raw!A431, ""(?s)재료\s*(.*?)●\s*조리\s*방법""),
    CHAR(10), "", ""
  )
)
"),"베이컨용 삼겹살, 크림치즈, 모차렐라치즈, 고다치즈, 리코타치즈, 새우젓, 팽이버섯, 딸기잼,
, 양파, 청양고추, 마늘, 레몬, 밀가루, 전분, 식용유, 버터, 후추, 마요네즈, 간장, 달걀
, 
,")</f>
        <v>베이컨용 삼겹살, 크림치즈, 모차렐라치즈, 고다치즈, 리코타치즈, 새우젓, 팽이버섯, 딸기잼,
, 양파, 청양고추, 마늘, 레몬, 밀가루, 전분, 식용유, 버터, 후추, 마요네즈, 간장, 달걀
, 
,</v>
      </c>
    </row>
    <row r="432">
      <c r="A432" s="2" t="str">
        <f>recipe!C432
</f>
        <v>낫띵배럴~♬</v>
      </c>
      <c r="B432" s="1" t="str">
        <f>IFERROR(__xludf.DUMMYFUNCTION("TRIM(
  SUBSTITUTE(
    REGEXEXTRACT(raw!A432, ""(?s)재료\s*(.*?)●\s*조리\s*방법""),
    CHAR(10), "", ""
  )
)
"),"칼국수면, 낫토, 된장, 카망베르치즈, 체다치즈, 인스턴트 육개장, 총각김치, 참기름,
, 베이컨용 삼겹살, 양파, 대파, 고추, 다진 마늘, 후추, 고춧가루, 전분, 깨, 달걀, 라면, 즉석밥
, 
,")</f>
        <v>칼국수면, 낫토, 된장, 카망베르치즈, 체다치즈, 인스턴트 육개장, 총각김치, 참기름,
, 베이컨용 삼겹살, 양파, 대파, 고추, 다진 마늘, 후추, 고춧가루, 전분, 깨, 달걀, 라면, 즉석밥
, 
,</v>
      </c>
    </row>
    <row r="433">
      <c r="A433" s="2" t="str">
        <f>recipe!C433
</f>
        <v>연게우동</v>
      </c>
      <c r="B433" s="1" t="str">
        <f>IFERROR(__xludf.DUMMYFUNCTION("TRIM(
  SUBSTITUTE(
    REGEXEXTRACT(raw!A433, ""(?s)재료\s*(.*?)●\s*조리\s*방법""),
    CHAR(10), "", ""
  )
)
"),"우동면, 연근, 게살통조림, 게맛살, 게살장, 크림치즈, 오징어, 애호박, 일본간장, 유자후추,
, 육수용 티백, 대파, 소금, 전분, 설탕, 후추, 맛술, 청주
, 
,")</f>
        <v>우동면, 연근, 게살통조림, 게맛살, 게살장, 크림치즈, 오징어, 애호박, 일본간장, 유자후추,
, 육수용 티백, 대파, 소금, 전분, 설탕, 후추, 맛술, 청주
, 
,</v>
      </c>
    </row>
    <row r="434">
      <c r="A434" s="2" t="str">
        <f>recipe!C434
</f>
        <v>아돔케어</v>
      </c>
      <c r="B434" s="1" t="str">
        <f>IFERROR(__xludf.DUMMYFUNCTION("TRIM(
  SUBSTITUTE(
    REGEXEXTRACT(raw!A434, ""(?s)재료\s*(.*?)●\s*조리\s*방법""),
    CHAR(10), "", ""
  )
)
"),"갈치, 명란젓, 자숙새우, 시금치, 아보카도, 브로콜리,
, 시금치딥, 황도, 블랙올리브, 우유, 후추, 레몬, 버터
, 
,")</f>
        <v>갈치, 명란젓, 자숙새우, 시금치, 아보카도, 브로콜리,
, 시금치딥, 황도, 블랙올리브, 우유, 후추, 레몬, 버터
, 
,</v>
      </c>
    </row>
    <row r="435">
      <c r="A435" s="2" t="str">
        <f>recipe!C435
</f>
        <v>아보카도롤모델</v>
      </c>
      <c r="B435" s="1" t="str">
        <f>IFERROR(__xludf.DUMMYFUNCTION("TRIM(
  SUBSTITUTE(
    REGEXEXTRACT(raw!A435, ""(?s)재료\s*(.*?)●\s*조리\s*방법""),
    CHAR(10), "", ""
  )
)
"),"아보카도, 안창살, 자숙새우, 훈제연어, 파프리카, 발사믹식초, 케일, 시금치주스, 케일주스,
, 된장, 고추장, 블랙올리브, 사과, 애플비네거, 스리라차소스, 양파, 마늘, 레몬, 소금, 후추, 식용유
, 
,")</f>
        <v>아보카도, 안창살, 자숙새우, 훈제연어, 파프리카, 발사믹식초, 케일, 시금치주스, 케일주스,
, 된장, 고추장, 블랙올리브, 사과, 애플비네거, 스리라차소스, 양파, 마늘, 레몬, 소금, 후추, 식용유
, 
,</v>
      </c>
    </row>
    <row r="436">
      <c r="A436" s="2" t="str">
        <f>recipe!C436
</f>
        <v>귯갈~</v>
      </c>
      <c r="B436" s="1" t="str">
        <f>IFERROR(__xludf.DUMMYFUNCTION("TRIM(
  SUBSTITUTE(
    REGEXEXTRACT(raw!A436, ""(?s)재료\s*(.*?)●\s*조리\s*방법""),
    CHAR(10), "", ""
  )
)
"),"갈치, 훈제연어, 애플비네거, 소금, 꿀, 적양파, 파프리카, 케이퍼, 블랙올리브, 아보카도,
, 마늘, 양파, 당근, 레몬, 통후추, 고춧가루, 후추, 소금
, 
,")</f>
        <v>갈치, 훈제연어, 애플비네거, 소금, 꿀, 적양파, 파프리카, 케이퍼, 블랙올리브, 아보카도,
, 마늘, 양파, 당근, 레몬, 통후추, 고춧가루, 후추, 소금
, 
,</v>
      </c>
    </row>
    <row r="437">
      <c r="A437" s="2" t="str">
        <f>recipe!C437
</f>
        <v>갈팡치팡</v>
      </c>
      <c r="B437" s="1" t="str">
        <f>IFERROR(__xludf.DUMMYFUNCTION("TRIM(
  SUBSTITUTE(
    REGEXEXTRACT(raw!A437, ""(?s)재료\s*(.*?)●\s*조리\s*방법""),
    CHAR(10), "", ""
  )
)
"),"갈치, 코코넛워터, 황도, 적양파, 자숙새우, 카레가루, 시금치, 스리라차소스,
, 양파, 레몬, 대파, 다진 생강, 청주, 전분, 소금, 간장, 화이트와인, 달걀
, 
,")</f>
        <v>갈치, 코코넛워터, 황도, 적양파, 자숙새우, 카레가루, 시금치, 스리라차소스,
, 양파, 레몬, 대파, 다진 생강, 청주, 전분, 소금, 간장, 화이트와인, 달걀
, 
,</v>
      </c>
    </row>
    <row r="438">
      <c r="A438" s="2" t="str">
        <f>recipe!C438
</f>
        <v>똑같은 쌈을 강요하지마♬</v>
      </c>
      <c r="B438" s="1" t="str">
        <f>IFERROR(__xludf.DUMMYFUNCTION("TRIM(
  SUBSTITUTE(
    REGEXEXTRACT(raw!A438, ""(?s)재료\s*(.*?)●\s*조리\s*방법""),
    CHAR(10), "", ""
  )
)
"),"고등어통조림, 우유, 크림치즈, 슬라이스 체다치즈, 표고버섯, 마늘, 청양고추,, 버터, 밀가루, 전분, 소금, ,")</f>
        <v>고등어통조림, 우유, 크림치즈, 슬라이스 체다치즈, 표고버섯, 마늘, 청양고추,, 버터, 밀가루, 전분, 소금, ,</v>
      </c>
    </row>
    <row r="439">
      <c r="A439" s="2" t="str">
        <f>recipe!C439
</f>
        <v>만두 널 사랑해~♬</v>
      </c>
      <c r="B439" s="1" t="str">
        <f>IFERROR(__xludf.DUMMYFUNCTION("TRIM(
  SUBSTITUTE(
    REGEXEXTRACT(raw!A439, ""(?s)재료\s*(.*?)●\s*조리\s*방법""),
    CHAR(10), "", ""
  )
)
"),"인스턴트 군만두, 방울양배추, 표고버섯, 슬라이스 체다치즈, 카레가루, 우유, 훠궈 홍탕 소스,
, 양파, 마늘, 청양고추, 레몬, 밀가루, 케첩, 설탕, 달걀
, 
,")</f>
        <v>인스턴트 군만두, 방울양배추, 표고버섯, 슬라이스 체다치즈, 카레가루, 우유, 훠궈 홍탕 소스,
, 양파, 마늘, 청양고추, 레몬, 밀가루, 케첩, 설탕, 달걀
, 
,</v>
      </c>
    </row>
    <row r="440">
      <c r="A440" s="2" t="str">
        <f>recipe!C440
</f>
        <v>리소토가 차이나</v>
      </c>
      <c r="B440" s="1" t="str">
        <f>IFERROR(__xludf.DUMMYFUNCTION("TRIM(
  SUBSTITUTE(
    REGEXEXTRACT(raw!A440, ""(?s)재료\s*(.*?)●\s*조리\s*방법""),
    CHAR(10), "", ""
  )
)
"),"우유, 크림치즈, 마라소고기, 훠궈 홍탕 소스, 면근, 모둠 해물, 청경채, 팽이버섯, 표고버섯,
, 마늘, 양파, 대파, 청양고추, 버터, 밀가루, 식초, 맛술, 간장, 후추
, 
,")</f>
        <v>우유, 크림치즈, 마라소고기, 훠궈 홍탕 소스, 면근, 모둠 해물, 청경채, 팽이버섯, 표고버섯,
, 마늘, 양파, 대파, 청양고추, 버터, 밀가루, 식초, 맛술, 간장, 후추
, 
,</v>
      </c>
    </row>
    <row r="441">
      <c r="A441" s="2" t="str">
        <f>recipe!C441
</f>
        <v>샘차이나</v>
      </c>
      <c r="B441" s="1" t="str">
        <f>IFERROR(__xludf.DUMMYFUNCTION("TRIM(
  SUBSTITUTE(
    REGEXEXTRACT(raw!A441, ""(?s)재료\s*(.*?)●\s*조리\s*방법""),
    CHAR(10), "", ""
  )
)
"),"훠궈 버섯탕 수프, 마라갈비, 라조장, 청경채, 표고버섯, 방울양배추, 우유, 크림치즈, 연어통조림,
, 타르타르소스, 마요네즈, 블랙올리브, 케이퍼, 오레가노, 타임, 파슬리, 로즈마리,
, 버터, 밀가루, 마늘, 양파, 후추, 올리브오일, 소금
, 
,")</f>
        <v>훠궈 버섯탕 수프, 마라갈비, 라조장, 청경채, 표고버섯, 방울양배추, 우유, 크림치즈, 연어통조림,
, 타르타르소스, 마요네즈, 블랙올리브, 케이퍼, 오레가노, 타임, 파슬리, 로즈마리,
, 버터, 밀가루, 마늘, 양파, 후추, 올리브오일, 소금
, 
,</v>
      </c>
    </row>
    <row r="442">
      <c r="A442" s="2" t="str">
        <f>recipe!C442
</f>
        <v>풍당풍당면</v>
      </c>
      <c r="B442" s="1" t="str">
        <f>IFERROR(__xludf.DUMMYFUNCTION("TRIM(
  SUBSTITUTE(
    REGEXEXTRACT(raw!A442, ""(?s)재료\s*(.*?)●\s*조리\s*방법""),
    CHAR(10), "", ""
  )
)
"),"새우, 새우젓, 명란젓, 돼지고기 목심, 당면, 표고버섯, 죽순, 고춧가루,
, 대파, 마늘, 양파, 식초, 전분
, 
,")</f>
        <v>새우, 새우젓, 명란젓, 돼지고기 목심, 당면, 표고버섯, 죽순, 고춧가루,
, 대파, 마늘, 양파, 식초, 전분
, 
,</v>
      </c>
    </row>
    <row r="443">
      <c r="A443" s="2" t="str">
        <f>recipe!C443
</f>
        <v>언더 더 씨♬</v>
      </c>
      <c r="B443" s="1" t="str">
        <f>IFERROR(__xludf.DUMMYFUNCTION("TRIM(
  SUBSTITUTE(
    REGEXEXTRACT(raw!A443, ""(?s)재료\s*(.*?)●\s*조리\s*방법""),
    CHAR(10), "", ""
  )
)
"),"문어, 감성돔, 전복, 새우, 당면, 불린 귀리, 새송이버섯, 우유,
, 청양고추, 양파, 다진 마늘, 버터, 후추, 소금
, 
,")</f>
        <v>문어, 감성돔, 전복, 새우, 당면, 불린 귀리, 새송이버섯, 우유,
, 청양고추, 양파, 다진 마늘, 버터, 후추, 소금
, 
,</v>
      </c>
    </row>
    <row r="444">
      <c r="A444" s="2" t="str">
        <f>recipe!C444
</f>
        <v>완도풀 파티</v>
      </c>
      <c r="B444" s="1" t="str">
        <f>IFERROR(__xludf.DUMMYFUNCTION("TRIM(
  SUBSTITUTE(
    REGEXEXTRACT(raw!A444, ""(?s)재료\s*(.*?)●\s*조리\s*방법""),
    CHAR(10), "", ""
  )
)
"),"오징어, 문어, 새우, 애호박, 미니파프리카, 고구마줄기무침, 할라피뇨, 석류, 고춧가루,
, 당근, 레몬, 다진 마늘, 후추, 올리브오일, 소금, 식초
, 
,")</f>
        <v>오징어, 문어, 새우, 애호박, 미니파프리카, 고구마줄기무침, 할라피뇨, 석류, 고춧가루,
, 당근, 레몬, 다진 마늘, 후추, 올리브오일, 소금, 식초
, 
,</v>
      </c>
    </row>
    <row r="445">
      <c r="A445" s="2" t="str">
        <f>recipe!C445
</f>
        <v>롤 is my everything♬</v>
      </c>
      <c r="B445" s="1" t="str">
        <f>IFERROR(__xludf.DUMMYFUNCTION("TRIM(
  SUBSTITUTE(
    REGEXEXTRACT(raw!A445, ""(?s)재료\s*(.*?)●\s*조리\s*방법""),
    CHAR(10), "", ""
  )
)
"),"서대, 새우, 돼지고기 목심, 두릅, 삶은 죽순, 오렌지주스, 아로니아즙, 버터,
, 달걀, 레몬, 소금, 참기름, 후추
, 
,")</f>
        <v>서대, 새우, 돼지고기 목심, 두릅, 삶은 죽순, 오렌지주스, 아로니아즙, 버터,
, 달걀, 레몬, 소금, 참기름, 후추
, 
,</v>
      </c>
    </row>
    <row r="446">
      <c r="A446" s="2" t="str">
        <f>recipe!C446
</f>
        <v>완소 두부</v>
      </c>
      <c r="B446" s="1" t="str">
        <f>IFERROR(__xludf.DUMMYFUNCTION("TRIM(
  SUBSTITUTE(
    REGEXEXTRACT(raw!A446, ""(?s)재료\s*(.*?)●\s*조리\s*방법""),
    CHAR(10), "", ""
  )
)
"),"두부, 소고기등심, 새우, 골뱅이통조림, 둥근 호박, 누룽지, 매실엑기스, 사골곰탕, 대파, 마늘,
, 양파, 다진 생강, 청양고추, 버터, 달걀, 전분, 소금, 고춧가루, 청주, 간장, 고추장, 참기름
, 
,")</f>
        <v>두부, 소고기등심, 새우, 골뱅이통조림, 둥근 호박, 누룽지, 매실엑기스, 사골곰탕, 대파, 마늘,
, 양파, 다진 생강, 청양고추, 버터, 달걀, 전분, 소금, 고춧가루, 청주, 간장, 고추장, 참기름
, 
,</v>
      </c>
    </row>
    <row r="447">
      <c r="A447" s="2" t="str">
        <f>recipe!C447
</f>
        <v>1등 가자~미!</v>
      </c>
      <c r="B447" s="1" t="str">
        <f>IFERROR(__xludf.DUMMYFUNCTION("TRIM(
  SUBSTITUTE(
    REGEXEXTRACT(raw!A447, ""(?s)재료\s*(.*?)●\s*조리\s*방법""),
    CHAR(10), "", ""
  )
)
"),"가자미, 사골곰탕, 애호박, 감자, 마늘, 레몬, 대파, 소금, 후추, 식초, 버터, 화이트와인, 올리브오일
, 
,")</f>
        <v>가자미, 사골곰탕, 애호박, 감자, 마늘, 레몬, 대파, 소금, 후추, 식초, 버터, 화이트와인, 올리브오일
, 
,</v>
      </c>
    </row>
    <row r="448">
      <c r="A448" s="2" t="str">
        <f>recipe!C448
</f>
        <v>플라이 투 더 전복</v>
      </c>
      <c r="B448" s="1" t="str">
        <f>IFERROR(__xludf.DUMMYFUNCTION("TRIM(
  SUBSTITUTE(
    REGEXEXTRACT(raw!A448, ""(?s)재료\s*(.*?)●\s*조리\s*방법""),
    CHAR(10), "", ""
  )
)
"),"전복, 닭가슴살, 누룽지, 파프리카, 홍삼엑기스, 양파, 마늘, 대파, 소금, 후추, 청주, 맛술,
, 고춧가루, 식용유, 참기름, 간장,
, 
,")</f>
        <v>전복, 닭가슴살, 누룽지, 파프리카, 홍삼엑기스, 양파, 마늘, 대파, 소금, 후추, 청주, 맛술,
, 고춧가루, 식용유, 참기름, 간장,
, 
,</v>
      </c>
    </row>
    <row r="449">
      <c r="A449" s="2" t="str">
        <f>recipe!C449
</f>
        <v>전복 미씽유♬</v>
      </c>
      <c r="B449" s="1" t="str">
        <f>IFERROR(__xludf.DUMMYFUNCTION("TRIM(
  SUBSTITUTE(
    REGEXEXTRACT(raw!A449, ""(?s)재료\s*(.*?)●\s*조리\s*방법""),
    CHAR(10), "", ""
  )
)
"),"전복, 달걀, 김, 새우, 둥근 호박, 부추, 조미료, 파스타면, 양파, 마늘, 청주, 소금, 후추, 간장, 버터
, 
,")</f>
        <v>전복, 달걀, 김, 새우, 둥근 호박, 부추, 조미료, 파스타면, 양파, 마늘, 청주, 소금, 후추, 간장, 버터
, 
,</v>
      </c>
    </row>
    <row r="450">
      <c r="A450" s="2" t="str">
        <f>recipe!C450
</f>
        <v>복수전</v>
      </c>
      <c r="B450" s="1" t="str">
        <f>IFERROR(__xludf.DUMMYFUNCTION("TRIM(
  SUBSTITUTE(
    REGEXEXTRACT(raw!A450, ""(?s)재료\s*(.*?)●\s*조리\s*방법""),
    CHAR(10), "", ""
  )
)
"),"옥수수 통조림, 토마토, 사과, 매실액, 달걀, 맛술, 소금, 양파, 마늘, 대파, 케첩, 레몬,
, 전분, 설탕, 후추
, 
,")</f>
        <v>옥수수 통조림, 토마토, 사과, 매실액, 달걀, 맛술, 소금, 양파, 마늘, 대파, 케첩, 레몬,
, 전분, 설탕, 후추
, 
,</v>
      </c>
    </row>
    <row r="451">
      <c r="A451" s="2" t="str">
        <f>recipe!C451
</f>
        <v>신데렐라 피자</v>
      </c>
      <c r="B451" s="1" t="str">
        <f>IFERROR(__xludf.DUMMYFUNCTION("TRIM(
  SUBSTITUTE(
    REGEXEXTRACT(raw!A451, ""(?s)재료\s*(.*?)●\s*조리\s*방법""),
    CHAR(10), "", ""
  )
)
"),"단호박, 삼겹살, 토마토, 사과, 시리얼, 요거트, 느타리버섯, 옥수수 통조림,
, 인스턴트 크림수프분말, 딸기, 고추, 전분, 소금
, 
,")</f>
        <v>단호박, 삼겹살, 토마토, 사과, 시리얼, 요거트, 느타리버섯, 옥수수 통조림,
, 인스턴트 크림수프분말, 딸기, 고추, 전분, 소금
, 
,</v>
      </c>
    </row>
    <row r="452">
      <c r="A452" s="2" t="str">
        <f>recipe!C452
</f>
        <v>불량고기</v>
      </c>
      <c r="B452" s="1" t="str">
        <f>IFERROR(__xludf.DUMMYFUNCTION("TRIM(
  SUBSTITUTE(
    REGEXEXTRACT(raw!A452, ""(?s)재료\s*(.*?)●\s*조리\s*방법""),
    CHAR(10), "", ""
  )
)
"),"돼지고기 뒷다리살, 파프리카, 느타리버섯, 매실액, 방울토마토, 토마토, 양파,
, 다진 마늘, 대파, 레몬, 간장, 설탕, 맛술, 깨, 참기름, 소금, 후추, 올리브오일, 들기름, 즉석밥
, 
,")</f>
        <v>돼지고기 뒷다리살, 파프리카, 느타리버섯, 매실액, 방울토마토, 토마토, 양파,
, 다진 마늘, 대파, 레몬, 간장, 설탕, 맛술, 깨, 참기름, 소금, 후추, 올리브오일, 들기름, 즉석밥
, 
,</v>
      </c>
    </row>
    <row r="453">
      <c r="A453" s="2" t="str">
        <f>recipe!C453
</f>
        <v>밥피자 심쿵해♬</v>
      </c>
      <c r="B453" s="1" t="str">
        <f>IFERROR(__xludf.DUMMYFUNCTION("TRIM(
  SUBSTITUTE(
    REGEXEXTRACT(raw!A453, ""(?s)재료\s*(.*?)●\s*조리\s*방법""),
    CHAR(10), "", ""
  )
)
"),"돼지목심, 두유, 유자청, 파프리카, 토마토, 고추냉이, 설탕, 버터, 다진 마늘, 다진 생강,
, 된장, 맛술, 간장, 참기름, 양파, 대파, 올리브오일, 레몬, 후추, 즉석밥
, 
,")</f>
        <v>돼지목심, 두유, 유자청, 파프리카, 토마토, 고추냉이, 설탕, 버터, 다진 마늘, 다진 생강,
, 된장, 맛술, 간장, 참기름, 양파, 대파, 올리브오일, 레몬, 후추, 즉석밥
, 
,</v>
      </c>
    </row>
    <row r="454">
      <c r="A454" s="2" t="str">
        <f>recipe!C454
</f>
        <v>뚝닭뚝닭</v>
      </c>
      <c r="B454" s="1" t="str">
        <f>IFERROR(__xludf.DUMMYFUNCTION("TRIM(
  SUBSTITUTE(
    REGEXEXTRACT(raw!A454, ""(?s)재료\s*(.*?)●\s*조리\s*방법""),
    CHAR(10), "", ""
  )
)
"),"닭안심, 깻잎, 파프리카, 베트남고추, 굴소스, 마늘, 대파, 양파, 고추, 다진 생강, 다진 마늘,, 청주, 간장, 식초, ,")</f>
        <v>닭안심, 깻잎, 파프리카, 베트남고추, 굴소스, 마늘, 대파, 양파, 고추, 다진 생강, 다진 마늘,, 청주, 간장, 식초, ,</v>
      </c>
    </row>
    <row r="455">
      <c r="A455" s="2" t="str">
        <f>recipe!C455
</f>
        <v>복된 짜장</v>
      </c>
      <c r="B455" s="1" t="str">
        <f>IFERROR(__xludf.DUMMYFUNCTION("TRIM(
  SUBSTITUTE(
    REGEXEXTRACT(raw!A455, ""(?s)재료\s*(.*?)●\s*조리\s*방법""),
    CHAR(10), "", ""
  )
)
"),"인스턴트 군만두, 오이소박이, 고량주, 고추기름, 양파, 고추, 다진 샛강, 밀가루, 식초, 설탕, 된장
, 
,")</f>
        <v>인스턴트 군만두, 오이소박이, 고량주, 고추기름, 양파, 고추, 다진 샛강, 밀가루, 식초, 설탕, 된장
, 
,</v>
      </c>
    </row>
    <row r="456">
      <c r="A456" s="2" t="str">
        <f>recipe!C456
</f>
        <v>명풍튀김</v>
      </c>
      <c r="B456" s="1" t="str">
        <f>IFERROR(__xludf.DUMMYFUNCTION("TRIM(
  SUBSTITUTE(
    REGEXEXTRACT(raw!A456, ""(?s)재료\s*(.*?)●\s*조리\s*방법""),
    CHAR(10), "", ""
  )
)
"),"땅콩버터, 고추기름, 콜라, 참치 통조림, 명란젓, 상추, 깻잎, 대파, 다진 마늘, 달걀, 물엿,
, 마요네즈, 식초, 간장, 밀가루, 전분
, 
,")</f>
        <v>땅콩버터, 고추기름, 콜라, 참치 통조림, 명란젓, 상추, 깻잎, 대파, 다진 마늘, 달걀, 물엿,
, 마요네즈, 식초, 간장, 밀가루, 전분
, 
,</v>
      </c>
    </row>
    <row r="457">
      <c r="A457" s="2" t="str">
        <f>recipe!C457
</f>
        <v>냉볶이</v>
      </c>
      <c r="B457" s="1" t="str">
        <f>IFERROR(__xludf.DUMMYFUNCTION("TRIM(
  SUBSTITUTE(
    REGEXEXTRACT(raw!A457, ""(?s)재료\s*(.*?)●\s*조리\s*방법""),
    CHAR(10), "", ""
  )
)
"),"해물볶음고추장, 굴소스, 양념게장, 새우젓, 깻잎, 상추,
, 레몬, 대파, 달걀, 밀가루, 참기름, 설탕, 후추
, 
,")</f>
        <v>해물볶음고추장, 굴소스, 양념게장, 새우젓, 깻잎, 상추,
, 레몬, 대파, 달걀, 밀가루, 참기름, 설탕, 후추
, 
,</v>
      </c>
    </row>
    <row r="458">
      <c r="A458" s="2" t="str">
        <f>recipe!C458
</f>
        <v>부굴부굴</v>
      </c>
      <c r="B458" s="1" t="str">
        <f>IFERROR(__xludf.DUMMYFUNCTION("TRIM(
  SUBSTITUTE(
    REGEXEXTRACT(raw!A458, ""(?s)재료\s*(.*?)●\s*조리\s*방법""),
    CHAR(10), "", ""
  )
)
"),"건새우, 두부, 채끝등심, 새우, 바지락살, 소불고기양념, 굴, 액상조미료, 애호박, 새송이버섯,
, 청양고추, 대파, 달걀, 전분, 밀가루, 소금
, 
,")</f>
        <v>건새우, 두부, 채끝등심, 새우, 바지락살, 소불고기양념, 굴, 액상조미료, 애호박, 새송이버섯,
, 청양고추, 대파, 달걀, 전분, 밀가루, 소금
, 
,</v>
      </c>
    </row>
    <row r="459">
      <c r="A459" s="2" t="str">
        <f>recipe!C459
</f>
        <v>월드스탕</v>
      </c>
      <c r="B459" s="1" t="str">
        <f>IFERROR(__xludf.DUMMYFUNCTION("TRIM(
  SUBSTITUTE(
    REGEXEXTRACT(raw!A459, ""(?s)재료\s*(.*?)●\s*조리\s*방법""),
    CHAR(10), "", ""
  )
)
"),"무, 건새우, 새우, 건두부피, 트러플 버터, 굴, 시금치, 액상조미료, 대파, 간장, 전분
, 
,")</f>
        <v>무, 건새우, 새우, 건두부피, 트러플 버터, 굴, 시금치, 액상조미료, 대파, 간장, 전분
, 
,</v>
      </c>
    </row>
    <row r="460">
      <c r="A460" s="2" t="str">
        <f>recipe!C460
</f>
        <v>I'm 가리비 a bad boy♬</v>
      </c>
      <c r="B460" s="1" t="str">
        <f>IFERROR(__xludf.DUMMYFUNCTION("TRIM(
  SUBSTITUTE(
    REGEXEXTRACT(raw!A460, ""(?s)재료\s*(.*?)●\s*조리\s*방법""),
    CHAR(10), "", ""
  )
)
"),"오리엔탈드레싱, 오징어, 쪽파, 시금치, 베이키드빈스, 트러플 꿀, 가리비, 부추,
, 다진 마늘, 참깨, 마요네즈, 후추, 소금, 식초, 버터
, 
,")</f>
        <v>오리엔탈드레싱, 오징어, 쪽파, 시금치, 베이키드빈스, 트러플 꿀, 가리비, 부추,
, 다진 마늘, 참깨, 마요네즈, 후추, 소금, 식초, 버터
, 
,</v>
      </c>
    </row>
    <row r="461">
      <c r="A461" s="2" t="str">
        <f>recipe!C461
</f>
        <v>두부로 피하고 싶어서♬</v>
      </c>
      <c r="B461" s="1" t="str">
        <f>IFERROR(__xludf.DUMMYFUNCTION("TRIM(
  SUBSTITUTE(
    REGEXEXTRACT(raw!A461, ""(?s)재료\s*(.*?)●\s*조리\s*방법""),
    CHAR(10), "", ""
  )
)
"),"오징어, 새송이버섯, 파프리카, 애호박, 채끝등심, 건두부피, 트러플 꿀, 소불고기 양념,
, 마늘, 양파, 달걀, 밀가루, 전분, 설탕, 간장, 후추
, 
,")</f>
        <v>오징어, 새송이버섯, 파프리카, 애호박, 채끝등심, 건두부피, 트러플 꿀, 소불고기 양념,
, 마늘, 양파, 달걀, 밀가루, 전분, 설탕, 간장, 후추
, 
,</v>
      </c>
    </row>
    <row r="462">
      <c r="A462" s="2" t="str">
        <f>recipe!C462
</f>
        <v>알렉스테이크</v>
      </c>
      <c r="B462" s="1" t="str">
        <f>IFERROR(__xludf.DUMMYFUNCTION("TRIM(
  SUBSTITUTE(
    REGEXEXTRACT(raw!A462, ""(?s)재료\s*(.*?)●\s*조리\s*방법""),
    CHAR(10), "", ""
  )
)
"),"아스파라거스, 발사믹소스, 살치살, 로즈마리, 양상추, 바닐라 아이스크림, 모차렐라치즈, 배, 위스키,
, 양파, 당근, 대파, 레몬, 올리브오일, 소금, 후추, 버터
, 
,")</f>
        <v>아스파라거스, 발사믹소스, 살치살, 로즈마리, 양상추, 바닐라 아이스크림, 모차렐라치즈, 배, 위스키,
, 양파, 당근, 대파, 레몬, 올리브오일, 소금, 후추, 버터
, 
,</v>
      </c>
    </row>
    <row r="463">
      <c r="A463" s="2" t="str">
        <f>recipe!C463
</f>
        <v>둘이서 한 덮밥</v>
      </c>
      <c r="B463" s="1" t="str">
        <f>IFERROR(__xludf.DUMMYFUNCTION("TRIM(
  SUBSTITUTE(
    REGEXEXTRACT(raw!A463, ""(?s)재료\s*(.*?)●\s*조리\s*방법""),
    CHAR(10), "", ""
  )
)
"),"양배추, 돼지목살, 파프리카, 대파, 마늘, 양파, 다진 마늘, 간장, 식초, 고춧가루, 청주, 맛술, ,")</f>
        <v>양배추, 돼지목살, 파프리카, 대파, 마늘, 양파, 다진 마늘, 간장, 식초, 고춧가루, 청주, 맛술, ,</v>
      </c>
    </row>
    <row r="464">
      <c r="A464" s="2" t="str">
        <f>recipe!C464
</f>
        <v>파티가 오레가노</v>
      </c>
      <c r="B464" s="1" t="str">
        <f>IFERROR(__xludf.DUMMYFUNCTION("TRIM(
  SUBSTITUTE(
    REGEXEXTRACT(raw!A464, ""(?s)재료\s*(.*?)●\s*조리\s*방법""),
    CHAR(10), "", ""
  )
)
"),"파스타면, 아스파라거스, 토마토, 양상추, 관자, 베이컨, 오레가노,
, 액상조미료, 소금, 후추, 올리브오일, 마늘, 레몬
, 
,")</f>
        <v>파스타면, 아스파라거스, 토마토, 양상추, 관자, 베이컨, 오레가노,
, 액상조미료, 소금, 후추, 올리브오일, 마늘, 레몬
, 
,</v>
      </c>
    </row>
    <row r="465">
      <c r="A465" s="2" t="str">
        <f>recipe!C465
</f>
        <v>팬타스틱</v>
      </c>
      <c r="B465" s="1" t="str">
        <f>IFERROR(__xludf.DUMMYFUNCTION("TRIM(
  SUBSTITUTE(
    REGEXEXTRACT(raw!A465, ""(?s)재료\s*(.*?)●\s*조리\s*방법""),
    CHAR(10), "", ""
  )
)
"),"아스파라거스, 베이컨, 소시지, 맥주, 팬케이크가루, 모차렐라치즈, 액상조미료,, 양파, 마늘, 달걀, 연겨자, 버터, 올리브오일, 밀가루, 후추, ,")</f>
        <v>아스파라거스, 베이컨, 소시지, 맥주, 팬케이크가루, 모차렐라치즈, 액상조미료,, 양파, 마늘, 달걀, 연겨자, 버터, 올리브오일, 밀가루, 후추, ,</v>
      </c>
    </row>
    <row r="466">
      <c r="A466" s="2" t="str">
        <f>recipe!C466
</f>
        <v>200% 게살케이크</v>
      </c>
      <c r="B466" s="1" t="str">
        <f>IFERROR(__xludf.DUMMYFUNCTION("TRIM(
  SUBSTITUTE(
    REGEXEXTRACT(raw!A466, ""(?s)재료\s*(.*?)●\s*조리\s*방법""),
    CHAR(10), "", ""
  )
)
"),"새우살, 대게살, 날치알, 딸기주스, 우유, 당근, 버터, 소금, 후추, 밀가루
, 
,")</f>
        <v>새우살, 대게살, 날치알, 딸기주스, 우유, 당근, 버터, 소금, 후추, 밀가루
, 
,</v>
      </c>
    </row>
    <row r="467">
      <c r="A467" s="2" t="str">
        <f>recipe!C467
</f>
        <v>갈치 너비아니</v>
      </c>
      <c r="B467" s="1" t="str">
        <f>IFERROR(__xludf.DUMMYFUNCTION("TRIM(
  SUBSTITUTE(
    REGEXEXTRACT(raw!A467, ""(?s)재료\s*(.*?)●\s*조리\s*방법""),
    CHAR(10), "", ""
  )
)
"),"더덕, 등갈비, 명이나물장아찌, 갈치, 통조림 햄, 참나물, 케일사과주스, 배, 도라지배즙, 콩비지,
, 대파, 양파, 전분, 설탕, 올리브오일, 고추장
, 
,")</f>
        <v>더덕, 등갈비, 명이나물장아찌, 갈치, 통조림 햄, 참나물, 케일사과주스, 배, 도라지배즙, 콩비지,
, 대파, 양파, 전분, 설탕, 올리브오일, 고추장
, 
,</v>
      </c>
    </row>
    <row r="468">
      <c r="A468" s="2" t="str">
        <f>recipe!C468
</f>
        <v>케이밥스타</v>
      </c>
      <c r="B468" s="1" t="str">
        <f>IFERROR(__xludf.DUMMYFUNCTION("TRIM(
  SUBSTITUTE(
    REGEXEXTRACT(raw!A468, ""(?s)재료\s*(.*?)●\s*조리\s*방법""),
    CHAR(10), "", ""
  )
)
"),"오징어, 새우살, 수제양념장, 명이나물장아찌, 믹스견과, 크림치즈, 발사믹소스, 딸기주스,
, 콘수프분말, 파르메산치즈, 전분, 식용유, 후추, 달걀
, 
,")</f>
        <v>오징어, 새우살, 수제양념장, 명이나물장아찌, 믹스견과, 크림치즈, 발사믹소스, 딸기주스,
, 콘수프분말, 파르메산치즈, 전분, 식용유, 후추, 달걀
, 
,</v>
      </c>
    </row>
    <row r="469">
      <c r="A469" s="2" t="str">
        <f>recipe!C469
</f>
        <v>레이면인건가♬</v>
      </c>
      <c r="B469" s="1" t="str">
        <f>IFERROR(__xludf.DUMMYFUNCTION("TRIM(
  SUBSTITUTE(
    REGEXEXTRACT(raw!A469, ""(?s)재료\s*(.*?)●\s*조리\s*방법""),
    CHAR(10), "", ""
  )
)
"),"라면, 오징어, 해시브라운, 자숙새우, 카망베르치즈, 굴소스, 파르메산치즈, 영양부추, 가쓰오부시,
, 양파, 레몬, 달걀, 소금, 후추, 전분, 케첩, 마요네즈
, 
,")</f>
        <v>라면, 오징어, 해시브라운, 자숙새우, 카망베르치즈, 굴소스, 파르메산치즈, 영양부추, 가쓰오부시,
, 양파, 레몬, 달걀, 소금, 후추, 전분, 케첩, 마요네즈
, 
,</v>
      </c>
    </row>
    <row r="470">
      <c r="A470" s="2" t="str">
        <f>recipe!C470
</f>
        <v>시금치 나무에서 애벌레 쇼를♬</v>
      </c>
      <c r="B470" s="1" t="str">
        <f>IFERROR(__xludf.DUMMYFUNCTION("TRIM(
  SUBSTITUTE(
    REGEXEXTRACT(raw!A470, ""(?s)재료\s*(.*?)●\s*조리\s*방법""),
    CHAR(10), "", ""
  )
)
"),"굴소스, 시금치, 치킨스톡, 딸기고추장, 베이컨용 삼겹살, 두반장, 숙주나물,
, 즉석밥, 양파, 마늘, 소금, 전분, 마요네즈, 식초
, 
,")</f>
        <v>굴소스, 시금치, 치킨스톡, 딸기고추장, 베이컨용 삼겹살, 두반장, 숙주나물,
, 즉석밥, 양파, 마늘, 소금, 전분, 마요네즈, 식초
, 
,</v>
      </c>
    </row>
    <row r="471">
      <c r="A471" s="2" t="str">
        <f>recipe!C471
</f>
        <v>신의 물고기</v>
      </c>
      <c r="B471" s="1" t="str">
        <f>IFERROR(__xludf.DUMMYFUNCTION("TRIM(
  SUBSTITUTE(
    REGEXEXTRACT(raw!A471, ""(?s)재료\s*(.*?)●\s*조리\s*방법""),
    CHAR(10), "", ""
  )
)
"),"식빵, 우스터소스, 삼치, 진, 오이, 셀러리, 명란젓, 감자칩,
, 마늘, 레몬, 후추, 전분, 청주, 간장, 설탕
, 
,")</f>
        <v>식빵, 우스터소스, 삼치, 진, 오이, 셀러리, 명란젓, 감자칩,
, 마늘, 레몬, 후추, 전분, 청주, 간장, 설탕
, 
,</v>
      </c>
    </row>
    <row r="472">
      <c r="A472" s="2" t="str">
        <f>recipe!C472
</f>
        <v>시금치~즈</v>
      </c>
      <c r="B472" s="1" t="str">
        <f>IFERROR(__xludf.DUMMYFUNCTION("TRIM(
  SUBSTITUTE(
    REGEXEXTRACT(raw!A472, ""(?s)재료\s*(.*?)●\s*조리\s*방법""),
    CHAR(10), "", ""
  )
)
"),"시금치, 소고기등심, 크림치즈, 모차렐라치즈, 체다치즈, 우유, 사과, 오이, 로메인상추,
, 양파, 레몬, 달걀, 소금, 후추, 밀가루, 올리브오일
, 
,")</f>
        <v>시금치, 소고기등심, 크림치즈, 모차렐라치즈, 체다치즈, 우유, 사과, 오이, 로메인상추,
, 양파, 레몬, 달걀, 소금, 후추, 밀가루, 올리브오일
, 
,</v>
      </c>
    </row>
    <row r="473">
      <c r="A473" s="2" t="str">
        <f>recipe!C473
</f>
        <v>미소 밀푀유</v>
      </c>
      <c r="B473" s="1" t="str">
        <f>IFERROR(__xludf.DUMMYFUNCTION("TRIM(
  SUBSTITUTE(
    REGEXEXTRACT(raw!A473, ""(?s)재료\s*(.*?)●\s*조리\s*방법""),
    CHAR(10), "", ""
  )
)
"),"우유, 통조림 옥수수, 양배추, 소고기등심, 크림치즈, 셀러리, 흑초, 씨겨자, 적미소,
, 양파, 소금, 후추, 버터, 밀가루, 올리브오일
, 
,")</f>
        <v>우유, 통조림 옥수수, 양배추, 소고기등심, 크림치즈, 셀러리, 흑초, 씨겨자, 적미소,
, 양파, 소금, 후추, 버터, 밀가루, 올리브오일
, 
,</v>
      </c>
    </row>
    <row r="474">
      <c r="A474" s="2" t="str">
        <f>recipe!C474
</f>
        <v>everyday I 스테이크♬</v>
      </c>
      <c r="B474" s="1" t="str">
        <f>IFERROR(__xludf.DUMMYFUNCTION("TRIM(
  SUBSTITUTE(
    REGEXEXTRACT(raw!A474, ""(?s)재료\s*(.*?)●\s*조리\s*방법""),
    CHAR(10), "", ""
  )
)
"),"소고기등심, 치킨스톡, 멸치액젓, 게맛살, 사과, 크림치즈,
, 달걀, 양파, 레몬, 즉석밥, 간장, 청주, 맛술, 설탕, 후추, 전분, 올리브오일, 식용유, 소금
, 
,")</f>
        <v>소고기등심, 치킨스톡, 멸치액젓, 게맛살, 사과, 크림치즈,
, 달걀, 양파, 레몬, 즉석밥, 간장, 청주, 맛술, 설탕, 후추, 전분, 올리브오일, 식용유, 소금
, 
,</v>
      </c>
    </row>
    <row r="475">
      <c r="A475" s="2" t="str">
        <f>recipe!C475
</f>
        <v>숲 속의 완자님</v>
      </c>
      <c r="B475" s="1" t="str">
        <f>IFERROR(__xludf.DUMMYFUNCTION("TRIM(
  SUBSTITUTE(
    REGEXEXTRACT(raw!A475, ""(?s)재료\s*(.*?)●\s*조리\s*방법""),
    CHAR(10), "", ""
  )
)
"),"통조림 햄, 파스타면, 치킨스톡, 파슬리가루, 인스턴트 만두, 두부, 땅콩버터, 매실청, 스위트칠리소스,
, 양파, 대파, 당근, 레몬, 버터, 후추, 전분
, 
,")</f>
        <v>통조림 햄, 파스타면, 치킨스톡, 파슬리가루, 인스턴트 만두, 두부, 땅콩버터, 매실청, 스위트칠리소스,
, 양파, 대파, 당근, 레몬, 버터, 후추, 전분
, 
,</v>
      </c>
    </row>
    <row r="476">
      <c r="A476" s="2" t="str">
        <f>recipe!C476
</f>
        <v>미식이 오믈렛</v>
      </c>
      <c r="B476" s="1" t="str">
        <f>IFERROR(__xludf.DUMMYFUNCTION("TRIM(
  SUBSTITUTE(
    REGEXEXTRACT(raw!A476, ""(?s)재료\s*(.*?)●\s*조리\s*방법""),
    CHAR(10), "", ""
  )
)
"),"두부, 삼겹살, 스테이크시즈닝, 견과류, 파르메산치즈가루, 사과, 파슬리가루, 알타리무김치,
, 달걀, 양파, 마늘, 소금, 후추, 고추장, 간장
, 
,")</f>
        <v>두부, 삼겹살, 스테이크시즈닝, 견과류, 파르메산치즈가루, 사과, 파슬리가루, 알타리무김치,
, 달걀, 양파, 마늘, 소금, 후추, 고추장, 간장
, 
,</v>
      </c>
    </row>
    <row r="477">
      <c r="A477" s="2" t="str">
        <f>recipe!C477
</f>
        <v>꿀먹었삼</v>
      </c>
      <c r="B477" s="1" t="str">
        <f>IFERROR(__xludf.DUMMYFUNCTION("TRIM(
  SUBSTITUTE(
    REGEXEXTRACT(raw!A477, ""(?s)재료\s*(.*?)●\s*조리\s*방법""),
    CHAR(10), "", ""
  )
)
"),"고구마, 양배추, 삼겹살, 꿀생강청, 굴소스, 인스턴트커피, 사과, 알타리무장아찌,
, 즉석밥, 소금, 설탕, 식초
, 
,")</f>
        <v>고구마, 양배추, 삼겹살, 꿀생강청, 굴소스, 인스턴트커피, 사과, 알타리무장아찌,
, 즉석밥, 소금, 설탕, 식초
, 
,</v>
      </c>
    </row>
    <row r="478">
      <c r="A478" s="2" t="str">
        <f>recipe!C478
</f>
        <v>에라 모르겠닭♬</v>
      </c>
      <c r="B478" s="1" t="str">
        <f>IFERROR(__xludf.DUMMYFUNCTION("TRIM(
  SUBSTITUTE(
    REGEXEXTRACT(raw!A478, ""(?s)재료\s*(.*?)●\s*조리\s*방법""),
    CHAR(10), "", ""
  )
)
"),"훈제 닭가슴살, 된장, 고체카레, 돈가스소스, 굴소스, 다진 마늘,
, 대파, 양파, 고춧가루, 달걀, 즉석밥
, 
,")</f>
        <v>훈제 닭가슴살, 된장, 고체카레, 돈가스소스, 굴소스, 다진 마늘,
, 대파, 양파, 고춧가루, 달걀, 즉석밥
, 
,</v>
      </c>
    </row>
    <row r="479">
      <c r="A479" s="2" t="str">
        <f>recipe!C479
</f>
        <v>쉬워서 오야코</v>
      </c>
      <c r="B479" s="1" t="str">
        <f>IFERROR(__xludf.DUMMYFUNCTION("TRIM(
  SUBSTITUTE(
    REGEXEXTRACT(raw!A479, ""(?s)재료\s*(.*?)●\s*조리\s*방법""),
    CHAR(10), "", ""
  )
)
"),"김밥햄, 건고추, 굴소스, 대파, 양파, 올리브오일, 마늘, 소금, 후추, 간장, 맛술, 설탕, 깨, 즉석밥
, 
,")</f>
        <v>김밥햄, 건고추, 굴소스, 대파, 양파, 올리브오일, 마늘, 소금, 후추, 간장, 맛술, 설탕, 깨, 즉석밥
, 
,</v>
      </c>
    </row>
    <row r="480">
      <c r="A480" s="2" t="str">
        <f>recipe!C480
</f>
        <v>브레드 피그</v>
      </c>
      <c r="B480" s="1" t="str">
        <f>IFERROR(__xludf.DUMMYFUNCTION("TRIM(
  SUBSTITUTE(
    REGEXEXTRACT(raw!A480, ""(?s)재료\s*(.*?)●\s*조리\s*방법""),
    CHAR(10), "", ""
  )
)
"),"삼겹살, 양파, 청양고추, 버터, 밀가루, 소금, 전분, 달걀, 양파, 대파, 마늘, 간장, 후추
, 
,")</f>
        <v>삼겹살, 양파, 청양고추, 버터, 밀가루, 소금, 전분, 달걀, 양파, 대파, 마늘, 간장, 후추
, 
,</v>
      </c>
    </row>
    <row r="481">
      <c r="A481" s="2" t="str">
        <f>recipe!C481
</f>
        <v>햄카츄~ 야키소바츄~♬</v>
      </c>
      <c r="B481" s="1" t="str">
        <f>IFERROR(__xludf.DUMMYFUNCTION("TRIM(
  SUBSTITUTE(
    REGEXEXTRACT(raw!A481, ""(?s)재료\s*(.*?)●\s*조리\s*방법""),
    CHAR(10), "", ""
  )
)
"),"시리얼, 짜장라면, 김밥햄, 게맛살, 돈가스소스, 굴소스, 청양고추,
, 양파, 당근, 전분, 마요네즈, 케첩, 밀가루, 달걀, 버터
, 
,")</f>
        <v>시리얼, 짜장라면, 김밥햄, 게맛살, 돈가스소스, 굴소스, 청양고추,
, 양파, 당근, 전분, 마요네즈, 케첩, 밀가루, 달걀, 버터
, 
,</v>
      </c>
    </row>
    <row r="482">
      <c r="A482" s="2" t="str">
        <f>recipe!C482
</f>
        <v>비상식난</v>
      </c>
      <c r="B482" s="1" t="str">
        <f>IFERROR(__xludf.DUMMYFUNCTION("TRIM(
  SUBSTITUTE(
    REGEXEXTRACT(raw!A482, ""(?s)재료\s*(.*?)●\s*조리\s*방법""),
    CHAR(10), "", ""
  )
)
"),"통조림 참치, 통조림 햄, 통조림 옥수수, 설탕, 소금, 밀가루
, 
,")</f>
        <v>통조림 참치, 통조림 햄, 통조림 옥수수, 설탕, 소금, 밀가루
, 
,</v>
      </c>
    </row>
    <row r="483">
      <c r="A483" s="2" t="str">
        <f>recipe!C483
</f>
        <v>죽지 않아~!</v>
      </c>
      <c r="B483" s="1" t="str">
        <f>IFERROR(__xludf.DUMMYFUNCTION("TRIM(
  SUBSTITUTE(
    REGEXEXTRACT(raw!A483, ""(?s)재료\s*(.*?)●\s*조리\s*방법""),
    CHAR(10), "", ""
  )
)
"),"쌀, 김, 물, 통조림 옥수수, 통조림 번데기, 통조림 햄, 위스키, 통조림 골뱅이, 참기름
, 
,")</f>
        <v>쌀, 김, 물, 통조림 옥수수, 통조림 번데기, 통조림 햄, 위스키, 통조림 골뱅이, 참기름
, 
,</v>
      </c>
    </row>
    <row r="484">
      <c r="A484" s="2" t="str">
        <f>recipe!C484
</f>
        <v>굿럭탕</v>
      </c>
      <c r="B484" s="1" t="str">
        <f>IFERROR(__xludf.DUMMYFUNCTION("TRIM(
  SUBSTITUTE(
    REGEXEXTRACT(raw!A484, ""(?s)재료\s*(.*?)●\s*조리\s*방법""),
    CHAR(10), "", ""
  )
)
"),"대추, 장뇌삼, 수삼, 우럭, 전복, 표고버섯, 참기름, 데친 시래기, 국간장,
, 달걀, 전분, 올리브오일, 청주, 소금, 양파, 당근, 대파
, 
,")</f>
        <v>대추, 장뇌삼, 수삼, 우럭, 전복, 표고버섯, 참기름, 데친 시래기, 국간장,
, 달걀, 전분, 올리브오일, 청주, 소금, 양파, 당근, 대파
, 
,</v>
      </c>
    </row>
    <row r="485">
      <c r="A485" s="2" t="str">
        <f>recipe!C485
</f>
        <v>솥태미나</v>
      </c>
      <c r="B485" s="1" t="str">
        <f>IFERROR(__xludf.DUMMYFUNCTION("TRIM(
  SUBSTITUTE(
    REGEXEXTRACT(raw!A485, ""(?s)재료\s*(.*?)●\s*조리\s*방법""),
    CHAR(10), "", ""
  )
)
"),"겨우살이, 상황버섯, 쌀, 데친 시래기, 연꽃씨앗, 미역, 표고버섯, 솔잎올리고당, 국간장, 전복,
, 삶은 문어, 대추, 장뇌삼, 생강청, 고추장, 수삼, 참기름, 들기름, 마늘, 설탕, 대파, 식초, 고춧가루, 깨
, 
,")</f>
        <v>겨우살이, 상황버섯, 쌀, 데친 시래기, 연꽃씨앗, 미역, 표고버섯, 솔잎올리고당, 국간장, 전복,
, 삶은 문어, 대추, 장뇌삼, 생강청, 고추장, 수삼, 참기름, 들기름, 마늘, 설탕, 대파, 식초, 고춧가루, 깨
, 
,</v>
      </c>
    </row>
    <row r="486">
      <c r="A486" s="2" t="str">
        <f>recipe!C486
</f>
        <v>사랑의 초밥</v>
      </c>
      <c r="B486" s="1" t="str">
        <f>IFERROR(__xludf.DUMMYFUNCTION("TRIM(
  SUBSTITUTE(
    REGEXEXTRACT(raw!A486, ""(?s)재료\s*(.*?)●\s*조리\s*방법""),
    CHAR(10), "", ""
  )
)
"),"전복, 김, 훈제연어, 배추김치, 식초, 소금, 설탕, 달걀, 전분, 간장, 청주, 맛술, 깨,
, 참기름, 마요네즈, 케첩, 청양고추
, 
,")</f>
        <v>전복, 김, 훈제연어, 배추김치, 식초, 소금, 설탕, 달걀, 전분, 간장, 청주, 맛술, 깨,
, 참기름, 마요네즈, 케첩, 청양고추
, 
,</v>
      </c>
    </row>
    <row r="487">
      <c r="A487" s="2" t="str">
        <f>recipe!C487
</f>
        <v>전복의 후예</v>
      </c>
      <c r="B487" s="1" t="str">
        <f>IFERROR(__xludf.DUMMYFUNCTION("TRIM(
  SUBSTITUTE(
    REGEXEXTRACT(raw!A487, ""(?s)재료\s*(.*?)●\s*조리\s*방법""),
    CHAR(10), "", ""
  )
)
"),"치즈빵, 전복, 김, 쌈장, 자몽청, 대파, 마늘, 양파, 간장
, 
,")</f>
        <v>치즈빵, 전복, 김, 쌈장, 자몽청, 대파, 마늘, 양파, 간장
, 
,</v>
      </c>
    </row>
    <row r="488">
      <c r="A488" s="2" t="str">
        <f>recipe!C488
</f>
        <v>깐초이면</v>
      </c>
      <c r="B488" s="1" t="str">
        <f>IFERROR(__xludf.DUMMYFUNCTION("TRIM(
  SUBSTITUTE(
    REGEXEXTRACT(raw!A488, ""(?s)재료\s*(.*?)●\s*조리\s*방법""),
    CHAR(10), "", ""
  )
)
"),"소갈빗살, 두부, 칼국수면, 인스턴트 꼬리곰탕, 조미료, 대파, 고춧가루, 다진 마늘, 식용유, 전분,
, 후추, 소금, 간장, 마늘, 청양고추, 간장, 고추장
, 
,")</f>
        <v>소갈빗살, 두부, 칼국수면, 인스턴트 꼬리곰탕, 조미료, 대파, 고춧가루, 다진 마늘, 식용유, 전분,
, 후추, 소금, 간장, 마늘, 청양고추, 간장, 고추장
, 
,</v>
      </c>
    </row>
    <row r="489">
      <c r="A489" s="2" t="str">
        <f>recipe!C489
</f>
        <v>갈크러쉬</v>
      </c>
      <c r="B489" s="1" t="str">
        <f>IFERROR(__xludf.DUMMYFUNCTION("TRIM(
  SUBSTITUTE(
    REGEXEXTRACT(raw!A489, ""(?s)재료\s*(.*?)●\s*조리\s*방법""),
    CHAR(10), "", ""
  )
)
"),"소갈빗살, 조미료, 된장, 설탕, 다진 마늘, 간장, 양파, 대파, 밀가루, 마늘, 청양고추, 후추
, 
,")</f>
        <v>소갈빗살, 조미료, 된장, 설탕, 다진 마늘, 간장, 양파, 대파, 밀가루, 마늘, 청양고추, 후추
, 
,</v>
      </c>
    </row>
    <row r="490">
      <c r="A490" s="2" t="str">
        <f>recipe!C490
</f>
        <v>고기만두 먹으러 왜 안 왔어?</v>
      </c>
      <c r="B490" s="1" t="str">
        <f>IFERROR(__xludf.DUMMYFUNCTION("TRIM(
  SUBSTITUTE(
    REGEXEXTRACT(raw!A490, ""(?s)재료\s*(.*?)●\s*조리\s*방법""),
    CHAR(10), "", ""
  )
)
"),"부챗살, 삼겹살, 굴소스, 목살, 양송이버섯, 애호박, XO소스,
, 다진 생강, 청주, 양파, 대파, 소금, 후추, 전분, 고춧가루, 당근, 마늘, 간장
, 
,")</f>
        <v>부챗살, 삼겹살, 굴소스, 목살, 양송이버섯, 애호박, XO소스,
, 다진 생강, 청주, 양파, 대파, 소금, 후추, 전분, 고춧가루, 당근, 마늘, 간장
, 
,</v>
      </c>
    </row>
    <row r="491">
      <c r="A491" s="2" t="str">
        <f>recipe!C491
</f>
        <v>안심펀치 쓰리강냉이</v>
      </c>
      <c r="B491" s="1" t="str">
        <f>IFERROR(__xludf.DUMMYFUNCTION("TRIM(
  SUBSTITUTE(
    REGEXEXTRACT(raw!A491, ""(?s)재료\s*(.*?)●\s*조리\s*방법""),
    CHAR(10), "", ""
  )
)
"),"소고기 안심, 베이컨, 트러플오일, 휘핑크림, 푸아그라, 파르메산 치즈, 가지,
, 스테이크시즈닝, 소금, 후추, 마늘, 버터, 청주, 양파, 대파
, 
,")</f>
        <v>소고기 안심, 베이컨, 트러플오일, 휘핑크림, 푸아그라, 파르메산 치즈, 가지,
, 스테이크시즈닝, 소금, 후추, 마늘, 버터, 청주, 양파, 대파
, 
,</v>
      </c>
    </row>
    <row r="492">
      <c r="A492" s="2" t="str">
        <f>recipe!C492
</f>
        <v>긴풍면</v>
      </c>
      <c r="B492" s="1" t="str">
        <f>IFERROR(__xludf.DUMMYFUNCTION("TRIM(
  SUBSTITUTE(
    REGEXEXTRACT(raw!A492, ""(?s)재료\s*(.*?)●\s*조리\s*방법""),
    CHAR(10), "", ""
  )
)
"),"소고기 안심, 무, 피시소스, 굴소스, 밀가루, 대파, 들기름, 맛술, 식초, 고춧가루, 다진 마늘
, 
,")</f>
        <v>소고기 안심, 무, 피시소스, 굴소스, 밀가루, 대파, 들기름, 맛술, 식초, 고춧가루, 다진 마늘
, 
,</v>
      </c>
    </row>
    <row r="493">
      <c r="A493" s="2" t="str">
        <f>recipe!C493
</f>
        <v>우동 튀튀♬</v>
      </c>
      <c r="B493" s="1" t="str">
        <f>IFERROR(__xludf.DUMMYFUNCTION("TRIM(
  SUBSTITUTE(
    REGEXEXTRACT(raw!A493, ""(?s)재료\s*(.*?)●\s*조리\s*방법""),
    CHAR(10), "", ""
  )
)
"),"애호박, 가지, 만가닥버섯, 관자, 무, 쪽파, 밀가루, 소금, 맛술, 간장, 설탕, 식초, 레몬
, 
,")</f>
        <v>애호박, 가지, 만가닥버섯, 관자, 무, 쪽파, 밀가루, 소금, 맛술, 간장, 설탕, 식초, 레몬
, 
,</v>
      </c>
    </row>
    <row r="494">
      <c r="A494" s="2" t="str">
        <f>recipe!C494
</f>
        <v>산해딘미</v>
      </c>
      <c r="B494" s="1" t="str">
        <f>IFERROR(__xludf.DUMMYFUNCTION("TRIM(
  SUBSTITUTE(
    REGEXEXTRACT(raw!A494, ""(?s)재료\s*(.*?)●\s*조리\s*방법""),
    CHAR(10), "", ""
  )
)
"),"식빵, 오징어, 새우, 황민어, 통조림 옥수수, 슬라이스 모차렐라치즈, 사과, 청국장, 요구르트, 부추,
, 달걀, 소금, 밀가루, 버터, 설탕, 올리브오일, 마요네즈, 레몬
, 
,")</f>
        <v>식빵, 오징어, 새우, 황민어, 통조림 옥수수, 슬라이스 모차렐라치즈, 사과, 청국장, 요구르트, 부추,
, 달걀, 소금, 밀가루, 버터, 설탕, 올리브오일, 마요네즈, 레몬
, 
,</v>
      </c>
    </row>
    <row r="495">
      <c r="A495" s="2" t="str">
        <f>recipe!C495
</f>
        <v>딘토불이 떡볶이</v>
      </c>
      <c r="B495" s="1" t="str">
        <f>IFERROR(__xludf.DUMMYFUNCTION("TRIM(
  SUBSTITUTE(
    REGEXEXTRACT(raw!A495, ""(?s)재료\s*(.*?)●\s*조리\s*방법""),
    CHAR(10), "", ""
  )
)
"),"매생이, 민어, 찹쌀가루, 채끝살, 손질새우, 가죽나물, 깻잎장아찌, 고추장아찌,, 장조림, 사골육수, 밀가루, 소금, 후추, 양파, 설탕, 식초, 전분, ,")</f>
        <v>매생이, 민어, 찹쌀가루, 채끝살, 손질새우, 가죽나물, 깻잎장아찌, 고추장아찌,, 장조림, 사골육수, 밀가루, 소금, 후추, 양파, 설탕, 식초, 전분, ,</v>
      </c>
    </row>
    <row r="496">
      <c r="A496" s="2" t="str">
        <f>recipe!C496
</f>
        <v>Caesar Salad with Deep fried oyster</v>
      </c>
      <c r="B496" s="1" t="str">
        <f>IFERROR(__xludf.DUMMYFUNCTION("TRIM(
  SUBSTITUTE(
    REGEXEXTRACT(raw!A496, ""(?s)재료\s*(.*?)●\s*조리\s*방법""),
    CHAR(10), "", ""
  )
)
"),"식빵, 새우젓, 멸치액젓, 알배추, 굴, 베이컨, 허니머스터드, 파르메산 치즈가루, 팩 샐러드,
, 버터, 올리브오일, 달걀, 후추, 밀가루, 식용유, 레몬, 다진 마늘
, 
,")</f>
        <v>식빵, 새우젓, 멸치액젓, 알배추, 굴, 베이컨, 허니머스터드, 파르메산 치즈가루, 팩 샐러드,
, 버터, 올리브오일, 달걀, 후추, 밀가루, 식용유, 레몬, 다진 마늘
, 
,</v>
      </c>
    </row>
    <row r="497">
      <c r="A497" s="2" t="str">
        <f>recipe!C497
</f>
        <v>돈코츠 드소</v>
      </c>
      <c r="B497" s="1" t="str">
        <f>IFERROR(__xludf.DUMMYFUNCTION("TRIM(
  SUBSTITUTE(
    REGEXEXTRACT(raw!A497, ""(?s)재료\s*(.*?)●\s*조리\s*방법""),
    CHAR(10), "", ""
  )
)
"),"토르티야, 다진 돼지고기, 베이컨, 사골육수, 슬라이스 모차렐라치즈, 슬라이스 체다치즈,
, 안창살, 브로콜리, 버터, 마늘, 양파, 대파, 된장, 후추
, 
,")</f>
        <v>토르티야, 다진 돼지고기, 베이컨, 사골육수, 슬라이스 모차렐라치즈, 슬라이스 체다치즈,
, 안창살, 브로콜리, 버터, 마늘, 양파, 대파, 된장, 후추
, 
,</v>
      </c>
    </row>
    <row r="498">
      <c r="A498" s="2" t="str">
        <f>recipe!C498
</f>
        <v>장어튀겼쌈</v>
      </c>
      <c r="B498" s="1" t="str">
        <f>IFERROR(__xludf.DUMMYFUNCTION("TRIM(
  SUBSTITUTE(
    REGEXEXTRACT(raw!A498, ""(?s)재료\s*(.*?)●\s*조리\s*방법""),
    CHAR(10), "", ""
  )
)
"),"무, 장어, 명란젓, 오징어다리, 양파, 밀가루, 전분, 달걀, 식용유, 소금, 마요네즈,
, 다진 마늘, 설탕, 레몬
, 
,")</f>
        <v>무, 장어, 명란젓, 오징어다리, 양파, 밀가루, 전분, 달걀, 식용유, 소금, 마요네즈,
, 다진 마늘, 설탕, 레몬
, 
,</v>
      </c>
    </row>
    <row r="499">
      <c r="A499" s="2" t="str">
        <f>recipe!C499
</f>
        <v>육회한 파튀</v>
      </c>
      <c r="B499" s="1" t="str">
        <f>IFERROR(__xludf.DUMMYFUNCTION("TRIM(
  SUBSTITUTE(
    REGEXEXTRACT(raw!A499, ""(?s)재료\s*(.*?)●\s*조리\s*방법""),
    CHAR(10), "", ""
  )
)
"),"튀김가루, 무, 생강청, 채끝등심, 머스터드소스, 견과류, 대파, 고춧가루,
, 후추, 간장, 설탕, 고추장, 참기름, 다진 마늘, 마요네즈
, 
,")</f>
        <v>튀김가루, 무, 생강청, 채끝등심, 머스터드소스, 견과류, 대파, 고춧가루,
, 후추, 간장, 설탕, 고추장, 참기름, 다진 마늘, 마요네즈
, 
,</v>
      </c>
    </row>
    <row r="500">
      <c r="A500" s="2" t="str">
        <f>recipe!C500
</f>
        <v>피자하면 LA야~ LA야♬</v>
      </c>
      <c r="B500" s="1" t="str">
        <f>IFERROR(__xludf.DUMMYFUNCTION("TRIM(
  SUBSTITUTE(
    REGEXEXTRACT(raw!A500, ""(?s)재료\s*(.*?)●\s*조리\s*방법""),
    CHAR(10), "", ""
  )
)
"),"삼겹살, 채끝등심, 로즈마리, 파슬리, 양송이버섯, 파프리카, 베이컨, 토마토소스,
, 파르메산치즈 가루, 모차렐라치즈, 밀가루, 소금, 양파, 마늘, 후추
, 
,")</f>
        <v>삼겹살, 채끝등심, 로즈마리, 파슬리, 양송이버섯, 파프리카, 베이컨, 토마토소스,
, 파르메산치즈 가루, 모차렐라치즈, 밀가루, 소금, 양파, 마늘, 후추
, 
,</v>
      </c>
    </row>
    <row r="501">
      <c r="A501" s="2" t="str">
        <f>recipe!C501
</f>
        <v>역시 피자는 시카고야~ 시카고야♬</v>
      </c>
      <c r="B501" s="1" t="str">
        <f>IFERROR(__xludf.DUMMYFUNCTION("TRIM(
  SUBSTITUTE(
    REGEXEXTRACT(raw!A501, ""(?s)재료\s*(.*?)●\s*조리\s*방법""),
    CHAR(10), "", ""
  )
)
"),"달걀, 파르메산치즈 가루, 로즈마리, 슬라이스 햄, 베이컨, 양송이버섯, 토마토소스, 모차렐라치즈,
, 슬라이스 체다치즈, 슬라이스 에멘탈치즈, 파슬리, 밀가루, 달걀, 올리브오일, 소금, 버터, 마늘, 후추
, 
,")</f>
        <v>달걀, 파르메산치즈 가루, 로즈마리, 슬라이스 햄, 베이컨, 양송이버섯, 토마토소스, 모차렐라치즈,
, 슬라이스 체다치즈, 슬라이스 에멘탈치즈, 파슬리, 밀가루, 달걀, 올리브오일, 소금, 버터, 마늘, 후추
, 
,</v>
      </c>
    </row>
    <row r="502">
      <c r="A502" s="2" t="str">
        <f>recipe!C502
</f>
        <v>어차피 우승은 나자냐~</v>
      </c>
      <c r="B502" s="1" t="str">
        <f>IFERROR(__xludf.DUMMYFUNCTION("TRIM(
  SUBSTITUTE(
    REGEXEXTRACT(raw!A502, ""(?s)재료\s*(.*?)●\s*조리\s*방법""),
    CHAR(10), "", ""
  )
)
"),"전복, 새우, 우유, 카망베르치즈, 모차렐라치즈, 취장아찌, 양념명란젓,
, 톳가루, 달걀, 소금, 버터, 밀가루, 달걀, 후추, 마늘, 참기름
, 
,")</f>
        <v>전복, 새우, 우유, 카망베르치즈, 모차렐라치즈, 취장아찌, 양념명란젓,
, 톳가루, 달걀, 소금, 버터, 밀가루, 달걀, 후추, 마늘, 참기름
, 
,</v>
      </c>
    </row>
    <row r="503">
      <c r="A503" s="2" t="str">
        <f>recipe!C503
</f>
        <v>크로켓 맛있찌</v>
      </c>
      <c r="B503" s="1" t="str">
        <f>IFERROR(__xludf.DUMMYFUNCTION("TRIM(
  SUBSTITUTE(
    REGEXEXTRACT(raw!A503, ""(?s)재료\s*(.*?)●\s*조리\s*방법""),
    CHAR(10), "", ""
  )
)
"),"양상추, 총각김치, 브로콜리, 콜리플라워, 아스파라거스, 양념명란젓, 크림치즈, 베이컨, 토마토,
, 울외장아찌, 취장아찌, 파르메산치즈, 달걀, 소금, 올리브오일, 후추, 식초, 밀가루, 마늘, 청양고추,
, 고춧가루, 설탕
, 
,")</f>
        <v>양상추, 총각김치, 브로콜리, 콜리플라워, 아스파라거스, 양념명란젓, 크림치즈, 베이컨, 토마토,
, 울외장아찌, 취장아찌, 파르메산치즈, 달걀, 소금, 올리브오일, 후추, 식초, 밀가루, 마늘, 청양고추,
, 고춧가루, 설탕
, 
,</v>
      </c>
    </row>
    <row r="504">
      <c r="A504" s="2" t="str">
        <f>recipe!C504
</f>
        <v>제육과의 동침</v>
      </c>
      <c r="B504" s="1" t="str">
        <f>IFERROR(__xludf.DUMMYFUNCTION("TRIM(
  SUBSTITUTE(
    REGEXEXTRACT(raw!A504, ""(?s)재료\s*(.*?)●\s*조리\s*방법""),
    CHAR(10), "", ""
  )
)
"),"무, 사과, 양상추, 방울토마토, 삼겹살, 아스파라거스, 콜리플라워, 토마토소스, 라면수프,, 소금, 다진 마늘, 설탕, 식초, 양파, 대파, 후추, 즉석밥, 고추, ,")</f>
        <v>무, 사과, 양상추, 방울토마토, 삼겹살, 아스파라거스, 콜리플라워, 토마토소스, 라면수프,, 소금, 다진 마늘, 설탕, 식초, 양파, 대파, 후추, 즉석밥, 고추, ,</v>
      </c>
    </row>
    <row r="505">
      <c r="A505" s="2" t="str">
        <f>recipe!C505
</f>
        <v>보쌈하새우</v>
      </c>
      <c r="B505" s="1" t="str">
        <f>IFERROR(__xludf.DUMMYFUNCTION("TRIM(
  SUBSTITUTE(
    REGEXEXTRACT(raw!A505, ""(?s)재료\s*(.*?)●\s*조리\s*방법""),
    CHAR(10), "", ""
  )
)
"),"게, 새우, 삼겹살, 더치커피, 알배추, 아스파라거스, 무, 토마토소스, 깻잎, 고춧가루, 발사믹식초,
, 간장, 설탕, 양파, 대파, 고추, 맛술, 소금, 고춧가루, 식초
, 
,")</f>
        <v>게, 새우, 삼겹살, 더치커피, 알배추, 아스파라거스, 무, 토마토소스, 깻잎, 고춧가루, 발사믹식초,
, 간장, 설탕, 양파, 대파, 고추, 맛술, 소금, 고춧가루, 식초
, 
,</v>
      </c>
    </row>
    <row r="506">
      <c r="A506" s="2" t="str">
        <f>recipe!C506
</f>
        <v>돔비지마</v>
      </c>
      <c r="B506" s="1" t="str">
        <f>IFERROR(__xludf.DUMMYFUNCTION("TRIM(
  SUBSTITUTE(
    REGEXEXTRACT(raw!A506, ""(?s)재료\s*(.*?)●\s*조리\s*방법""),
    CHAR(10), "", ""
  )
)
"),"감성돔 살, 자숙새우, 전복, 비지, 장어구이소스, 인절미, 마늘쫑 장아찌, 삶은 달걀,
, 양파, 대파, 고추, 레몬, 밀가루, 소금, 후추, 올리브오일, 버터, 마요네즈
, 
,")</f>
        <v>감성돔 살, 자숙새우, 전복, 비지, 장어구이소스, 인절미, 마늘쫑 장아찌, 삶은 달걀,
, 양파, 대파, 고추, 레몬, 밀가루, 소금, 후추, 올리브오일, 버터, 마요네즈
, 
,</v>
      </c>
    </row>
    <row r="507">
      <c r="A507" s="2" t="str">
        <f>recipe!C507
</f>
        <v>마파 돔돔돔돔♬</v>
      </c>
      <c r="B507" s="1" t="str">
        <f>IFERROR(__xludf.DUMMYFUNCTION("TRIM(
  SUBSTITUTE(
    REGEXEXTRACT(raw!A507, ""(?s)재료\s*(.*?)●\s*조리\s*방법""),
    CHAR(10), "", ""
  )
)
"),"감성돔, 오징어, 달걀, 자숙새우, 전복, 두부, 항정살, 고추기름, 두반장, 굴소스,
, 마늘, 대파, 양파, 즉석밥, 전분, 청주, 식용유, 설탕, 맛술, 간장, 전분
, 
,")</f>
        <v>감성돔, 오징어, 달걀, 자숙새우, 전복, 두부, 항정살, 고추기름, 두반장, 굴소스,
, 마늘, 대파, 양파, 즉석밥, 전분, 청주, 식용유, 설탕, 맛술, 간장, 전분
, 
,</v>
      </c>
    </row>
    <row r="508">
      <c r="A508" s="2" t="str">
        <f>recipe!C508
</f>
        <v>짜장과 정열을 그대에게</v>
      </c>
      <c r="B508" s="1" t="str">
        <f>IFERROR(__xludf.DUMMYFUNCTION("TRIM(
  SUBSTITUTE(
    REGEXEXTRACT(raw!A508, ""(?s)재료\s*(.*?)●\s*조리\s*방법""),
    CHAR(10), "", ""
  )
)
"),"두부, 춘장, 애호박, 항정살, 굴소스, 마늘, 대파, 양파, 밀가루, 소금, 간장, 설탕, 전분
, 
,")</f>
        <v>두부, 춘장, 애호박, 항정살, 굴소스, 마늘, 대파, 양파, 밀가루, 소금, 간장, 설탕, 전분
, 
,</v>
      </c>
    </row>
    <row r="509">
      <c r="A509" s="2" t="str">
        <f>recipe!C509
</f>
        <v>낙지엄지척♬</v>
      </c>
      <c r="B509" s="1" t="str">
        <f>IFERROR(__xludf.DUMMYFUNCTION("TRIM(
  SUBSTITUTE(
    REGEXEXTRACT(raw!A509, ""(?s)재료\s*(.*?)●\s*조리\s*방법""),
    CHAR(10), "", ""
  )
)
"),"무, 인스턴트 재첩국, 소고기 등심, 낙지, 애호박, 조개젓, 전복, 마늘, 대파,
, 간장, 고춧가루, 소금, 후추, 식초, 참기름, 올리브오일
, 
,")</f>
        <v>무, 인스턴트 재첩국, 소고기 등심, 낙지, 애호박, 조개젓, 전복, 마늘, 대파,
, 간장, 고춧가루, 소금, 후추, 식초, 참기름, 올리브오일
, 
,</v>
      </c>
    </row>
    <row r="510">
      <c r="A510" s="2" t="str">
        <f>recipe!C510
</f>
        <v>무빙스타</v>
      </c>
      <c r="B510" s="1" t="str">
        <f>IFERROR(__xludf.DUMMYFUNCTION("TRIM(
  SUBSTITUTE(
    REGEXEXTRACT(raw!A510, ""(?s)재료\s*(.*?)●\s*조리\s*방법""),
    CHAR(10), "", ""
  )
)
"),"고추장, 삼겹살, 무, 아몬드, 통조림옥수수, 소금, 대파, 마늘, 간장, 밀가루, 마요네즈
, 
,")</f>
        <v>고추장, 삼겹살, 무, 아몬드, 통조림옥수수, 소금, 대파, 마늘, 간장, 밀가루, 마요네즈
, 
,</v>
      </c>
    </row>
    <row r="511">
      <c r="A511" s="2" t="str">
        <f>recipe!C511
</f>
        <v>퍼펙트 스튜</v>
      </c>
      <c r="B511" s="1" t="str">
        <f>IFERROR(__xludf.DUMMYFUNCTION("TRIM(
  SUBSTITUTE(
    REGEXEXTRACT(raw!A511, ""(?s)재료\s*(.*?)●\s*조리\s*방법""),
    CHAR(10), "", ""
  )
)
"),"고추장, 감자, 간 소고기, 소금, 양파, 당근, 마늘, 밀가루, 레드와인, 버터, 후추, 고추
, 
,")</f>
        <v>고추장, 감자, 간 소고기, 소금, 양파, 당근, 마늘, 밀가루, 레드와인, 버터, 후추, 고추
, 
,</v>
      </c>
    </row>
    <row r="512">
      <c r="A512" s="2" t="str">
        <f>recipe!C512
</f>
        <v>소면이 술술</v>
      </c>
      <c r="B512" s="1" t="str">
        <f>IFERROR(__xludf.DUMMYFUNCTION("TRIM(
  SUBSTITUTE(
    REGEXEXTRACT(raw!A512, ""(?s)재료\s*(.*?)●\s*조리\s*방법""),
    CHAR(10), "", ""
  )
)
"),"무, 애호박, 고추 장아찌, 고춧가루, 인스턴트 갈비탕, 소고기 등심,
, 냉이, 시금치, 대파, 양파, 간장, 소금, 고춧가루, 마늘, 전분, 후추, 즉석밥
, 
,")</f>
        <v>무, 애호박, 고추 장아찌, 고춧가루, 인스턴트 갈비탕, 소고기 등심,
, 냉이, 시금치, 대파, 양파, 간장, 소금, 고춧가루, 마늘, 전분, 후추, 즉석밥
, 
,</v>
      </c>
    </row>
    <row r="513">
      <c r="A513" s="2" t="str">
        <f>recipe!C513
</f>
        <v>박살면</v>
      </c>
      <c r="B513" s="1" t="str">
        <f>IFERROR(__xludf.DUMMYFUNCTION("TRIM(
  SUBSTITUTE(
    REGEXEXTRACT(raw!A513, ""(?s)재료\s*(.*?)●\s*조리\s*방법""),
    CHAR(10), "", ""
  )
)
"),"어포, 애호박, 삼겹살, 오징어, 멸치육수, 멸치액젓, 액상조미료,
, 밀가루, 마늘, 대파, 양파, 고추, 간장, 맛술, 후추, 설탕
, 
,")</f>
        <v>어포, 애호박, 삼겹살, 오징어, 멸치육수, 멸치액젓, 액상조미료,
, 밀가루, 마늘, 대파, 양파, 고추, 간장, 맛술, 후추, 설탕
, 
,</v>
      </c>
    </row>
    <row r="514">
      <c r="A514" s="2" t="str">
        <f>recipe!C514
</f>
        <v>아빠의 바다</v>
      </c>
      <c r="B514" s="1" t="str">
        <f>IFERROR(__xludf.DUMMYFUNCTION("TRIM(
  SUBSTITUTE(
    REGEXEXTRACT(raw!A514, ""(?s)재료\s*(.*?)●\s*조리\s*방법""),
    CHAR(10), "", ""
  )
)
"),"전복, 메이플시럽, 굴소스, 오징어, 파프리카, 양파,
, 대파, 고춧가루, 양파, 마늘, 케첩, 고추장, 참기름, 고추
, 
,")</f>
        <v>전복, 메이플시럽, 굴소스, 오징어, 파프리카, 양파,
, 대파, 고춧가루, 양파, 마늘, 케첩, 고추장, 참기름, 고추
, 
,</v>
      </c>
    </row>
    <row r="515">
      <c r="A515" s="2" t="str">
        <f>recipe!C515
</f>
        <v>엄마의 바다</v>
      </c>
      <c r="B515" s="1" t="str">
        <f>IFERROR(__xludf.DUMMYFUNCTION("TRIM(
  SUBSTITUTE(
    REGEXEXTRACT(raw!A515, ""(?s)재료\s*(.*?)●\s*조리\s*방법""),
    CHAR(10), "", ""
  )
)
"),"전복, 양념돼지갈비, 소갈빗살, 대추, 매실원액, 배추김치, 깻잎장아찌, 굴소스,
, 설탕, 간장, 대파, 양파, 당근, 마늘, 밀가루, 식초, 깨
, 
,")</f>
        <v>전복, 양념돼지갈비, 소갈빗살, 대추, 매실원액, 배추김치, 깻잎장아찌, 굴소스,
, 설탕, 간장, 대파, 양파, 당근, 마늘, 밀가루, 식초, 깨
, 
,</v>
      </c>
    </row>
    <row r="516">
      <c r="A516" s="2" t="str">
        <f>recipe!C516
</f>
        <v>믿어주길 바라♬</v>
      </c>
      <c r="B516" s="1" t="str">
        <f>IFERROR(__xludf.DUMMYFUNCTION("TRIM(
  SUBSTITUTE(
    REGEXEXTRACT(raw!A516, ""(?s)재료\s*(.*?)●\s*조리\s*방법""),
    CHAR(10), "", ""
  )
)
"),"옥수수수프 분말, 우유, 포도, 천혜향, 석류식초, 팬케이크 가루, 채끝등심,
, 블랙올리브 페이스트, 무장아찌, 고추장아찌, 해시 브라운 포테이토, 캐비아, 말린 과일칩,
, 소금, 올리브오일, 후추, 설탕, 된장, 식초, 다진 마늘, 대파, 양파, 참기름
, 
,")</f>
        <v>옥수수수프 분말, 우유, 포도, 천혜향, 석류식초, 팬케이크 가루, 채끝등심,
, 블랙올리브 페이스트, 무장아찌, 고추장아찌, 해시 브라운 포테이토, 캐비아, 말린 과일칩,
, 소금, 올리브오일, 후추, 설탕, 된장, 식초, 다진 마늘, 대파, 양파, 참기름
, 
,</v>
      </c>
    </row>
    <row r="517">
      <c r="A517" s="2" t="str">
        <f>recipe!C517
</f>
        <v>아임 쇼 맨♬</v>
      </c>
      <c r="B517" s="1" t="str">
        <f>IFERROR(__xludf.DUMMYFUNCTION("TRIM(
  SUBSTITUTE(
    REGEXEXTRACT(raw!A517, ""(?s)재료\s*(.*?)●\s*조리\s*방법""),
    CHAR(10), "", ""
  )
)
"),"연시, 마누카 꿀, 황태포, 해시 브라운 포테이토, 굴비, 삼겹살, 파프리카, 매실원액, 캐비아, 참외,
, 연유, 양파, 레몬, 마요네즈, 밀가루, 청주, 마늘, 고추, 대파, 고춧가루, 간장, 맛술, 설탕, 소금
, 
,")</f>
        <v>연시, 마누카 꿀, 황태포, 해시 브라운 포테이토, 굴비, 삼겹살, 파프리카, 매실원액, 캐비아, 참외,
, 연유, 양파, 레몬, 마요네즈, 밀가루, 청주, 마늘, 고추, 대파, 고춧가루, 간장, 맛술, 설탕, 소금
, 
,</v>
      </c>
    </row>
    <row r="518">
      <c r="A518" s="2" t="str">
        <f>recipe!C518
</f>
        <v>골뱅이 완전히 새됐어♬</v>
      </c>
      <c r="B518" s="1" t="str">
        <f>IFERROR(__xludf.DUMMYFUNCTION("TRIM(
  SUBSTITUTE(
    REGEXEXTRACT(raw!A518, ""(?s)재료\s*(.*?)●\s*조리\s*방법""),
    CHAR(10), "", ""
  )
)
"),"골뱅이 통조림, 통삼겹살, 배추김치, 분홍소시지,
, 밀가루, 버터, 설탕, 고춧가루, 간장, 전분, 식초, 설탕, 청양고추
, 
,")</f>
        <v>골뱅이 통조림, 통삼겹살, 배추김치, 분홍소시지,
, 밀가루, 버터, 설탕, 고춧가루, 간장, 전분, 식초, 설탕, 청양고추
, 
,</v>
      </c>
    </row>
    <row r="519">
      <c r="A519" s="2" t="str">
        <f>recipe!C519
</f>
        <v>골뱅이 프린세스</v>
      </c>
      <c r="B519" s="1" t="str">
        <f>IFERROR(__xludf.DUMMYFUNCTION("TRIM(
  SUBSTITUTE(
    REGEXEXTRACT(raw!A519, ""(?s)재료\s*(.*?)●\s*조리\s*방법""),
    CHAR(10), "", ""
  )
)
"),"골뱅이 통조림, 비엔나소시지, 플레인요거트, 크림치즈, 모차렐라치즈,
, 버터, 마늘, 소금, 후추, 밀가루, 화이트와인, 간장, 전분, 청양고추
, 
,")</f>
        <v>골뱅이 통조림, 비엔나소시지, 플레인요거트, 크림치즈, 모차렐라치즈,
, 버터, 마늘, 소금, 후추, 밀가루, 화이트와인, 간장, 전분, 청양고추
, 
,</v>
      </c>
    </row>
    <row r="520">
      <c r="A520" s="2" t="str">
        <f>recipe!C520
</f>
        <v>맵단세트</v>
      </c>
      <c r="B520" s="1" t="str">
        <f>IFERROR(__xludf.DUMMYFUNCTION("TRIM(
  SUBSTITUTE(
    REGEXEXTRACT(raw!A520, ""(?s)재료\s*(.*?)●\s*조리\s*방법""),
    CHAR(10), "", ""
  )
)
"),"떡국떡, 통삼겹살, 사과, 계피가루, 맛소금, 짜장라면수프,
, 버터, 양파, 대파, 고춧가루, 고추장, 간장, 전분, 설탕
, 
,")</f>
        <v>떡국떡, 통삼겹살, 사과, 계피가루, 맛소금, 짜장라면수프,
, 버터, 양파, 대파, 고춧가루, 고추장, 간장, 전분, 설탕
, 
,</v>
      </c>
    </row>
    <row r="521">
      <c r="A521" s="2" t="str">
        <f>recipe!C521
</f>
        <v>니가 젓소</v>
      </c>
      <c r="B521" s="1" t="str">
        <f>IFERROR(__xludf.DUMMYFUNCTION("TRIM(
  SUBSTITUTE(
    REGEXEXTRACT(raw!A521, ""(?s)재료\s*(.*?)●\s*조리\s*방법""),
    CHAR(10), "", ""
  )
)
"),"분홍소시지, 떡볶이 떡, 오징어젓, 채소수프분말, 견과류멸치볶음, 낙지젓, 모차렐라치즈,
, 전분, 밀가루, 달걀, 고춧가루, 설탕, 케첩, 다진 마늘, 양파, 물엿, 참기름
, 
,")</f>
        <v>분홍소시지, 떡볶이 떡, 오징어젓, 채소수프분말, 견과류멸치볶음, 낙지젓, 모차렐라치즈,
, 전분, 밀가루, 달걀, 고춧가루, 설탕, 케첩, 다진 마늘, 양파, 물엿, 참기름
, 
,</v>
      </c>
    </row>
    <row r="522">
      <c r="A522" s="2" t="str">
        <f>recipe!C522
</f>
        <v>오늘 밤 안주는 나야 나♬</v>
      </c>
      <c r="B522" s="1" t="str">
        <f>IFERROR(__xludf.DUMMYFUNCTION("TRIM(
  SUBSTITUTE(
    REGEXEXTRACT(raw!A522, ""(?s)재료\s*(.*?)●\s*조리\s*방법""),
    CHAR(10), "", ""
  )
)
"),"플레인 요거트, 아보카도, 마스카르포네 치즈, 설탕, 달걀, 밀가루, 소금, 버터, 레몬
, 
,")</f>
        <v>플레인 요거트, 아보카도, 마스카르포네 치즈, 설탕, 달걀, 밀가루, 소금, 버터, 레몬
, 
,</v>
      </c>
    </row>
    <row r="523">
      <c r="A523" s="2" t="str">
        <f>recipe!C523
</f>
        <v>안심하고 드세요</v>
      </c>
      <c r="B523" s="1" t="str">
        <f>IFERROR(__xludf.DUMMYFUNCTION("TRIM(
  SUBSTITUTE(
    REGEXEXTRACT(raw!A523, ""(?s)재료\s*(.*?)●\s*조리\s*방법""),
    CHAR(10), "", ""
  )
)
"),"소고기 안심, 허브크림치즈, 트러플 치즈소스, 과일치즈, 고다치즈, 카사바칩, 타임, 플레인 요거트,
, 블루베리 퓌레, 칼라만시원액, 발사믹 식초, 올리브 오일, 후추, 소금, 달걀, 밀가루, 레몬
, 
,")</f>
        <v>소고기 안심, 허브크림치즈, 트러플 치즈소스, 과일치즈, 고다치즈, 카사바칩, 타임, 플레인 요거트,
, 블루베리 퓌레, 칼라만시원액, 발사믹 식초, 올리브 오일, 후추, 소금, 달걀, 밀가루, 레몬
, 
,</v>
      </c>
    </row>
    <row r="524">
      <c r="A524" s="2" t="str">
        <f>recipe!C524
</f>
        <v>울면 안 돼♬</v>
      </c>
      <c r="B524" s="1" t="str">
        <f>IFERROR(__xludf.DUMMYFUNCTION("TRIM(
  SUBSTITUTE(
    REGEXEXTRACT(raw!A524, ""(?s)재료\s*(.*?)●\s*조리\s*방법""),
    CHAR(10), "", ""
  )
)
"),"자차이, 항정살, 가리비관자, 새우, 인스턴트 쌀국수, 아스파라거스, 달걀,, 버터, 전분, 소금, 양파, 전분, ,")</f>
        <v>자차이, 항정살, 가리비관자, 새우, 인스턴트 쌀국수, 아스파라거스, 달걀,, 버터, 전분, 소금, 양파, 전분, ,</v>
      </c>
    </row>
    <row r="525">
      <c r="A525" s="2" t="str">
        <f>recipe!C525
</f>
        <v>수프 원샷</v>
      </c>
      <c r="B525" s="1" t="str">
        <f>IFERROR(__xludf.DUMMYFUNCTION("TRIM(
  SUBSTITUTE(
    REGEXEXTRACT(raw!A525, ""(?s)재료\s*(.*?)●\s*조리\s*방법""),
    CHAR(10), "", ""
  )
)
"),"사과, 아보카도, 마스카르포네 치즈, 페퍼민트, 애플망고 요거트, 생강청, 고구마죽, 라임,
, 트러플 소금, 로즈마리, 타임, 당근, 레몬, 청양고추, 소금, 후추, 대파
, 
,")</f>
        <v>사과, 아보카도, 마스카르포네 치즈, 페퍼민트, 애플망고 요거트, 생강청, 고구마죽, 라임,
, 트러플 소금, 로즈마리, 타임, 당근, 레몬, 청양고추, 소금, 후추, 대파
, 
,</v>
      </c>
    </row>
    <row r="526">
      <c r="A526" s="2" t="str">
        <f>recipe!C526
</f>
        <v>에너지닭</v>
      </c>
      <c r="B526" s="1" t="str">
        <f>IFERROR(__xludf.DUMMYFUNCTION("TRIM(
  SUBSTITUTE(
    REGEXEXTRACT(raw!A526, ""(?s)재료\s*(.*?)●\s*조리\s*방법""),
    CHAR(10), "", ""
  )
)
"),"삼계탕용 닭, 애호박, 파프리카, 베이컨, 떡갈비, 통조림 햄, 우유, 슬라이스 체다치즈, 양배추,
, 피클, 머스터드소스, 모차렐라치즈, 소금, 후추, 밀가루, 양파, 대파, 다진 마늘, 버터, 마요네즈,
, 쌈장, 식초, 케첩, 설탕, 레몬
, 
,")</f>
        <v>삼계탕용 닭, 애호박, 파프리카, 베이컨, 떡갈비, 통조림 햄, 우유, 슬라이스 체다치즈, 양배추,
, 피클, 머스터드소스, 모차렐라치즈, 소금, 후추, 밀가루, 양파, 대파, 다진 마늘, 버터, 마요네즈,
, 쌈장, 식초, 케첩, 설탕, 레몬
, 
,</v>
      </c>
    </row>
    <row r="527">
      <c r="A527" s="2" t="str">
        <f>recipe!C527
</f>
        <v>오삼포테이토</v>
      </c>
      <c r="B527" s="1" t="str">
        <f>IFERROR(__xludf.DUMMYFUNCTION("TRIM(
  SUBSTITUTE(
    REGEXEXTRACT(raw!A527, ""(?s)재료\s*(.*?)●\s*조리\s*방법""),
    CHAR(10), "", ""
  )
)
"),"감자, 오렌지, 삼겹살, 우유, 슬라이스 체다치즈, 베이컨, 방울토마토,
, 양파, 마늘, 고추, 소금, 후추, 버터, 대파
, 
,")</f>
        <v>감자, 오렌지, 삼겹살, 우유, 슬라이스 체다치즈, 베이컨, 방울토마토,
, 양파, 마늘, 고추, 소금, 후추, 버터, 대파
, 
,</v>
      </c>
    </row>
    <row r="528">
      <c r="A528" s="2" t="str">
        <f>recipe!C528
</f>
        <v>shake it♬ 버거</v>
      </c>
      <c r="B528" s="1" t="str">
        <f>IFERROR(__xludf.DUMMYFUNCTION("TRIM(
  SUBSTITUTE(
    REGEXEXTRACT(raw!A528, ""(?s)재료\s*(.*?)●\s*조리\s*방법""),
    CHAR(10), "", ""
  )
)
"),"삼겹살, 떡갈비, 감자, 머스터드소스, 피클, 슬라이스 체다치즈, 방울토마토,
, 베이컨, 모닝빵, 양상추, 마요네즈, 레몬, 후추, 양파
, 
,")</f>
        <v>삼겹살, 떡갈비, 감자, 머스터드소스, 피클, 슬라이스 체다치즈, 방울토마토,
, 베이컨, 모닝빵, 양상추, 마요네즈, 레몬, 후추, 양파
, 
,</v>
      </c>
    </row>
    <row r="529">
      <c r="A529" s="2" t="str">
        <f>recipe!C529
</f>
        <v>무~보이♬</v>
      </c>
      <c r="B529" s="1" t="str">
        <f>IFERROR(__xludf.DUMMYFUNCTION("TRIM(
  SUBSTITUTE(
    REGEXEXTRACT(raw!A529, ""(?s)재료\s*(.*?)●\s*조리\s*방법""),
    CHAR(10), "", ""
  )
)
"),"방울토마토, 국거리용 소고기, 베이컨, 파스타면, 무, 달걀,
, 양파, 대파, 당근, 후추, 레드와인, 마늘, 소금, 올리브오일
, 
,")</f>
        <v>방울토마토, 국거리용 소고기, 베이컨, 파스타면, 무, 달걀,
, 양파, 대파, 당근, 후추, 레드와인, 마늘, 소금, 올리브오일
, 
,</v>
      </c>
    </row>
    <row r="530">
      <c r="A530" s="2" t="str">
        <f>recipe!C530
</f>
        <v>미스동파육</v>
      </c>
      <c r="B530" s="1" t="str">
        <f>IFERROR(__xludf.DUMMYFUNCTION("TRIM(
  SUBSTITUTE(
    REGEXEXTRACT(raw!A530, ""(?s)재료\s*(.*?)●\s*조리\s*방법""),
    CHAR(10), "", ""
  )
)
"),"삼겹살, 굴소스, 바나나, 쌈추, 대파, 간장, 청주, 청양고추,
, 다진 마늘, 다진 생강,후추, 설탕, 밀가루, 들기름
, 
, 
,")</f>
        <v>삼겹살, 굴소스, 바나나, 쌈추, 대파, 간장, 청주, 청양고추,
, 다진 마늘, 다진 생강,후추, 설탕, 밀가루, 들기름
, 
, 
,</v>
      </c>
    </row>
    <row r="531">
      <c r="A531" s="2" t="str">
        <f>recipe!C531
</f>
        <v>미트코리아 진</v>
      </c>
      <c r="B531" s="1" t="str">
        <f>IFERROR(__xludf.DUMMYFUNCTION("TRIM(
  SUBSTITUTE(
    REGEXEXTRACT(raw!A531, ""(?s)재료\s*(.*?)●\s*조리\s*방법""),
    CHAR(10), "", ""
  )
)
"),"모차렐라치즈, 삼겹살, 살치살, 식빵, 우유, 토마토소스,
, 크림소스, 튀김과자, 사과,청양고추, 소금, 후추,
, 양파, 마늘, 설탕, 밀가루, 달걀
, 
, 
,")</f>
        <v>모차렐라치즈, 삼겹살, 살치살, 식빵, 우유, 토마토소스,
, 크림소스, 튀김과자, 사과,청양고추, 소금, 후추,
, 양파, 마늘, 설탕, 밀가루, 달걀
, 
, 
,</v>
      </c>
    </row>
    <row r="532">
      <c r="A532" s="2" t="str">
        <f>recipe!C532
</f>
        <v>가지에 빠져빠져♬</v>
      </c>
      <c r="B532" s="1" t="str">
        <f>IFERROR(__xludf.DUMMYFUNCTION("TRIM(
  SUBSTITUTE(
    REGEXEXTRACT(raw!A532, ""(?s)재료\s*(.*?)●\s*조리\s*방법""),
    CHAR(10), "", ""
  )
)
"),"가지, 애호박, 새송이버섯, 양배추, 훈제연어, 크림치즈, 후리카케,
, 토마토소스, 요거트,밀가루, 마늘, 소금, 후추, 즉석밥,
, 참기름, 식초, 올리브오일, 레몬, 설탕
, 
, 
,")</f>
        <v>가지, 애호박, 새송이버섯, 양배추, 훈제연어, 크림치즈, 후리카케,
, 토마토소스, 요거트,밀가루, 마늘, 소금, 후추, 즉석밥,
, 참기름, 식초, 올리브오일, 레몬, 설탕
, 
, 
,</v>
      </c>
    </row>
    <row r="533">
      <c r="A533" s="2" t="str">
        <f>recipe!C533
</f>
        <v>난 이제 더 이상 찌개가 아니에요♬</v>
      </c>
      <c r="B533" s="1" t="str">
        <f>IFERROR(__xludf.DUMMYFUNCTION("TRIM(
  SUBSTITUTE(
    REGEXEXTRACT(raw!A533, ""(?s)재료\s*(.*?)●\s*조리\s*방법""),
    CHAR(10), "", ""
  )
)
"),"양배추, 삼겹살, 김치, 닭가슴살, 채끝살, 굴소스, 떡볶이 떡,
, 전복,소금, 다진 마늘, 대파, 청주, 달걀, 설탕
, 
, 
,")</f>
        <v>양배추, 삼겹살, 김치, 닭가슴살, 채끝살, 굴소스, 떡볶이 떡,
, 전복,소금, 다진 마늘, 대파, 청주, 달걀, 설탕
, 
, 
,</v>
      </c>
    </row>
    <row r="534">
      <c r="A534" s="2" t="str">
        <f>recipe!C534
</f>
        <v>미식이볼 맛있당께</v>
      </c>
      <c r="B534" s="1" t="str">
        <f>IFERROR(__xludf.DUMMYFUNCTION("TRIM(
  SUBSTITUTE(
    REGEXEXTRACT(raw!A534, ""(?s)재료\s*(.*?)●\s*조리\s*방법""),
    CHAR(10), "", ""
  )
)
"),"소고기 양지, 삼겹살, 식빵, 오이, 상추, 토마토, 마늘, 청양고추,
, 달걀, 소금, 후추, 양파, 밀가루, 식초, 올리브오일, 대파
, 
,")</f>
        <v>소고기 양지, 삼겹살, 식빵, 오이, 상추, 토마토, 마늘, 청양고추,
, 달걀, 소금, 후추, 양파, 밀가루, 식초, 올리브오일, 대파
, 
,</v>
      </c>
    </row>
    <row r="535">
      <c r="A535" s="2" t="str">
        <f>recipe!C535
</f>
        <v>이런 안주 파쌈?</v>
      </c>
      <c r="B535" s="1" t="str">
        <f>IFERROR(__xludf.DUMMYFUNCTION("TRIM(
  SUBSTITUTE(
    REGEXEXTRACT(raw!A535, ""(?s)재료\s*(.*?)●\s*조리\s*방법""),
    CHAR(10), "", ""
  )
)
"),"물만두, 항정살, 인스턴트 고기구이, 두부, 김, 깻잎, 차돌박이,
, 새송이버섯, 고춧가루, 청양고추, 된장, 달걀, 다진 마늘,
, 밀가루, 소금, 대파, 양파, 고추장, 된장
, 
,")</f>
        <v>물만두, 항정살, 인스턴트 고기구이, 두부, 김, 깻잎, 차돌박이,
, 새송이버섯, 고춧가루, 청양고추, 된장, 달걀, 다진 마늘,
, 밀가루, 소금, 대파, 양파, 고추장, 된장
, 
,</v>
      </c>
    </row>
    <row r="536">
      <c r="A536" s="2" t="str">
        <f>recipe!C536
</f>
        <v>국밥 맞고등?</v>
      </c>
      <c r="B536" s="1" t="str">
        <f>IFERROR(__xludf.DUMMYFUNCTION("TRIM(
  SUBSTITUTE(
    REGEXEXTRACT(raw!A536, ""(?s)재료\s*(.*?)●\s*조리\s*방법""),
    CHAR(10), "", ""
  )
)
"),"고등어, 들깻가루, 차돌박이, 항정살, 멸치액젓, 새송이버섯, 순대,
, 오이, 고춧가루, 청양고추, 대파, 다진 마늘, 다진 생강, 즉석밥, 고추
, 
,")</f>
        <v>고등어, 들깻가루, 차돌박이, 항정살, 멸치액젓, 새송이버섯, 순대,
, 오이, 고춧가루, 청양고추, 대파, 다진 마늘, 다진 생강, 즉석밥, 고추
, 
,</v>
      </c>
    </row>
    <row r="537">
      <c r="A537" s="2" t="str">
        <f>recipe!C537
</f>
        <v>소박한 국밥</v>
      </c>
      <c r="B537" s="1" t="str">
        <f>IFERROR(__xludf.DUMMYFUNCTION("TRIM(
  SUBSTITUTE(
    REGEXEXTRACT(raw!A537, ""(?s)재료\s*(.*?)●\s*조리\s*방법""),
    CHAR(10), "", ""
  )
)
"),"인스턴트 양념닭발, 항정살, 오이, 순대, 들깻가루, 갓김치, 새우젓,
, 참기름, 고추장, 청양고추, 마늘, 소금, 참기름, 양파, 대파
, 
,")</f>
        <v>인스턴트 양념닭발, 항정살, 오이, 순대, 들깻가루, 갓김치, 새우젓,
, 참기름, 고추장, 청양고추, 마늘, 소금, 참기름, 양파, 대파
, 
,</v>
      </c>
    </row>
    <row r="538">
      <c r="A538" s="2" t="str">
        <f>recipe!C538
</f>
        <v>숙모닝</v>
      </c>
      <c r="B538" s="1" t="str">
        <f>IFERROR(__xludf.DUMMYFUNCTION("TRIM(
  SUBSTITUTE(
    REGEXEXTRACT(raw!A538, ""(?s)재료\s*(.*?)●\s*조리\s*방법""),
    CHAR(10), "", ""
  )
)
"),"브리치즈, 우유, 꿀, 모과청, 달걀
, 
,")</f>
        <v>브리치즈, 우유, 꿀, 모과청, 달걀
, 
,</v>
      </c>
    </row>
    <row r="539">
      <c r="A539" s="2" t="str">
        <f>recipe!C539
</f>
        <v>숙나잇</v>
      </c>
      <c r="B539" s="1" t="str">
        <f>IFERROR(__xludf.DUMMYFUNCTION("TRIM(
  SUBSTITUTE(
    REGEXEXTRACT(raw!A539, ""(?s)재료\s*(.*?)●\s*조리\s*방법""),
    CHAR(10), "", ""
  )
)
"),"당면, 인스턴트 만두, 콜라, 고추장, 오이, 당근,
, 어묵, 칼라만시식초, 게맛살, 오징어포과자, 달걀
, 
,")</f>
        <v>당면, 인스턴트 만두, 콜라, 고추장, 오이, 당근,
, 어묵, 칼라만시식초, 게맛살, 오징어포과자, 달걀
, 
,</v>
      </c>
    </row>
    <row r="540">
      <c r="A540" s="2" t="str">
        <f>recipe!C540
</f>
        <v>이길 만두 하지? 당근!</v>
      </c>
      <c r="B540" s="1" t="str">
        <f>IFERROR(__xludf.DUMMYFUNCTION("TRIM(
  SUBSTITUTE(
    REGEXEXTRACT(raw!A540, ""(?s)재료\s*(.*?)●\s*조리\s*방법""),
    CHAR(10), "", ""
  )
)
"),"당근, 어묵, 게맛살, 오징어포과자, 오이, 칼라만시식초
, 
,")</f>
        <v>당근, 어묵, 게맛살, 오징어포과자, 오이, 칼라만시식초
, 
,</v>
      </c>
    </row>
    <row r="541">
      <c r="A541" s="2" t="str">
        <f>recipe!C541
</f>
        <v>오늘 나~ 이길 거 맞지♬</v>
      </c>
      <c r="B541" s="1" t="str">
        <f>IFERROR(__xludf.DUMMYFUNCTION("TRIM(
  SUBSTITUTE(
    REGEXEXTRACT(raw!A541, ""(?s)재료\s*(.*?)●\s*조리\s*방법""),
    CHAR(10), "", ""
  )
)
"),"당근, 밤식빵, 우유, 크림치즈, 게맛살
, 
,")</f>
        <v>당근, 밤식빵, 우유, 크림치즈, 게맛살
, 
,</v>
      </c>
    </row>
    <row r="542">
      <c r="A542" s="2" t="str">
        <f>recipe!C542
</f>
        <v>해산물이 맛있셧업♬</v>
      </c>
      <c r="B542" s="1" t="str">
        <f>IFERROR(__xludf.DUMMYFUNCTION("TRIM(
  SUBSTITUTE(
    REGEXEXTRACT(raw!A542, ""(?s)재료\s*(.*?)●\s*조리\s*방법""),
    CHAR(10), "", ""
  )
)
"),"백합, 가지, 파프리카, 불린 렌틸콩, 데친 문어, 낙지, 미나리, 허브시즈닝,, 마늘, 양파, 당근, 화이트와인, 올리브오일, 소금, 후추, 레몬, 설탕, ,")</f>
        <v>백합, 가지, 파프리카, 불린 렌틸콩, 데친 문어, 낙지, 미나리, 허브시즈닝,, 마늘, 양파, 당근, 화이트와인, 올리브오일, 소금, 후추, 레몬, 설탕, ,</v>
      </c>
    </row>
    <row r="543">
      <c r="A543" s="2" t="str">
        <f>recipe!C543
</f>
        <v>잉글리쉿</v>
      </c>
      <c r="B543" s="1" t="str">
        <f>IFERROR(__xludf.DUMMYFUNCTION("TRIM(
  SUBSTITUTE(
    REGEXEXTRACT(raw!A543, ""(?s)재료\s*(.*?)●\s*조리\s*방법""),
    CHAR(10), "", ""
  )
)
"),"백합, 바지락살, 불린 렌틸콩, 파프리카, 애호박, 불린 표고버섯, 허브시즈닝,
, 강황가루, 감태,대파, 마늘, 양파, 고추, 통후추, 화이트와인, 소금, 당근, 후추, 버터
, 
,")</f>
        <v>백합, 바지락살, 불린 렌틸콩, 파프리카, 애호박, 불린 표고버섯, 허브시즈닝,
, 강황가루, 감태,대파, 마늘, 양파, 고추, 통후추, 화이트와인, 소금, 당근, 후추, 버터
, 
,</v>
      </c>
    </row>
    <row r="544">
      <c r="A544" s="2" t="str">
        <f>recipe!C544
</f>
        <v>지천명 반상</v>
      </c>
      <c r="B544" s="1" t="str">
        <f>IFERROR(__xludf.DUMMYFUNCTION("TRIM(
  SUBSTITUTE(
    REGEXEXTRACT(raw!A544, ""(?s)재료\s*(.*?)●\s*조리\s*방법""),
    CHAR(10), "", ""
  )
)
"),"디포리, 건새우, 불린 표고버섯, 낙지, 어간장, 알배추, 불린 완두콩, 브로콜리,
, 애호박, 명란젓, 가자미, 명이나물장아찌, 감태, 참기름, 대파, 양파, 마늘,
, 고추, 즉석밥, 소금, 밀가루, 달걀, 식초, 고춧가루, 깨
, 
,")</f>
        <v>디포리, 건새우, 불린 표고버섯, 낙지, 어간장, 알배추, 불린 완두콩, 브로콜리,
, 애호박, 명란젓, 가자미, 명이나물장아찌, 감태, 참기름, 대파, 양파, 마늘,
, 고추, 즉석밥, 소금, 밀가루, 달걀, 식초, 고춧가루, 깨
, 
,</v>
      </c>
    </row>
    <row r="545">
      <c r="A545" s="2" t="str">
        <f>recipe!C545
</f>
        <v>따르릉~ 내가 니 문어야♬</v>
      </c>
      <c r="B545" s="1" t="str">
        <f>IFERROR(__xludf.DUMMYFUNCTION("TRIM(
  SUBSTITUTE(
    REGEXEXTRACT(raw!A545, ""(?s)재료\s*(.*?)●\s*조리\s*방법""),
    CHAR(10), "", ""
  )
)
"),"데친 문어, 오이, 불린 미역, 불린 표고버섯,
, 마키베리분말, 가지, 미나리, 간장, 맛술, 청주,
, 설탕, 양파, 소금, 식초, 밀가루, 레몬, 고추냉이
, 
,")</f>
        <v>데친 문어, 오이, 불린 미역, 불린 표고버섯,
, 마키베리분말, 가지, 미나리, 간장, 맛술, 청주,
, 설탕, 양파, 소금, 식초, 밀가루, 레몬, 고추냉이
, 
,</v>
      </c>
    </row>
    <row r="546">
      <c r="A546" s="2" t="str">
        <f>recipe!C546
</f>
        <v>M.S.G</v>
      </c>
      <c r="B546" s="1" t="str">
        <f>IFERROR(__xludf.DUMMYFUNCTION("TRIM(
  SUBSTITUTE(
    REGEXEXTRACT(raw!A546, ""(?s)재료\s*(.*?)●\s*조리\s*방법""),
    CHAR(10), "", ""
  )
)
"),"느타리버섯, 팽이버섯, 비엔나소시지, 소고기 등심, 인스턴트 샤부샤부육수,
, 모차렐라치즈, 통조림알감자, 파채, 버터, 양파, 소금, 밀가루, 레드와인
, 
,")</f>
        <v>느타리버섯, 팽이버섯, 비엔나소시지, 소고기 등심, 인스턴트 샤부샤부육수,
, 모차렐라치즈, 통조림알감자, 파채, 버터, 양파, 소금, 밀가루, 레드와인
, 
,</v>
      </c>
    </row>
    <row r="547">
      <c r="A547" s="2" t="str">
        <f>recipe!C547
</f>
        <v>샘희태닭</v>
      </c>
      <c r="B547" s="1" t="str">
        <f>IFERROR(__xludf.DUMMYFUNCTION("TRIM(
  SUBSTITUTE(
    REGEXEXTRACT(raw!A547, ""(?s)재료\s*(.*?)●\s*조리\s*방법""),
    CHAR(10), "", ""
  )
)
"),"생닭, 표고버섯, 느타리버섯, 액상조미료, 파김치,
, 통조림옥수수, 후추, 소금, 대파, 양파, 버터, 밀가루
, 
,")</f>
        <v>생닭, 표고버섯, 느타리버섯, 액상조미료, 파김치,
, 통조림옥수수, 후추, 소금, 대파, 양파, 버터, 밀가루
, 
,</v>
      </c>
    </row>
    <row r="548">
      <c r="A548" s="2" t="str">
        <f>recipe!C548
</f>
        <v>복면라왕</v>
      </c>
      <c r="B548" s="1" t="str">
        <f>IFERROR(__xludf.DUMMYFUNCTION("TRIM(
  SUBSTITUTE(
    REGEXEXTRACT(raw!A548, ""(?s)재료\s*(.*?)●\s*조리\s*방법""),
    CHAR(10), "", ""
  )
)
"),"인스턴트 사골곰탕, 모시조개, 생닭, 생칼국수면, 액상조미료,
, 청고추, 홍고추, 절인 배추, 애호박, 전분, 달걀, 식용유,
, 버터, 양파, 소금, 물엿, 식초, 간장, 맛술, 참기름, 즉석밥,
, 대파, 마늘, 고춧가루
, 
,")</f>
        <v>인스턴트 사골곰탕, 모시조개, 생닭, 생칼국수면, 액상조미료,
, 청고추, 홍고추, 절인 배추, 애호박, 전분, 달걀, 식용유,
, 버터, 양파, 소금, 물엿, 식초, 간장, 맛술, 참기름, 즉석밥,
, 대파, 마늘, 고춧가루
, 
,</v>
      </c>
    </row>
    <row r="549">
      <c r="A549" s="2" t="str">
        <f>recipe!C549
</f>
        <v>렛츠고 짬짜면</v>
      </c>
      <c r="B549" s="1" t="str">
        <f>IFERROR(__xludf.DUMMYFUNCTION("TRIM(
  SUBSTITUTE(
    REGEXEXTRACT(raw!A549, ""(?s)재료\s*(.*?)●\s*조리\s*방법""),
    CHAR(10), "", ""
  )
)
"),"생칼국수면, 생강, 표고버섯, 액상조미료, 칵테일새우, 바지락살,
, 낙지다리, 소금, 고춧가루, 대파, 양파, 당근, 간장, 맛술,
, 설탕, 즉석밥, 깨, 후추, 전분
, 
,")</f>
        <v>생칼국수면, 생강, 표고버섯, 액상조미료, 칵테일새우, 바지락살,
, 낙지다리, 소금, 고춧가루, 대파, 양파, 당근, 간장, 맛술,
, 설탕, 즉석밥, 깨, 후추, 전분
, 
,</v>
      </c>
    </row>
    <row r="550">
      <c r="A550" s="2" t="str">
        <f>recipe!C550
</f>
        <v>떡이라자냐</v>
      </c>
      <c r="B550" s="1" t="str">
        <f>IFERROR(__xludf.DUMMYFUNCTION("TRIM(
  SUBSTITUTE(
    REGEXEXTRACT(raw!A550, ""(?s)재료\s*(.*?)●\s*조리\s*방법""),
    CHAR(10), "", ""
  )
)
"),"라자냐면, 파프리카, 수제돈가스, 표고버섯, 토마토소스,
, 크림소스, 옥수수통조림, 가래떡, 아스파라거스, 슬라이스 체다치즈,
, 라클렛치즈, 바질페스토, 블랙올리브, 참외, 쌀국수면, 양파,
, 다진 마늘, 후추, 고춧가루, 즉석밥, 소금, 올리브오일, 달걀
, 
,")</f>
        <v>라자냐면, 파프리카, 수제돈가스, 표고버섯, 토마토소스,
, 크림소스, 옥수수통조림, 가래떡, 아스파라거스, 슬라이스 체다치즈,
, 라클렛치즈, 바질페스토, 블랙올리브, 참외, 쌀국수면, 양파,
, 다진 마늘, 후추, 고춧가루, 즉석밥, 소금, 올리브오일, 달걀
, 
,</v>
      </c>
    </row>
    <row r="551">
      <c r="A551" s="2" t="str">
        <f>recipe!C551
</f>
        <v>육떡진 롤</v>
      </c>
      <c r="B551" s="1" t="str">
        <f>IFERROR(__xludf.DUMMYFUNCTION("TRIM(
  SUBSTITUTE(
    REGEXEXTRACT(raw!A551, ""(?s)재료\s*(.*?)●\s*조리\s*방법""),
    CHAR(10), "", ""
  )
)
"),"가지, 파프리카, 다진 돼지고기, 떡국 떡, 스테이크소스,
, 슬라이스 체다치즈, 라클렛치즈, 알배추, 블랙올리브, 잣,
, 사워크림, 홀그레인머스터드, 발사믹크림, 고춧가루, 양파,
, 레드와인, 후추, 버터, 다진 마늘, 마요네즈, 레몬, 설탕
, 
,")</f>
        <v>가지, 파프리카, 다진 돼지고기, 떡국 떡, 스테이크소스,
, 슬라이스 체다치즈, 라클렛치즈, 알배추, 블랙올리브, 잣,
, 사워크림, 홀그레인머스터드, 발사믹크림, 고춧가루, 양파,
, 레드와인, 후추, 버터, 다진 마늘, 마요네즈, 레몬, 설탕
, 
,</v>
      </c>
    </row>
    <row r="552">
      <c r="A552" s="2" t="str">
        <f>recipe!C552
</f>
        <v>조동아리 샌드</v>
      </c>
      <c r="B552" s="1" t="str">
        <f>IFERROR(__xludf.DUMMYFUNCTION("TRIM(
  SUBSTITUTE(
    REGEXEXTRACT(raw!A552, ""(?s)재료\s*(.*?)●\s*조리\s*방법""),
    CHAR(10), "", ""
  )
)
"),"데친 우거지, 수제막장, 누룽지, 곤약, 굴소스,
, 두부, 총각김치, 명이나물장아찌, 멸치, 슬라이스아몬드,
, 된장, 다진 마늘, 올리브오일, 당근, 식초
, 
,")</f>
        <v>데친 우거지, 수제막장, 누룽지, 곤약, 굴소스,
, 두부, 총각김치, 명이나물장아찌, 멸치, 슬라이스아몬드,
, 된장, 다진 마늘, 올리브오일, 당근, 식초
, 
,</v>
      </c>
    </row>
    <row r="553">
      <c r="A553" s="2" t="str">
        <f>recipe!C553
</f>
        <v>김치브레이커♬</v>
      </c>
      <c r="B553" s="1" t="str">
        <f>IFERROR(__xludf.DUMMYFUNCTION("TRIM(
  SUBSTITUTE(
    REGEXEXTRACT(raw!A553, ""(?s)재료\s*(.*?)●\s*조리\s*방법""),
    CHAR(10), "", ""
  )
)
"),"김치, 김밥용 김, 삼치, 삼겹살, 당면, 가쓰오부시,
, 표고버섯, 파프리카 애호박, 두반장, 굴소스, 밀가루,
, 마늘, 설탕, 다진 마늘, 맛술, 식초, 간장, 전분
, 
,")</f>
        <v>김치, 김밥용 김, 삼치, 삼겹살, 당면, 가쓰오부시,
, 표고버섯, 파프리카 애호박, 두반장, 굴소스, 밀가루,
, 마늘, 설탕, 다진 마늘, 맛술, 식초, 간장, 전분
, 
,</v>
      </c>
    </row>
    <row r="554">
      <c r="A554" s="2" t="str">
        <f>recipe!C554
</f>
        <v>복면닭호</v>
      </c>
      <c r="B554" s="1" t="str">
        <f>IFERROR(__xludf.DUMMYFUNCTION("TRIM(
  SUBSTITUTE(
    REGEXEXTRACT(raw!A554, ""(?s)재료\s*(.*?)●\s*조리\s*방법""),
    CHAR(10), "", ""
  )
)
"),"토종닭, 소고기 채끝살, 인스턴트 어묵전골, 쪽파,
, 새송이버섯, 밀가루, 소금, 참기름, 고추장, 마늘, 양파
, 
,")</f>
        <v>토종닭, 소고기 채끝살, 인스턴트 어묵전골, 쪽파,
, 새송이버섯, 밀가루, 소금, 참기름, 고추장, 마늘, 양파
, 
,</v>
      </c>
    </row>
    <row r="555">
      <c r="A555" s="2" t="str">
        <f>recipe!C555
</f>
        <v>면들에게 물어봐♬</v>
      </c>
      <c r="B555" s="1" t="str">
        <f>IFERROR(__xludf.DUMMYFUNCTION("TRIM(
  SUBSTITUTE(
    REGEXEXTRACT(raw!A555, ""(?s)재료\s*(.*?)●\s*조리\s*방법""),
    CHAR(10), "", ""
  )
)
"),"고등어, 모시조개, 페페론치노, 밀가루,
, 달걀, 마늘, 화이트와인, 소금, 대파, 올리브오일
, 
,")</f>
        <v>고등어, 모시조개, 페페론치노, 밀가루,
, 달걀, 마늘, 화이트와인, 소금, 대파, 올리브오일
, 
,</v>
      </c>
    </row>
    <row r="556">
      <c r="A556" s="2" t="str">
        <f>recipe!C556
</f>
        <v>외할머니의 집으로~ 이경규가 간닭!</v>
      </c>
      <c r="B556" s="1" t="str">
        <f>IFERROR(__xludf.DUMMYFUNCTION("TRIM(
  SUBSTITUTE(
    REGEXEXTRACT(raw!A556, ""(?s)재료\s*(.*?)●\s*조리\s*방법""),
    CHAR(10), "", ""
  )
)
"),"토종닭, 쪽파, 인스턴트 사골곰탕, 김치, 콩잎장아찌, 쌀,
, 들기름, 소금, 후추, 대파, 고춧가루, 다진 마늘, 간장, 식초
, 
,")</f>
        <v>토종닭, 쪽파, 인스턴트 사골곰탕, 김치, 콩잎장아찌, 쌀,
, 들기름, 소금, 후추, 대파, 고춧가루, 다진 마늘, 간장, 식초
, 
,</v>
      </c>
    </row>
    <row r="557">
      <c r="A557" s="2" t="str">
        <f>recipe!C557
</f>
        <v>꼬꼬탕</v>
      </c>
      <c r="B557" s="1" t="str">
        <f>IFERROR(__xludf.DUMMYFUNCTION("TRIM(
  SUBSTITUTE(
    REGEXEXTRACT(raw!A557, ""(?s)재료\s*(.*?)●\s*조리\s*방법""),
    CHAR(10), "", ""
  )
)
"),"토종닭, 땅콩버터, 쌈장, 마늘종장아찌, 다진 오이피클,
, 대파, 마늘, 양파, 설탕, 식초, 맛술, 간장, 고추냉이,
, 참기름, 달걀, 후추, 깨
, 
, 
,")</f>
        <v>토종닭, 땅콩버터, 쌈장, 마늘종장아찌, 다진 오이피클,
, 대파, 마늘, 양파, 설탕, 식초, 맛술, 간장, 고추냉이,
, 참기름, 달걀, 후추, 깨
, 
, 
,</v>
      </c>
    </row>
    <row r="558">
      <c r="A558" s="2" t="str">
        <f>recipe!C558
</f>
        <v>이건 닭도 아니고 빵도 아니여</v>
      </c>
      <c r="B558" s="1" t="str">
        <f>IFERROR(__xludf.DUMMYFUNCTION("TRIM(
  SUBSTITUTE(
    REGEXEXTRACT(raw!A558, ""(?s)재료\s*(.*?)●\s*조리\s*방법""),
    CHAR(10), "", ""
  )
)
"),"인스턴트 카레, 통조림 햄, 밀가루, 소금, 설탕,
, 버터, 다진 마늘, 식초, 간장, 고춧가루, 전분
, 
,")</f>
        <v>인스턴트 카레, 통조림 햄, 밀가루, 소금, 설탕,
, 버터, 다진 마늘, 식초, 간장, 고춧가루, 전분
, 
,</v>
      </c>
    </row>
    <row r="559">
      <c r="A559" s="2" t="str">
        <f>recipe!C559
</f>
        <v>공갈협빵</v>
      </c>
      <c r="B559" s="1" t="str">
        <f>IFERROR(__xludf.DUMMYFUNCTION("TRIM(
  SUBSTITUTE(
    REGEXEXTRACT(raw!A559, ""(?s)재료\s*(.*?)●\s*조리\s*방법""),
    CHAR(10), "", ""
  )
)
"),"연어 통조림, 통조림 햄, 달걀,
, 전분, 청양고추, 대파, 설탕
, 
,")</f>
        <v>연어 통조림, 통조림 햄, 달걀,
, 전분, 청양고추, 대파, 설탕
, 
,</v>
      </c>
    </row>
    <row r="560">
      <c r="A560" s="2" t="str">
        <f>recipe!C560
</f>
        <v>어젯밤 시킨 닭</v>
      </c>
      <c r="B560" s="1" t="str">
        <f>IFERROR(__xludf.DUMMYFUNCTION("TRIM(
  SUBSTITUTE(
    REGEXEXTRACT(raw!A560, ""(?s)재료\s*(.*?)●\s*조리\s*방법""),
    CHAR(10), "", ""
  )
)
"),"치킨, 라면, 인스턴트 어묵탕, 우엉, 깨,
, 마요네즈, 간장, 설탕, 식초, 청양고추, 고춧가루,
, 밀가루, 청주, 맛술, 달걀, 후추, 레몬
, 
,")</f>
        <v>치킨, 라면, 인스턴트 어묵탕, 우엉, 깨,
, 마요네즈, 간장, 설탕, 식초, 청양고추, 고춧가루,
, 밀가루, 청주, 맛술, 달걀, 후추, 레몬
, 
,</v>
      </c>
    </row>
    <row r="561">
      <c r="A561" s="2" t="str">
        <f>recipe!C561
</f>
        <v>1닭 2일</v>
      </c>
      <c r="B561" s="1" t="str">
        <f>IFERROR(__xludf.DUMMYFUNCTION("TRIM(
  SUBSTITUTE(
    REGEXEXTRACT(raw!A561, ""(?s)재료\s*(.*?)●\s*조리\s*방법""),
    CHAR(10), "", ""
  )
)
"),"치킨, 치킨무, 위스키, 토마토소스, 김,
, 인스턴트 볶음김치, 통조림 햄, 양파, 마늘,
, 당근, 버터, 밀가루, 청양고추, 후추, 식초, 설탕,
, 간장, 대파, 즉석밥, 전분, 레몬
, 
,")</f>
        <v>치킨, 치킨무, 위스키, 토마토소스, 김,
, 인스턴트 볶음김치, 통조림 햄, 양파, 마늘,
, 당근, 버터, 밀가루, 청양고추, 후추, 식초, 설탕,
, 간장, 대파, 즉석밥, 전분, 레몬
, 
,</v>
      </c>
    </row>
    <row r="562">
      <c r="A562" s="2" t="str">
        <f>recipe!C562
</f>
        <v>소미양~ 스테이크양</v>
      </c>
      <c r="B562" s="1" t="str">
        <f>IFERROR(__xludf.DUMMYFUNCTION("TRIM(
  SUBSTITUTE(
    REGEXEXTRACT(raw!A562, ""(?s)재료\s*(.*?)●\s*조리\s*방법""),
    CHAR(10), "", ""
  )
)
"),"알감자, 양갈비, 월계수잎, 고수홀, 핑크페퍼,
, 요거트, 딜 가루, 당근, 이탈리안 허브시즈닝,
, 바질 가루, 소금, 올리브오일, 마늘, 레드와인, 마요네즈
, 
,")</f>
        <v>알감자, 양갈비, 월계수잎, 고수홀, 핑크페퍼,
, 요거트, 딜 가루, 당근, 이탈리안 허브시즈닝,
, 바질 가루, 소금, 올리브오일, 마늘, 레드와인, 마요네즈
, 
,</v>
      </c>
    </row>
    <row r="563">
      <c r="A563" s="2" t="str">
        <f>recipe!C563
</f>
        <v>케사디양</v>
      </c>
      <c r="B563" s="1" t="str">
        <f>IFERROR(__xludf.DUMMYFUNCTION("TRIM(
  SUBSTITUTE(
    REGEXEXTRACT(raw!A563, ""(?s)재료\s*(.*?)●\s*조리\s*방법""),
    CHAR(10), "", ""
  )
)
"),"양갈비, 로즈마리, 마늘소금, 허브믹스, 토르티야,
, 홀그레인머스터드, 아보카도, 할라피뇨, 양배추, 요거트,
, 수박, 크림치즈, 바질페스토, 블루베리, 병아리콩, 양파,
, 마늘, 후추, 레몬즙, 소금, 물엿, 설탕, 맛술, 간장
, 
,")</f>
        <v>양갈비, 로즈마리, 마늘소금, 허브믹스, 토르티야,
, 홀그레인머스터드, 아보카도, 할라피뇨, 양배추, 요거트,
, 수박, 크림치즈, 바질페스토, 블루베리, 병아리콩, 양파,
, 마늘, 후추, 레몬즙, 소금, 물엿, 설탕, 맛술, 간장
, 
,</v>
      </c>
    </row>
    <row r="564">
      <c r="A564" s="2" t="str">
        <f>recipe!C564
</f>
        <v>오늘 밤 상남자는 나야 나♬</v>
      </c>
      <c r="B564" s="1" t="str">
        <f>IFERROR(__xludf.DUMMYFUNCTION("TRIM(
  SUBSTITUTE(
    REGEXEXTRACT(raw!A564, ""(?s)재료\s*(.*?)●\s*조리\s*방법""),
    CHAR(10), "", ""
  )
)
"),"사과, 꿀, 옥수수, 고다치즈, 체다치즈, 우유, 파르메산치즈,
, 척아이롤, 허브믹스, 핫케이크 가루, 밀가루, 달걀, 소금
, 
,")</f>
        <v>사과, 꿀, 옥수수, 고다치즈, 체다치즈, 우유, 파르메산치즈,
, 척아이롤, 허브믹스, 핫케이크 가루, 밀가루, 달걀, 소금
, 
,</v>
      </c>
    </row>
    <row r="565">
      <c r="A565" s="2" t="str">
        <f>recipe!C565
</f>
        <v>마초세트</v>
      </c>
      <c r="B565" s="1" t="str">
        <f>IFERROR(__xludf.DUMMYFUNCTION("TRIM(
  SUBSTITUTE(
    REGEXEXTRACT(raw!A565, ""(?s)재료\s*(.*?)●\s*조리\s*방법""),
    CHAR(10), "", ""
  )
)
"),"베이컨, 제멜리면, 치킨 너겟, 옥수수, 치킨스톡,
, 통조림 토마토수프, 살사소스, 고수 가루, 우유,
, 고다치즈, 체다치즈, 페퍼잭치즈, 파르메산치즈,
, 식빵, 아보카도, 파프리카, 양파, 소금, 마늘,
, 청양고추, 버터, 밀가루, 대파
, 
,")</f>
        <v>베이컨, 제멜리면, 치킨 너겟, 옥수수, 치킨스톡,
, 통조림 토마토수프, 살사소스, 고수 가루, 우유,
, 고다치즈, 체다치즈, 페퍼잭치즈, 파르메산치즈,
, 식빵, 아보카도, 파프리카, 양파, 소금, 마늘,
, 청양고추, 버터, 밀가루, 대파
, 
,</v>
      </c>
    </row>
    <row r="566">
      <c r="A566" s="2" t="str">
        <f>recipe!C566
</f>
        <v>참돔이시여</v>
      </c>
      <c r="B566" s="1" t="str">
        <f>IFERROR(__xludf.DUMMYFUNCTION("TRIM(
  SUBSTITUTE(
    REGEXEXTRACT(raw!A566, ""(?s)재료\s*(.*?)●\s*조리\s*방법""),
    CHAR(10), "", ""
  )
)
"),"참돔, 표고버섯, 사과, 매실주, 멸치육수, 굴소스,
, 마늘종장아찌, 대파, 고춧가루, 소금, 전분, 마늘, 대파, 양파
, 
,")</f>
        <v>참돔, 표고버섯, 사과, 매실주, 멸치육수, 굴소스,
, 마늘종장아찌, 대파, 고춧가루, 소금, 전분, 마늘, 대파, 양파
, 
,</v>
      </c>
    </row>
    <row r="567">
      <c r="A567" s="2" t="str">
        <f>recipe!C567
</f>
        <v>잘 구운 참돔 하나</v>
      </c>
      <c r="B567" s="1" t="str">
        <f>IFERROR(__xludf.DUMMYFUNCTION("TRIM(
  SUBSTITUTE(
    REGEXEXTRACT(raw!A567, ""(?s)재료\s*(.*?)●\s*조리\s*방법""),
    CHAR(10), "", ""
  )
)
"),"참돔, 발사믹소스, 표고버섯, 그린올리브, 양파,
, 올리브오일, 후추, 마늘, 소금, 레몬, 식초, 버터
, 
,")</f>
        <v>참돔, 발사믹소스, 표고버섯, 그린올리브, 양파,
, 올리브오일, 후추, 마늘, 소금, 레몬, 식초, 버터
, 
,</v>
      </c>
    </row>
    <row r="568">
      <c r="A568" s="2" t="str">
        <f>recipe!C568
</f>
        <v>월하조어탕수</v>
      </c>
      <c r="B568" s="1" t="str">
        <f>IFERROR(__xludf.DUMMYFUNCTION("TRIM(
  SUBSTITUTE(
    REGEXEXTRACT(raw!A568, ""(?s)재료\s*(.*?)●\s*조리\s*방법""),
    CHAR(10), "", ""
  )
)
"),"무늬오징어, 골뱅이 통조림, 오이, 표고버섯,
, 누룽지, 인삼주, 인스턴트 삼계탕, 볶음고추장,
, 다진 생강, 버터, 전분, 소금, 후추, 양파, 당근,
, 대파, 식초, 설탕, 맛술, 깨, 밀가루
, 
,")</f>
        <v>무늬오징어, 골뱅이 통조림, 오이, 표고버섯,
, 누룽지, 인삼주, 인스턴트 삼계탕, 볶음고추장,
, 다진 생강, 버터, 전분, 소금, 후추, 양파, 당근,
, 대파, 식초, 설탕, 맛술, 깨, 밀가루
, 
,</v>
      </c>
    </row>
    <row r="569">
      <c r="A569" s="2" t="str">
        <f>recipe!C569
</f>
        <v>면 때무늬야♬</v>
      </c>
      <c r="B569" s="1" t="str">
        <f>IFERROR(__xludf.DUMMYFUNCTION("TRIM(
  SUBSTITUTE(
    REGEXEXTRACT(raw!A569, ""(?s)재료\s*(.*?)●\s*조리\s*방법""),
    CHAR(10), "", ""
  )
)
"),"무늬오징어, 표고버섯, 굴소스, 쯔유, 라임,
, 우메보시, 볶음고추장, 양파, 대파, 전분,
, 달걀, 청주, 맛술, 설탕, 소금, 간장
, 
,")</f>
        <v>무늬오징어, 표고버섯, 굴소스, 쯔유, 라임,
, 우메보시, 볶음고추장, 양파, 대파, 전분,
, 달걀, 청주, 맛술, 설탕, 소금, 간장
, 
,</v>
      </c>
    </row>
    <row r="570">
      <c r="A570" s="2" t="str">
        <f>recipe!C570
</f>
        <v>깜짝놀랄게닭</v>
      </c>
      <c r="B570" s="1" t="str">
        <f>IFERROR(__xludf.DUMMYFUNCTION("TRIM(
  SUBSTITUTE(
    REGEXEXTRACT(raw!A570, ""(?s)재료\s*(.*?)●\s*조리\s*방법""),
    CHAR(10), "", ""
  )
)
"),"순살프라이드치킨, 메밀소바라면, 감자, 참깨소스, 굴소스,
, 라조장, 돼지안심, 파프리카, 깻잎장아찌, 게, 땅콩,
, 대게내장, 매운치킨소스, 설탕, 다진 마늘 양파, 밀가루,
, 물엿, 깨, 참기름, 전분
, 
,")</f>
        <v>순살프라이드치킨, 메밀소바라면, 감자, 참깨소스, 굴소스,
, 라조장, 돼지안심, 파프리카, 깻잎장아찌, 게, 땅콩,
, 대게내장, 매운치킨소스, 설탕, 다진 마늘 양파, 밀가루,
, 물엿, 깨, 참기름, 전분
, 
,</v>
      </c>
    </row>
    <row r="571">
      <c r="A571" s="2" t="str">
        <f>recipe!C571
</f>
        <v>거북전</v>
      </c>
      <c r="B571" s="1" t="str">
        <f>IFERROR(__xludf.DUMMYFUNCTION("TRIM(
  SUBSTITUTE(
    REGEXEXTRACT(raw!A571, ""(?s)재료\s*(.*?)●\s*조리\s*방법""),
    CHAR(10), "", ""
  )
)
"),"감자, 게, 낙지, 새우, 슬라이스치즈, 마늘고추간장장아찌,
, 마늘식초장아찌, 갈빗살, 달걀, 전분, 소금, 후추,
, 레몬, 청양고추, 버터, 양파, 밀가루
, 
,")</f>
        <v>감자, 게, 낙지, 새우, 슬라이스치즈, 마늘고추간장장아찌,
, 마늘식초장아찌, 갈빗살, 달걀, 전분, 소금, 후추,
, 레몬, 청양고추, 버터, 양파, 밀가루
, 
,</v>
      </c>
    </row>
    <row r="572">
      <c r="A572" s="2" t="str">
        <f>recipe!C572
</f>
        <v>대세는 낙.돼.새</v>
      </c>
      <c r="B572" s="1" t="str">
        <f>IFERROR(__xludf.DUMMYFUNCTION("TRIM(
  SUBSTITUTE(
    REGEXEXTRACT(raw!A572, ""(?s)재료\s*(.*?)●\s*조리\s*방법""),
    CHAR(10), "", ""
  )
)
"),"사과, 돼지목살, 낙지, 새우, 굴소스, 알배추,, 들깻가루, 김, 당근, 간장, 양파, 다진 마늘,, 고춧가루, 식초, 설탕, 맛술, 대파, 소금,, 즉석밥, 들기름, 고추장, ,")</f>
        <v>사과, 돼지목살, 낙지, 새우, 굴소스, 알배추,, 들깻가루, 김, 당근, 간장, 양파, 다진 마늘,, 고춧가루, 식초, 설탕, 맛술, 대파, 소금,, 즉석밥, 들기름, 고추장, ,</v>
      </c>
    </row>
    <row r="573">
      <c r="A573" s="2" t="str">
        <f>recipe!C573
</f>
        <v>오코노미~야키를 사랑해♬</v>
      </c>
      <c r="B573" s="1" t="str">
        <f>IFERROR(__xludf.DUMMYFUNCTION("TRIM(
  SUBSTITUTE(
    REGEXEXTRACT(raw!A573, ""(?s)재료\s*(.*?)●\s*조리\s*방법""),
    CHAR(10), "", ""
  )
)
"),"양배추, 돼지 안심, 새우, 고량주, 스위트칠리소스,
, 잔멸치, 돈가스소스, 라면, 케첩, 밀가루, 후추,
, 양파, 달걀, 마요네즈
, 
,")</f>
        <v>양배추, 돼지 안심, 새우, 고량주, 스위트칠리소스,
, 잔멸치, 돈가스소스, 라면, 케첩, 밀가루, 후추,
, 양파, 달걀, 마요네즈
, 
,</v>
      </c>
    </row>
    <row r="574">
      <c r="A574" s="2" t="str">
        <f>recipe!C574
</f>
        <v>이겨도 돼지?</v>
      </c>
      <c r="B574" s="1" t="str">
        <f>IFERROR(__xludf.DUMMYFUNCTION("TRIM(
  SUBSTITUTE(
    REGEXEXTRACT(raw!A574, ""(?s)재료\s*(.*?)●\s*조리\s*방법""),
    CHAR(10), "", ""
  )
)
"),"체리, 돼지목살, 표고버섯대, 깻잎, 파프리카,
, 굴소스, 브로콜리, 설탕, 마늘, 소금, 후추,
, 버터, 올리브오일, 레몬, 다진 마늘, 식초
, 
,")</f>
        <v>체리, 돼지목살, 표고버섯대, 깻잎, 파프리카,
, 굴소스, 브로콜리, 설탕, 마늘, 소금, 후추,
, 버터, 올리브오일, 레몬, 다진 마늘, 식초
, 
,</v>
      </c>
    </row>
    <row r="575">
      <c r="A575" s="2" t="str">
        <f>recipe!C575
</f>
        <v>오~ 쌈젤리제♬</v>
      </c>
      <c r="B575" s="1" t="str">
        <f>IFERROR(__xludf.DUMMYFUNCTION("TRIM(
  SUBSTITUTE(
    REGEXEXTRACT(raw!A575, ""(?s)재료\s*(.*?)●\s*조리\s*방법""),
    CHAR(10), "", ""
  )
)
"),"돼지목살, 표고버섯대, 양배추, 브로콜리, 펜네면,
, 표고버섯볶음, 깻잎, 슬라이스치즈, 새우,
, 바지락살, 굴소스, 새우가루, 양파, 소금,
, 연겨자, 마늘, 고추장, 청양고추
, 
,")</f>
        <v>돼지목살, 표고버섯대, 양배추, 브로콜리, 펜네면,
, 표고버섯볶음, 깻잎, 슬라이스치즈, 새우,
, 바지락살, 굴소스, 새우가루, 양파, 소금,
, 연겨자, 마늘, 고추장, 청양고추
, 
,</v>
      </c>
    </row>
    <row r="576">
      <c r="A576" s="2" t="str">
        <f>recipe!C576
</f>
        <v>명백한 짬뽕</v>
      </c>
      <c r="B576" s="1" t="str">
        <f>IFERROR(__xludf.DUMMYFUNCTION("TRIM(
  SUBSTITUTE(
    REGEXEXTRACT(raw!A576, ""(?s)재료\s*(.*?)●\s*조리\s*방법""),
    CHAR(10), "", ""
  )
)
"),"명란젓, 새우가루, 알배추, 애호박, 브로콜리,
, 새우, 오징어, 바지락살, 굴소스, 콩나물,
, 밀가루, 청양고추, 양파, 마늘, 대파, 전분, 달걀
, 
, 
,")</f>
        <v>명란젓, 새우가루, 알배추, 애호박, 브로콜리,
, 새우, 오징어, 바지락살, 굴소스, 콩나물,
, 밀가루, 청양고추, 양파, 마늘, 대파, 전분, 달걀
, 
, 
,</v>
      </c>
    </row>
    <row r="577">
      <c r="A577" s="2" t="str">
        <f>recipe!C577
</f>
        <v>명카엘</v>
      </c>
      <c r="B577" s="1" t="str">
        <f>IFERROR(__xludf.DUMMYFUNCTION("TRIM(
  SUBSTITUTE(
    REGEXEXTRACT(raw!A577, ""(?s)재료\s*(.*?)●\s*조리\s*방법""),
    CHAR(10), "", ""
  )
)
"),"명란젓, 콩나물, 오징어, 아보카도, 파프리카,
, 모차렐라치즈, 스트링치즈, 깻잎, 파르메산치즈,
, 마늘, 후추, 고춧가루, 올리브오일, 식초,
, 당근, 소금, 레몬, 양파, 청양고추
, 
, 
,")</f>
        <v>명란젓, 콩나물, 오징어, 아보카도, 파프리카,
, 모차렐라치즈, 스트링치즈, 깻잎, 파르메산치즈,
, 마늘, 후추, 고춧가루, 올리브오일, 식초,
, 당근, 소금, 레몬, 양파, 청양고추
, 
, 
,</v>
      </c>
    </row>
    <row r="578">
      <c r="A578" s="2" t="str">
        <f>recipe!C578
</f>
        <v>복정식</v>
      </c>
      <c r="B578" s="1" t="str">
        <f>IFERROR(__xludf.DUMMYFUNCTION("TRIM(
  SUBSTITUTE(
    REGEXEXTRACT(raw!A578, ""(?s)재료\s*(.*?)●\s*조리\s*방법""),
    CHAR(10), "", ""
  )
)
"),"통조림 햄, 자반고등어, 훈제 닭가슴살,
, 라면, 다이어트도시락(믹스채소), 찐고구마,
, 쌀, 달걀, 대파, 후추, 밀가루, 양파, 당근,
, 마늘, 청양고추, 고춧가루, 고추장, 간장,
, 설탕, 라면수프, 참기름
, 
, 
,")</f>
        <v>통조림 햄, 자반고등어, 훈제 닭가슴살,
, 라면, 다이어트도시락(믹스채소), 찐고구마,
, 쌀, 달걀, 대파, 후추, 밀가루, 양파, 당근,
, 마늘, 청양고추, 고춧가루, 고추장, 간장,
, 설탕, 라면수프, 참기름
, 
, 
,</v>
      </c>
    </row>
    <row r="579">
      <c r="A579" s="2" t="str">
        <f>recipe!C579
</f>
        <v>덕윤백반</v>
      </c>
      <c r="B579" s="1" t="str">
        <f>IFERROR(__xludf.DUMMYFUNCTION("TRIM(
  SUBSTITUTE(
    REGEXEXTRACT(raw!A579, ""(?s)재료\s*(.*?)●\s*조리\s*방법""),
    CHAR(10), "", ""
  )
)
"),"훈제 닭가슴살, 다이어트 도시락(삶은 닭가슴살), 자반고등어,
, 배즙, 된장, 일본컵라면(조미김), 쌀, 대파, 당근, 마늘,
, 양파, 식용유, 청주, 다진 생강, 다진 마늘, 고춧가루, 간장,
, 설탕, 맛술, 청고추, 홍고추, 물엿, 참기름, 깨, 달걀, 소금
, 
, 
,")</f>
        <v>훈제 닭가슴살, 다이어트 도시락(삶은 닭가슴살), 자반고등어,
, 배즙, 된장, 일본컵라면(조미김), 쌀, 대파, 당근, 마늘,
, 양파, 식용유, 청주, 다진 생강, 다진 마늘, 고춧가루, 간장,
, 설탕, 맛술, 청고추, 홍고추, 물엿, 참기름, 깨, 달걀, 소금
, 
, 
,</v>
      </c>
    </row>
    <row r="580">
      <c r="A580" s="2" t="str">
        <f>recipe!C580
</f>
        <v>할매 라면</v>
      </c>
      <c r="B580" s="1" t="str">
        <f>IFERROR(__xludf.DUMMYFUNCTION("TRIM(
  SUBSTITUTE(
    REGEXEXTRACT(raw!A580, ""(?s)재료\s*(.*?)●\s*조리\s*방법""),
    CHAR(10), "", ""
  )
)
"),"라면, 가쓰오부시, 훈제 닭가슴살, 군고구마, 통조림 햄,
, 타코야키가루, 된장, 덴카스, 파래가루, 설탕, 간장,
, 양파, 청고추, 홍고추, 대파, 달걀, 버터, 고추장, 당근, 전분
, 
, 
,")</f>
        <v>라면, 가쓰오부시, 훈제 닭가슴살, 군고구마, 통조림 햄,
, 타코야키가루, 된장, 덴카스, 파래가루, 설탕, 간장,
, 양파, 청고추, 홍고추, 대파, 달걀, 버터, 고추장, 당근, 전분
, 
, 
,</v>
      </c>
    </row>
    <row r="581">
      <c r="A581" s="2" t="str">
        <f>recipe!C581
</f>
        <v>중국식 냉면냉면냉면♬</v>
      </c>
      <c r="B581" s="1" t="str">
        <f>IFERROR(__xludf.DUMMYFUNCTION("TRIM(
  SUBSTITUTE(
    REGEXEXTRACT(raw!A581, ""(?s)재료\s*(.*?)●\s*조리\s*방법""),
    CHAR(10), "", ""
  )
)
"),"라면, 가쓰오부시, 통조림 햄, 통조림 참치, 타코야키가루,
, 칼라만시 원액, 타코야키소스, 양파, 당근,
, 대파, 달걀, 간장, 설탕, 맛술, 식초, 깨, 연겨자, 마요네즈
, 
, 
,")</f>
        <v>라면, 가쓰오부시, 통조림 햄, 통조림 참치, 타코야키가루,
, 칼라만시 원액, 타코야키소스, 양파, 당근,
, 대파, 달걀, 간장, 설탕, 맛술, 식초, 깨, 연겨자, 마요네즈
, 
, 
,</v>
      </c>
    </row>
    <row r="582">
      <c r="A582" s="2" t="str">
        <f>recipe!C582
</f>
        <v>피치 못할 타르트</v>
      </c>
      <c r="B582" s="1" t="str">
        <f>IFERROR(__xludf.DUMMYFUNCTION("TRIM(
  SUBSTITUTE(
    REGEXEXTRACT(raw!A582, ""(?s)재료\s*(.*?)●\s*조리\s*방법""),
    CHAR(10), "", ""
  )
)
"),"천도복숭아, 자두, 설탕, 레몬,
, 달걀, 밀가루, 버터, 올리브오일
, 
,")</f>
        <v>천도복숭아, 자두, 설탕, 레몬,
, 달걀, 밀가루, 버터, 올리브오일
, 
,</v>
      </c>
    </row>
    <row r="583">
      <c r="A583" s="2" t="str">
        <f>recipe!C583
</f>
        <v>최애 컵케이크</v>
      </c>
      <c r="B583" s="1" t="str">
        <f>IFERROR(__xludf.DUMMYFUNCTION("TRIM(
  SUBSTITUTE(
    REGEXEXTRACT(raw!A583, ""(?s)재료\s*(.*?)●\s*조리\s*방법""),
    CHAR(10), "", ""
  )
)
"),"우유, 브리치즈, 달걀, 사과, 사과잼,
, 식빵, 브라우니, 모차렐라치즈, 스모크치즈, 체리,
, 버터, 달걀, 설탕, 밀가루, 전분, 화이트와인, 레몬
, 
,")</f>
        <v>우유, 브리치즈, 달걀, 사과, 사과잼,
, 식빵, 브라우니, 모차렐라치즈, 스모크치즈, 체리,
, 버터, 달걀, 설탕, 밀가루, 전분, 화이트와인, 레몬
, 
,</v>
      </c>
    </row>
    <row r="584">
      <c r="A584" s="2" t="str">
        <f>recipe!C584
</f>
        <v>쓰촨으로 갈 찬스</v>
      </c>
      <c r="B584" s="1" t="str">
        <f>IFERROR(__xludf.DUMMYFUNCTION("TRIM(
  SUBSTITUTE(
    REGEXEXTRACT(raw!A584, ""(?s)재료\s*(.*?)●\s*조리\s*방법""),
    CHAR(10), "", ""
  )
)
"),"차돌박이, 샐러리, 미나리, 굴소스, 방울토마토,
, 칼라만시액, 홍고추, 통후추, 소금, 달걀, 전분,
, 마늘, 대파, 다진 생강, 간장
, 
,")</f>
        <v>차돌박이, 샐러리, 미나리, 굴소스, 방울토마토,
, 칼라만시액, 홍고추, 통후추, 소금, 달걀, 전분,
, 마늘, 대파, 다진 생강, 간장
, 
,</v>
      </c>
    </row>
    <row r="585">
      <c r="A585" s="2" t="str">
        <f>recipe!C585
</f>
        <v>어디에스파냐?</v>
      </c>
      <c r="B585" s="1" t="str">
        <f>IFERROR(__xludf.DUMMYFUNCTION("TRIM(
  SUBSTITUTE(
    REGEXEXTRACT(raw!A585, ""(?s)재료\s*(.*?)●\s*조리\s*방법""),
    CHAR(10), "", ""
  )
)
"),"소고기 등심, 식빵, 브리치즈, 스모크치즈,
, 살라미, 견과류, 천도복숭아, 차돌박이, 모차렐라치즈,
, 슬라이스체다치즈, 방울토마토, 스리라차소스, 우유,
, 양파, 달걀, 올리브오일, 후추, 마늘, 레몬,
, 버터, 설탕, 후추, 소금, 고추
, 
,")</f>
        <v>소고기 등심, 식빵, 브리치즈, 스모크치즈,
, 살라미, 견과류, 천도복숭아, 차돌박이, 모차렐라치즈,
, 슬라이스체다치즈, 방울토마토, 스리라차소스, 우유,
, 양파, 달걀, 올리브오일, 후추, 마늘, 레몬,
, 버터, 설탕, 후추, 소금, 고추
, 
,</v>
      </c>
    </row>
    <row r="586">
      <c r="A586" s="2" t="str">
        <f>recipe!C586
</f>
        <v>햄버거 떠머거</v>
      </c>
      <c r="B586" s="1" t="str">
        <f>IFERROR(__xludf.DUMMYFUNCTION("TRIM(
  SUBSTITUTE(
    REGEXEXTRACT(raw!A586, ""(?s)재료\s*(.*?)●\s*조리\s*방법""),
    CHAR(10), "", ""
  )
)
"),"소고기 등심, 베이컨, 돼지갈비 햄버그스테이크,
, 소불고기양념, 맥주, 빵가루, 버터, 우유,
, 슬라이스 모차렐라치즈, 감자, 허니머스터드소스,
, 양파, 소금, 후추, 버터, 밀가루, 케첩, 전분
, 
,")</f>
        <v>소고기 등심, 베이컨, 돼지갈비 햄버그스테이크,
, 소불고기양념, 맥주, 빵가루, 버터, 우유,
, 슬라이스 모차렐라치즈, 감자, 허니머스터드소스,
, 양파, 소금, 후추, 버터, 밀가루, 케첩, 전분
, 
,</v>
      </c>
    </row>
    <row r="587">
      <c r="A587" s="2" t="str">
        <f>recipe!C587
</f>
        <v>오븐 백반 피자</v>
      </c>
      <c r="B587" s="1" t="str">
        <f>IFERROR(__xludf.DUMMYFUNCTION("TRIM(
  SUBSTITUTE(
    REGEXEXTRACT(raw!A587, ""(?s)재료\s*(.*?)●\s*조리\s*방법""),
    CHAR(10), "", ""
  )
)
"),"빵가루, 불고기용 소고기, 김치, 양배추,
, 슬라이스 체다치즈, 슬라이스 모차렐라치즈,
, 요거트, 칼라만시 원액, 달걀, 즉석밥, 소금, 간장,
, 다진 마늘, 다진 생강, 전분, 고추장, 설탕, 마요네즈
, 
,")</f>
        <v>빵가루, 불고기용 소고기, 김치, 양배추,
, 슬라이스 체다치즈, 슬라이스 모차렐라치즈,
, 요거트, 칼라만시 원액, 달걀, 즉석밥, 소금, 간장,
, 다진 마늘, 다진 생강, 전분, 고추장, 설탕, 마요네즈
, 
,</v>
      </c>
    </row>
    <row r="588">
      <c r="A588" s="2" t="str">
        <f>recipe!C588
</f>
        <v>브런치 도둑님</v>
      </c>
      <c r="B588" s="1" t="str">
        <f>IFERROR(__xludf.DUMMYFUNCTION("TRIM(
  SUBSTITUTE(
    REGEXEXTRACT(raw!A588, ""(?s)재료\s*(.*?)●\s*조리\s*방법""),
    CHAR(10), "", ""
  )
)
"),"감자, 포도, 요거트, 칼라만시 원액, 양배추,
, 달걀, 식빵, 슬라이스체다치즈, 소금, 마요네즈,
, 후추, 올리브오일, 당근, 버터, 레몬
, 
,")</f>
        <v>감자, 포도, 요거트, 칼라만시 원액, 양배추,
, 달걀, 식빵, 슬라이스체다치즈, 소금, 마요네즈,
, 후추, 올리브오일, 당근, 버터, 레몬
, 
,</v>
      </c>
    </row>
    <row r="589">
      <c r="A589" s="2" t="str">
        <f>recipe!C589
</f>
        <v>불런치</v>
      </c>
      <c r="B589" s="1" t="str">
        <f>IFERROR(__xludf.DUMMYFUNCTION("TRIM(
  SUBSTITUTE(
    REGEXEXTRACT(raw!A589, ""(?s)재료\s*(.*?)●\s*조리\s*방법""),
    CHAR(10), "", ""
  )
)
"),"감자, 소고기 등심, 달걀, 허니머스터드소스,
, 마늘, 후추, 간장, 레몬, 밀가루, 소금, 케첩
, 
,")</f>
        <v>감자, 소고기 등심, 달걀, 허니머스터드소스,
, 마늘, 후추, 간장, 레몬, 밀가루, 소금, 케첩
, 
,</v>
      </c>
    </row>
    <row r="590">
      <c r="A590" s="2" t="str">
        <f>recipe!C590
</f>
        <v>귀한 만찬</v>
      </c>
      <c r="B590" s="1" t="str">
        <f>IFERROR(__xludf.DUMMYFUNCTION("TRIM(
  SUBSTITUTE(
    REGEXEXTRACT(raw!A590, ""(?s)재료\s*(.*?)●\s*조리\s*방법""),
    CHAR(10), "", ""
  )
)
"),"고춧가루, 낙지, 애호박, 꽈리고추, 파프리카,
, 양배추, 삼겹살, 매실장아찌, 밀가루, 소금,
, 대파, 양파, 전분, 달걀, 마늘, 간장, 설탕
, 
,")</f>
        <v>고춧가루, 낙지, 애호박, 꽈리고추, 파프리카,
, 양배추, 삼겹살, 매실장아찌, 밀가루, 소금,
, 대파, 양파, 전분, 달걀, 마늘, 간장, 설탕
, 
,</v>
      </c>
    </row>
    <row r="591">
      <c r="A591" s="2" t="str">
        <f>recipe!C591
</f>
        <v>데리만족</v>
      </c>
      <c r="B591" s="1" t="str">
        <f>IFERROR(__xludf.DUMMYFUNCTION("TRIM(
  SUBSTITUTE(
    REGEXEXTRACT(raw!A591, ""(?s)재료\s*(.*?)●\s*조리\s*방법""),
    CHAR(10), "", ""
  )
)
"),"아보카도, 식빵, 소고기 안심, 삼겹살,
, 닭안심, 파프리카, 떡, 마늘, 간장, 맛술,
, 청주, 설탕, 청양고추, 양파, 마요네즈,
, 소금, 레몬, 달걀, 고춧가루
, 
,")</f>
        <v>아보카도, 식빵, 소고기 안심, 삼겹살,
, 닭안심, 파프리카, 떡, 마늘, 간장, 맛술,
, 청주, 설탕, 청양고추, 양파, 마요네즈,
, 소금, 레몬, 달걀, 고춧가루
, 
,</v>
      </c>
    </row>
    <row r="592">
      <c r="A592" s="2" t="str">
        <f>recipe!C592
</f>
        <v>장금이 브런치</v>
      </c>
      <c r="B592" s="1" t="str">
        <f>IFERROR(__xludf.DUMMYFUNCTION("TRIM(
  SUBSTITUTE(
    REGEXEXTRACT(raw!A592, ""(?s)재료\s*(.*?)●\s*조리\s*방법""),
    CHAR(10), "", ""
  )
)
"),"오이, 소고기 안심, 감자, 양상추,
, 된장, 파프리카, 꽈리고추찜, 자숙문어,
, 고추장, 매실장아찌, 채소피클, 카스텔라,
, 콩가루, 참기름, 다진 마늘, 소금, 밀가루,
, 전분, 즉석밥, 깨, 설탕
, 
,")</f>
        <v>오이, 소고기 안심, 감자, 양상추,
, 된장, 파프리카, 꽈리고추찜, 자숙문어,
, 고추장, 매실장아찌, 채소피클, 카스텔라,
, 콩가루, 참기름, 다진 마늘, 소금, 밀가루,
, 전분, 즉석밥, 깨, 설탕
, 
,</v>
      </c>
    </row>
    <row r="593">
      <c r="A593" s="2" t="str">
        <f>recipe!C593
</f>
        <v>거침없이 불고기</v>
      </c>
      <c r="B593" s="1" t="str">
        <f>IFERROR(__xludf.DUMMYFUNCTION("TRIM(
  SUBSTITUTE(
    REGEXEXTRACT(raw!A593, ""(?s)재료\s*(.*?)●\s*조리\s*방법""),
    CHAR(10), "", ""
  )
)
"),"가지, 무, 불고기용 소고기, 콩나물, 오이, 팽이버섯, 소금, 식초, 설탕, 다진 마늘, 맛술, 청주, 간장, 참기름, 대파, 즉석밥, 깨, 청고추, 홍고추, 당근, 달걀
, 
,")</f>
        <v>가지, 무, 불고기용 소고기, 콩나물, 오이, 팽이버섯, 소금, 식초, 설탕, 다진 마늘, 맛술, 청주, 간장, 참기름, 대파, 즉석밥, 깨, 청고추, 홍고추, 당근, 달걀
, 
,</v>
      </c>
    </row>
    <row r="594">
      <c r="A594" s="2" t="str">
        <f>recipe!C594
</f>
        <v>젓갈볶음밥을 잘 만드는 남자♬</v>
      </c>
      <c r="B594" s="1" t="str">
        <f>IFERROR(__xludf.DUMMYFUNCTION("TRIM(
  SUBSTITUTE(
    REGEXEXTRACT(raw!A594, ""(?s)재료\s*(.*?)●\s*조리\s*방법""),
    CHAR(10), "", ""
  )
)
"),"새우, 랍스터, 깻잎, 자숙피꼬막, 순태젓,
, 가리비젓, 굴, 산초가루, 포도, 양파, 마늘,
, 레몬, 소금, 대파, 고추, 맛술, 즉석밥,
, 들기름, 깨, 후추, 올리브오일
, 
,")</f>
        <v>새우, 랍스터, 깻잎, 자숙피꼬막, 순태젓,
, 가리비젓, 굴, 산초가루, 포도, 양파, 마늘,
, 레몬, 소금, 대파, 고추, 맛술, 즉석밥,
, 들기름, 깨, 후추, 올리브오일
, 
,</v>
      </c>
    </row>
    <row r="595">
      <c r="A595" s="2" t="str">
        <f>recipe!C595
</f>
        <v>갈치 많이 먹어도 배 안 나오는 남자♬</v>
      </c>
      <c r="B595" s="1" t="str">
        <f>IFERROR(__xludf.DUMMYFUNCTION("TRIM(
  SUBSTITUTE(
    REGEXEXTRACT(raw!A595, ""(?s)재료\s*(.*?)●\s*조리\s*방법""),
    CHAR(10), "", ""
  )
)
"),"전복, 갈치, 랍스터, 성게알, 새우, 전복내장,
, 맛간장, 깻잎, 청주, 전분, 소금, 박력분,
, 양파, 홍고추, 마늘, 후추, 버터, 달걀, 참기름
, 
,")</f>
        <v>전복, 갈치, 랍스터, 성게알, 새우, 전복내장,
, 맛간장, 깻잎, 청주, 전분, 소금, 박력분,
, 양파, 홍고추, 마늘, 후추, 버터, 달걀, 참기름
, 
,</v>
      </c>
    </row>
    <row r="596">
      <c r="A596" s="2" t="str">
        <f>recipe!C596
</f>
        <v>바람은 널 살치게 하네♬</v>
      </c>
      <c r="B596" s="1" t="str">
        <f>IFERROR(__xludf.DUMMYFUNCTION("TRIM(
  SUBSTITUTE(
    REGEXEXTRACT(raw!A596, ""(?s)재료\s*(.*?)●\s*조리\s*방법""),
    CHAR(10), "", ""
  )
)
"),"살치살, 산초가루, 도라지청, 도라지정과,
, 무, 복분자즙, 양상추, 깻순나물무침, 파김치,
, 도토리묵, 다진고추고기절임, 산초장아찌,
, 오디, 양파, 대파, 설탕, 간장,
, 소금, 식초, 후추, 즉석밥
, 
,")</f>
        <v>살치살, 산초가루, 도라지청, 도라지정과,
, 무, 복분자즙, 양상추, 깻순나물무침, 파김치,
, 도토리묵, 다진고추고기절임, 산초장아찌,
, 오디, 양파, 대파, 설탕, 간장,
, 소금, 식초, 후추, 즉석밥
, 
,</v>
      </c>
    </row>
    <row r="597">
      <c r="A597" s="2" t="str">
        <f>recipe!C597
</f>
        <v>난 돼지고기가 좋더라♬</v>
      </c>
      <c r="B597" s="1" t="str">
        <f>IFERROR(__xludf.DUMMYFUNCTION("TRIM(
  SUBSTITUTE(
    REGEXEXTRACT(raw!A597, ""(?s)재료\s*(.*?)●\s*조리\s*방법""),
    CHAR(10), "", ""
  )
)
"),"삼겹살, 무, 산초장아찌, 산초가루,
, 대파, 마늘, 양파, 간장, 설탕, 식초,
, 맛술, 들기름, 연겨자, 레몬, 고춧가루,
, 홍고추, 청양고추
, 
,")</f>
        <v>삼겹살, 무, 산초장아찌, 산초가루,
, 대파, 마늘, 양파, 간장, 설탕, 식초,
, 맛술, 들기름, 연겨자, 레몬, 고춧가루,
, 홍고추, 청양고추
, 
,</v>
      </c>
    </row>
    <row r="598">
      <c r="A598" s="2" t="str">
        <f>recipe!C598
</f>
        <v>채소를 말아요♬</v>
      </c>
      <c r="B598" s="1" t="str">
        <f>IFERROR(__xludf.DUMMYFUNCTION("TRIM(
  SUBSTITUTE(
    REGEXEXTRACT(raw!A598, ""(?s)재료\s*(.*?)●\s*조리\s*방법""),
    CHAR(10), "", ""
  )
)
"),"토마토, 블랙올리브, 코코넛잼, 마,
, 느타리버섯, 팽이버섯, 밀가루, 달걀,
, 레몬, 올리브오일, 설탕, 당근, 소금,
, 후추, 간장, 참기름, 다진 마늘
, 
,")</f>
        <v>토마토, 블랙올리브, 코코넛잼, 마,
, 느타리버섯, 팽이버섯, 밀가루, 달걀,
, 레몬, 올리브오일, 설탕, 당근, 소금,
, 후추, 간장, 참기름, 다진 마늘
, 
,</v>
      </c>
    </row>
    <row r="599">
      <c r="A599" s="2" t="str">
        <f>recipe!C599
</f>
        <v>채소퀸</v>
      </c>
      <c r="B599" s="1" t="str">
        <f>IFERROR(__xludf.DUMMYFUNCTION("TRIM(
  SUBSTITUTE(
    REGEXEXTRACT(raw!A599, ""(?s)재료\s*(.*?)●\s*조리\s*방법""),
    CHAR(10), "", ""
  )
)
"),"느타리버섯, 표고버섯, 토마토, 청양고추소박이,
, 블랙올리브, 생모차렐라치즈, 깻잎, 오이김치,
, 버터, 간장, 마늘, 즉석밥, 소금, 후추
, 
,")</f>
        <v>느타리버섯, 표고버섯, 토마토, 청양고추소박이,
, 블랙올리브, 생모차렐라치즈, 깻잎, 오이김치,
, 버터, 간장, 마늘, 즉석밥, 소금, 후추
, 
,</v>
      </c>
    </row>
    <row r="600">
      <c r="A600" s="2" t="str">
        <f>recipe!C600
</f>
        <v>완선이는 이걸 먹고 웃지</v>
      </c>
      <c r="B600" s="1" t="str">
        <f>IFERROR(__xludf.DUMMYFUNCTION("TRIM(
  SUBSTITUTE(
    REGEXEXTRACT(raw!A600, ""(?s)재료\s*(.*?)●\s*조리\s*방법""),
    CHAR(10), "", ""
  )
)
"),"소갈빗살, 키위, 새송이버섯, 대구살,
, 굴소스볶음라면, 스리라차소스, 대파,
, 다진 생강, 간장, 설탕, 후추, 맛술,
, 마늘, 청주, 소금, 청양고추, 식초, 된장
, 
,")</f>
        <v>소갈빗살, 키위, 새송이버섯, 대구살,
, 굴소스볶음라면, 스리라차소스, 대파,
, 다진 생강, 간장, 설탕, 후추, 맛술,
, 마늘, 청주, 소금, 청양고추, 식초, 된장
, 
,</v>
      </c>
    </row>
    <row r="601">
      <c r="A601" s="2" t="str">
        <f>recipe!C601
</f>
        <v>김완섬</v>
      </c>
      <c r="B601" s="1" t="str">
        <f>IFERROR(__xludf.DUMMYFUNCTION("TRIM(
  SUBSTITUTE(
    REGEXEXTRACT(raw!A601, ""(?s)재료\s*(.*?)●\s*조리\s*방법""),
    CHAR(10), "", ""
  )
)
"),"대구살, 팽이버섯, 불린 쌀, 밀가루,
, 전분, 대파, 고춧가루, 간장, 설탕,
, 청양고추, 마늘, 소금, 후추, 다진 생강, 맛술
, 
,")</f>
        <v>대구살, 팽이버섯, 불린 쌀, 밀가루,
, 전분, 대파, 고춧가루, 간장, 설탕,
, 청양고추, 마늘, 소금, 후추, 다진 생강, 맛술
, 
,</v>
      </c>
    </row>
    <row r="602">
      <c r="A602" s="2" t="str">
        <f>recipe!C602
</f>
        <v>낙낙낙낙 낙지호롱♬</v>
      </c>
      <c r="B602" s="1" t="str">
        <f>IFERROR(__xludf.DUMMYFUNCTION("TRIM(
  SUBSTITUTE(
    REGEXEXTRACT(raw!A602, ""(?s)재료\s*(.*?)●\s*조리\s*방법""),
    CHAR(10), "", ""
  )
)
"),"낙지, 대패삼겹살, 가츠오부시, 설탕,, 청주, 맛술, 간장, 마늘, 대파, 식초,, 달걀, 고춧가루, ,")</f>
        <v>낙지, 대패삼겹살, 가츠오부시, 설탕,, 청주, 맛술, 간장, 마늘, 대파, 식초,, 달걀, 고춧가루, ,</v>
      </c>
    </row>
    <row r="603">
      <c r="A603" s="2" t="str">
        <f>recipe!C603
</f>
        <v>유러피안 낙지</v>
      </c>
      <c r="B603" s="1" t="str">
        <f>IFERROR(__xludf.DUMMYFUNCTION("TRIM(
  SUBSTITUTE(
    REGEXEXTRACT(raw!A603, ""(?s)재료\s*(.*?)●\s*조리\s*방법""),
    CHAR(10), "", ""
  )
)
"),"낙지, 콜라, 허브솔트, 바질가루, 화이트와인,
, 자몽, 양배추, 파프리카, 애호박, 식빵,
, 아몬드, 새우, 느타리버섯, 마늘쫑, 귤,
, 통후추, 마늘, 당근, 소금, 올리브오일, 버터
, 
,")</f>
        <v>낙지, 콜라, 허브솔트, 바질가루, 화이트와인,
, 자몽, 양배추, 파프리카, 애호박, 식빵,
, 아몬드, 새우, 느타리버섯, 마늘쫑, 귤,
, 통후추, 마늘, 당근, 소금, 올리브오일, 버터
, 
,</v>
      </c>
    </row>
    <row r="604">
      <c r="A604" s="2" t="str">
        <f>recipe!C604
</f>
        <v>복사부일체</v>
      </c>
      <c r="B604" s="1" t="str">
        <f>IFERROR(__xludf.DUMMYFUNCTION("TRIM(
  SUBSTITUTE(
    REGEXEXTRACT(raw!A604, ""(?s)재료\s*(.*?)●\s*조리\s*방법""),
    CHAR(10), "", ""
  )
)
"),"호두, 잣, 가지, 말린 새송이버섯, 파프리카,
, 애호박, 오징어, 새우, 굴소스, 소면, 대파,
, 고춧가루, 양파, 마늘, 간장, 후추, 맛술,
, 식초, 참기름, 달걀
, 
,")</f>
        <v>호두, 잣, 가지, 말린 새송이버섯, 파프리카,
, 애호박, 오징어, 새우, 굴소스, 소면, 대파,
, 고춧가루, 양파, 마늘, 간장, 후추, 맛술,
, 식초, 참기름, 달걀
, 
,</v>
      </c>
    </row>
    <row r="605">
      <c r="A605" s="2" t="str">
        <f>recipe!C605
</f>
        <v>넌 학생이고 난 샘이야</v>
      </c>
      <c r="B605" s="1" t="str">
        <f>IFERROR(__xludf.DUMMYFUNCTION("TRIM(
  SUBSTITUTE(
    REGEXEXTRACT(raw!A605, ""(?s)재료\s*(.*?)●\s*조리\s*방법""),
    CHAR(10), "", ""
  )
)
"),"마, 애호박, 가지, 파프리카, 황태채, 두유,
, 발사믹드레싱, 바질가루, 잣, 식빵, 새우,
, 양파, 밀가루, 소금, 후추, 버터, 밀가루,
, 레몬, 올리브오일
, 
,")</f>
        <v>마, 애호박, 가지, 파프리카, 황태채, 두유,
, 발사믹드레싱, 바질가루, 잣, 식빵, 새우,
, 양파, 밀가루, 소금, 후추, 버터, 밀가루,
, 레몬, 올리브오일
, 
,</v>
      </c>
    </row>
    <row r="606">
      <c r="A606" s="2" t="str">
        <f>recipe!C606
</f>
        <v>조기 이즈 베리 임폴턴트</v>
      </c>
      <c r="B606" s="1" t="str">
        <f>IFERROR(__xludf.DUMMYFUNCTION("TRIM(
  SUBSTITUTE(
    REGEXEXTRACT(raw!A606, ""(?s)재료\s*(.*?)●\s*조리\s*방법""),
    CHAR(10), "", ""
  )
)
"),"조기, 마늘꿀, 녹차티백, 명란젓, 아몬드,
, 잣, 크랜베리, 가지, 오리엔탈드레싱, 후추,
, 맛술, 대파, 청양고추, 고추냉이, 마요네즈,
, 간장, 달걀, 즉석밥, 버터, 소금
, 
,")</f>
        <v>조기, 마늘꿀, 녹차티백, 명란젓, 아몬드,
, 잣, 크랜베리, 가지, 오리엔탈드레싱, 후추,
, 맛술, 대파, 청양고추, 고추냉이, 마요네즈,
, 간장, 달걀, 즉석밥, 버터, 소금
, 
,</v>
      </c>
    </row>
    <row r="607">
      <c r="A607" s="2" t="str">
        <f>recipe!C607
</f>
        <v>돈테크만</v>
      </c>
      <c r="B607" s="1" t="str">
        <f>IFERROR(__xludf.DUMMYFUNCTION("TRIM(
  SUBSTITUTE(
    REGEXEXTRACT(raw!A607, ""(?s)재료\s*(.*?)●\s*조리\s*방법""),
    CHAR(10), "", ""
  )
)
"),"삼겹살, 오징어, 발사믹식초, 딸기잼, 잣,
, 우유, 쯔유, 홍삼진액, 소금, 식용유, 대파,
, 설탕, 청주, 연겨자, 간장, 식초, 맛술,
, 고춧가루, 버터
, 
,")</f>
        <v>삼겹살, 오징어, 발사믹식초, 딸기잼, 잣,
, 우유, 쯔유, 홍삼진액, 소금, 식용유, 대파,
, 설탕, 청주, 연겨자, 간장, 식초, 맛술,
, 고춧가루, 버터
, 
,</v>
      </c>
    </row>
    <row r="608">
      <c r="A608" s="2" t="str">
        <f>recipe!C608
</f>
        <v>출발! 짜글이 여행</v>
      </c>
      <c r="B608" s="1" t="str">
        <f>IFERROR(__xludf.DUMMYFUNCTION("TRIM(
  SUBSTITUTE(
    REGEXEXTRACT(raw!A608, ""(?s)재료\s*(.*?)●\s*조리\s*방법""),
    CHAR(10), "", ""
  )
)
"),"무, 새우젓, 게맛살, 새송이버섯, 명란젓,
, 쯔유, 들기름, 된장, 고춧가루, 식초,
, 대파, 즉석밥, 마늘
, 
,")</f>
        <v>무, 새우젓, 게맛살, 새송이버섯, 명란젓,
, 쯔유, 들기름, 된장, 고춧가루, 식초,
, 대파, 즉석밥, 마늘
, 
,</v>
      </c>
    </row>
    <row r="609">
      <c r="A609" s="2" t="str">
        <f>recipe!C609
</f>
        <v>명불허전 그뤠잇!</v>
      </c>
      <c r="B609" s="1" t="str">
        <f>IFERROR(__xludf.DUMMYFUNCTION("TRIM(
  SUBSTITUTE(
    REGEXEXTRACT(raw!A609, ""(?s)재료\s*(.*?)●\s*조리\s*방법""),
    CHAR(10), "", ""
  )
)
"),"삼겹살, 맥주, 양파장아찌, 매운볶음소스, 고춧가루,
, 매실액, 참치액, 새송이버섯, 낫토, 명란젓,
, 게맛살, 식용유, 대파, 양파, 깨, 홍고추,
, 청양고추, 설탕, 즉석밥, 후추
, 
,")</f>
        <v>삼겹살, 맥주, 양파장아찌, 매운볶음소스, 고춧가루,
, 매실액, 참치액, 새송이버섯, 낫토, 명란젓,
, 게맛살, 식용유, 대파, 양파, 깨, 홍고추,
, 청양고추, 설탕, 즉석밥, 후추
, 
,</v>
      </c>
    </row>
    <row r="610">
      <c r="A610" s="2" t="str">
        <f>recipe!C610
</f>
        <v>HOT한 갈비찜</v>
      </c>
      <c r="B610" s="1" t="str">
        <f>IFERROR(__xludf.DUMMYFUNCTION("TRIM(
  SUBSTITUTE(
    REGEXEXTRACT(raw!A610, ""(?s)재료\s*(.*?)●\s*조리\s*방법""),
    CHAR(10), "", ""
  )
)
"),"인스턴트 소갈비탕, 새송이버섯, 콩나물,
, 쌈장, 볶음고추장, 감자칩과자, 감자스틱과자,
, 김과자, 새우맛 누룽지과자, 소주, 양파, 대파,
, 다진 마늘, 다진 생강, 간장, 설탕, 참기름,
, 청양고추, 맛술, 고춧가루, 달걀, 전분
, 
,")</f>
        <v>인스턴트 소갈비탕, 새송이버섯, 콩나물,
, 쌈장, 볶음고추장, 감자칩과자, 감자스틱과자,
, 김과자, 새우맛 누룽지과자, 소주, 양파, 대파,
, 다진 마늘, 다진 생강, 간장, 설탕, 참기름,
, 청양고추, 맛술, 고춧가루, 달걀, 전분
, 
,</v>
      </c>
    </row>
    <row r="611">
      <c r="A611" s="2" t="str">
        <f>recipe!C611
</f>
        <v>입덕볶이</v>
      </c>
      <c r="B611" s="1" t="str">
        <f>IFERROR(__xludf.DUMMYFUNCTION("TRIM(
  SUBSTITUTE(
    REGEXEXTRACT(raw!A611, ""(?s)재료\s*(.*?)●\s*조리\s*방법""),
    CHAR(10), "", ""
  )
)
"),"새송이버섯, 통조림 햄, 인스턴트 비빔냉면,
, 인스턴트 짜장, 콩나물, 고량주, 간장, 맛술,
, 전분, 밀가루, 달걀, 대파, 고추장, 고춧가루,
, 마늘, 설탕, 양파
, 
,")</f>
        <v>새송이버섯, 통조림 햄, 인스턴트 비빔냉면,
, 인스턴트 짜장, 콩나물, 고량주, 간장, 맛술,
, 전분, 밀가루, 달걀, 대파, 고추장, 고춧가루,
, 마늘, 설탕, 양파
, 
,</v>
      </c>
    </row>
    <row r="612">
      <c r="A612" s="2" t="str">
        <f>recipe!C612
</f>
        <v>소생소사</v>
      </c>
      <c r="B612" s="1" t="str">
        <f>IFERROR(__xludf.DUMMYFUNCTION("TRIM(
  SUBSTITUTE(
    REGEXEXTRACT(raw!A612, ""(?s)재료\s*(.*?)●\s*조리\s*방법""),
    CHAR(10), "", ""
  )
)
"),"소고기 등심, 아스파라거스, 새송이버섯, 회과육소스,
, 땅콩버터, 새우과자, 마카다미아, 간장, 맛술,
, 청주, 설탕, 맛술, 연겨자, 식초, 마요네즈,
, 홍고추, 청양고추, 양파, 마늘, 고춧가루, 고추장, 레몬
, 
,")</f>
        <v>소고기 등심, 아스파라거스, 새송이버섯, 회과육소스,
, 땅콩버터, 새우과자, 마카다미아, 간장, 맛술,
, 청주, 설탕, 맛술, 연겨자, 식초, 마요네즈,
, 홍고추, 청양고추, 양파, 마늘, 고춧가루, 고추장, 레몬
, 
,</v>
      </c>
    </row>
    <row r="613">
      <c r="A613" s="2" t="str">
        <f>recipe!C613
</f>
        <v>닭스키스</v>
      </c>
      <c r="B613" s="1" t="str">
        <f>IFERROR(__xludf.DUMMYFUNCTION("TRIM(
  SUBSTITUTE(
    REGEXEXTRACT(raw!A613, ""(?s)재료\s*(.*?)●\s*조리\s*방법""),
    CHAR(10), "", ""
  )
)
"),"닭, 콜라, 땅콩버터, 맥주, 오렌지, 곡물시리얼,
, 소금, 전분, 마늘, 대파, 고춧가루, 홍고추,
, 참기름, 설탕, 고추장, 마요네즈, 간장, 청양고추
, 
,")</f>
        <v>닭, 콜라, 땅콩버터, 맥주, 오렌지, 곡물시리얼,
, 소금, 전분, 마늘, 대파, 고춧가루, 홍고추,
, 참기름, 설탕, 고추장, 마요네즈, 간장, 청양고추
, 
,</v>
      </c>
    </row>
    <row r="614">
      <c r="A614" s="2" t="str">
        <f>recipe!C614
</f>
        <v>삼겹살~ 왜 내 맘을 흔드는 건데♬</v>
      </c>
      <c r="B614" s="1" t="str">
        <f>IFERROR(__xludf.DUMMYFUNCTION("TRIM(
  SUBSTITUTE(
    REGEXEXTRACT(raw!A614, ""(?s)재료\s*(.*?)●\s*조리\s*방법""),
    CHAR(10), "", ""
  )
)
"),"삼겹살, 굴소스, 소금, 후추, 마늘, 대파,
, 양파, 식용유, 고춧가루, 간장, 식초, 설탕, 다진 마늘,
, 고추, 홍고추, 올리브오일, 레몬, 깨, 참기름
, 
,")</f>
        <v>삼겹살, 굴소스, 소금, 후추, 마늘, 대파,
, 양파, 식용유, 고춧가루, 간장, 식초, 설탕, 다진 마늘,
, 고추, 홍고추, 올리브오일, 레몬, 깨, 참기름
, 
,</v>
      </c>
    </row>
    <row r="615">
      <c r="A615" s="2" t="str">
        <f>recipe!C615
</f>
        <v>삼겹살DNA</v>
      </c>
      <c r="B615" s="1" t="str">
        <f>IFERROR(__xludf.DUMMYFUNCTION("TRIM(
  SUBSTITUTE(
    REGEXEXTRACT(raw!A615, ""(?s)재료\s*(.*?)●\s*조리\s*방법""),
    CHAR(10), "", ""
  )
)
"),"삼겹살, 소시지, 햄, 칠리페퍼소스, 검은콩두유,
, 마늘, 양파, 당근, 대파, 올리브오일, 식초, 레몬,
, 홍고추, 소금, 후추, 다진 마늘, 버터, 달걀, 청양고추
, 
,")</f>
        <v>삼겹살, 소시지, 햄, 칠리페퍼소스, 검은콩두유,
, 마늘, 양파, 당근, 대파, 올리브오일, 식초, 레몬,
, 홍고추, 소금, 후추, 다진 마늘, 버터, 달걀, 청양고추
, 
,</v>
      </c>
    </row>
    <row r="616">
      <c r="A616" s="2" t="str">
        <f>recipe!C616
</f>
        <v>골풍기</v>
      </c>
      <c r="B616" s="1" t="str">
        <f>IFERROR(__xludf.DUMMYFUNCTION("TRIM(
  SUBSTITUTE(
    REGEXEXTRACT(raw!A616, ""(?s)재료\s*(.*?)●\s*조리\s*방법""),
    CHAR(10), "", ""
  )
)
"),"골뱅이 통조림, 우유, 굴소스, 가래떡, 땅콩버터,
, 모차렐라치즈, 견과류, 양파, 대파, 고춧가루, 밀가루,
, 버터, 소금, 당근, 청양고추, 간장, 맛술, 식초, 설탕, 후추
, 
,")</f>
        <v>골뱅이 통조림, 우유, 굴소스, 가래떡, 땅콩버터,
, 모차렐라치즈, 견과류, 양파, 대파, 고춧가루, 밀가루,
, 버터, 소금, 당근, 청양고추, 간장, 맛술, 식초, 설탕, 후추
, 
,</v>
      </c>
    </row>
    <row r="617">
      <c r="A617" s="3" t="str">
        <f>recipe!C617
</f>
        <v>김치 곱빼기</v>
      </c>
      <c r="B617" s="1" t="str">
        <f>IFERROR(__xludf.DUMMYFUNCTION("TRIM(
  SUBSTITUTE(
    REGEXEXTRACT(raw!A617, ""(?s)재료\s*(.*?)●\s*조리\s*방법""),
    CHAR(10), "", ""
  )
)
"),"배추김치, 사골국, 간 돼지고기, 인스턴트 양념곱창,
, 두부, 무, 데친 참나물, 고구마순김치, 명이나물장아찌,
, 표고버섯, 팽이버섯, 양파, 대파, 소금, 고추장, 참기름,
, 설탕, 깨, 식초, 고춧가루, 홍고추, 고추, 다진 마늘, 즉석밥
, 
,")</f>
        <v>배추김치, 사골국, 간 돼지고기, 인스턴트 양념곱창,
, 두부, 무, 데친 참나물, 고구마순김치, 명이나물장아찌,
, 표고버섯, 팽이버섯, 양파, 대파, 소금, 고추장, 참기름,
, 설탕, 깨, 식초, 고춧가루, 홍고추, 고추, 다진 마늘, 즉석밥
, 
,</v>
      </c>
    </row>
    <row r="618">
      <c r="A618" s="2" t="str">
        <f>recipe!C618
</f>
        <v>레이먼킴치</v>
      </c>
      <c r="B618" s="1" t="str">
        <f>IFERROR(__xludf.DUMMYFUNCTION("TRIM(
  SUBSTITUTE(
    REGEXEXTRACT(raw!A618, ""(?s)재료\s*(.*?)●\s*조리\s*방법""),
    CHAR(10), "", ""
  )
)
"),"배추김치, 사과, 요거트, 돼지목살, 고구마순김치,, 달걀, 조미김, 사골국, 돼지등심 스테이크, 당근,, 청양고추, 마요네즈, 올리브오일, 즉석밥, 달걀,, 전분, 양파, 대파, 맛술, 밀가루, 버터, ,")</f>
        <v>배추김치, 사과, 요거트, 돼지목살, 고구마순김치,, 달걀, 조미김, 사골국, 돼지등심 스테이크, 당근,, 청양고추, 마요네즈, 올리브오일, 즉석밥, 달걀,, 전분, 양파, 대파, 맛술, 밀가루, 버터, ,</v>
      </c>
    </row>
    <row r="619">
      <c r="A619" s="2" t="str">
        <f>recipe!C619
</f>
        <v>김치 곱빼기</v>
      </c>
      <c r="B619" s="1" t="str">
        <f>IFERROR(__xludf.DUMMYFUNCTION("TRIM(
  SUBSTITUTE(
    REGEXEXTRACT(raw!A619, ""(?s)재료\s*(.*?)●\s*조리\s*방법""),
    CHAR(10), "", ""
  )
)
"),"배추김치, 사골국, 간 돼지고기, 인스턴트 양념곱창,, 두부, 무, 데친 참나물, 고구마순김치, 명이나물장아찌,, 표고버섯, 팽이버섯, 양파, 대파, 소금, 고추장, 참기름,, 설탕, 깨, 식초, 고춧가루, 홍고추, 고추, 다진 마늘, 즉석밥, ,")</f>
        <v>배추김치, 사골국, 간 돼지고기, 인스턴트 양념곱창,, 두부, 무, 데친 참나물, 고구마순김치, 명이나물장아찌,, 표고버섯, 팽이버섯, 양파, 대파, 소금, 고추장, 참기름,, 설탕, 깨, 식초, 고춧가루, 홍고추, 고추, 다진 마늘, 즉석밥, ,</v>
      </c>
    </row>
    <row r="620">
      <c r="A620" s="2" t="str">
        <f>recipe!C620
</f>
        <v>복스테이크</v>
      </c>
      <c r="B620" s="1" t="str">
        <f>IFERROR(__xludf.DUMMYFUNCTION("TRIM(
  SUBSTITUTE(
    REGEXEXTRACT(raw!A620, ""(?s)재료\s*(.*?)●\s*조리\s*방법""),
    CHAR(10), "", ""
  )
)
"),"돼지목살, 애호박, 단호박, 더덕, 표고버섯, 매실액,, 칼라만시 원액, 배, 달걀, 굴소스, 올리브오일, 마늘,, 대파, 고춧가루, 양파, 청양고추, 간장, 설탕, 맛술,, 후추, 즉석밥, 당근, 달걀, ,")</f>
        <v>돼지목살, 애호박, 단호박, 더덕, 표고버섯, 매실액,, 칼라만시 원액, 배, 달걀, 굴소스, 올리브오일, 마늘,, 대파, 고춧가루, 양파, 청양고추, 간장, 설탕, 맛술,, 후추, 즉석밥, 당근, 달걀, ,</v>
      </c>
    </row>
    <row r="621">
      <c r="A621" s="2" t="str">
        <f>recipe!C621
</f>
        <v>펌킨 치킨</v>
      </c>
      <c r="B621" s="1" t="str">
        <f>IFERROR(__xludf.DUMMYFUNCTION("TRIM(
  SUBSTITUTE(
    REGEXEXTRACT(raw!A621, ""(?s)재료\s*(.*?)●\s*조리\s*방법""),
    CHAR(10), "", ""
  )
)
"),"단호박, 닭다리, 닭날개, 표고버섯, 비엔나소시지,, 팽이버섯, 맥주, 할라피뇨, 토마토소스, 소금, 후추,, 당근, 마늘, 양파, 간장, 버터, 전분, ,")</f>
        <v>단호박, 닭다리, 닭날개, 표고버섯, 비엔나소시지,, 팽이버섯, 맥주, 할라피뇨, 토마토소스, 소금, 후추,, 당근, 마늘, 양파, 간장, 버터, 전분, ,</v>
      </c>
    </row>
    <row r="622">
      <c r="A622" s="2" t="str">
        <f>recipe!C622
</f>
        <v>칼로리 듬풍 샌드위치</v>
      </c>
      <c r="B622" s="1" t="str">
        <f>IFERROR(__xludf.DUMMYFUNCTION("TRIM(
  SUBSTITUTE(
    REGEXEXTRACT(raw!A622, ""(?s)재료\s*(.*?)●\s*조리\s*방법""),
    CHAR(10), "", ""
  )
)
"),"유자청, 맥주, 식빵, 통조림햄, 훈제 닭가슴살 슬라이스,, 쇠고기수프분말, 짜장라면, 양파, 버터, 달걀, 밀가루,, 소금, 다진 마늘, 전분, 청양고추, 후추, ,")</f>
        <v>유자청, 맥주, 식빵, 통조림햄, 훈제 닭가슴살 슬라이스,, 쇠고기수프분말, 짜장라면, 양파, 버터, 달걀, 밀가루,, 소금, 다진 마늘, 전분, 청양고추, 후추, ,</v>
      </c>
    </row>
    <row r="623">
      <c r="A623" s="2" t="str">
        <f>recipe!C623
</f>
        <v>슈퍼헤비급 플래터</v>
      </c>
      <c r="B623" s="1" t="str">
        <f>IFERROR(__xludf.DUMMYFUNCTION("TRIM(
  SUBSTITUTE(
    REGEXEXTRACT(raw!A623, ""(?s)재료\s*(.*?)●\s*조리\s*방법""),
    CHAR(10), "", ""
  )
)
"),"옥수수, 버터피칸아이스크림, 돼지등심 스테이크,, 닭가슴살소시지, 훈제 닭가슴살 슬라이스, 옥수수과자,, 핫소스, 컵라면, 버터, 양파, 마늘, 소금, 고추, ,")</f>
        <v>옥수수, 버터피칸아이스크림, 돼지등심 스테이크,, 닭가슴살소시지, 훈제 닭가슴살 슬라이스, 옥수수과자,, 핫소스, 컵라면, 버터, 양파, 마늘, 소금, 고추, ,</v>
      </c>
    </row>
    <row r="624">
      <c r="A624" s="2" t="str">
        <f>recipe!C624
</f>
        <v>아모르팟타이♬</v>
      </c>
      <c r="B624" s="1" t="str">
        <f>IFERROR(__xludf.DUMMYFUNCTION("TRIM(
  SUBSTITUTE(
    REGEXEXTRACT(raw!A624, ""(?s)재료\s*(.*?)●\s*조리\s*방법""),
    CHAR(10), "", ""
  )
)
"),"돼지등심 스테이크, 아몬드, 오리엔탈 드레싱,, 팟타이 컵라면, 밀가루, 달걀, 양파, 대파, 전분,, 마늘, 소금, 후추, 청양고추, 올리브오일, 홍고추, 식용유, ,")</f>
        <v>돼지등심 스테이크, 아몬드, 오리엔탈 드레싱,, 팟타이 컵라면, 밀가루, 달걀, 양파, 대파, 전분,, 마늘, 소금, 후추, 청양고추, 올리브오일, 홍고추, 식용유, ,</v>
      </c>
    </row>
    <row r="625">
      <c r="A625" s="2" t="str">
        <f>recipe!C625
</f>
        <v>카츠우동♬</v>
      </c>
      <c r="B625" s="1" t="str">
        <f>IFERROR(__xludf.DUMMYFUNCTION("TRIM(
  SUBSTITUTE(
    REGEXEXTRACT(raw!A625, ""(?s)재료\s*(.*?)●\s*조리\s*방법""),
    CHAR(10), "", ""
  )
)
"),"식빵, 돼지등심 스테이크, 치즈 비엔나 소시지,, 통조림 햄, 컵라면, 밀가루, 소금, 달걀, 양파,, 대파, 마늘, 된장, 고추장, 맛술, 간장, 설탕,, 고춧가루, 청양고추, 식용유, 전분, ,")</f>
        <v>식빵, 돼지등심 스테이크, 치즈 비엔나 소시지,, 통조림 햄, 컵라면, 밀가루, 소금, 달걀, 양파,, 대파, 마늘, 된장, 고추장, 맛술, 간장, 설탕,, 고춧가루, 청양고추, 식용유, 전분, ,</v>
      </c>
    </row>
    <row r="626">
      <c r="A626" s="2" t="str">
        <f>recipe!C626
</f>
        <v>연복풍 탕수육</v>
      </c>
      <c r="B626" s="1" t="str">
        <f>IFERROR(__xludf.DUMMYFUNCTION("TRIM(
  SUBSTITUTE(
    REGEXEXTRACT(raw!A626, ""(?s)재료\s*(.*?)●\s*조리\s*방법""),
    CHAR(10), "", ""
  )
)
"),"소고기 안심, 튀김가루, 적양배추, 대파, 마늘,, 고춧가루, 전분, 설탕, 식초, 간장, 양파, 당근,, 청양고추, 케첩, 전분, ,")</f>
        <v>소고기 안심, 튀김가루, 적양배추, 대파, 마늘,, 고춧가루, 전분, 설탕, 식초, 간장, 양파, 당근,, 청양고추, 케첩, 전분, ,</v>
      </c>
    </row>
    <row r="627">
      <c r="A627" s="2" t="str">
        <f>recipe!C627
</f>
        <v>테리우스테이크</v>
      </c>
      <c r="B627" s="1" t="str">
        <f>IFERROR(__xludf.DUMMYFUNCTION("TRIM(
  SUBSTITUTE(
    REGEXEXTRACT(raw!A627, ""(?s)재료\s*(.*?)●\s*조리\s*방법""),
    CHAR(10), "", ""
  )
)
"),"스테이크용 부챗살, 파프리카, 전복, 발사믹 식초,, 미역, 참기름, 양파, 마늘, 버터, 다진 마늘, 설탕,, 소금, 후추, 라면, 레몬, 올리브오일, 대파, ,")</f>
        <v>스테이크용 부챗살, 파프리카, 전복, 발사믹 식초,, 미역, 참기름, 양파, 마늘, 버터, 다진 마늘, 설탕,, 소금, 후추, 라면, 레몬, 올리브오일, 대파, ,</v>
      </c>
    </row>
    <row r="628">
      <c r="A628" s="2" t="str">
        <f>recipe!C628
</f>
        <v>레복만두</v>
      </c>
      <c r="B628" s="1" t="str">
        <f>IFERROR(__xludf.DUMMYFUNCTION("TRIM(
  SUBSTITUTE(
    REGEXEXTRACT(raw!A628, ""(?s)재료\s*(.*?)●\s*조리\s*방법""),
    CHAR(10), "", ""
  )
)
"),"새우살, 부추, 적양배추, 다진 돼지고기, 쯔유,, XO소스, 해선장, 아몬드버터, 전복, 베트남고추,, 선드라이토마토, 바질페스토, 바지락살, 구워먹는 치즈,, 트러플오일, 대파, 마늘, 밀가루, 소금, 다진 마늘,, 다진 생강, 후추, 양파, 맛술, ,")</f>
        <v>새우살, 부추, 적양배추, 다진 돼지고기, 쯔유,, XO소스, 해선장, 아몬드버터, 전복, 베트남고추,, 선드라이토마토, 바질페스토, 바지락살, 구워먹는 치즈,, 트러플오일, 대파, 마늘, 밀가루, 소금, 다진 마늘,, 다진 생강, 후추, 양파, 맛술, ,</v>
      </c>
    </row>
    <row r="629">
      <c r="A629" s="2" t="str">
        <f>recipe!C629
</f>
        <v>야관문 장어</v>
      </c>
      <c r="B629" s="1" t="str">
        <f>IFERROR(__xludf.DUMMYFUNCTION("TRIM(
  SUBSTITUTE(
    REGEXEXTRACT(raw!A629, ""(?s)재료\s*(.*?)●\s*조리\s*방법""),
    CHAR(10), "", ""
  )
)
"),"간장게장, 전복, 야관문주, 쯔유, 참기름, 적양배추,, 새우분말, 파슬리가루, 장어, 부추, 채소절임원액,, 믹스허브, 구운 채소절임, 바질페스토, 라임, 트러플페스토,, 개복숭아절임, 선드라이토마토, 블랙올리브, 청양고추, 마늘,, 설탕, 맛술, 청주, 달걀, 식초, 밀가루, 소금,, ,")</f>
        <v>간장게장, 전복, 야관문주, 쯔유, 참기름, 적양배추,, 새우분말, 파슬리가루, 장어, 부추, 채소절임원액,, 믹스허브, 구운 채소절임, 바질페스토, 라임, 트러플페스토,, 개복숭아절임, 선드라이토마토, 블랙올리브, 청양고추, 마늘,, 설탕, 맛술, 청주, 달걀, 식초, 밀가루, 소금,, ,</v>
      </c>
    </row>
    <row r="630">
      <c r="A630" s="2" t="str">
        <f>recipe!C630
</f>
        <v>봉골레 안 먹고 가시나♬</v>
      </c>
      <c r="B630" s="1" t="str">
        <f>IFERROR(__xludf.DUMMYFUNCTION("TRIM(
  SUBSTITUTE(
    REGEXEXTRACT(raw!A630, ""(?s)재료\s*(.*?)●\s*조리\s*방법""),
    CHAR(10), "", ""
  )
)
"),"호박즙, 새우, 오징어, 바지락, 모차렐라치즈,, 마늘종장아찌, 칵테일소스, 밀가루, 마늘, 홍고추,, 양파, 올리브오일, 소금, 후추, 버터, 대파, ,")</f>
        <v>호박즙, 새우, 오징어, 바지락, 모차렐라치즈,, 마늘종장아찌, 칵테일소스, 밀가루, 마늘, 홍고추,, 양파, 올리브오일, 소금, 후추, 버터, 대파, ,</v>
      </c>
    </row>
    <row r="631">
      <c r="A631" s="2" t="str">
        <f>recipe!C631
</f>
        <v>제비~ 복 먹으러 나간다</v>
      </c>
      <c r="B631" s="1" t="str">
        <f>IFERROR(__xludf.DUMMYFUNCTION("TRIM(
  SUBSTITUTE(
    REGEXEXTRACT(raw!A631, ""(?s)재료\s*(.*?)●\s*조리\s*방법""),
    CHAR(10), "", ""
  )
)
"),"부추, 북어대가리, 인스턴트 사골곰탕, 양지, 알배추,, 대패삼겹살, 달래, 부추장아찌, 팽이버섯, 조미간장,, 일본간장, 감자, 바지락살, 갑오징어, 새송이버섯,, 밀가루, 식초, 다진 마늘, 청주, 대파, 양파, 깨,, 참기름, 고춧가루, 설탕, 맛술, 청양고추, 마요네즈, 전분, ,")</f>
        <v>부추, 북어대가리, 인스턴트 사골곰탕, 양지, 알배추,, 대패삼겹살, 달래, 부추장아찌, 팽이버섯, 조미간장,, 일본간장, 감자, 바지락살, 갑오징어, 새송이버섯,, 밀가루, 식초, 다진 마늘, 청주, 대파, 양파, 깨,, 참기름, 고춧가루, 설탕, 맛술, 청양고추, 마요네즈, 전분, ,</v>
      </c>
    </row>
    <row r="632">
      <c r="A632" s="2" t="str">
        <f>recipe!C632
</f>
        <v>마성의 분짜조</v>
      </c>
      <c r="B632" s="1" t="str">
        <f>IFERROR(__xludf.DUMMYFUNCTION("TRIM(
  SUBSTITUTE(
    REGEXEXTRACT(raw!A632, ""(?s)재료\s*(.*?)●\s*조리\s*방법""),
    CHAR(10), "", ""
  )
)
"),"쪽파, 두부, 묵은지, 목이버섯, 라이스페이퍼,, 쌀국수면, 피시소스, 쌀식초, 갈비산적, 스위트칠리소스,, 스리라차소스, 샐러드용 채소, 고수, 다진 돼지고기,, 양파, 달걀, 설탕, 소금, 후추, 당근, ,")</f>
        <v>쪽파, 두부, 묵은지, 목이버섯, 라이스페이퍼,, 쌀국수면, 피시소스, 쌀식초, 갈비산적, 스위트칠리소스,, 스리라차소스, 샐러드용 채소, 고수, 다진 돼지고기,, 양파, 달걀, 설탕, 소금, 후추, 당근, ,</v>
      </c>
    </row>
    <row r="633">
      <c r="A633" s="2" t="str">
        <f>recipe!C633
</f>
        <v>칼제비전</v>
      </c>
      <c r="B633" s="1" t="str">
        <f>IFERROR(__xludf.DUMMYFUNCTION("TRIM(
  SUBSTITUTE(
    REGEXEXTRACT(raw!A633, ""(?s)재료\s*(.*?)●\s*조리\s*방법""),
    CHAR(10), "", ""
  )
)
"),"새우가루, 감자, 애호박, 부침가루, 부추,, 깻잎, 칵테일새우, 칼국수면, 수제비, 팽이버섯,, 두부, 날치알, 막걸리, 된장, 청양고추, 소금, 참기름,, 홍고추, 다진 마늘, 후추, 간장, 식초, 고춧가루, ,")</f>
        <v>새우가루, 감자, 애호박, 부침가루, 부추,, 깻잎, 칵테일새우, 칼국수면, 수제비, 팽이버섯,, 두부, 날치알, 막걸리, 된장, 청양고추, 소금, 참기름,, 홍고추, 다진 마늘, 후추, 간장, 식초, 고춧가루, ,</v>
      </c>
    </row>
    <row r="634">
      <c r="A634" s="2" t="str">
        <f>recipe!C634
</f>
        <v>아모르 패티</v>
      </c>
      <c r="B634" s="1" t="str">
        <f>IFERROR(__xludf.DUMMYFUNCTION("TRIM(
  SUBSTITUTE(
    REGEXEXTRACT(raw!A634, ""(?s)재료\s*(.*?)●\s*조리\s*방법""),
    CHAR(10), "", ""
  )
)
"),"소고기 등심, 다진 돼지고기, 부추, 모차렐라치즈,, 감자, 토마토소스, 양파, 올리브오일, 소금, 후추,, 달걀, 밀가루, 청양고추, 홍고추, 마늘, 식초, 레몬, ,")</f>
        <v>소고기 등심, 다진 돼지고기, 부추, 모차렐라치즈,, 감자, 토마토소스, 양파, 올리브오일, 소금, 후추,, 달걀, 밀가루, 청양고추, 홍고추, 마늘, 식초, 레몬, ,</v>
      </c>
    </row>
    <row r="635">
      <c r="A635" s="2" t="str">
        <f>recipe!C635
</f>
        <v>뜯고 씹고 호로록</v>
      </c>
      <c r="B635" s="1" t="str">
        <f>IFERROR(__xludf.DUMMYFUNCTION("TRIM(
  SUBSTITUTE(
    REGEXEXTRACT(raw!A635, ""(?s)재료\s*(.*?)●\s*조리\s*방법""),
    CHAR(10), "", ""
  )
)
"),"당면, 등갈비, 조미간장, 오징어, 돼지목살,, 느타리버섯, 새우가루, 무, 새우젓, 인스턴트 사골곰탕,, 새우, 양배추, 사과, 부추, 폰즈소스, 매실액, 대파,, 고춧가루, 마늘, 전분, 양파, 청양고추, 홍고추, 설탕,, 간장, 식초, 맛술, 전분, ,")</f>
        <v>당면, 등갈비, 조미간장, 오징어, 돼지목살,, 느타리버섯, 새우가루, 무, 새우젓, 인스턴트 사골곰탕,, 새우, 양배추, 사과, 부추, 폰즈소스, 매실액, 대파,, 고춧가루, 마늘, 전분, 양파, 청양고추, 홍고추, 설탕,, 간장, 식초, 맛술, 전분, ,</v>
      </c>
    </row>
    <row r="636">
      <c r="A636" s="2" t="str">
        <f>recipe!C636
</f>
        <v>역전만루홍런</v>
      </c>
      <c r="B636" s="1" t="str">
        <f>IFERROR(__xludf.DUMMYFUNCTION("TRIM(
  SUBSTITUTE(
    REGEXEXTRACT(raw!A636, ""(?s)재료\s*(.*?)●\s*조리\s*방법""),
    CHAR(10), "", ""
  )
)
"),"통오겹살, 가래떡, 손질된 묵은지, 양념불고기, 고추장아찌,, 깍두기국물, 새우젓, 매실액, 피클, 밀가루, 고추장, 대파,, 전분, 밀가루, 달걀, 설탕, 식초, 양파, 연겨자, 간장, ,")</f>
        <v>통오겹살, 가래떡, 손질된 묵은지, 양념불고기, 고추장아찌,, 깍두기국물, 새우젓, 매실액, 피클, 밀가루, 고추장, 대파,, 전분, 밀가루, 달걀, 설탕, 식초, 양파, 연겨자, 간장, ,</v>
      </c>
    </row>
    <row r="637">
      <c r="A637" s="2" t="str">
        <f>recipe!C637
</f>
        <v>샌디에이고 짜그리스</v>
      </c>
      <c r="B637" s="1" t="str">
        <f>IFERROR(__xludf.DUMMYFUNCTION("TRIM(
  SUBSTITUTE(
    REGEXEXTRACT(raw!A637, ""(?s)재료\s*(.*?)●\s*조리\s*방법""),
    CHAR(10), "", ""
  )
)
"),"베이컨, 삼겹살, 인스턴트 사골곰탕, 무, 앤초비,, 표고버섯, 떡국떡, 굴소스, 버터, 밀가루, 대파,, 고춧가루, 고추장, 간장, 식초, 다진 마늘, 후추, 설탕, ,")</f>
        <v>베이컨, 삼겹살, 인스턴트 사골곰탕, 무, 앤초비,, 표고버섯, 떡국떡, 굴소스, 버터, 밀가루, 대파,, 고춧가루, 고추장, 간장, 식초, 다진 마늘, 후추, 설탕, ,</v>
      </c>
    </row>
    <row r="638">
      <c r="A638" s="2" t="str">
        <f>recipe!C638
</f>
        <v>월드시리즈 간닭!</v>
      </c>
      <c r="B638" s="1" t="str">
        <f>IFERROR(__xludf.DUMMYFUNCTION("TRIM(
  SUBSTITUTE(
    REGEXEXTRACT(raw!A638, ""(?s)재료\s*(.*?)●\s*조리\s*방법""),
    CHAR(10), "", ""
  )
)
"),"무, 표고버섯, 가래떡, 인스턴트 사골곰탕, 닭,, 인스턴트 무뼈닭발, 고추장아찌, 매실액, 고추장,, 된장, 들깻가루, 대파, 청양고추, 마늘, 양파, 달걀,, 전분, 소금, 후추, 다진 생강, 연겨자, 맛술, ,")</f>
        <v>무, 표고버섯, 가래떡, 인스턴트 사골곰탕, 닭,, 인스턴트 무뼈닭발, 고추장아찌, 매실액, 고추장,, 된장, 들깻가루, 대파, 청양고추, 마늘, 양파, 달걀,, 전분, 소금, 후추, 다진 생강, 연겨자, 맛술, ,</v>
      </c>
    </row>
    <row r="639">
      <c r="A639" s="2" t="str">
        <f>recipe!C639
</f>
        <v>홍~치킨!</v>
      </c>
      <c r="B639" s="1" t="str">
        <f>IFERROR(__xludf.DUMMYFUNCTION("TRIM(
  SUBSTITUTE(
    REGEXEXTRACT(raw!A639, ""(?s)재료\s*(.*?)●\s*조리\s*방법""),
    CHAR(10), "", ""
  )
)
"),"닭, 표고버섯, 느타리버섯, 베이컨, 파프리카, 견과류,, 건크랜베리, 토마토소스, 블랙올리브, 발사믹드레싱양파,, 설탕, 레몬, 올리브오일, 소금, 후추, 버터, 대파, ,")</f>
        <v>닭, 표고버섯, 느타리버섯, 베이컨, 파프리카, 견과류,, 건크랜베리, 토마토소스, 블랙올리브, 발사믹드레싱양파,, 설탕, 레몬, 올리브오일, 소금, 후추, 버터, 대파, ,</v>
      </c>
    </row>
    <row r="640">
      <c r="A640" s="2" t="str">
        <f>recipe!C640
</f>
        <v>사바사바♬</v>
      </c>
      <c r="B640" s="1" t="str">
        <f>IFERROR(__xludf.DUMMYFUNCTION("TRIM(
  SUBSTITUTE(
    REGEXEXTRACT(raw!A640, ""(?s)재료\s*(.*?)●\s*조리\s*방법""),
    CHAR(10), "", ""
  )
)
"),"무, 표고버섯, 밤, 고등어, 쪽파, 쌀,, 간장, 맛술, 소금, 청주, 된장, 청양고추, ,")</f>
        <v>무, 표고버섯, 밤, 고등어, 쪽파, 쌀,, 간장, 맛술, 소금, 청주, 된장, 청양고추, ,</v>
      </c>
    </row>
    <row r="641">
      <c r="A641" s="2" t="str">
        <f>recipe!C641
</f>
        <v>마무리고등어</v>
      </c>
      <c r="B641" s="1" t="str">
        <f>IFERROR(__xludf.DUMMYFUNCTION("TRIM(
  SUBSTITUTE(
    REGEXEXTRACT(raw!A641, ""(?s)재료\s*(.*?)●\s*조리\s*방법""),
    CHAR(10), "", ""
  )
)
"),"고등어, 우유, 표고버섯, 아보카도, 아스파라거스,, 마늘종, 육포, 레몬, 양파, 다진 생강, 맛술, 간장,, 청양고추, 소금, 설탕, 당근, 버터, 올리브오일, ,")</f>
        <v>고등어, 우유, 표고버섯, 아보카도, 아스파라거스,, 마늘종, 육포, 레몬, 양파, 다진 생강, 맛술, 간장,, 청양고추, 소금, 설탕, 당근, 버터, 올리브오일, ,</v>
      </c>
    </row>
    <row r="642">
      <c r="A642" s="2" t="str">
        <f>recipe!C642
</f>
        <v>퀵! 차돌박이 볶음 말이</v>
      </c>
      <c r="B642" s="1" t="str">
        <f>IFERROR(__xludf.DUMMYFUNCTION("TRIM(
  SUBSTITUTE(
    REGEXEXTRACT(raw!A642, ""(?s)재료\s*(.*?)●\s*조리\s*방법""),
    CHAR(10), "", ""
  )
)
"),"알배추, 적양파, 청양고춧가루, 아스파라거스,, 불고기양념, 굴소스, 팽이버섯, 쪽파, 올리브오일,, 참기름, 홍고추, 대파, 마늘, 소금, 즉석밥, ,")</f>
        <v>알배추, 적양파, 청양고춧가루, 아스파라거스,, 불고기양념, 굴소스, 팽이버섯, 쪽파, 올리브오일,, 참기름, 홍고추, 대파, 마늘, 소금, 즉석밥, ,</v>
      </c>
    </row>
    <row r="643">
      <c r="A643" s="2" t="str">
        <f>recipe!C643
</f>
        <v>파이널복스</v>
      </c>
      <c r="B643" s="1" t="str">
        <f>IFERROR(__xludf.DUMMYFUNCTION("TRIM(
  SUBSTITUTE(
    REGEXEXTRACT(raw!A643, ""(?s)재료\s*(.*?)●\s*조리\s*방법""),
    CHAR(10), "", ""
  )
)
"),"알배추, 차돌박이, 쪽파, 청양고춧가루, 소고기등심,, 아스파라거스, 마늘종, 유자청, 아보카도, 우유, 굴소스,, 간장, 대파, 전분, 달걀, 청양고추, 맛술, 양파, 후추, ,")</f>
        <v>알배추, 차돌박이, 쪽파, 청양고춧가루, 소고기등심,, 아스파라거스, 마늘종, 유자청, 아보카도, 우유, 굴소스,, 간장, 대파, 전분, 달걀, 청양고추, 맛술, 양파, 후추, ,</v>
      </c>
    </row>
    <row r="644">
      <c r="A644" s="2" t="str">
        <f>recipe!C644
</f>
        <v>승수를 올릴 어향가지</v>
      </c>
      <c r="B644" s="1" t="str">
        <f>IFERROR(__xludf.DUMMYFUNCTION("TRIM(
  SUBSTITUTE(
    REGEXEXTRACT(raw!A644, ""(?s)재료\s*(.*?)●\s*조리\s*방법""),
    CHAR(10), "", ""
  )
)
"),"가지, 다진 돼지고기, 다진 마늘, 올리고당,, 양송이버섯, 파프리카, 동치미, 대파, 청양고추,, 다진 생강, 간장, 된장, 고춧가루, 즉석밥, 달걀, ,")</f>
        <v>가지, 다진 돼지고기, 다진 마늘, 올리고당,, 양송이버섯, 파프리카, 동치미, 대파, 청양고추,, 다진 생강, 간장, 된장, 고춧가루, 즉석밥, 달걀, ,</v>
      </c>
    </row>
    <row r="645">
      <c r="A645" s="2" t="str">
        <f>recipe!C645
</f>
        <v>이태공 스테이크</v>
      </c>
      <c r="B645" s="1" t="str">
        <f>IFERROR(__xludf.DUMMYFUNCTION("TRIM(
  SUBSTITUTE(
    REGEXEXTRACT(raw!A645, ""(?s)재료\s*(.*?)●\s*조리\s*방법""),
    CHAR(10), "", ""
  )
)
"),"참돔, 된장, 무, 핑크솔트, 마늘소금, 방어,, 후추, 래디시, 방울양배추, 엔다이브, 발사믹드레싱,, 조미간장, 고추냉이, 미나리, 다진 마늘, 양파, 대파,, 홍고추, 청양고추, 고춧가루, 올리브오일,, 후추, 레몬, 소금, 간장, 식초, ,")</f>
        <v>참돔, 된장, 무, 핑크솔트, 마늘소금, 방어,, 후추, 래디시, 방울양배추, 엔다이브, 발사믹드레싱,, 조미간장, 고추냉이, 미나리, 다진 마늘, 양파, 대파,, 홍고추, 청양고추, 고춧가루, 올리브오일,, 후추, 레몬, 소금, 간장, 식초, ,</v>
      </c>
    </row>
    <row r="646">
      <c r="A646" s="2" t="str">
        <f>recipe!C646
</f>
        <v>승수나르도 파스타리오</v>
      </c>
      <c r="B646" s="1" t="str">
        <f>IFERROR(__xludf.DUMMYFUNCTION("TRIM(
  SUBSTITUTE(
    REGEXEXTRACT(raw!A646, ""(?s)재료\s*(.*?)●\s*조리\s*방법""),
    CHAR(10), "", ""
  )
)
"),"적양파, 삼겹살, 베이컨, 파프리카, 가지,, 새송이버섯, 인스턴트 사골곰탕, 토마토소스,, 게맛살, 날치알, 모차렐라치즈, 파스타면,, 파르메산 치즈가루, 소금, 후추, 밀가루, 마요네즈,, 올리브오일, 소금, 식초, 간장, 맛술, 설탕, ,")</f>
        <v>적양파, 삼겹살, 베이컨, 파프리카, 가지,, 새송이버섯, 인스턴트 사골곰탕, 토마토소스,, 게맛살, 날치알, 모차렐라치즈, 파스타면,, 파르메산 치즈가루, 소금, 후추, 밀가루, 마요네즈,, 올리브오일, 소금, 식초, 간장, 맛술, 설탕, ,</v>
      </c>
    </row>
    <row r="647">
      <c r="A647" s="2" t="str">
        <f>recipe!C647
</f>
        <v>파스타랑깨</v>
      </c>
      <c r="B647" s="1" t="str">
        <f>IFERROR(__xludf.DUMMYFUNCTION("TRIM(
  SUBSTITUTE(
    REGEXEXTRACT(raw!A647, ""(?s)재료\s*(.*?)●\s*조리\s*방법""),
    CHAR(10), "", ""
  )
)
"),"알배추, 인스턴트 사골곰탕, 편육, 토마토소스,, 파스타면, 굴소스, 쪽파, 들깻가루, 김, 소금,, 다진 생강, 마늘, 간장, 고춧가루, 후추,, ,")</f>
        <v>알배추, 인스턴트 사골곰탕, 편육, 토마토소스,, 파스타면, 굴소스, 쪽파, 들깻가루, 김, 소금,, 다진 생강, 마늘, 간장, 고춧가루, 후추,, ,</v>
      </c>
    </row>
    <row r="648">
      <c r="A648" s="2" t="str">
        <f>recipe!C648
</f>
        <v>벵에돔이시여</v>
      </c>
      <c r="B648" s="1" t="str">
        <f>IFERROR(__xludf.DUMMYFUNCTION("TRIM(
  SUBSTITUTE(
    REGEXEXTRACT(raw!A648, ""(?s)재료\s*(.*?)●\s*조리\s*방법""),
    CHAR(10), "", ""
  )
)
"),"긴꼬리벵에돔, 홍합, 무, 브로콜리,, 아스파라거스, 쯔유, 후추, 그린올리브,, 매실액, 깻잎, 대파, 청양고추, 고춧가루,, 마늘, 전분, 홍고추, 고추, 식초, 간장, 맛술, ,")</f>
        <v>긴꼬리벵에돔, 홍합, 무, 브로콜리,, 아스파라거스, 쯔유, 후추, 그린올리브,, 매실액, 깻잎, 대파, 청양고추, 고춧가루,, 마늘, 전분, 홍고추, 고추, 식초, 간장, 맛술, ,</v>
      </c>
    </row>
    <row r="649">
      <c r="A649" s="2" t="str">
        <f>recipe!C649
</f>
        <v>레이먼킹돔</v>
      </c>
      <c r="B649" s="1" t="str">
        <f>IFERROR(__xludf.DUMMYFUNCTION("TRIM(
  SUBSTITUTE(
    REGEXEXTRACT(raw!A649, ""(?s)재료\s*(.*?)●\s*조리\s*방법""),
    CHAR(10), "", ""
  )
)
"),"긴꼬리벵에돔, 무, 쯔유, 우메보시, 대파,, 다진 생강, 마늘, 맛술, 청주, 레몬, 소금,, 후추, 올리브오일, 달걀, 즉석밥, 전분, ,")</f>
        <v>긴꼬리벵에돔, 무, 쯔유, 우메보시, 대파,, 다진 생강, 마늘, 맛술, 청주, 레몬, 소금,, 후추, 올리브오일, 달걀, 즉석밥, 전분, ,</v>
      </c>
    </row>
    <row r="650">
      <c r="A650" s="2" t="str">
        <f>recipe!C650
</f>
        <v>이건 태곤스타일♬</v>
      </c>
      <c r="B650" s="1" t="str">
        <f>IFERROR(__xludf.DUMMYFUNCTION("TRIM(
  SUBSTITUTE(
    REGEXEXTRACT(raw!A650, ""(?s)재료\s*(.*?)●\s*조리\s*방법""),
    CHAR(10), "", ""
  )
)
"),"무, 대패삼겹살, 식빵, 우유, 무늬오징어,, 홍합, 애호박, 굴소스, 새우, 밀가루, 달걀,, 양파, 마늘, 소금, 청주, 버터, 후추, ,")</f>
        <v>무, 대패삼겹살, 식빵, 우유, 무늬오징어,, 홍합, 애호박, 굴소스, 새우, 밀가루, 달걀,, 양파, 마늘, 소금, 청주, 버터, 후추, ,</v>
      </c>
    </row>
    <row r="651">
      <c r="A651" s="2" t="str">
        <f>recipe!C651
</f>
        <v>무소유</v>
      </c>
      <c r="B651" s="1" t="str">
        <f>IFERROR(__xludf.DUMMYFUNCTION("TRIM(
  SUBSTITUTE(
    REGEXEXTRACT(raw!A651, ""(?s)재료\s*(.*?)●\s*조리\s*방법""),
    CHAR(10), "", ""
  )
)
"),"무, 크림소스, 브로콜리, 애호박, 래디시,, 방울양배추, 홍합, 소갈비살, 핑크솔트, 발사믹드레싱,, 무순, 양파, 대파, 소금, 후추, 간장, 설탕, 버터, ,")</f>
        <v>무, 크림소스, 브로콜리, 애호박, 래디시,, 방울양배추, 홍합, 소갈비살, 핑크솔트, 발사믹드레싱,, 무순, 양파, 대파, 소금, 후추, 간장, 설탕, 버터, ,</v>
      </c>
    </row>
    <row r="652">
      <c r="A652" s="2" t="str">
        <f>recipe!C652
</f>
        <v>홍시 연볶이</v>
      </c>
      <c r="B652" s="1" t="str">
        <f>IFERROR(__xludf.DUMMYFUNCTION("TRIM(
  SUBSTITUTE(
    REGEXEXTRACT(raw!A652, ""(?s)재료\s*(.*?)●\s*조리\s*방법""),
    CHAR(10), "", ""
  )
)
"),"채식어묵, 떡볶이떡, 아스파라거스, 애호박,, 매실청, 표고버섯가루, 당면, 홍시, 양파, 마늘,, 대파, 올리브오일, 간장, 고추장, 밀가루, 달걀, 소금, ,")</f>
        <v>채식어묵, 떡볶이떡, 아스파라거스, 애호박,, 매실청, 표고버섯가루, 당면, 홍시, 양파, 마늘,, 대파, 올리브오일, 간장, 고추장, 밀가루, 달걀, 소금, ,</v>
      </c>
    </row>
    <row r="653">
      <c r="A653" s="2" t="str">
        <f>recipe!C653
</f>
        <v>완벽한 라볶이에 대한 사랑</v>
      </c>
      <c r="B653" s="1" t="str">
        <f>IFERROR(__xludf.DUMMYFUNCTION("TRIM(
  SUBSTITUTE(
    REGEXEXTRACT(raw!A653, ""(?s)재료\s*(.*?)●\s*조리\s*방법""),
    CHAR(10), "", ""
  )
)
"),"채식라면, 유부, 모차렐라치즈, 마, 애호박,, 건표고버섯, 당면, 조미김, 양배추, 떡볶이떡,, 양송이버섯, 표고버섯가루, 전분, 밀가루, 달걀,, 설탕, 소금, 당근, 대파, 양파, 간장, 들기름,, 마늘, 맛술, 홍고추, ,")</f>
        <v>채식라면, 유부, 모차렐라치즈, 마, 애호박,, 건표고버섯, 당면, 조미김, 양배추, 떡볶이떡,, 양송이버섯, 표고버섯가루, 전분, 밀가루, 달걀,, 설탕, 소금, 당근, 대파, 양파, 간장, 들기름,, 마늘, 맛술, 홍고추, ,</v>
      </c>
    </row>
    <row r="654">
      <c r="A654" s="2" t="str">
        <f>recipe!C654
</f>
        <v>승소 파스타</v>
      </c>
      <c r="B654" s="1" t="str">
        <f>IFERROR(__xludf.DUMMYFUNCTION("TRIM(
  SUBSTITUTE(
    REGEXEXTRACT(raw!A654, ""(?s)재료\s*(.*?)●\s*조리\s*방법""),
    CHAR(10), "", ""
  )
)
"),"도토리묵, 배, 오미자청, 딸기, 건표고버섯,, 아스파라거스, 동치미, 들기름, 연근조림,, 흑임자드레싱, 대추, 소금, 올리브오일, 양파,, 고춧가루, 간장, 들기름, 식초, ,")</f>
        <v>도토리묵, 배, 오미자청, 딸기, 건표고버섯,, 아스파라거스, 동치미, 들기름, 연근조림,, 흑임자드레싱, 대추, 소금, 올리브오일, 양파,, 고춧가루, 간장, 들기름, 식초, ,</v>
      </c>
    </row>
    <row r="655">
      <c r="A655" s="2" t="str">
        <f>recipe!C655
</f>
        <v>머쉬 치윤디~!</v>
      </c>
      <c r="B655" s="1" t="str">
        <f>IFERROR(__xludf.DUMMYFUNCTION("TRIM(
  SUBSTITUTE(
    REGEXEXTRACT(raw!A655, ""(?s)재료\s*(.*?)●\s*조리\s*방법""),
    CHAR(10), "", ""
  )
)
"),"아몬드슬라이스, 표고버섯, 표고버섯가루, 양송이버섯,, 우유, 검은콩두유, 발사믹식초, 연근조림, 모차렐라치즈,, 아스파라거스, 마, 양파, 당근, 소금, 버터, 밀가루,, 올리브오일, 레몬, 설탕, ,")</f>
        <v>아몬드슬라이스, 표고버섯, 표고버섯가루, 양송이버섯,, 우유, 검은콩두유, 발사믹식초, 연근조림, 모차렐라치즈,, 아스파라거스, 마, 양파, 당근, 소금, 버터, 밀가루,, 올리브오일, 레몬, 설탕, ,</v>
      </c>
    </row>
    <row r="656">
      <c r="A656" s="2" t="str">
        <f>recipe!C656
</f>
        <v>풍카소</v>
      </c>
      <c r="B656" s="1" t="str">
        <f>IFERROR(__xludf.DUMMYFUNCTION("TRIM(
  SUBSTITUTE(
    REGEXEXTRACT(raw!A656, ""(?s)재료\s*(.*?)●\s*조리\s*방법""),
    CHAR(10), "", ""
  )
)
"),"팬케이크가루, 우유, 연유, 체리,, 설탕, 달걀, 화이트와인, 소금, 버터, ,")</f>
        <v>팬케이크가루, 우유, 연유, 체리,, 설탕, 달걀, 화이트와인, 소금, 버터, ,</v>
      </c>
    </row>
    <row r="657">
      <c r="A657" s="2" t="str">
        <f>recipe!C657
</f>
        <v>브런치의 유혹</v>
      </c>
      <c r="B657" s="1" t="str">
        <f>IFERROR(__xludf.DUMMYFUNCTION("TRIM(
  SUBSTITUTE(
    REGEXEXTRACT(raw!A657, ""(?s)재료\s*(.*?)●\s*조리\s*방법""),
    CHAR(10), "", ""
  )
)
"),"사과, 건크랜베리, 연유, 우유, 식빵, 양송이버섯,, 돈가스소스, 김밥용 햄, 버터, 설탕, 레몬, 달걀,, 양파, 케첩, 맛술, 당근, 소금, ,")</f>
        <v>사과, 건크랜베리, 연유, 우유, 식빵, 양송이버섯,, 돈가스소스, 김밥용 햄, 버터, 설탕, 레몬, 달걀,, 양파, 케첩, 맛술, 당근, 소금, ,</v>
      </c>
    </row>
    <row r="658">
      <c r="A658" s="2" t="str">
        <f>recipe!C658
</f>
        <v>감자로 유혹하자냐</v>
      </c>
      <c r="B658" s="1" t="str">
        <f>IFERROR(__xludf.DUMMYFUNCTION("TRIM(
  SUBSTITUTE(
    REGEXEXTRACT(raw!A658, ""(?s)재료\s*(.*?)●\s*조리\s*방법""),
    CHAR(10), "", ""
  )
)
"),"감자, 오이, 핫소스, 손질 쪽파, 브라질너트,, 슬라이스치즈, 마늘, 전분, 소금, 청양고추,, 홍고추, 양파, 레몬, 후추, 달걀, 버터, 올리브오일, ,")</f>
        <v>감자, 오이, 핫소스, 손질 쪽파, 브라질너트,, 슬라이스치즈, 마늘, 전분, 소금, 청양고추,, 홍고추, 양파, 레몬, 후추, 달걀, 버터, 올리브오일, ,</v>
      </c>
    </row>
    <row r="659">
      <c r="A659" s="2" t="str">
        <f>recipe!C659
</f>
        <v>호감이야</v>
      </c>
      <c r="B659" s="1" t="str">
        <f>IFERROR(__xludf.DUMMYFUNCTION("TRIM(
  SUBSTITUTE(
    REGEXEXTRACT(raw!A659, ""(?s)재료\s*(.*?)●\s*조리\s*방법""),
    CHAR(10), "", ""
  )
)
"),"감자, 애호박, 칠리소스, 슬라이스치즈, 상추,, 오이, 수제 월남쌈소스, 소금, 양파, 청양고추, 달걀,, 레드와인, 후추, 고춧가루, 홍고추, 연겨자, 올리브오일, ,")</f>
        <v>감자, 애호박, 칠리소스, 슬라이스치즈, 상추,, 오이, 수제 월남쌈소스, 소금, 양파, 청양고추, 달걀,, 레드와인, 후추, 고춧가루, 홍고추, 연겨자, 올리브오일, ,</v>
      </c>
    </row>
    <row r="660">
      <c r="A660" s="2" t="str">
        <f>recipe!C660
</f>
        <v>1파 2일</v>
      </c>
      <c r="B660" s="1" t="str">
        <f>IFERROR(__xludf.DUMMYFUNCTION("TRIM(
  SUBSTITUTE(
    REGEXEXTRACT(raw!A660, ""(?s)재료\s*(.*?)●\s*조리\s*방법""),
    CHAR(10), "", ""
  )
)
"),"삼겹살, 커피가루, 사과, 생강즙, 해선장소스,, 포도즙, 들깻가루, 대파, 맛술, 전분, 청양고추,, 마늘, 간장, 고춧가루, 물엿, 식초, ,")</f>
        <v>삼겹살, 커피가루, 사과, 생강즙, 해선장소스,, 포도즙, 들깻가루, 대파, 맛술, 전분, 청양고추,, 마늘, 간장, 고춧가루, 물엿, 식초, ,</v>
      </c>
    </row>
    <row r="661">
      <c r="A661" s="2" t="str">
        <f>recipe!C661
</f>
        <v>스테이콘</v>
      </c>
      <c r="B661" s="1" t="str">
        <f>IFERROR(__xludf.DUMMYFUNCTION("TRIM(
  SUBSTITUTE(
    REGEXEXTRACT(raw!A661, ""(?s)재료\s*(.*?)●\s*조리\s*방법""),
    CHAR(10), "", ""
  )
)
"),"오징어채볶음, 통조림 골뱅이, 통조림 닭가슴살,, 통조림 참치, 어묵, 어육소시지, 인스턴트 오돌뼈볶음,, 인스턴트 막창, 통조림 햄, 밀가루, 달걀, 양파,, 대파, 맛술, 간장, 청주, 레몬, 참기름, ,")</f>
        <v>오징어채볶음, 통조림 골뱅이, 통조림 닭가슴살,, 통조림 참치, 어묵, 어육소시지, 인스턴트 오돌뼈볶음,, 인스턴트 막창, 통조림 햄, 밀가루, 달걀, 양파,, 대파, 맛술, 간장, 청주, 레몬, 참기름, ,</v>
      </c>
    </row>
    <row r="662">
      <c r="A662" s="2" t="str">
        <f>recipe!C662
</f>
        <v>골뱅이 에스카르고</v>
      </c>
      <c r="B662" s="1" t="str">
        <f>IFERROR(__xludf.DUMMYFUNCTION("TRIM(
  SUBSTITUTE(
    REGEXEXTRACT(raw!A662, ""(?s)재료\s*(.*?)●\s*조리\s*방법""),
    CHAR(10), "", ""
  )
)
"),"명이나물장아찌 국물, 삼겹살, 통조림 번데기,, 통조림 골뱅이, 옥수수맛 과자, 새우젓소스,, 인스턴트 대게딱지장, 애호박버섯볶음, 밀가루,, 전분, 달걀, 다진 마늘, 후추, 소금, 버터, 청양고추,, 홍고추, 마늘, 식초, 양파, 대파, ,")</f>
        <v>명이나물장아찌 국물, 삼겹살, 통조림 번데기,, 통조림 골뱅이, 옥수수맛 과자, 새우젓소스,, 인스턴트 대게딱지장, 애호박버섯볶음, 밀가루,, 전분, 달걀, 다진 마늘, 후추, 소금, 버터, 청양고추,, 홍고추, 마늘, 식초, 양파, 대파, ,</v>
      </c>
    </row>
    <row r="663">
      <c r="A663" s="2" t="str">
        <f>recipe!C663
</f>
        <v>혼술 빠라삐</v>
      </c>
      <c r="B663" s="1" t="str">
        <f>IFERROR(__xludf.DUMMYFUNCTION("TRIM(
  SUBSTITUTE(
    REGEXEXTRACT(raw!A663, ""(?s)재료\s*(.*?)●\s*조리\s*방법""),
    CHAR(10), "", ""
  )
)
"),"옥돔, 부침가루, 새우젓소스, 채 썬 양배추,, 인스턴트 머리고기, 식용유, 대파, 양파, 홍고추,, 청양고추, 다진 생강, 설탕, 케첩 레몬, 밀가루,, 달걀, 소금, 후추, 참기름, 연겨자, ,")</f>
        <v>옥돔, 부침가루, 새우젓소스, 채 썬 양배추,, 인스턴트 머리고기, 식용유, 대파, 양파, 홍고추,, 청양고추, 다진 생강, 설탕, 케첩 레몬, 밀가루,, 달걀, 소금, 후추, 참기름, 연겨자, ,</v>
      </c>
    </row>
    <row r="664">
      <c r="A664" s="2" t="str">
        <f>recipe!C664
</f>
        <v>레이먼 스테이크</v>
      </c>
      <c r="B664" s="1" t="str">
        <f>IFERROR(__xludf.DUMMYFUNCTION("TRIM(
  SUBSTITUTE(
    REGEXEXTRACT(raw!A664, ""(?s)재료\s*(.*?)●\s*조리\s*방법""),
    CHAR(10), "", ""
  )
)
"),"부챗살, 강황가루, 우유, 방울토마토, 시금치,, 아로니아, 호박즙, 발사믹드레싱, 고추냉이,, 소금, 후추, 전분, 밀가루, 고춧가루, 달걀,, 양파, 청양고추, 버터, 맛술, 마늘, ,")</f>
        <v>부챗살, 강황가루, 우유, 방울토마토, 시금치,, 아로니아, 호박즙, 발사믹드레싱, 고추냉이,, 소금, 후추, 전분, 밀가루, 고춧가루, 달걀,, 양파, 청양고추, 버터, 맛술, 마늘, ,</v>
      </c>
    </row>
    <row r="665">
      <c r="A665" s="2" t="str">
        <f>recipe!C665
</f>
        <v>안질리나 딤섬</v>
      </c>
      <c r="B665" s="1" t="str">
        <f>IFERROR(__xludf.DUMMYFUNCTION("TRIM(
  SUBSTITUTE(
    REGEXEXTRACT(raw!A665, ""(?s)재료\s*(.*?)●\s*조리\s*방법""),
    CHAR(10), "", ""
  )
)
"),"시금치, 부챗살, 홍두깨살, 부추, 사과,, 고춧가루, 대파 흰 부분, 다진 생강, 청양고추,, 달걀, 양파, 버터, 밀전분, 전분, 참기름, 식용유, 설탕, ,")</f>
        <v>시금치, 부챗살, 홍두깨살, 부추, 사과,, 고춧가루, 대파 흰 부분, 다진 생강, 청양고추,, 달걀, 양파, 버터, 밀전분, 전분, 참기름, 식용유, 설탕, ,</v>
      </c>
    </row>
    <row r="666">
      <c r="A666" s="2" t="str">
        <f>recipe!C666
</f>
        <v>샨티샨티~ 카레 라자냐♬</v>
      </c>
      <c r="B666" s="1" t="str">
        <f>IFERROR(__xludf.DUMMYFUNCTION("TRIM(
  SUBSTITUTE(
    REGEXEXTRACT(raw!A666, ""(?s)재료\s*(.*?)●\s*조리\s*방법""),
    CHAR(10), "", ""
  )
)
"),"강황가루, 우둔살, 부챗살, 닭가슴살소시지,, 카레가루, 방울토마토, 시금치, 우유, 토마토소스,, 코코넛밀크스무디, 밀가루, 달걀, 양파, 마늘,, 홍고추, 소금, 후추, 버터, ,")</f>
        <v>강황가루, 우둔살, 부챗살, 닭가슴살소시지,, 카레가루, 방울토마토, 시금치, 우유, 토마토소스,, 코코넛밀크스무디, 밀가루, 달걀, 양파, 마늘,, 홍고추, 소금, 후추, 버터, ,</v>
      </c>
    </row>
    <row r="667">
      <c r="A667" s="2" t="str">
        <f>recipe!C667
</f>
        <v>카레맛~ 궁금해 혀니♬</v>
      </c>
      <c r="B667" s="1" t="str">
        <f>IFERROR(__xludf.DUMMYFUNCTION("TRIM(
  SUBSTITUTE(
    REGEXEXTRACT(raw!A667, ""(?s)재료\s*(.*?)●\s*조리\s*방법""),
    CHAR(10), "", ""
  )
)
"),"연어, 카레가루, 우둔살, 방울토마토, 강황가루,, 부추, 토마토소스, 소금, 후추, 밀가루, 양파,, 당근, 달걀, 버터, 설탕, 간장, 즉석밥,, 고춧가루, 식초, 참기름, 깨, ,")</f>
        <v>연어, 카레가루, 우둔살, 방울토마토, 강황가루,, 부추, 토마토소스, 소금, 후추, 밀가루, 양파,, 당근, 달걀, 버터, 설탕, 간장, 즉석밥,, 고춧가루, 식초, 참기름, 깨, ,</v>
      </c>
    </row>
    <row r="668">
      <c r="A668" s="2" t="str">
        <f>recipe!C668
</f>
        <v>너마늘 위한 치킨</v>
      </c>
      <c r="B668" s="1" t="str">
        <f>IFERROR(__xludf.DUMMYFUNCTION("TRIM(
  SUBSTITUTE(
    REGEXEXTRACT(raw!A668, ""(?s)재료\s*(.*?)●\s*조리\s*방법""),
    CHAR(10), "", ""
  )
)
"),"토종닭, 카레가루, 조미료, 무,, 다진 마늘, 다진 생강, 소금, 달걀,, 밀가루, 전분, 설탕, 물엿, 식초, ,")</f>
        <v>토종닭, 카레가루, 조미료, 무,, 다진 마늘, 다진 생강, 소금, 달걀,, 밀가루, 전분, 설탕, 물엿, 식초, ,</v>
      </c>
    </row>
    <row r="669">
      <c r="A669" s="2" t="str">
        <f>recipe!C669
</f>
        <v>Touch 닭 body~♬</v>
      </c>
      <c r="B669" s="1" t="str">
        <f>IFERROR(__xludf.DUMMYFUNCTION("TRIM(
  SUBSTITUTE(
    REGEXEXTRACT(raw!A669, ""(?s)재료\s*(.*?)●\s*조리\s*방법""),
    CHAR(10), "", ""
  )
)
"),"토종닭, 표고버섯 우린 물, 돼지 배받이살,, 청란, 표고버섯, 대파, 전분, 양파, 맛술,, 간장, 청주, 즉석밥, 마요네즈, 후추, ,")</f>
        <v>토종닭, 표고버섯 우린 물, 돼지 배받이살,, 청란, 표고버섯, 대파, 전분, 양파, 맛술,, 간장, 청주, 즉석밥, 마요네즈, 후추, ,</v>
      </c>
    </row>
    <row r="670">
      <c r="A670" s="2" t="str">
        <f>recipe!C670
</f>
        <v>입맛 잡어</v>
      </c>
      <c r="B670" s="1" t="str">
        <f>IFERROR(__xludf.DUMMYFUNCTION("TRIM(
  SUBSTITUTE(
    REGEXEXTRACT(raw!A670, ""(?s)재료\s*(.*?)●\s*조리\s*방법""),
    CHAR(10), "", ""
  )
)
"),"잡어, 소주, 돼지 배받이살, 갈치속젓,, 무시래기, 무, 부시리, 전복, 무말랭이장아찌,, 깻잎된장무침, 조미료, 다진 마늘, 밀가루,, 참기름, 고추, 대파, 고추장, 고춧가루, 식초, 소금,, 즉석밥, 깨, 양파, 당근, 청양고추, 다진 생강, 설탕, ,")</f>
        <v>잡어, 소주, 돼지 배받이살, 갈치속젓,, 무시래기, 무, 부시리, 전복, 무말랭이장아찌,, 깻잎된장무침, 조미료, 다진 마늘, 밀가루,, 참기름, 고추, 대파, 고추장, 고춧가루, 식초, 소금,, 즉석밥, 깨, 양파, 당근, 청양고추, 다진 생강, 설탕, ,</v>
      </c>
    </row>
    <row r="671">
      <c r="A671" s="2" t="str">
        <f>recipe!C671
</f>
        <v>돔레이더</v>
      </c>
      <c r="B671" s="1" t="str">
        <f>IFERROR(__xludf.DUMMYFUNCTION("TRIM(
  SUBSTITUTE(
    REGEXEXTRACT(raw!A671, ""(?s)재료\s*(.*?)●\s*조리\s*방법""),
    CHAR(10), "", ""
  )
)
"),"참돔, 무, 소주, 고추장아찌, 딸기잼,, 앵두, 잣, 전분, 대파, 당근,, 다진 생강, 후추, 케첩, 설탕, ,")</f>
        <v>참돔, 무, 소주, 고추장아찌, 딸기잼,, 앵두, 잣, 전분, 대파, 당근,, 다진 생강, 후추, 케첩, 설탕, ,</v>
      </c>
    </row>
    <row r="672">
      <c r="A672" s="2" t="str">
        <f>recipe!C672
</f>
        <v>울금 캐비지</v>
      </c>
      <c r="B672" s="1" t="str">
        <f>IFERROR(__xludf.DUMMYFUNCTION("TRIM(
  SUBSTITUTE(
    REGEXEXTRACT(raw!A672, ""(?s)재료\s*(.*?)●\s*조리\s*방법""),
    CHAR(10), "", ""
  )
)
"),"군고구마, 우둔살, 건표고버섯, 삶은 양배추,, 은행, 두유, 사과즙, 울금가루, 사과, 채 썬 양배추,, 키위식초, 마늘, 간장, 후추, 버터, 양파,, 밀가루, 당근, 올리브오일, ,")</f>
        <v>군고구마, 우둔살, 건표고버섯, 삶은 양배추,, 은행, 두유, 사과즙, 울금가루, 사과, 채 썬 양배추,, 키위식초, 마늘, 간장, 후추, 버터, 양파,, 밀가루, 당근, 올리브오일, ,</v>
      </c>
    </row>
    <row r="673">
      <c r="A673" s="2" t="str">
        <f>recipe!C673
</f>
        <v>시나몬 아로니아 비스킷</v>
      </c>
      <c r="B673" s="1" t="str">
        <f>IFERROR(__xludf.DUMMYFUNCTION("TRIM(
  SUBSTITUTE(
    REGEXEXTRACT(raw!A673, ""(?s)재료\s*(.*?)●\s*조리\s*방법""),
    CHAR(10), "", ""
  )
)
"),"호박즙, 사과즙, 사과, 대추청, 패션프루트주스,, 현미누룽지, 계피가루, 아로니아가루,, 흑설탕, 군고구마, 레몬, 달걀, ,")</f>
        <v>호박즙, 사과즙, 사과, 대추청, 패션프루트주스,, 현미누룽지, 계피가루, 아로니아가루,, 흑설탕, 군고구마, 레몬, 달걀, ,</v>
      </c>
    </row>
    <row r="674">
      <c r="A674" s="2" t="str">
        <f>recipe!C674
</f>
        <v>고기말이~ 히트다 히트!</v>
      </c>
      <c r="B674" s="1" t="str">
        <f>IFERROR(__xludf.DUMMYFUNCTION("TRIM(
  SUBSTITUTE(
    REGEXEXTRACT(raw!A674, ""(?s)재료\s*(.*?)●\s*조리\s*방법""),
    CHAR(10), "", ""
  )
)
"),"당근, 오징어닭가슴살스테이크, 우둔살, 군고구마,, 흑설탕, 사과, 마늘, 소금, 홍고추, 간장, 참기름,, 깨, 당근, 후추, 식초, 올리브오일,, 다진 생강, 레몬즙, 대파, ,")</f>
        <v>당근, 오징어닭가슴살스테이크, 우둔살, 군고구마,, 흑설탕, 사과, 마늘, 소금, 홍고추, 간장, 참기름,, 깨, 당근, 후추, 식초, 올리브오일,, 다진 생강, 레몬즙, 대파, ,</v>
      </c>
    </row>
    <row r="675">
      <c r="A675" s="2" t="str">
        <f>recipe!C675
</f>
        <v>버거킴</v>
      </c>
      <c r="B675" s="1" t="str">
        <f>IFERROR(__xludf.DUMMYFUNCTION("TRIM(
  SUBSTITUTE(
    REGEXEXTRACT(raw!A675, ""(?s)재료\s*(.*?)●\s*조리\s*방법""),
    CHAR(10), "", ""
  )
)
"),"우둔살, 오징어닭가슴살스테이크, 통밀빵, 군고구마,, 두유, 채 썬 양배추, 키위식초, 사과, 사과즙,, 배즙, 오디즙, 마늘, 소금, 전분, 마요네즈,, 고추냉이, 청양고추, 양파, 케첩, ,")</f>
        <v>우둔살, 오징어닭가슴살스테이크, 통밀빵, 군고구마,, 두유, 채 썬 양배추, 키위식초, 사과, 사과즙,, 배즙, 오디즙, 마늘, 소금, 전분, 마요네즈,, 고추냉이, 청양고추, 양파, 케첩, ,</v>
      </c>
    </row>
    <row r="676">
      <c r="A676" s="2" t="str">
        <f>recipe!C676
</f>
        <v>어서 와~ 이런 바칼라는 처음이지?</v>
      </c>
      <c r="B676" s="1" t="str">
        <f>IFERROR(__xludf.DUMMYFUNCTION("TRIM(
  SUBSTITUTE(
    REGEXEXTRACT(raw!A676, ""(?s)재료\s*(.*?)●\s*조리\s*방법""),
    CHAR(10), "", ""
  )
)
"),"고등어살, 손질가자미, 다진 소고기, 아스파라거스,, 그린 빈, 애호박, 파프리카, 그라냐노면, 냉동 감자튀김,, 안초비, 케이퍼, 모차렐라 치즈, 방울토마토,, 페코리노 치즈, 생크림, 치아바타, 루콜라,, 파르미지아노 레지아노 치즈, 소금, 양파, 레몬즙,, 당근, 마늘, 후추, 올리브오일, 화이트와인,, ,")</f>
        <v>고등어살, 손질가자미, 다진 소고기, 아스파라거스,, 그린 빈, 애호박, 파프리카, 그라냐노면, 냉동 감자튀김,, 안초비, 케이퍼, 모차렐라 치즈, 방울토마토,, 페코리노 치즈, 생크림, 치아바타, 루콜라,, 파르미지아노 레지아노 치즈, 소금, 양파, 레몬즙,, 당근, 마늘, 후추, 올리브오일, 화이트와인,, ,</v>
      </c>
    </row>
    <row r="677">
      <c r="A677" s="2" t="str">
        <f>recipe!C677
</f>
        <v>알파고</v>
      </c>
      <c r="B677" s="1" t="str">
        <f>IFERROR(__xludf.DUMMYFUNCTION("TRIM(
  SUBSTITUTE(
    REGEXEXTRACT(raw!A677, ""(?s)재료\s*(.*?)●\s*조리\s*방법""),
    CHAR(10), "", ""
  )
)
"),"소고기 안심, 이탈리아소금, 트러플오일,, 각종 허브, 건 포르치니버섯, 팩 레드와인,, 트러플 탈리아텔레면, 버터, 생크림,, 아시아고 치즈, 페코리노 치즈,, 아스파라거스, 양파, 후추, 소금, ,")</f>
        <v>소고기 안심, 이탈리아소금, 트러플오일,, 각종 허브, 건 포르치니버섯, 팩 레드와인,, 트러플 탈리아텔레면, 버터, 생크림,, 아시아고 치즈, 페코리노 치즈,, 아스파라거스, 양파, 후추, 소금, ,</v>
      </c>
    </row>
    <row r="678">
      <c r="A678" s="2" t="str">
        <f>recipe!C678
</f>
        <v>알짜배기 두부</v>
      </c>
      <c r="B678" s="1" t="str">
        <f>IFERROR(__xludf.DUMMYFUNCTION("TRIM(
  SUBSTITUTE(
    REGEXEXTRACT(raw!A678, ""(?s)재료\s*(.*?)●\s*조리\s*방법""),
    CHAR(10), "", ""
  )
)
"),"두부, 애호박, 알배추, 그린 빈,, 다진 소고기, 아스파라거스, 파스타면,, 스리라차소스, 스위트칠리소스, 굴소스,, 자숙새우, 양파, 대파, 고춧가루, 마늘, 간장, 식초, ,")</f>
        <v>두부, 애호박, 알배추, 그린 빈,, 다진 소고기, 아스파라거스, 파스타면,, 스리라차소스, 스위트칠리소스, 굴소스,, 자숙새우, 양파, 대파, 고춧가루, 마늘, 간장, 식초, ,</v>
      </c>
    </row>
    <row r="679">
      <c r="A679" s="2" t="str">
        <f>recipe!C679
</f>
        <v>두부 맛있또</v>
      </c>
      <c r="B679" s="1" t="str">
        <f>IFERROR(__xludf.DUMMYFUNCTION("TRIM(
  SUBSTITUTE(
    REGEXEXTRACT(raw!A679, ""(?s)재료\s*(.*?)●\s*조리\s*방법""),
    CHAR(10), "", ""
  )
)
"),"두부, 자숙새우, 완두콩, 파프리카, 애호박,, 양송이버섯, 들기름&amp;참기름, 수제된장, 루콜라,, 연두부, 생크림, 냉동 고구마, 들깻가루, 판도로,, 전분, 달걀, 양파, 설탕, ,")</f>
        <v>두부, 자숙새우, 완두콩, 파프리카, 애호박,, 양송이버섯, 들기름&amp;참기름, 수제된장, 루콜라,, 연두부, 생크림, 냉동 고구마, 들깻가루, 판도로,, 전분, 달걀, 양파, 설탕, ,</v>
      </c>
    </row>
    <row r="680">
      <c r="A680" s="2" t="str">
        <f>recipe!C680
</f>
        <v>생오취리</v>
      </c>
      <c r="B680" s="1" t="str">
        <f>IFERROR(__xludf.DUMMYFUNCTION("TRIM(
  SUBSTITUTE(
    REGEXEXTRACT(raw!A680, ""(?s)재료\s*(.*?)●\s*조리\s*방법""),
    CHAR(10), "", ""
  )
)
"),"소고기 등심, 홀그레인 머스터드, 베이컨, 귀리,, 가나 땅콩, 파르메산 치즈가루, 토마토, 상추, 파프리카,, 파슬리, 후추, 올리브 오일, 식초, 소금, 양파, 마늘, ,")</f>
        <v>소고기 등심, 홀그레인 머스터드, 베이컨, 귀리,, 가나 땅콩, 파르메산 치즈가루, 토마토, 상추, 파프리카,, 파슬리, 후추, 올리브 오일, 식초, 소금, 양파, 마늘, ,</v>
      </c>
    </row>
    <row r="681">
      <c r="A681" s="2" t="str">
        <f>recipe!C681
</f>
        <v>맛있는 소고기렌당</v>
      </c>
      <c r="B681" s="1" t="str">
        <f>IFERROR(__xludf.DUMMYFUNCTION("TRIM(
  SUBSTITUTE(
    REGEXEXTRACT(raw!A681, ""(?s)재료\s*(.*?)●\s*조리\s*방법""),
    CHAR(10), "", ""
  )
)
"),"소고기 등심, 강황가루, 계피가루, 코코넛밀크,, 레몬, 브로콜리, 가나 새우가루, 시토, 양파, 고춧가루,, 다진 생강, 소금, 다진 마늘, 청양고추, 올리브오일, 홍고추, ,")</f>
        <v>소고기 등심, 강황가루, 계피가루, 코코넛밀크,, 레몬, 브로콜리, 가나 새우가루, 시토, 양파, 고춧가루,, 다진 생강, 소금, 다진 마늘, 청양고추, 올리브오일, 홍고추, ,</v>
      </c>
    </row>
    <row r="682">
      <c r="A682" s="2" t="str">
        <f>recipe!C682
</f>
        <v>가나 가즈아~</v>
      </c>
      <c r="B682" s="1" t="str">
        <f>IFERROR(__xludf.DUMMYFUNCTION("TRIM(
  SUBSTITUTE(
    REGEXEXTRACT(raw!A682, ""(?s)재료\s*(.*?)●\s*조리\s*방법""),
    CHAR(10), "", ""
  )
)
"),"닭다리, 가나 새우가루, 레드팜 오일, 토마토 페이스트,, 치킨스톡, 게맛살, 푸푸가루, 코코넛밀크, 양파,, 다진 생강, 달걀, 전분, 소금, 후추, ,")</f>
        <v>닭다리, 가나 새우가루, 레드팜 오일, 토마토 페이스트,, 치킨스톡, 게맛살, 푸푸가루, 코코넛밀크, 양파,, 다진 생강, 달걀, 전분, 소금, 후추, ,</v>
      </c>
    </row>
    <row r="683">
      <c r="A683" s="2" t="str">
        <f>recipe!C683
</f>
        <v>나이스! 라이스~</v>
      </c>
      <c r="B683" s="1" t="str">
        <f>IFERROR(__xludf.DUMMYFUNCTION("TRIM(
  SUBSTITUTE(
    REGEXEXTRACT(raw!A683, ""(?s)재료\s*(.*?)●\s*조리\s*방법""),
    CHAR(10), "", ""
  )
)
"),"인스턴트 사골곰탕, 쌀, 토마토 페이스트, 버터스프레이,, 레드팜 오일, 파프리카, 토마토, 소고기 등심, 스테이크시즈닝,, 강황가루, 가나 새우가루, 팜너트 통조림, 시토 소스,, 양파, 청양고추, 통마늘, 다진 생강, ,")</f>
        <v>인스턴트 사골곰탕, 쌀, 토마토 페이스트, 버터스프레이,, 레드팜 오일, 파프리카, 토마토, 소고기 등심, 스테이크시즈닝,, 강황가루, 가나 새우가루, 팜너트 통조림, 시토 소스,, 양파, 청양고추, 통마늘, 다진 생강, ,</v>
      </c>
    </row>
    <row r="684">
      <c r="A684" s="2" t="str">
        <f>recipe!C684
</f>
        <v>죽빙</v>
      </c>
      <c r="B684" s="1" t="str">
        <f>IFERROR(__xludf.DUMMYFUNCTION("TRIM(
  SUBSTITUTE(
    REGEXEXTRACT(raw!A684, ""(?s)재료\s*(.*?)●\s*조리\s*방법""),
    CHAR(10), "", ""
  )
)
"),"누룽지, 오징어, 애호박, 쑥떡, 멍게젓, 청포도,, 꿀, 수수부꾸미, 딸기, 블루베리, 마늘, 맛술,, 소금, 청양고추, 깨, 참기름, 대파, 레몬, ,")</f>
        <v>누룽지, 오징어, 애호박, 쑥떡, 멍게젓, 청포도,, 꿀, 수수부꾸미, 딸기, 블루베리, 마늘, 맛술,, 소금, 청양고추, 깨, 참기름, 대파, 레몬, ,</v>
      </c>
    </row>
    <row r="685">
      <c r="A685" s="2" t="str">
        <f>recipe!C685
</f>
        <v>수비드 레이서</v>
      </c>
      <c r="B685" s="1" t="str">
        <f>IFERROR(__xludf.DUMMYFUNCTION("TRIM(
  SUBSTITUTE(
    REGEXEXTRACT(raw!A685, ""(?s)재료\s*(.*?)●\s*조리\s*방법""),
    CHAR(10), "", ""
  )
)
"),"연어, 애호박, 갈치, 누룽지, 아보카도, 모과청,, 청포도, 딸기, 올리브오일, 소금, 대파, 달걀,, 통후추, 레몬즙, 화이트와인, 연겨자, ,")</f>
        <v>연어, 애호박, 갈치, 누룽지, 아보카도, 모과청,, 청포도, 딸기, 올리브오일, 소금, 대파, 달걀,, 통후추, 레몬즙, 화이트와인, 연겨자, ,</v>
      </c>
    </row>
    <row r="686">
      <c r="A686" s="2" t="str">
        <f>recipe!C686
</f>
        <v>베리베리 맛있게</v>
      </c>
      <c r="B686" s="1" t="str">
        <f>IFERROR(__xludf.DUMMYFUNCTION("TRIM(
  SUBSTITUTE(
    REGEXEXTRACT(raw!A686, ""(?s)재료\s*(.*?)●\s*조리\s*방법""),
    CHAR(10), "", ""
  )
)
"),"꽃게, 귤차 티백, 페퍼민트차 티백, 오징어, 누룽지,, 딸기, 블루베리, 모과청, 아보카도, 체리, 청포도, 화이트와인,, 식용유, 밀가루, 양파, 레몬즙, 마요네즈, 소금, 연겨자, ,")</f>
        <v>꽃게, 귤차 티백, 페퍼민트차 티백, 오징어, 누룽지,, 딸기, 블루베리, 모과청, 아보카도, 체리, 청포도, 화이트와인,, 식용유, 밀가루, 양파, 레몬즙, 마요네즈, 소금, 연겨자, ,</v>
      </c>
    </row>
    <row r="687">
      <c r="A687" s="2" t="str">
        <f>recipe!C687
</f>
        <v>골든 크랩</v>
      </c>
      <c r="B687" s="1" t="str">
        <f>IFERROR(__xludf.DUMMYFUNCTION("TRIM(
  SUBSTITUTE(
    REGEXEXTRACT(raw!A687, ""(?s)재료\s*(.*?)●\s*조리\s*방법""),
    CHAR(10), "", ""
  )
)
"),"모과청, 꽃게, 오징어, 누룽지, 통조림 참치, 멍게젓,, 감말랭이, 양상추, 단감, 체리, 페퍼민트차 티백, 양파,, 간장, 전분, 달걀, 레몬즙, 설탕, 식초, ,")</f>
        <v>모과청, 꽃게, 오징어, 누룽지, 통조림 참치, 멍게젓,, 감말랭이, 양상추, 단감, 체리, 페퍼민트차 티백, 양파,, 간장, 전분, 달걀, 레몬즙, 설탕, 식초, ,</v>
      </c>
    </row>
    <row r="688">
      <c r="A688" s="2" t="str">
        <f>recipe!C688
</f>
        <v>샘표 한상</v>
      </c>
      <c r="B688" s="1" t="str">
        <f>IFERROR(__xludf.DUMMYFUNCTION("TRIM(
  SUBSTITUTE(
    REGEXEXTRACT(raw!A688, ""(?s)재료\s*(.*?)●\s*조리\s*방법""),
    CHAR(10), "", ""
  )
)
"),"국거리용 소고기, 무, 어묵, 삼겹살, 매실액,, 멸치, 가지, 간 우둔살, 매생이, 김, 올리브오일,, 통마늘, 소금, 양파, 당근, 청양고추, 간장, 설탕,, 참기름, 고춧가루, 고추장, 후추, 다진 생강,, 물엿, 대파, 홍고추, 밀가루, 맛술, 즉석밥, ,")</f>
        <v>국거리용 소고기, 무, 어묵, 삼겹살, 매실액,, 멸치, 가지, 간 우둔살, 매생이, 김, 올리브오일,, 통마늘, 소금, 양파, 당근, 청양고추, 간장, 설탕,, 참기름, 고춧가루, 고추장, 후추, 다진 생강,, 물엿, 대파, 홍고추, 밀가루, 맛술, 즉석밥, ,</v>
      </c>
    </row>
    <row r="689">
      <c r="A689" s="2" t="str">
        <f>recipe!C689
</f>
        <v>맘스텔라</v>
      </c>
      <c r="B689" s="1" t="str">
        <f>IFERROR(__xludf.DUMMYFUNCTION("TRIM(
  SUBSTITUTE(
    REGEXEXTRACT(raw!A689, ""(?s)재료\s*(.*?)●\s*조리\s*방법""),
    CHAR(10), "", ""
  )
)
"),"가지, 무, 조기, 해물다시팩, 우유, 참치액,, 양파, 청양고추, 대파, 고춧가루, 간장, 다진 마늘,, 청주, 소금, 버터, 설탕, 달걀, 밀가루, 홍고추, 깨, 즉석밥, ,")</f>
        <v>가지, 무, 조기, 해물다시팩, 우유, 참치액,, 양파, 청양고추, 대파, 고춧가루, 간장, 다진 마늘,, 청주, 소금, 버터, 설탕, 달걀, 밀가루, 홍고추, 깨, 즉석밥, ,</v>
      </c>
    </row>
    <row r="690">
      <c r="A690" s="2" t="str">
        <f>recipe!C690
</f>
        <v>허니버터치</v>
      </c>
      <c r="B690" s="1" t="str">
        <f>IFERROR(__xludf.DUMMYFUNCTION("TRIM(
  SUBSTITUTE(
    REGEXEXTRACT(raw!A690, ""(?s)재료\s*(.*?)●\s*조리\s*방법""),
    CHAR(10), "", ""
  )
)
"),"멸치, 다시마, 무, 국물용 멸치, 꿀, 표고버섯,, 참치액, 파스타면, 느타리버섯, 어린잎채소, 버터,, 다진 마늘, 화이트와인, 소금, 마늘, 들기름,, 간장, 청양고추, 후추, ,")</f>
        <v>멸치, 다시마, 무, 국물용 멸치, 꿀, 표고버섯,, 참치액, 파스타면, 느타리버섯, 어린잎채소, 버터,, 다진 마늘, 화이트와인, 소금, 마늘, 들기름,, 간장, 청양고추, 후추, ,</v>
      </c>
    </row>
    <row r="691">
      <c r="A691" s="2" t="str">
        <f>recipe!C691
</f>
        <v>차이나는 비빔면</v>
      </c>
      <c r="B691" s="1" t="str">
        <f>IFERROR(__xludf.DUMMYFUNCTION("TRIM(
  SUBSTITUTE(
    REGEXEXTRACT(raw!A691, ""(?s)재료\s*(.*?)●\s*조리\s*방법""),
    CHAR(10), "", ""
  )
)
"),"새송이버섯, 파스타면, 양배추물, 새우젓, 통조림옥수수,, 잔멸치, 어묵, 마늘장아찌, 양상추, 소금, 대파,, 다진 생강, 전분, 청양고추, 후추, 설탕, ,")</f>
        <v>새송이버섯, 파스타면, 양배추물, 새우젓, 통조림옥수수,, 잔멸치, 어묵, 마늘장아찌, 양상추, 소금, 대파,, 다진 생강, 전분, 청양고추, 후추, 설탕, ,</v>
      </c>
    </row>
    <row r="692">
      <c r="A692" s="2" t="str">
        <f>recipe!C692
</f>
        <v>참치 언더파~</v>
      </c>
      <c r="B692" s="1" t="str">
        <f>IFERROR(__xludf.DUMMYFUNCTION("TRIM(
  SUBSTITUTE(
    REGEXEXTRACT(raw!A692, ""(?s)재료\s*(.*?)●\s*조리\s*방법""),
    CHAR(10), "", ""
  )
)
"),"소갈비, 살라미, 인스턴트 사골곰탕, 참치,, 쪽파, 바비큐소스, 파르메산치즈, 리코타치즈,, 모차렐라 치즈, 통밀빵, 플레인 요거트, 홀스래디시,, 라임, 베트남고추, 아보카도, 발사믹식초, 애플민트,, 마늘, 즉석밥, 올리브오일, 양파, 후추, 소금, 레몬, ,")</f>
        <v>소갈비, 살라미, 인스턴트 사골곰탕, 참치,, 쪽파, 바비큐소스, 파르메산치즈, 리코타치즈,, 모차렐라 치즈, 통밀빵, 플레인 요거트, 홀스래디시,, 라임, 베트남고추, 아보카도, 발사믹식초, 애플민트,, 마늘, 즉석밥, 올리브오일, 양파, 후추, 소금, 레몬, ,</v>
      </c>
    </row>
    <row r="693">
      <c r="A693" s="2" t="str">
        <f>recipe!C693
</f>
        <v>스피드 스퀴드</v>
      </c>
      <c r="B693" s="1" t="str">
        <f>IFERROR(__xludf.DUMMYFUNCTION("TRIM(
  SUBSTITUTE(
    REGEXEXTRACT(raw!A693, ""(?s)재료\s*(.*?)●\s*조리\s*방법""),
    CHAR(10), "", ""
  )
)
"),"통밀빵, 오징어, 쪽파, 리코타치즈, 애플민트,, 파르메산치즈, 적양파, 아보카도, 라임, 마늘,, 올리브오일, 소금, 후추, 레몬, 레드와인, 식초, 설탕, ,")</f>
        <v>통밀빵, 오징어, 쪽파, 리코타치즈, 애플민트,, 파르메산치즈, 적양파, 아보카도, 라임, 마늘,, 올리브오일, 소금, 후추, 레몬, 레드와인, 식초, 설탕, ,</v>
      </c>
    </row>
    <row r="694">
      <c r="A694" s="2" t="str">
        <f>recipe!C694
</f>
        <v>월드클래스 삼합</v>
      </c>
      <c r="B694" s="1" t="str">
        <f>IFERROR(__xludf.DUMMYFUNCTION("TRIM(
  SUBSTITUTE(
    REGEXEXTRACT(raw!A694, ""(?s)재료\s*(.*?)●\s*조리\s*방법""),
    CHAR(10), "", ""
  )
)
"),"소갈비, 블랙트러플소금, 통밀빵, 선드라이드 토마토,, 파르메산 치즈, 씻은 김치, 스리라차소스, 애플민트,, 고량주, 통조림 옥수수, 적양파, 아보카도, 크림치즈,, 블랙트러플오일, 블랙트러플페이스트, 블랙트러플,, 고추냉이크림, 관자, 대파, 레몬, 소금, 버터, ,")</f>
        <v>소갈비, 블랙트러플소금, 통밀빵, 선드라이드 토마토,, 파르메산 치즈, 씻은 김치, 스리라차소스, 애플민트,, 고량주, 통조림 옥수수, 적양파, 아보카도, 크림치즈,, 블랙트러플오일, 블랙트러플페이스트, 블랙트러플,, 고추냉이크림, 관자, 대파, 레몬, 소금, 버터, ,</v>
      </c>
    </row>
    <row r="695">
      <c r="A695" s="2" t="str">
        <f>recipe!C695
</f>
        <v>세리볼 나이스샷</v>
      </c>
      <c r="B695" s="1" t="str">
        <f>IFERROR(__xludf.DUMMYFUNCTION("TRIM(
  SUBSTITUTE(
    REGEXEXTRACT(raw!A695, ""(?s)재료\s*(.*?)●\s*조리\s*방법""),
    CHAR(10), "", ""
  )
)
"),"다시마, 무, 쪽파, 선드라이드 토마토, 통조림 게살,, 배추김치, 아보카도, 안창살, 맛술, 소금, 설탕,, 식용유, 참기름, 양파, 대파, 레몬, ,")</f>
        <v>다시마, 무, 쪽파, 선드라이드 토마토, 통조림 게살,, 배추김치, 아보카도, 안창살, 맛술, 소금, 설탕,, 식용유, 참기름, 양파, 대파, 레몬, ,</v>
      </c>
    </row>
    <row r="696">
      <c r="A696" s="2" t="str">
        <f>recipe!C696
</f>
        <v>연복풍 완자</v>
      </c>
      <c r="B696" s="1" t="str">
        <f>IFERROR(__xludf.DUMMYFUNCTION("TRIM(
  SUBSTITUTE(
    REGEXEXTRACT(raw!A696, ""(?s)재료\s*(.*?)●\s*조리\s*방법""),
    CHAR(10), "", ""
  )
)
"),"해물다시팩, 무, 그린 빈, 브로콜리, 양송이버섯,, 새송이버섯, 가지, 소고기 안심, 돼지고기 어깨살,, 간 닭고기, 닭허벅지살, 대구맛후리카케, 라유,, 야키니쿠소스, 말린 새우, 미소된장, 명란젓, 표고버섯,, 가리비다시마소스, 우동면, 대게다리살, 시금치, ,")</f>
        <v>해물다시팩, 무, 그린 빈, 브로콜리, 양송이버섯,, 새송이버섯, 가지, 소고기 안심, 돼지고기 어깨살,, 간 닭고기, 닭허벅지살, 대구맛후리카케, 라유,, 야키니쿠소스, 말린 새우, 미소된장, 명란젓, 표고버섯,, 가리비다시마소스, 우동면, 대게다리살, 시금치, ,</v>
      </c>
    </row>
    <row r="697">
      <c r="A697" s="2" t="str">
        <f>recipe!C697
</f>
        <v>추바라시</v>
      </c>
      <c r="B697" s="1" t="str">
        <f>IFERROR(__xludf.DUMMYFUNCTION("TRIM(
  SUBSTITUTE(
    REGEXEXTRACT(raw!A697, ""(?s)재료\s*(.*?)●\s*조리\s*방법""),
    CHAR(10), "", ""
  )
)
"),"식빵, 해물다시팩, 양송이버섯, 브로콜리,, 오렌지, 소고기 안심, 달걀, 우유, 블루치즈,, 파르미지아노 치즈, 간 닭고기, 방울토마토,, 어니언프라이, 멘쯔유, 우동 쯔유,, 마늘간장소스, 아보카도, 금가루, ,")</f>
        <v>식빵, 해물다시팩, 양송이버섯, 브로콜리,, 오렌지, 소고기 안심, 달걀, 우유, 블루치즈,, 파르미지아노 치즈, 간 닭고기, 방울토마토,, 어니언프라이, 멘쯔유, 우동 쯔유,, 마늘간장소스, 아보카도, 금가루, ,</v>
      </c>
    </row>
    <row r="698">
      <c r="A698" s="2" t="str">
        <f>recipe!C698
</f>
        <v>추추테일러</v>
      </c>
      <c r="B698" s="1" t="str">
        <f>IFERROR(__xludf.DUMMYFUNCTION("TRIM(
  SUBSTITUTE(
    REGEXEXTRACT(raw!A698, ""(?s)재료\s*(.*?)●\s*조리\s*방법""),
    CHAR(10), "", ""
  )
)
"),"스키야키소스, 고기소스, 인삼, 대추, 무,, 소고기 안심, 데친 고사리, 들깻가루, 양배추,, 브로콜리니, 시금치, 팽이버섯, 가리비다시마소스,, 후머스, 콘수프, 당근드레싱, 금가루, ,")</f>
        <v>스키야키소스, 고기소스, 인삼, 대추, 무,, 소고기 안심, 데친 고사리, 들깻가루, 양배추,, 브로콜리니, 시금치, 팽이버섯, 가리비다시마소스,, 후머스, 콘수프, 당근드레싱, 금가루, ,</v>
      </c>
    </row>
    <row r="699">
      <c r="A699" s="2" t="str">
        <f>recipe!C699
</f>
        <v>K.F.C.(Korean Fried Chicken)</v>
      </c>
      <c r="B699" s="1" t="str">
        <f>IFERROR(__xludf.DUMMYFUNCTION("TRIM(
  SUBSTITUTE(
    REGEXEXTRACT(raw!A699, ""(?s)재료\s*(.*?)●\s*조리\s*방법""),
    CHAR(10), "", ""
  )
)
"),"달걀, 닭허벅지살, 레드와인식초, 스리라차소스,, 무, 팬케이크가루, 우유, 고추맛후리카케, 시치미,, 유자향시치미, 아보카도, 빵가루, ,")</f>
        <v>달걀, 닭허벅지살, 레드와인식초, 스리라차소스,, 무, 팬케이크가루, 우유, 고추맛후리카케, 시치미,, 유자향시치미, 아보카도, 빵가루, ,</v>
      </c>
    </row>
    <row r="700">
      <c r="A700" s="2" t="str">
        <f>recipe!C700
</f>
        <v>투가스</v>
      </c>
      <c r="B700" s="1" t="str">
        <f>IFERROR(__xludf.DUMMYFUNCTION("TRIM(
  SUBSTITUTE(
    REGEXEXTRACT(raw!A700, ""(?s)재료\s*(.*?)●\s*조리\s*방법""),
    CHAR(10), "", ""
  )
)
"),"금태, 데친 시금치, 완두콩, 인스턴트 설렁탕,, 소고기 안심, 디종 머스터드, 우유, 빵가루,, 스테이크소스, 미네스트로네수프, 타르타르소스,, 양파, 소금, 후추, 고추냉이, 밀가루, 달걀, 버터,, 통마늘, 케첩, 청양고추, 마요네즈, 레몬, ,")</f>
        <v>금태, 데친 시금치, 완두콩, 인스턴트 설렁탕,, 소고기 안심, 디종 머스터드, 우유, 빵가루,, 스테이크소스, 미네스트로네수프, 타르타르소스,, 양파, 소금, 후추, 고추냉이, 밀가루, 달걀, 버터,, 통마늘, 케첩, 청양고추, 마요네즈, 레몬, ,</v>
      </c>
    </row>
    <row r="701">
      <c r="A701" s="2" t="str">
        <f>recipe!C701
</f>
        <v>프리하새우</v>
      </c>
      <c r="B701" s="1" t="str">
        <f>IFERROR(__xludf.DUMMYFUNCTION("TRIM(
  SUBSTITUTE(
    REGEXEXTRACT(raw!A701, ""(?s)재료\s*(.*?)●\s*조리\s*방법""),
    CHAR(10), "", ""
  )
)
"),"불고기용 돼지고기, 고구마, 토마토즙, 토마토,, 스리라차소스, 참치액, 두부, 식빵, 우유, 마,, 새우, 사과, 플레인요거트, 양배추, 달걀,, 다진 마늘, 식용유, 청양고추, 고추장, 전분,, 설탕, 밀가루, 기름, 고춧가루, 레몬, 마요네즈,, ,")</f>
        <v>불고기용 돼지고기, 고구마, 토마토즙, 토마토,, 스리라차소스, 참치액, 두부, 식빵, 우유, 마,, 새우, 사과, 플레인요거트, 양배추, 달걀,, 다진 마늘, 식용유, 청양고추, 고추장, 전분,, 설탕, 밀가루, 기름, 고춧가루, 레몬, 마요네즈,, ,</v>
      </c>
    </row>
    <row r="702">
      <c r="A702" s="2" t="str">
        <f>recipe!C702
</f>
        <v>폼나는 조식</v>
      </c>
      <c r="B702" s="1" t="str">
        <f>IFERROR(__xludf.DUMMYFUNCTION("TRIM(
  SUBSTITUTE(
    REGEXEXTRACT(raw!A702, ""(?s)재료\s*(.*?)●\s*조리\s*방법""),
    CHAR(10), "", ""
  )
)
"),"통조림연어, 토마토, 양배추, 상추, 깻잎,, 토마토즙, 새우, 완두콩, 타르타르소스,, 볶은 땅콩, 오리엔탈드레싱, 딸기, 달걀,, 전분, 밀가루, 소금, 올리브오일, 설탕,, ,")</f>
        <v>통조림연어, 토마토, 양배추, 상추, 깻잎,, 토마토즙, 새우, 완두콩, 타르타르소스,, 볶은 땅콩, 오리엔탈드레싱, 딸기, 달걀,, 전분, 밀가루, 소금, 올리브오일, 설탕,, ,</v>
      </c>
    </row>
    <row r="703">
      <c r="A703" s="2" t="str">
        <f>recipe!C703
</f>
        <v>수플레가 모닝?</v>
      </c>
      <c r="B703" s="1" t="str">
        <f>IFERROR(__xludf.DUMMYFUNCTION("TRIM(
  SUBSTITUTE(
    REGEXEXTRACT(raw!A703, ""(?s)재료\s*(.*?)●\s*조리\s*방법""),
    CHAR(10), "", ""
  )
)
"),"우유, 딸기, 프랑크소시지, 양상추, 메이플시럽,, 식빵, 사과, 식혜, 꿀, 달걀, 밀가루, 설탕,, 올리브오일, 레몬, 당근, 다진 생강, 버터, 소금, ,")</f>
        <v>우유, 딸기, 프랑크소시지, 양상추, 메이플시럽,, 식빵, 사과, 식혜, 꿀, 달걀, 밀가루, 설탕,, 올리브오일, 레몬, 당근, 다진 생강, 버터, 소금, ,</v>
      </c>
    </row>
    <row r="704">
      <c r="A704" s="2" t="str">
        <f>recipe!C704
</f>
        <v>나도 어디서 꿀리진 않魚</v>
      </c>
      <c r="B704" s="1" t="str">
        <f>IFERROR(__xludf.DUMMYFUNCTION("TRIM(
  SUBSTITUTE(
    REGEXEXTRACT(raw!A704, ""(?s)재료\s*(.*?)●\s*조리\s*방법""),
    CHAR(10), "", ""
  )
)
"),"토마토즙, 잣, 그린올리브, 크림치즈,, 콩테치즈, 깻잎, 차돌박이, 오겹살, 쌈무, 김, ,")</f>
        <v>토마토즙, 잣, 그린올리브, 크림치즈,, 콩테치즈, 깻잎, 차돌박이, 오겹살, 쌈무, 김, ,</v>
      </c>
    </row>
    <row r="705">
      <c r="A705" s="2" t="str">
        <f>recipe!C705
</f>
        <v>치즈 쇼타임~마!</v>
      </c>
      <c r="B705" s="1" t="str">
        <f>IFERROR(__xludf.DUMMYFUNCTION("TRIM(
  SUBSTITUTE(
    REGEXEXTRACT(raw!A705, ""(?s)재료\s*(.*?)●\s*조리\s*방법""),
    CHAR(10), "", ""
  )
)
"),"오이고추, 오겹살, 차돌박이, 인스턴트 고기산적,, 슬라이스 훈제오리, 오이, 플레인 요거트,, 슬라이스 체더치즈, 배, 발사믹드레싱, 파슬리, ,")</f>
        <v>오이고추, 오겹살, 차돌박이, 인스턴트 고기산적,, 슬라이스 훈제오리, 오이, 플레인 요거트,, 슬라이스 체더치즈, 배, 발사믹드레싱, 파슬리, ,</v>
      </c>
    </row>
    <row r="706">
      <c r="A706" s="2" t="str">
        <f>recipe!C706
</f>
        <v>곤짜장</v>
      </c>
      <c r="B706" s="1" t="str">
        <f>IFERROR(__xludf.DUMMYFUNCTION("TRIM(
  SUBSTITUTE(
    REGEXEXTRACT(raw!A706, ""(?s)재료\s*(.*?)●\s*조리\s*방법""),
    CHAR(10), "", ""
  )
)
"),"통조림간장골뱅이, 곤약면, 오겹살, 애호박, 식빵,, 슬라이스 닭가슴살, 잣, 슬라이스 체더치즈,, 인스턴트 짜장가루, 양배추, 오이, ,")</f>
        <v>통조림간장골뱅이, 곤약면, 오겹살, 애호박, 식빵,, 슬라이스 닭가슴살, 잣, 슬라이스 체더치즈,, 인스턴트 짜장가루, 양배추, 오이, ,</v>
      </c>
    </row>
    <row r="707">
      <c r="A707" s="2" t="str">
        <f>recipe!C707
</f>
        <v>치킨 치즈 스마일</v>
      </c>
      <c r="B707" s="1" t="str">
        <f>IFERROR(__xludf.DUMMYFUNCTION("TRIM(
  SUBSTITUTE(
    REGEXEXTRACT(raw!A707, ""(?s)재료\s*(.*?)●\s*조리\s*방법""),
    CHAR(10), "", ""
  )
)
"),"맥주, 크림치즈, 큐브닭가슴살, 다이어트도시락,, 닭가슴살 소시지, 슬라이스 훈제닭가슴살, 인스턴트 감자튀김,, 그린올리브, 사과, 칠리소스, 라즈베리잼, 상추, 오이, 오렌지, ,")</f>
        <v>맥주, 크림치즈, 큐브닭가슴살, 다이어트도시락,, 닭가슴살 소시지, 슬라이스 훈제닭가슴살, 인스턴트 감자튀김,, 그린올리브, 사과, 칠리소스, 라즈베리잼, 상추, 오이, 오렌지, ,</v>
      </c>
    </row>
    <row r="708">
      <c r="A708" s="2" t="str">
        <f>recipe!C708
</f>
        <v>연볶면</v>
      </c>
      <c r="B708" s="1" t="str">
        <f>IFERROR(__xludf.DUMMYFUNCTION("TRIM(
  SUBSTITUTE(
    REGEXEXTRACT(raw!A708, ""(?s)재료\s*(.*?)●\s*조리\s*방법""),
    CHAR(10), "", ""
  )
)
"),"손질새우, 낙지, 표고버섯, 차돌박이, 목살,, 쪽파, 돼지불고기 양념, 깻잎, 대파, 밀가루,, 고춧가루, 청양고추, 양파, 당근, 마요네즈, ,")</f>
        <v>손질새우, 낙지, 표고버섯, 차돌박이, 목살,, 쪽파, 돼지불고기 양념, 깻잎, 대파, 밀가루,, 고춧가루, 청양고추, 양파, 당근, 마요네즈, ,</v>
      </c>
    </row>
    <row r="709">
      <c r="A709" s="2" t="str">
        <f>recipe!C709
</f>
        <v>볶출어람</v>
      </c>
      <c r="B709" s="1" t="str">
        <f>IFERROR(__xludf.DUMMYFUNCTION("TRIM(
  SUBSTITUTE(
    REGEXEXTRACT(raw!A709, ""(?s)재료\s*(.*?)●\s*조리\s*방법""),
    CHAR(10), "", ""
  )
)
"),"목살, 인스턴트 떡갈비, 표고버섯, 깻잎,, 오이, 김, 멸치액젓, 낙지볶음소스, 즉석밥,, 설탕, 다진 생강, 소금, 대파, 마늘,, 청양고추, 후추, 청주, ,")</f>
        <v>목살, 인스턴트 떡갈비, 표고버섯, 깻잎,, 오이, 김, 멸치액젓, 낙지볶음소스, 즉석밥,, 설탕, 다진 생강, 소금, 대파, 마늘,, 청양고추, 후추, 청주, ,</v>
      </c>
    </row>
    <row r="710">
      <c r="A710" s="2" t="str">
        <f>recipe!C710
</f>
        <v>안심하고 튀겼새우</v>
      </c>
      <c r="B710" s="1" t="str">
        <f>IFERROR(__xludf.DUMMYFUNCTION("TRIM(
  SUBSTITUTE(
    REGEXEXTRACT(raw!A710, ""(?s)재료\s*(.*?)●\s*조리\s*방법""),
    CHAR(10), "", ""
  )
)
"),"다시마, 국물용 멸치, 스테이크용 안심, 통조림햄,, 표고버섯, 차돌박이, 손질새우, 맥주, 마늘, 소금,, 후추, 즉석밥, 맛술, 청주, 간장, 설탕, 식초, 케첩,, 마요네즈, 밀가루, 튀김가루, 달걀, 청양고추, ,")</f>
        <v>다시마, 국물용 멸치, 스테이크용 안심, 통조림햄,, 표고버섯, 차돌박이, 손질새우, 맥주, 마늘, 소금,, 후추, 즉석밥, 맛술, 청주, 간장, 설탕, 식초, 케첩,, 마요네즈, 밀가루, 튀김가루, 달걀, 청양고추, ,</v>
      </c>
    </row>
    <row r="711">
      <c r="A711" s="2" t="str">
        <f>recipe!C711
</f>
        <v>두고보샤</v>
      </c>
      <c r="B711" s="1" t="str">
        <f>IFERROR(__xludf.DUMMYFUNCTION("TRIM(
  SUBSTITUTE(
    REGEXEXTRACT(raw!A711, ""(?s)재료\s*(.*?)●\s*조리\s*방법""),
    CHAR(10), "", ""
  )
)
"),"조미료, 두부, 차돌박이, 손질새우, 표고버섯,, 콩나물, 쪽파, 오이, 달걀, 대파, 통마늘, 고춧가루,, 전분, 소금, 후추, 간장, 식초, 설탕, 다진 마늘, ,")</f>
        <v>조미료, 두부, 차돌박이, 손질새우, 표고버섯,, 콩나물, 쪽파, 오이, 달걀, 대파, 통마늘, 고춧가루,, 전분, 소금, 후추, 간장, 식초, 설탕, 다진 마늘, ,</v>
      </c>
    </row>
    <row r="712">
      <c r="A712" s="2" t="str">
        <f>recipe!C712
</f>
        <v>파스타가 캐비아</v>
      </c>
      <c r="B712" s="1" t="str">
        <f>IFERROR(__xludf.DUMMYFUNCTION("TRIM(
  SUBSTITUTE(
    REGEXEXTRACT(raw!A712, ""(?s)재료\s*(.*?)●\s*조리\s*방법""),
    CHAR(10), "", ""
  )
)
"),"옥돔, 애호박, 감자, 수제양파와인, 베이컨,, 트러플페스토, 디포리, 가츠오부시, 고다치즈,, 사발라면, 생크림, 캐비아, 양파, 소금, 후추, ,")</f>
        <v>옥돔, 애호박, 감자, 수제양파와인, 베이컨,, 트러플페스토, 디포리, 가츠오부시, 고다치즈,, 사발라면, 생크림, 캐비아, 양파, 소금, 후추, ,</v>
      </c>
    </row>
    <row r="713">
      <c r="A713" s="2" t="str">
        <f>recipe!C713
</f>
        <v>돈 코스</v>
      </c>
      <c r="B713" s="1" t="str">
        <f>IFERROR(__xludf.DUMMYFUNCTION("TRIM(
  SUBSTITUTE(
    REGEXEXTRACT(raw!A713, ""(?s)재료\s*(.*?)●\s*조리\s*방법""),
    CHAR(10), "", ""
  )
)
"),"호두, 아몬드, 잣, 푸아그라, 생크림, 발사믹식초,, 파프리카, 애호박, 송화버섯, 이베리코 목살, 굴소스,, 아보카도, 생바질, 관자, 캐비아, 설탕, 양파, 대파,, 마늘, 올리브오일, 소금, 후추, 식초, 레몬, 버터, ,")</f>
        <v>호두, 아몬드, 잣, 푸아그라, 생크림, 발사믹식초,, 파프리카, 애호박, 송화버섯, 이베리코 목살, 굴소스,, 아보카도, 생바질, 관자, 캐비아, 설탕, 양파, 대파,, 마늘, 올리브오일, 소금, 후추, 식초, 레몬, 버터, ,</v>
      </c>
    </row>
    <row r="714">
      <c r="A714" s="2" t="str">
        <f>recipe!C714
</f>
        <v>타조가 조타</v>
      </c>
      <c r="B714" s="1" t="str">
        <f>IFERROR(__xludf.DUMMYFUNCTION("TRIM(
  SUBSTITUTE(
    REGEXEXTRACT(raw!A714, ""(?s)재료\s*(.*?)●\s*조리\s*방법""),
    CHAR(10), "", ""
  )
)
"),"송화버섯, 만가닥버섯, 베이컨, 파프리카 파우더,, 타조고기, 생크림, 쪽파, 고다치즈, 사워크림, 양파,, 소금, 후추, 대파, 밀가루, 버터, 간장, 달걀, 레몬, ,")</f>
        <v>송화버섯, 만가닥버섯, 베이컨, 파프리카 파우더,, 타조고기, 생크림, 쪽파, 고다치즈, 사워크림, 양파,, 소금, 후추, 대파, 밀가루, 버터, 간장, 달걀, 레몬, ,</v>
      </c>
    </row>
    <row r="715">
      <c r="A715" s="2" t="str">
        <f>recipe!C715
</f>
        <v>돈스테이크</v>
      </c>
      <c r="B715" s="1" t="str">
        <f>IFERROR(__xludf.DUMMYFUNCTION("TRIM(
  SUBSTITUTE(
    REGEXEXTRACT(raw!A715, ""(?s)재료\s*(.*?)●\s*조리\s*방법""),
    CHAR(10), "", ""
  )
)
"),"두유, 감자, 아스파라거스, 타조고기, 바질,, 로즈메리, 베이컨, 파프리카 파우더, 토마토소스,, 송화버섯, 만가닥버섯, 수제된장, 흑맥주, 슬라이스 치즈,, 대파, 양파, 당근, 소금, 후추, 밀가루, 마늘, 버터, ,")</f>
        <v>두유, 감자, 아스파라거스, 타조고기, 바질,, 로즈메리, 베이컨, 파프리카 파우더, 토마토소스,, 송화버섯, 만가닥버섯, 수제된장, 흑맥주, 슬라이스 치즈,, 대파, 양파, 당근, 소금, 후추, 밀가루, 마늘, 버터, ,</v>
      </c>
    </row>
    <row r="716">
      <c r="A716" s="2" t="str">
        <f>recipe!C716
</f>
        <v>비먹부먹</v>
      </c>
      <c r="B716" s="1" t="str">
        <f>IFERROR(__xludf.DUMMYFUNCTION("TRIM(
  SUBSTITUTE(
    REGEXEXTRACT(raw!A716, ""(?s)재료\s*(.*?)●\s*조리\s*방법""),
    CHAR(10), "", ""
  )
)
"),"황태채, 멸치액젓, 건새우, 다시마, 대패삼겹살,, 굴소스, 쯔유, 건표고버섯, 짬뽕면, 대파, 고춧가루,, 식용유, 들기름, 마늘, 맛술, 간장, 후추, 식초, 소금, 레몬, ,")</f>
        <v>황태채, 멸치액젓, 건새우, 다시마, 대패삼겹살,, 굴소스, 쯔유, 건표고버섯, 짬뽕면, 대파, 고춧가루,, 식용유, 들기름, 마늘, 맛술, 간장, 후추, 식초, 소금, 레몬, ,</v>
      </c>
    </row>
    <row r="717">
      <c r="A717" s="2" t="str">
        <f>recipe!C717
</f>
        <v>팟타이가 맛있돔</v>
      </c>
      <c r="B717" s="1" t="str">
        <f>IFERROR(__xludf.DUMMYFUNCTION("TRIM(
  SUBSTITUTE(
    REGEXEXTRACT(raw!A717, ""(?s)재료\s*(.*?)●\s*조리\s*방법""),
    CHAR(10), "", ""
  )
)
"),"파스타면, 건새우, 옥돔, 표고버섯,, 대패삼겹살, 굴소스, 발사믹식초, 메이플시럽,, 소금, 마늘, 달걀, 후추, 맛술, 다진 마늘, 간장,, 고추, 대파, 홍고추, 고춧가루, ,")</f>
        <v>파스타면, 건새우, 옥돔, 표고버섯,, 대패삼겹살, 굴소스, 발사믹식초, 메이플시럽,, 소금, 마늘, 달걀, 후추, 맛술, 다진 마늘, 간장,, 고추, 대파, 홍고추, 고춧가루, ,</v>
      </c>
    </row>
    <row r="718">
      <c r="A718" s="2" t="str">
        <f>recipe!C718
</f>
        <v>고기의 품격</v>
      </c>
      <c r="B718" s="1" t="str">
        <f>IFERROR(__xludf.DUMMYFUNCTION("TRIM(
  SUBSTITUTE(
    REGEXEXTRACT(raw!A718, ""(?s)재료\s*(.*?)●\s*조리\s*방법""),
    CHAR(10), "", ""
  )
)
"),"소고기등심, 애호박, 감자, 우유, 표고버섯, 새송이버섯,, 발사믹식초, 아몬드, 호두, 홀그레인머스터드, 파르메산치즈가루,, 화이트식초, 방울토마토, 소금, 버터, 밀가루, 올리브오일,, 후추, 양파, 마늘, 설탕, 레몬, , ,")</f>
        <v>소고기등심, 애호박, 감자, 우유, 표고버섯, 새송이버섯,, 발사믹식초, 아몬드, 호두, 홀그레인머스터드, 파르메산치즈가루,, 화이트식초, 방울토마토, 소금, 버터, 밀가루, 올리브오일,, 후추, 양파, 마늘, 설탕, 레몬, , ,</v>
      </c>
    </row>
    <row r="719">
      <c r="A719" s="2" t="str">
        <f>recipe!C719
</f>
        <v>파이팅롤</v>
      </c>
      <c r="B719" s="1" t="str">
        <f>IFERROR(__xludf.DUMMYFUNCTION("TRIM(
  SUBSTITUTE(
    REGEXEXTRACT(raw!A719, ""(?s)재료\s*(.*?)●\s*조리\s*방법""),
    CHAR(10), "", ""
  )
)
"),"감자, 표고버섯, 채끝살, 애호박, 상추, 총각김치,, 발사믹식초, 화이트식초, 어린잎 채소, 당근, 양파,, 마늘, 버터, 소금, 후추, 고추장, 올리브오일, ,")</f>
        <v>감자, 표고버섯, 채끝살, 애호박, 상추, 총각김치,, 발사믹식초, 화이트식초, 어린잎 채소, 당근, 양파,, 마늘, 버터, 소금, 후추, 고추장, 올리브오일, ,</v>
      </c>
    </row>
    <row r="720">
      <c r="A720" s="2" t="str">
        <f>recipe!C720
</f>
        <v>푸딩이 최고당</v>
      </c>
      <c r="B720" s="1" t="str">
        <f>IFERROR(__xludf.DUMMYFUNCTION("TRIM(
  SUBSTITUTE(
    REGEXEXTRACT(raw!A720, ""(?s)재료\s*(.*?)●\s*조리\s*방법""),
    CHAR(10), "", ""
  )
)
"),"카카오 70% 초콜릿, 우유, 땅콩버터, 식빵,, 초콜릿, 건무화과, 건살구, 귤, 청포도, 두유,, 참외, 설탕, 버터, 달걀, 청양고추, ,")</f>
        <v>카카오 70% 초콜릿, 우유, 땅콩버터, 식빵,, 초콜릿, 건무화과, 건살구, 귤, 청포도, 두유,, 참외, 설탕, 버터, 달걀, 청양고추, ,</v>
      </c>
    </row>
    <row r="721">
      <c r="A721" s="2" t="str">
        <f>recipe!C721
</f>
        <v>티라미수코리아</v>
      </c>
      <c r="B721" s="1" t="str">
        <f>IFERROR(__xludf.DUMMYFUNCTION("TRIM(
  SUBSTITUTE(
    REGEXEXTRACT(raw!A721, ""(?s)재료\s*(.*?)●\s*조리\s*방법""),
    CHAR(10), "", ""
  )
)
"),"카카오 70% 초콜릿, 코코넛과자, 우유,, 자몽청, 사과, 설탕, 버터, 청주, 달걀,, 화이트와인, 레몬, ,")</f>
        <v>카카오 70% 초콜릿, 코코넛과자, 우유,, 자몽청, 사과, 설탕, 버터, 청주, 달걀,, 화이트와인, 레몬, ,</v>
      </c>
    </row>
    <row r="722">
      <c r="A722" s="2" t="str">
        <f>recipe!C722
</f>
        <v>나이스~튜</v>
      </c>
      <c r="B722" s="1" t="str">
        <f>IFERROR(__xludf.DUMMYFUNCTION("TRIM(
  SUBSTITUTE(
    REGEXEXTRACT(raw!A722, ""(?s)재료\s*(.*?)●\s*조리\s*방법""),
    CHAR(10), "", ""
  )
)
"),"갈치, 감자, 아스파라거스, 우유, 땅콩버터,, 슬라이스 체더치즈, 명란젓, 금태, 매실청,, 샹라장, 방울토마토, 시금치, 소금, 후추, 전분,, 양파, 청양고추, 대파, 마늘, 케첩, 레몬, 당근, ,")</f>
        <v>갈치, 감자, 아스파라거스, 우유, 땅콩버터,, 슬라이스 체더치즈, 명란젓, 금태, 매실청,, 샹라장, 방울토마토, 시금치, 소금, 후추, 전분,, 양파, 청양고추, 대파, 마늘, 케첩, 레몬, 당근, ,</v>
      </c>
    </row>
    <row r="723">
      <c r="A723" s="2" t="str">
        <f>recipe!C723
</f>
        <v>라돌체비타</v>
      </c>
      <c r="B723" s="1" t="str">
        <f>IFERROR(__xludf.DUMMYFUNCTION("TRIM(
  SUBSTITUTE(
    REGEXEXTRACT(raw!A723, ""(?s)재료\s*(.*?)●\s*조리\s*방법""),
    CHAR(10), "", ""
  )
)
"),"닭, 아스파라거스, 삶은 달걀, 슬라이스 체더치즈,, 방울토마토, 자몽청, 카카오 100% 초콜릿, 두유,, 청포도, 참외, 짜장라면, 두릅, 블랙올리브, 소금,, 마요네즈, 양파, 버터, 밀가루, 된장, 설탕, 식초, ,")</f>
        <v>닭, 아스파라거스, 삶은 달걀, 슬라이스 체더치즈,, 방울토마토, 자몽청, 카카오 100% 초콜릿, 두유,, 청포도, 참외, 짜장라면, 두릅, 블랙올리브, 소금,, 마요네즈, 양파, 버터, 밀가루, 된장, 설탕, 식초, ,</v>
      </c>
    </row>
    <row r="724">
      <c r="A724" s="2" t="str">
        <f>recipe!C724
</f>
        <v>술 당길 만두 하지</v>
      </c>
      <c r="B724" s="1" t="str">
        <f>IFERROR(__xludf.DUMMYFUNCTION("TRIM(
  SUBSTITUTE(
    REGEXEXTRACT(raw!A724, ""(?s)재료\s*(.*?)●\s*조리\s*방법""),
    CHAR(10), "", ""
  )
)
"),"두부, 새우, 우유, 삼겹살, 소고기안심,, 부추, 쌈장, 만두피, 데친 시금치, 굴소스,, 파르메산치즈가루, 모차렐라치즈, 양파, 대파,, 당근, 마늘, 맛술, 버터, 밀가루, 다진 마늘,, 쌈장, 후추, 소금, 간장, 식초, 연겨자, ,")</f>
        <v>두부, 새우, 우유, 삼겹살, 소고기안심,, 부추, 쌈장, 만두피, 데친 시금치, 굴소스,, 파르메산치즈가루, 모차렐라치즈, 양파, 대파,, 당근, 마늘, 맛술, 버터, 밀가루, 다진 마늘,, 쌈장, 후추, 소금, 간장, 식초, 연겨자, ,</v>
      </c>
    </row>
    <row r="725">
      <c r="A725" s="2" t="str">
        <f>recipe!C725
</f>
        <v>불금 가즈아!</v>
      </c>
      <c r="B725" s="1" t="str">
        <f>IFERROR(__xludf.DUMMYFUNCTION("TRIM(
  SUBSTITUTE(
    REGEXEXTRACT(raw!A725, ""(?s)재료\s*(.*?)●\s*조리\s*방법""),
    CHAR(10), "", ""
  )
)
"),"소갈빗살, 우유, 데친 시금치, 파르메산치즈가루,, 부추, 요거트드레싱, 양파, 마늘, 버터, 후추,, 밀가루, 소금, 청양고추, 레몬, 다진 마늘, ,")</f>
        <v>소갈빗살, 우유, 데친 시금치, 파르메산치즈가루,, 부추, 요거트드레싱, 양파, 마늘, 버터, 후추,, 밀가루, 소금, 청양고추, 레몬, 다진 마늘, ,</v>
      </c>
    </row>
    <row r="726">
      <c r="A726" s="2" t="str">
        <f>recipe!C726
</f>
        <v>냉쌈온쌈</v>
      </c>
      <c r="B726" s="1" t="str">
        <f>IFERROR(__xludf.DUMMYFUNCTION("TRIM(
  SUBSTITUTE(
    REGEXEXTRACT(raw!A726, ""(?s)재료\s*(.*?)●\s*조리\s*방법""),
    CHAR(10), "", ""
  )
)
"),"멸치액젓, 소고기안심, 골뱅이, 달래, 쌈채소,, 양파, 고춧가루, 간장, 설탕, 식초, 참기름,, 다진 마늘, 후추, 밀가루, 전분, 소금, 깨, ,")</f>
        <v>멸치액젓, 소고기안심, 골뱅이, 달래, 쌈채소,, 양파, 고춧가루, 간장, 설탕, 식초, 참기름,, 다진 마늘, 후추, 밀가루, 전분, 소금, 깨, ,</v>
      </c>
    </row>
    <row r="727">
      <c r="A727" s="2" t="str">
        <f>recipe!C727
</f>
        <v>오윤기 쌈밥</v>
      </c>
      <c r="B727" s="1" t="str">
        <f>IFERROR(__xludf.DUMMYFUNCTION("TRIM(
  SUBSTITUTE(
    REGEXEXTRACT(raw!A727, ""(?s)재료\s*(.*?)●\s*조리\s*방법""),
    CHAR(10), "", ""
  )
)
"),"인스턴트 사골곰탕, 두부, 부추, 맛타리버섯,, 오이, 소고기고추장볶음, 명란젓, 파르메산치즈가루,, 감자, 골뱅이, 춘장, 적겨자잎, 알배추잎, 소고기안심,, 육포, 꽈리고추, 즉석밥, 소금, 전분, 마요네즈,, 된장, 양파, 물엿, 깨, ,")</f>
        <v>인스턴트 사골곰탕, 두부, 부추, 맛타리버섯,, 오이, 소고기고추장볶음, 명란젓, 파르메산치즈가루,, 감자, 골뱅이, 춘장, 적겨자잎, 알배추잎, 소고기안심,, 육포, 꽈리고추, 즉석밥, 소금, 전분, 마요네즈,, 된장, 양파, 물엿, 깨, ,</v>
      </c>
    </row>
    <row r="728">
      <c r="A728" s="2" t="str">
        <f>recipe!C728
</f>
        <v>복칼로리 피자</v>
      </c>
      <c r="B728" s="1" t="str">
        <f>IFERROR(__xludf.DUMMYFUNCTION("TRIM(
  SUBSTITUTE(
    REGEXEXTRACT(raw!A728, ""(?s)재료\s*(.*?)●\s*조리\s*방법""),
    CHAR(10), "", ""
  )
)
"),"닭가슴살, 돼지목살, 인스턴트 양송이수프, 브리치즈,, 스트링치즈, 게맛살, 샐러드 채소, 딸기, 블루베리,, 메이플시럽, 아보카도, 올리브오일, 소금, 밀가루, 다진 마늘,, 대파, 양파, 설탕, 맛술, 간장, 후추, 버터, 케첩, 레몬, ,")</f>
        <v>닭가슴살, 돼지목살, 인스턴트 양송이수프, 브리치즈,, 스트링치즈, 게맛살, 샐러드 채소, 딸기, 블루베리,, 메이플시럽, 아보카도, 올리브오일, 소금, 밀가루, 다진 마늘,, 대파, 양파, 설탕, 맛술, 간장, 후추, 버터, 케첩, 레몬, ,</v>
      </c>
    </row>
    <row r="729">
      <c r="A729" s="2" t="str">
        <f>recipe!C729
</f>
        <v>도리아랑</v>
      </c>
      <c r="B729" s="1" t="str">
        <f>IFERROR(__xludf.DUMMYFUNCTION("TRIM(
  SUBSTITUTE(
    REGEXEXTRACT(raw!A729, ""(?s)재료\s*(.*?)●\s*조리\s*방법""),
    CHAR(10), "", ""
  )
)
"),"바나나우유, 돼지목살, 생초콜릿, 꿀, 인스턴트 양송이수프,, 우유, 게맛살, 딸기, 블루베리, 살구잼, 스트링치즈, 달걀,, 밀가루, 설탕, 즉석밥, 소금, 버터, 생초콜릿,, ,")</f>
        <v>바나나우유, 돼지목살, 생초콜릿, 꿀, 인스턴트 양송이수프,, 우유, 게맛살, 딸기, 블루베리, 살구잼, 스트링치즈, 달걀,, 밀가루, 설탕, 즉석밥, 소금, 버터, 생초콜릿,, ,</v>
      </c>
    </row>
    <row r="730">
      <c r="A730" s="2" t="str">
        <f>recipe!C730
</f>
        <v>전주행</v>
      </c>
      <c r="B730" s="1" t="str">
        <f>IFERROR(__xludf.DUMMYFUNCTION("TRIM(
  SUBSTITUTE(
    REGEXEXTRACT(raw!A730, ""(?s)재료\s*(.*?)●\s*조리\s*방법""),
    CHAR(10), "", ""
  )
)
"),"돼지목살, 연두부, 즉석밥, 설탕, 대파, 양파,, 홍고추, 고춧가루, 고추장, 간장, 후추, 참기름,, 다진 마늘, 맛술, 물엿, 된장, 설탕, 달걀, 케첩, ,")</f>
        <v>돼지목살, 연두부, 즉석밥, 설탕, 대파, 양파,, 홍고추, 고춧가루, 고추장, 간장, 후추, 참기름,, 다진 마늘, 맛술, 물엿, 된장, 설탕, 달걀, 케첩, ,</v>
      </c>
    </row>
    <row r="731">
      <c r="A731" s="2" t="str">
        <f>recipe!C731
</f>
        <v>집밥 정선생</v>
      </c>
      <c r="B731" s="1" t="str">
        <f>IFERROR(__xludf.DUMMYFUNCTION("TRIM(
  SUBSTITUTE(
    REGEXEXTRACT(raw!A731, ""(?s)재료\s*(.*?)●\s*조리\s*방법""),
    CHAR(10), "", ""
  )
)
"),"돼지목살, 즉석 황태국밥, 게맛살, 블루베리, 컵시리얼,, 샐러드 채소, 쌀, 고추장, 고춧가루, 간장, 물엿, 설탕,, 다진 마늘, 맛술, 양파, 대파, 소금, 마요네즈, 홍고추, 참기름, 깨, ,")</f>
        <v>돼지목살, 즉석 황태국밥, 게맛살, 블루베리, 컵시리얼,, 샐러드 채소, 쌀, 고추장, 고춧가루, 간장, 물엿, 설탕,, 다진 마늘, 맛술, 양파, 대파, 소금, 마요네즈, 홍고추, 참기름, 깨, ,</v>
      </c>
    </row>
    <row r="732">
      <c r="A732" s="2" t="str">
        <f>recipe!C732
</f>
        <v>이츠 대파타임</v>
      </c>
      <c r="B732" s="1" t="str">
        <f>IFERROR(__xludf.DUMMYFUNCTION("TRIM(
  SUBSTITUTE(
    REGEXEXTRACT(raw!A732, ""(?s)재료\s*(.*?)●\s*조리\s*방법""),
    CHAR(10), "", ""
  )
)
"),"소고기등심, 핫소스, 밀가루, 달걀, 청양고추,, 전분, 마늘, 양파, 대파, 소금, 후추, 고춧가루,, 간장, 맛술, 설탕, 올리브오일, 레몬, ,")</f>
        <v>소고기등심, 핫소스, 밀가루, 달걀, 청양고추,, 전분, 마늘, 양파, 대파, 소금, 후추, 고춧가루,, 간장, 맛술, 설탕, 올리브오일, 레몬, ,</v>
      </c>
    </row>
    <row r="733">
      <c r="A733" s="2" t="str">
        <f>recipe!C733
</f>
        <v>갓다니엘 정식</v>
      </c>
      <c r="B733" s="1" t="str">
        <f>IFERROR(__xludf.DUMMYFUNCTION("TRIM(
  SUBSTITUTE(
    REGEXEXTRACT(raw!A733, ""(?s)재료\s*(.*?)●\s*조리\s*방법""),
    CHAR(10), "", ""
  )
)
"),"김, 소고기등심, 우유, 슬라이스 모차렐라치즈, 육포,, 불닭컵라면, 짜장컵라면, 즉석밥, 소금, 통후추, 양파,, 청양고추, 라면, 버터, ,")</f>
        <v>김, 소고기등심, 우유, 슬라이스 모차렐라치즈, 육포,, 불닭컵라면, 짜장컵라면, 즉석밥, 소금, 통후추, 양파,, 청양고추, 라면, 버터, ,</v>
      </c>
    </row>
    <row r="734">
      <c r="A734" s="2" t="str">
        <f>recipe!C734
</f>
        <v>레옹 정식</v>
      </c>
      <c r="B734" s="1" t="str">
        <f>IFERROR(__xludf.DUMMYFUNCTION("TRIM(
  SUBSTITUTE(
    REGEXEXTRACT(raw!A734, ""(?s)재료\s*(.*?)●\s*조리\s*방법""),
    CHAR(10), "", ""
  )
)
"),"삼겹살, 소고기등심, 옥수수과자, 슬라이스 모차렐라치즈,, 족발, 상추, 즉석밥, 양파, 소금, 후추, 달걀, 깨, 식초,, 대파, 청양고추, 라면, ,")</f>
        <v>삼겹살, 소고기등심, 옥수수과자, 슬라이스 모차렐라치즈,, 족발, 상추, 즉석밥, 양파, 소금, 후추, 달걀, 깨, 식초,, 대파, 청양고추, 라면, ,</v>
      </c>
    </row>
    <row r="735">
      <c r="A735" s="2" t="str">
        <f>recipe!C735
</f>
        <v>카르옹나라</v>
      </c>
      <c r="B735" s="1" t="str">
        <f>IFERROR(__xludf.DUMMYFUNCTION("TRIM(
  SUBSTITUTE(
    REGEXEXTRACT(raw!A735, ""(?s)재료\s*(.*?)●\s*조리\s*방법""),
    CHAR(10), "", ""
  )
)
"),"삼겹살, 쌍화음료, 우유, 슬라이스 모차렐라치즈,, 컵라면, 전분, 밀가루, 소금, 간장, 맛술, 양파, 마늘,, 버터, 후추, 청양고추, ,")</f>
        <v>삼겹살, 쌍화음료, 우유, 슬라이스 모차렐라치즈,, 컵라면, 전분, 밀가루, 소금, 간장, 맛술, 양파, 마늘,, 버터, 후추, 청양고추, ,</v>
      </c>
    </row>
    <row r="736">
      <c r="A736" s="2" t="str">
        <f>recipe!C736
</f>
        <v>게 섞어라</v>
      </c>
      <c r="B736" s="1" t="str">
        <f>IFERROR(__xludf.DUMMYFUNCTION("TRIM(
  SUBSTITUTE(
    REGEXEXTRACT(raw!A736, ""(?s)재료\s*(.*?)●\s*조리\s*방법""),
    CHAR(10), "", ""
  )
)
"),"찐 꽃게, 총각김치, 통조림햄, 소고기안심, 삶은 옥수수,, 멸치볶음, 굴소스, 모차렐라치즈, 즉석밥, 버터, 밀가루, 설탕,, 고추장, 고춧가루, 굴소스, 대파, 후추, 달걀, ,")</f>
        <v>찐 꽃게, 총각김치, 통조림햄, 소고기안심, 삶은 옥수수,, 멸치볶음, 굴소스, 모차렐라치즈, 즉석밥, 버터, 밀가루, 설탕,, 고추장, 고춧가루, 굴소스, 대파, 후추, 달걀, ,</v>
      </c>
    </row>
    <row r="737">
      <c r="A737" s="2" t="str">
        <f>recipe!C737
</f>
        <v>꽃게를 든 남자</v>
      </c>
      <c r="B737" s="1" t="str">
        <f>IFERROR(__xludf.DUMMYFUNCTION("TRIM(
  SUBSTITUTE(
    REGEXEXTRACT(raw!A737, ""(?s)재료\s*(.*?)●\s*조리\s*방법""),
    CHAR(10), "", ""
  )
)
"),"삶은 옥수수, 찐 꽃게, 토마토소스, 칼국수라면, 약밤, 검은콩두유,, 통조림햄, 김치, 굴소스, 양파, 대파, 당근, 마늘, 된장, 달걀,, 소금, 후추, 올리브오일, 버터, 즉석밥, ,")</f>
        <v>삶은 옥수수, 찐 꽃게, 토마토소스, 칼국수라면, 약밤, 검은콩두유,, 통조림햄, 김치, 굴소스, 양파, 대파, 당근, 마늘, 된장, 달걀,, 소금, 후추, 올리브오일, 버터, 즉석밥, ,</v>
      </c>
    </row>
    <row r="738">
      <c r="A738" s="2" t="str">
        <f>recipe!C738
</f>
        <v>꽃게길만 걷자</v>
      </c>
      <c r="B738" s="1" t="str">
        <f>IFERROR(__xludf.DUMMYFUNCTION("TRIM(
  SUBSTITUTE(
    REGEXEXTRACT(raw!A738, ""(?s)재료\s*(.*?)●\s*조리\s*방법""),
    CHAR(10), "", ""
  )
)
"),"김치, 찐 꽃게, 소고기안심, 수제육포, 인스턴트 만두,, 닭갈비, 굴소스, 삶은 약밤, 쑥개떡, 대파, 고춧가루, 마늘,, 간장, 청주, 즉석밥, 참기름, 다진 마늘, 맛술, 레몬, ,")</f>
        <v>김치, 찐 꽃게, 소고기안심, 수제육포, 인스턴트 만두,, 닭갈비, 굴소스, 삶은 약밤, 쑥개떡, 대파, 고춧가루, 마늘,, 간장, 청주, 즉석밥, 참기름, 다진 마늘, 맛술, 레몬, ,</v>
      </c>
    </row>
    <row r="739">
      <c r="A739" s="2" t="str">
        <f>recipe!C739
</f>
        <v>구구닭</v>
      </c>
      <c r="B739" s="1" t="str">
        <f>IFERROR(__xludf.DUMMYFUNCTION("TRIM(
  SUBSTITUTE(
    REGEXEXTRACT(raw!A739, ""(?s)재료\s*(.*?)●\s*조리\s*방법""),
    CHAR(10), "", ""
  )
)
"),"인스턴트 만두, 닭갈비, 쑥개떡, 수제육포, 부추겉절이,, 칼국수라면, 마늘, 청주, 대파, 양파, 청양고추, 홍고추,, 밀가루, 튀김가루, 설탕, 간장, 식초, 고춧가루, 다진 마늘, ,")</f>
        <v>인스턴트 만두, 닭갈비, 쑥개떡, 수제육포, 부추겉절이,, 칼국수라면, 마늘, 청주, 대파, 양파, 청양고추, 홍고추,, 밀가루, 튀김가루, 설탕, 간장, 식초, 고춧가루, 다진 마늘, ,</v>
      </c>
    </row>
    <row r="740">
      <c r="A740" s="2" t="str">
        <f>recipe!C740
</f>
        <v>최용수테이크</v>
      </c>
      <c r="B740" s="1" t="str">
        <f>IFERROR(__xludf.DUMMYFUNCTION("TRIM(
  SUBSTITUTE(
    REGEXEXTRACT(raw!A740, ""(?s)재료\s*(.*?)●\s*조리\s*방법""),
    CHAR(10), "", ""
  )
)
"),"도미, 송이토마토, 수제된장, 수제고추장, 토마토소스, 감자,, 아스파라거스, 칼국수면, 스트링치즈, 양파, 마늘, 청양고추,, 소금, 전분, 후추, 레몬, 버터, 밀가루, 올리브오일, 설탕, 대파, ,")</f>
        <v>도미, 송이토마토, 수제된장, 수제고추장, 토마토소스, 감자,, 아스파라거스, 칼국수면, 스트링치즈, 양파, 마늘, 청양고추,, 소금, 전분, 후추, 레몬, 버터, 밀가루, 올리브오일, 설탕, 대파, ,</v>
      </c>
    </row>
    <row r="741">
      <c r="A741" s="2" t="str">
        <f>recipe!C741
</f>
        <v>테린우스</v>
      </c>
      <c r="B741" s="1" t="str">
        <f>IFERROR(__xludf.DUMMYFUNCTION("TRIM(
  SUBSTITUTE(
    REGEXEXTRACT(raw!A741, ""(?s)재료\s*(.*?)●\s*조리\s*방법""),
    CHAR(10), "", ""
  )
)
"),"자반고등어, 전복, 아스파라거스, 카망베르치즈, 크림치즈,, 트러플페스토, 말린 채소칩, 명이나물, 파프리카, 무, 트러플오일, 올리브오일,, 식초, 버터, 소금, 레몬, 마늘, 양파, 간장, 맛술, 설탕, 대파, 달걀, ,")</f>
        <v>자반고등어, 전복, 아스파라거스, 카망베르치즈, 크림치즈,, 트러플페스토, 말린 채소칩, 명이나물, 파프리카, 무, 트러플오일, 올리브오일,, 식초, 버터, 소금, 레몬, 마늘, 양파, 간장, 맛술, 설탕, 대파, 달걀, ,</v>
      </c>
    </row>
    <row r="742">
      <c r="A742" s="2" t="str">
        <f>recipe!C742
</f>
        <v>독수리 세트</v>
      </c>
      <c r="B742" s="1" t="str">
        <f>IFERROR(__xludf.DUMMYFUNCTION("TRIM(
  SUBSTITUTE(
    REGEXEXTRACT(raw!A742, ""(?s)재료\s*(.*?)●\s*조리\s*방법""),
    CHAR(10), "", ""
  )
)
"),"삼겹살, 낙지, 굴소스, 깻잎, 소고기, 콩나물, 전복, 쪽파,, 칼국수면, 마늘, 대파, 양파, 홍고추, 청양고추, 다진 마늘,, 간장, 고춧가루, 설탕, 맛술, 고추장, 즉석밥, 달걀, ,")</f>
        <v>삼겹살, 낙지, 굴소스, 깻잎, 소고기, 콩나물, 전복, 쪽파,, 칼국수면, 마늘, 대파, 양파, 홍고추, 청양고추, 다진 마늘,, 간장, 고춧가루, 설탕, 맛술, 고추장, 즉석밥, 달걀, ,</v>
      </c>
    </row>
    <row r="743">
      <c r="A743" s="2" t="str">
        <f>recipe!C743
</f>
        <v>오복쟁반</v>
      </c>
      <c r="B743" s="1" t="str">
        <f>IFERROR(__xludf.DUMMYFUNCTION("TRIM(
  SUBSTITUTE(
    REGEXEXTRACT(raw!A743, ""(?s)재료\s*(.*?)●\s*조리\s*방법""),
    CHAR(10), "", ""
  )
)
"),"삼겹살, 인스턴트 들깨삼계탕, 전복, 쪽파, 절인 복분자, 표고버섯,, 양파즙, 굴소스, 소고기, 낙지, 깻잎, 우동면, 달걀, 양파, 청주,, 고추장, 간장, 홍고추, 대파, 고춧가루, 청양고추, ,")</f>
        <v>삼겹살, 인스턴트 들깨삼계탕, 전복, 쪽파, 절인 복분자, 표고버섯,, 양파즙, 굴소스, 소고기, 낙지, 깻잎, 우동면, 달걀, 양파, 청주,, 고추장, 간장, 홍고추, 대파, 고춧가루, 청양고추, ,</v>
      </c>
    </row>
    <row r="744">
      <c r="A744" s="2" t="str">
        <f>recipe!C744
</f>
        <v>불닭 카리스마</v>
      </c>
      <c r="B744" s="1" t="str">
        <f>IFERROR(__xludf.DUMMYFUNCTION("TRIM(
  SUBSTITUTE(
    REGEXEXTRACT(raw!A744, ""(?s)재료\s*(.*?)●\s*조리\s*방법""),
    CHAR(10), "", ""
  )
)
"),"닭, 우유, 컵우동, 양배추, 삶은 메추리알, 아스파라거스,, 연두부, 차돌박이, 쪽파, 고춧가루, 대파, 밀가루, 전분,, 소금, 달걀, 양파, 고추장, 설탕, 간장, 물엿, 식초, ,")</f>
        <v>닭, 우유, 컵우동, 양배추, 삶은 메추리알, 아스파라거스,, 연두부, 차돌박이, 쪽파, 고춧가루, 대파, 밀가루, 전분,, 소금, 달걀, 양파, 고추장, 설탕, 간장, 물엿, 식초, ,</v>
      </c>
    </row>
    <row r="745">
      <c r="A745" s="2" t="str">
        <f>recipe!C745
</f>
        <v>오~ 야식 코리아♬</v>
      </c>
      <c r="B745" s="1" t="str">
        <f>IFERROR(__xludf.DUMMYFUNCTION("TRIM(
  SUBSTITUTE(
    REGEXEXTRACT(raw!A745, ""(?s)재료\s*(.*?)●\s*조리\s*방법""),
    CHAR(10), "", ""
  )
)
"),"컵우동, 청양고추, 소고기등심, 양념돼지목살, 방울토마토,, 양배추, 진미채, 샐러드채소, 밀가루, 후추, 전분, 양파, 마늘,, 고춧가루, 케첩, 간장, 물엿, 설탕, 고추장, 튀김가루, 달걀, ,")</f>
        <v>컵우동, 청양고추, 소고기등심, 양념돼지목살, 방울토마토,, 양배추, 진미채, 샐러드채소, 밀가루, 후추, 전분, 양파, 마늘,, 고춧가루, 케첩, 간장, 물엿, 설탕, 고추장, 튀김가루, 달걀, ,</v>
      </c>
    </row>
    <row r="746">
      <c r="A746" s="2" t="str">
        <f>recipe!C746
</f>
        <v>입에 불나게</v>
      </c>
      <c r="B746" s="1" t="str">
        <f>IFERROR(__xludf.DUMMYFUNCTION("TRIM(
  SUBSTITUTE(
    REGEXEXTRACT(raw!A746, ""(?s)재료\s*(.*?)●\s*조리\s*방법""),
    CHAR(10), "", ""
  )
)
"),"청양고추, 셀러리, 컵우동, 느타리버섯,, 게맛살, 방울토마토, 쪽파, 홍고추, 마늘,, 설탕, 소금, 전분, 즉석밥, ,")</f>
        <v>청양고추, 셀러리, 컵우동, 느타리버섯,, 게맛살, 방울토마토, 쪽파, 홍고추, 마늘,, 설탕, 소금, 전분, 즉석밥, ,</v>
      </c>
    </row>
    <row r="747">
      <c r="A747" s="2" t="str">
        <f>recipe!C747
</f>
        <v>청양냉면</v>
      </c>
      <c r="B747" s="1" t="str">
        <f>IFERROR(__xludf.DUMMYFUNCTION("TRIM(
  SUBSTITUTE(
    REGEXEXTRACT(raw!A747, ""(?s)재료\s*(.*?)●\s*조리\s*방법""),
    CHAR(10), "", ""
  )
)
"),"소고기안심, 청양고추, 인스턴트 떡갈비,, 부추, 오이, 양배추, 총각김치, 열무김치,, 사과, 달걀, 소금, 밀가루, 식초, 설탕, ,")</f>
        <v>소고기안심, 청양고추, 인스턴트 떡갈비,, 부추, 오이, 양배추, 총각김치, 열무김치,, 사과, 달걀, 소금, 밀가루, 식초, 설탕, ,</v>
      </c>
    </row>
    <row r="748">
      <c r="A748" s="2" t="str">
        <f>recipe!C748
</f>
        <v>대박나새우</v>
      </c>
      <c r="B748" s="1" t="str">
        <f>IFERROR(__xludf.DUMMYFUNCTION("TRIM(
  SUBSTITUTE(
    REGEXEXTRACT(raw!A748, ""(?s)재료\s*(.*?)●\s*조리\s*방법""),
    CHAR(10), "", ""
  )
)
"),"알배추, 양송이버섯, 팽이버섯, 다진 소고기,, 듀록 삼겹살, 쯔유, 인스턴트 가츠오육수, 새우살, 게맛살,, 식용 색소, 어란, 떡볶이 떡, 칠리소스, 다진 생강, 청주,, 전분, 버터, 달걀, 청양고추, 홍고추, 케첩, 레몬, 설탕, ,")</f>
        <v>알배추, 양송이버섯, 팽이버섯, 다진 소고기,, 듀록 삼겹살, 쯔유, 인스턴트 가츠오육수, 새우살, 게맛살,, 식용 색소, 어란, 떡볶이 떡, 칠리소스, 다진 생강, 청주,, 전분, 버터, 달걀, 청양고추, 홍고추, 케첩, 레몬, 설탕, ,</v>
      </c>
    </row>
    <row r="749">
      <c r="A749" s="2" t="str">
        <f>recipe!C749
</f>
        <v>우리집에 와규~</v>
      </c>
      <c r="B749" s="1" t="str">
        <f>IFERROR(__xludf.DUMMYFUNCTION("TRIM(
  SUBSTITUTE(
    REGEXEXTRACT(raw!A749, ""(?s)재료\s*(.*?)●\s*조리\s*방법""),
    CHAR(10), "", ""
  )
)
"),"생강, 와규등심, 감귤, 다진마늘, 팽이버섯,, 파프리카, 시금치, 대파, 후추, 소금, 간장,, 식초, 청주, 맛술, 올리브오일, 참기름, ,")</f>
        <v>생강, 와규등심, 감귤, 다진마늘, 팽이버섯,, 파프리카, 시금치, 대파, 후추, 소금, 간장,, 식초, 청주, 맛술, 올리브오일, 참기름, ,</v>
      </c>
    </row>
    <row r="750">
      <c r="A750" s="2" t="str">
        <f>recipe!C750
</f>
        <v>최고양</v>
      </c>
      <c r="B750" s="1" t="str">
        <f>IFERROR(__xludf.DUMMYFUNCTION("TRIM(
  SUBSTITUTE(
    REGEXEXTRACT(raw!A750, ""(?s)재료\s*(.*?)●\s*조리\s*방법""),
    CHAR(10), "", ""
  )
)
"),"양갈비, 레몬그라스, 커민, 파프리카가루, 고수가루,, 딸기, 녹차 아이스크림, 민트젤리, 새우젓, 케이퍼, 올리브,, 마늘, 올리브오일, 레몬, 청양고추, 양파, 대파, 소금, ,")</f>
        <v>양갈비, 레몬그라스, 커민, 파프리카가루, 고수가루,, 딸기, 녹차 아이스크림, 민트젤리, 새우젓, 케이퍼, 올리브,, 마늘, 올리브오일, 레몬, 청양고추, 양파, 대파, 소금, ,</v>
      </c>
    </row>
    <row r="751">
      <c r="A751" s="2" t="str">
        <f>recipe!C751
</f>
        <v>오케이 마초샌드</v>
      </c>
      <c r="B751" s="1" t="str">
        <f>IFERROR(__xludf.DUMMYFUNCTION("TRIM(
  SUBSTITUTE(
    REGEXEXTRACT(raw!A751, ""(?s)재료\s*(.*?)●\s*조리\s*방법""),
    CHAR(10), "", ""
  )
)
"),"페페론치노, 듀록 삼겹살, 쯔유, 커민, 파프리카가루,, 오렌지주스, 케이퍼, 코코아가루, 에멘탈치즈, 대파,, 고춧가루, 라면, 맛술, 후추, 전분, 양파, 버터, 레몬, 설탕, 마요네즈, ,")</f>
        <v>페페론치노, 듀록 삼겹살, 쯔유, 커민, 파프리카가루,, 오렌지주스, 케이퍼, 코코아가루, 에멘탈치즈, 대파,, 고춧가루, 라면, 맛술, 후추, 전분, 양파, 버터, 레몬, 설탕, 마요네즈, ,</v>
      </c>
    </row>
    <row r="752">
      <c r="A752" s="2" t="str">
        <f>recipe!C752
</f>
        <v>타코 판타지아♬</v>
      </c>
      <c r="B752" s="1" t="str">
        <f>IFERROR(__xludf.DUMMYFUNCTION("TRIM(
  SUBSTITUTE(
    REGEXEXTRACT(raw!A752, ""(?s)재료\s*(.*?)●\s*조리\s*방법""),
    CHAR(10), "", ""
  )
)
"),"할라페뇨라임원액, 고수, 커민, 라임, 사워크림, 렐리시,, 케이퍼, 토마토, 아보카도, 파프리카가루, 틸라피아, 블랙올리브,, 샬롯, 토르티야, 루콜라, 양상추, 설탕, 고춧가루, 다진 마늘,, 간장, 대파, 양파, 청양고추, 소금, 레몬, 올리브오일, 밀가루, 달걀, 후추, ,")</f>
        <v>할라페뇨라임원액, 고수, 커민, 라임, 사워크림, 렐리시,, 케이퍼, 토마토, 아보카도, 파프리카가루, 틸라피아, 블랙올리브,, 샬롯, 토르티야, 루콜라, 양상추, 설탕, 고춧가루, 다진 마늘,, 간장, 대파, 양파, 청양고추, 소금, 레몬, 올리브오일, 밀가루, 달걀, 후추, ,</v>
      </c>
    </row>
    <row r="753">
      <c r="A753" s="2" t="str">
        <f>recipe!C753
</f>
        <v>살몬 판타지아♬</v>
      </c>
      <c r="B753" s="1" t="str">
        <f>IFERROR(__xludf.DUMMYFUNCTION("TRIM(
  SUBSTITUTE(
    REGEXEXTRACT(raw!A753, ""(?s)재료\s*(.*?)●\s*조리\s*방법""),
    CHAR(10), "", ""
  )
)
"),"연어, 오미자원액, 너트메그홀, 사프란, 월계수잎,, 샬롯, 오레가노홀, 냉동 콜리플라워, 냉동 아스파라거스,, 냉동 그린빈, 냉동 브로콜리, 래디시, 애플민트, 아보카도,, 케이퍼, 크림치즈, 엔다이브, 사워크림, 소금, 라임, 후추,, 화이트와인, 사프란, 당근, 버터, 마늘, ,")</f>
        <v>연어, 오미자원액, 너트메그홀, 사프란, 월계수잎,, 샬롯, 오레가노홀, 냉동 콜리플라워, 냉동 아스파라거스,, 냉동 그린빈, 냉동 브로콜리, 래디시, 애플민트, 아보카도,, 케이퍼, 크림치즈, 엔다이브, 사워크림, 소금, 라임, 후추,, 화이트와인, 사프란, 당근, 버터, 마늘, ,</v>
      </c>
    </row>
    <row r="754">
      <c r="A754" s="2" t="str">
        <f>recipe!C754
</f>
        <v>캡틴 아메리카</v>
      </c>
      <c r="B754" s="1" t="str">
        <f>IFERROR(__xludf.DUMMYFUNCTION("TRIM(
  SUBSTITUTE(
    REGEXEXTRACT(raw!A754, ""(?s)재료\s*(.*?)●\s*조리\s*방법""),
    CHAR(10), "", ""
  )
)
"),"닭고기, 셀러리, 우유, 월계수잎, 오레가노홀, 파슬리,, 스파게티면, 베이킹파우더, 라임, 옥수수전분, 냉동 애플망고,, 링곤베리잼, 애플민트, 양파, 당근, 맛술, 밀가루, 소금,, 설탕, 버터, 달걀, 청양고추, ,")</f>
        <v>닭고기, 셀러리, 우유, 월계수잎, 오레가노홀, 파슬리,, 스파게티면, 베이킹파우더, 라임, 옥수수전분, 냉동 애플망고,, 링곤베리잼, 애플민트, 양파, 당근, 맛술, 밀가루, 소금,, 설탕, 버터, 달걀, 청양고추, ,</v>
      </c>
    </row>
    <row r="755">
      <c r="A755" s="2" t="str">
        <f>recipe!C755
</f>
        <v>부산행</v>
      </c>
      <c r="B755" s="1" t="str">
        <f>IFERROR(__xludf.DUMMYFUNCTION("TRIM(
  SUBSTITUTE(
    REGEXEXTRACT(raw!A755, ""(?s)재료\s*(.*?)●\s*조리\s*방법""),
    CHAR(10), "", ""
  )
)
"),"조기, 백합, 건고사리, 다시마, 무, 건표고버섯,, 아프리카고추양념장, 멸치액젓, 고수, 셀러리, 산초가루,, 간장, 건새우, 고춧가루, 아사이베리가루, 양파, 맛술, 소금,, 고추장, 다진 마늘, 밀가루, 달걀, 간장, 식초, 물엿, 즉석밥, 레몬, ,")</f>
        <v>조기, 백합, 건고사리, 다시마, 무, 건표고버섯,, 아프리카고추양념장, 멸치액젓, 고수, 셀러리, 산초가루,, 간장, 건새우, 고춧가루, 아사이베리가루, 양파, 맛술, 소금,, 고추장, 다진 마늘, 밀가루, 달걀, 간장, 식초, 물엿, 즉석밥, 레몬, ,</v>
      </c>
    </row>
    <row r="756">
      <c r="A756" s="2" t="str">
        <f>recipe!C756
</f>
        <v>풍식 두비두밥♬</v>
      </c>
      <c r="B756" s="1" t="str">
        <f>IFERROR(__xludf.DUMMYFUNCTION("TRIM(
  SUBSTITUTE(
    REGEXEXTRACT(raw!A756, ""(?s)재료\s*(.*?)●\s*조리\s*방법""),
    CHAR(10), "", ""
  )
)
"),"해물육수팩, 돼지목살, 굴소스, 두부, 건새우,, 오이, 홍고추, 청양고추, 마늘, 대파, 가장, 설탕,, 고춧가루, 식초, 소금, 후추, 즉석밥, ,")</f>
        <v>해물육수팩, 돼지목살, 굴소스, 두부, 건새우,, 오이, 홍고추, 청양고추, 마늘, 대파, 가장, 설탕,, 고춧가루, 식초, 소금, 후추, 즉석밥, ,</v>
      </c>
    </row>
    <row r="757">
      <c r="A757" s="2" t="str">
        <f>recipe!C757
</f>
        <v>한현민 Go! 현민 Go!</v>
      </c>
      <c r="B757" s="1" t="str">
        <f>IFERROR(__xludf.DUMMYFUNCTION("TRIM(
  SUBSTITUTE(
    REGEXEXTRACT(raw!A757, ""(?s)재료\s*(.*?)●\s*조리\s*방법""),
    CHAR(10), "", ""
  )
)
"),"고사리무침, 돼지 뒷다리살, 조미료, 만두,, 고등어, 애호박, 굴소스, 대파, 고춧가루,, 청주, 양파, 즉석밥, 청양고추, 간장, 달걀, 전분, ,")</f>
        <v>고사리무침, 돼지 뒷다리살, 조미료, 만두,, 고등어, 애호박, 굴소스, 대파, 고춧가루,, 청주, 양파, 즉석밥, 청양고추, 간장, 달걀, 전분, ,</v>
      </c>
    </row>
    <row r="758">
      <c r="A758" s="2" t="str">
        <f>recipe!C758
</f>
        <v>한국인의 밥상</v>
      </c>
      <c r="B758" s="1" t="str">
        <f>IFERROR(__xludf.DUMMYFUNCTION("TRIM(
  SUBSTITUTE(
    REGEXEXTRACT(raw!A758, ""(?s)재료\s*(.*?)●\s*조리\s*방법""),
    CHAR(10), "", ""
  )
)
"),"김치, 양파즙, 해물육수팩, 고추장아찌, 조미료,, 돼지목살, 닭가슴살, 훈제오리, 인스턴트 동그랑땡,, 낙지젓, 어묵, 라이스페이퍼, 설탕, 식초, 즉석밥,, 간장, 청양고추, 대파, 마늘, 고춧가루, 다진 마늘, 홍고추, ,")</f>
        <v>김치, 양파즙, 해물육수팩, 고추장아찌, 조미료,, 돼지목살, 닭가슴살, 훈제오리, 인스턴트 동그랑땡,, 낙지젓, 어묵, 라이스페이퍼, 설탕, 식초, 즉석밥,, 간장, 청양고추, 대파, 마늘, 고춧가루, 다진 마늘, 홍고추, ,</v>
      </c>
    </row>
    <row r="759">
      <c r="A759" s="2" t="str">
        <f>recipe!C759
</f>
        <v>아재볼</v>
      </c>
      <c r="B759" s="1" t="str">
        <f>IFERROR(__xludf.DUMMYFUNCTION("TRIM(
  SUBSTITUTE(
    REGEXEXTRACT(raw!A759, ""(?s)재료\s*(.*?)●\s*조리\s*방법""),
    CHAR(10), "", ""
  )
)
"),"느타리버섯, 양송이수프 분말, 다진 돼지고기,, 다진 소고기, 양파즙, 애호박, 토마토소스, 고추장아찌,, 튀김가루, 양파, 달걀, 청양고추, 후추, 소금, 고춧가루, 고추장, ,")</f>
        <v>느타리버섯, 양송이수프 분말, 다진 돼지고기,, 다진 소고기, 양파즙, 애호박, 토마토소스, 고추장아찌,, 튀김가루, 양파, 달걀, 청양고추, 후추, 소금, 고춧가루, 고추장, ,</v>
      </c>
    </row>
    <row r="760">
      <c r="A760" s="2" t="str">
        <f>recipe!C760
</f>
        <v>원 펀치 쓰리 코스</v>
      </c>
      <c r="B760" s="1" t="str">
        <f>IFERROR(__xludf.DUMMYFUNCTION("TRIM(
  SUBSTITUTE(
    REGEXEXTRACT(raw!A760, ""(?s)재료\s*(.*?)●\s*조리\s*방법""),
    CHAR(10), "", ""
  )
)
"),"가지, 토마토소스, 오레가노, 생모차렐라치즈,, 파르메산치즈, 방울토마토, 칵테일새우, 바질페스토,, 소고기채끝, 아보카도, 블랙트러플, 프로슈토, 트러플 오일,, 밀가루, 당근, 양파, 소금, 마늘, 식초, 설탕, 전분, 즉석밥, 후추, 대파, ,")</f>
        <v>가지, 토마토소스, 오레가노, 생모차렐라치즈,, 파르메산치즈, 방울토마토, 칵테일새우, 바질페스토,, 소고기채끝, 아보카도, 블랙트러플, 프로슈토, 트러플 오일,, 밀가루, 당근, 양파, 소금, 마늘, 식초, 설탕, 전분, 즉석밥, 후추, 대파, ,</v>
      </c>
    </row>
    <row r="761">
      <c r="A761" s="2" t="str">
        <f>recipe!C761
</f>
        <v>아임 파인다이닝, 앤드 유?</v>
      </c>
      <c r="B761" s="1" t="str">
        <f>IFERROR(__xludf.DUMMYFUNCTION("TRIM(
  SUBSTITUTE(
    REGEXEXTRACT(raw!A761, ""(?s)재료\s*(.*?)●\s*조리\s*방법""),
    CHAR(10), "", ""
  )
)
"),"바질페스토, 피스타치오페스토, 코코넛워터, 소고기등심,, 블루베리잼, 아보카도, 방울토마토, 스리라차소스, 커민,, 코리앤더, 통밀식빵, 블랙트러플, 셀러리, 달걀, 레몬, 소금,, 버터, 당근, 즉석밥, 양파, 레드와인, 맛술, 연겨자, 후추, ,")</f>
        <v>바질페스토, 피스타치오페스토, 코코넛워터, 소고기등심,, 블루베리잼, 아보카도, 방울토마토, 스리라차소스, 커민,, 코리앤더, 통밀식빵, 블랙트러플, 셀러리, 달걀, 레몬, 소금,, 버터, 당근, 즉석밥, 양파, 레드와인, 맛술, 연겨자, 후추, ,</v>
      </c>
    </row>
    <row r="762">
      <c r="A762" s="2" t="str">
        <f>recipe!C762
</f>
        <v>으라차차찜</v>
      </c>
      <c r="B762" s="1" t="str">
        <f>IFERROR(__xludf.DUMMYFUNCTION("TRIM(
  SUBSTITUTE(
    REGEXEXTRACT(raw!A762, ""(?s)재료\s*(.*?)●\s*조리\s*방법""),
    CHAR(10), "", ""
  )
)
"),"소고기등심, 스리라차소스, 굴소스, 방울토마토,, 가지, 대파, 고춧가루, 마늘, 양파, 간장, 설탕,, 화이트와인, 청양고추, 밀가루, 전분, 달걀, ,")</f>
        <v>소고기등심, 스리라차소스, 굴소스, 방울토마토,, 가지, 대파, 고춧가루, 마늘, 양파, 간장, 설탕,, 화이트와인, 청양고추, 밀가루, 전분, 달걀, ,</v>
      </c>
    </row>
    <row r="763">
      <c r="A763" s="2" t="str">
        <f>recipe!C763
</f>
        <v>맛있스리라~</v>
      </c>
      <c r="B763" s="1" t="str">
        <f>IFERROR(__xludf.DUMMYFUNCTION("TRIM(
  SUBSTITUTE(
    REGEXEXTRACT(raw!A763, ""(?s)재료\s*(.*?)●\s*조리\s*방법""),
    CHAR(10), "", ""
  )
)
"),"소고기채끝, 갈릭솔트, 머스터드파우더, 칵테일새우, 우유,, 스리라차소스, 살라미, 양송이버섯, 어니언파우더, 방울토마토,, 오렌지, 유자음료, 진, 밀가루, 달걀, 양파, 버터, 후추, 소금, 설탕, 레몬, 대파, ,")</f>
        <v>소고기채끝, 갈릭솔트, 머스터드파우더, 칵테일새우, 우유,, 스리라차소스, 살라미, 양송이버섯, 어니언파우더, 방울토마토,, 오렌지, 유자음료, 진, 밀가루, 달걀, 양파, 버터, 후추, 소금, 설탕, 레몬, 대파, ,</v>
      </c>
    </row>
    <row r="764">
      <c r="A764" s="2" t="str">
        <f>recipe!C764
</f>
        <v>요~으리의 고수</v>
      </c>
      <c r="B764" s="1" t="str">
        <f>IFERROR(__xludf.DUMMYFUNCTION("TRIM(
  SUBSTITUTE(
    REGEXEXTRACT(raw!A764, ""(?s)재료\s*(.*?)●\s*조리\s*방법""),
    CHAR(10), "", ""
  )
)
"),"곤약면, 파스타면, 태국고추, 홍새우, 새우, 다진 돼지고기,, 굴소스, 피시소스, 차돌박이, 오이냉국, 단무지, 인스턴트 냉면육수,, 고수, 숙주, 팟타이소스, 대파, 홍고추, 소금, 고춧가루, 후추, 설탕,, 간장, 식초, 참기름, 양파, 깨, 레몬, ,")</f>
        <v>곤약면, 파스타면, 태국고추, 홍새우, 새우, 다진 돼지고기,, 굴소스, 피시소스, 차돌박이, 오이냉국, 단무지, 인스턴트 냉면육수,, 고수, 숙주, 팟타이소스, 대파, 홍고추, 소금, 고춧가루, 후추, 설탕,, 간장, 식초, 참기름, 양파, 깨, 레몬, ,</v>
      </c>
    </row>
    <row r="765">
      <c r="A765" s="2" t="str">
        <f>recipe!C765
</f>
        <v>으리으리한 항아~으리!</v>
      </c>
      <c r="B765" s="1" t="str">
        <f>IFERROR(__xludf.DUMMYFUNCTION("TRIM(
  SUBSTITUTE(
    REGEXEXTRACT(raw!A765, ""(?s)재료\s*(.*?)●\s*조리\s*방법""),
    CHAR(10), "", ""
  )
)
"),"소갈비, 전복, 대추청, 양지육수, 누룽지, 쌍화탕,, 소고기장조림, 청양고춧가루, 알배추, 소면, 저염명란젓,, 뱅어포, 매운 냉면소스, 인스턴트 냉면육수, 쪽파, 달걀노른자장,, 깻잎, 전분, 설탕, 다진 마늘, 청양고추, 밀가루, 소금, 달걀, ,")</f>
        <v>소갈비, 전복, 대추청, 양지육수, 누룽지, 쌍화탕,, 소고기장조림, 청양고춧가루, 알배추, 소면, 저염명란젓,, 뱅어포, 매운 냉면소스, 인스턴트 냉면육수, 쪽파, 달걀노른자장,, 깻잎, 전분, 설탕, 다진 마늘, 청양고추, 밀가루, 소금, 달걀, ,</v>
      </c>
    </row>
    <row r="766">
      <c r="A766" s="2" t="str">
        <f>recipe!C766
</f>
        <v>사나이 가는 길에 기죽지 마라♬</v>
      </c>
      <c r="B766" s="1" t="str">
        <f>IFERROR(__xludf.DUMMYFUNCTION("TRIM(
  SUBSTITUTE(
    REGEXEXTRACT(raw!A766, ""(?s)재료\s*(.*?)●\s*조리\s*방법""),
    CHAR(10), "", ""
  )
)
"),"태국고추, 청양고춧가루, 중국고춧가루, 쯔유, 멸치,, 삼겹살, 토마토, 쌍화탕, 월계수잎, 굴소스, 알배추,, 양송이버섯, 감자, 쌀국수면, 청경채, 고수, 버터, 마늘,, 청양고추, 대파, 다진 생강, 된장, 통후추, 즉석밥, 식초, ,")</f>
        <v>태국고추, 청양고춧가루, 중국고춧가루, 쯔유, 멸치,, 삼겹살, 토마토, 쌍화탕, 월계수잎, 굴소스, 알배추,, 양송이버섯, 감자, 쌀국수면, 청경채, 고수, 버터, 마늘,, 청양고추, 대파, 다진 생강, 된장, 통후추, 즉석밥, 식초, ,</v>
      </c>
    </row>
    <row r="767">
      <c r="A767" s="2" t="str">
        <f>recipe!C767
</f>
        <v>불짬뽕 드새우</v>
      </c>
      <c r="B767" s="1" t="str">
        <f>IFERROR(__xludf.DUMMYFUNCTION("TRIM(
  SUBSTITUTE(
    REGEXEXTRACT(raw!A767, ""(?s)재료\s*(.*?)●\s*조리\s*방법""),
    CHAR(10), "", ""
  )
)
"),"전복, 태국고추, 청양고춧가루, 차돌박이, 고추기름, 알배추,, 청경채, 홍새우, 숙주, 조갯살, 굴소스, 칼국수면, 새우,, 양지육수, 목이버섯, 쪽파, 매운 냉면소스, 양상추, 홍고추,, 청양고추 ,양파, 대파, 간장, 다진 마늘, 후추, 소금, 맛술, 케첩, 설탕, ,")</f>
        <v>전복, 태국고추, 청양고춧가루, 차돌박이, 고추기름, 알배추,, 청경채, 홍새우, 숙주, 조갯살, 굴소스, 칼국수면, 새우,, 양지육수, 목이버섯, 쪽파, 매운 냉면소스, 양상추, 홍고추,, 청양고추 ,양파, 대파, 간장, 다진 마늘, 후추, 소금, 맛술, 케첩, 설탕, ,</v>
      </c>
    </row>
    <row r="768">
      <c r="A768" s="2" t="str">
        <f>recipe!C768
</f>
        <v>원조 테리우스테이크</v>
      </c>
      <c r="B768" s="1" t="str">
        <f>IFERROR(__xludf.DUMMYFUNCTION("TRIM(
  SUBSTITUTE(
    REGEXEXTRACT(raw!A768, ""(?s)재료\s*(.*?)●\s*조리\s*방법""),
    CHAR(10), "", ""
  )
)
"),"표고버섯, 베이컨, 소고기등심, 빵, 홀그레인머스터드,, 우스터소스, 카옌페퍼, 액상치킨스톡, 토마토소스,, 마스카포네치즈, 나라즈케, 이탈리안파슬리, 선드라이드토마토,, 양파, 청양고추, 달걀, 밀가루, 후추, 올리브오일, ,")</f>
        <v>표고버섯, 베이컨, 소고기등심, 빵, 홀그레인머스터드,, 우스터소스, 카옌페퍼, 액상치킨스톡, 토마토소스,, 마스카포네치즈, 나라즈케, 이탈리안파슬리, 선드라이드토마토,, 양파, 청양고추, 달걀, 밀가루, 후추, 올리브오일, ,</v>
      </c>
    </row>
    <row r="769">
      <c r="A769" s="2" t="str">
        <f>recipe!C769
</f>
        <v>다이어트는 잊그라</v>
      </c>
      <c r="B769" s="1" t="str">
        <f>IFERROR(__xludf.DUMMYFUNCTION("TRIM(
  SUBSTITUTE(
    REGEXEXTRACT(raw!A769, ""(?s)재료\s*(.*?)●\s*조리\s*방법""),
    CHAR(10), "", ""
  )
)
"),"소고기등심, 베이컨, 양배추, 페타치즈, 크림치즈, 우유,, 브로콜리, 선드라이드토마토, 모차렐라치즈, 새우젓,, 파르메지아노치즈, 버터, 식초, 밀가루, 소금, 후추, 당근,, 홍고추, 마늘, 고춧가루, 다진 생강, 다진 마늘, 청양고추, ,")</f>
        <v>소고기등심, 베이컨, 양배추, 페타치즈, 크림치즈, 우유,, 브로콜리, 선드라이드토마토, 모차렐라치즈, 새우젓,, 파르메지아노치즈, 버터, 식초, 밀가루, 소금, 후추, 당근,, 홍고추, 마늘, 고춧가루, 다진 생강, 다진 마늘, 청양고추, ,</v>
      </c>
    </row>
    <row r="770">
      <c r="A770" s="2" t="str">
        <f>recipe!C770
</f>
        <v>복덩이</v>
      </c>
      <c r="B770" s="1" t="str">
        <f>IFERROR(__xludf.DUMMYFUNCTION("TRIM(
  SUBSTITUTE(
    REGEXEXTRACT(raw!A770, ""(?s)재료\s*(.*?)●\s*조리\s*방법""),
    CHAR(10), "", ""
  )
)
"),"전복, 오징어, 새우, 병어, 가지, 달걀간장, 파프리카,, 두반장, 소고기등심, 공심채, 맛술, 소금, 대파, 양파,, 마늘, 청양고추, 즉석밥, 후추, 달걀, 전분, ,")</f>
        <v>전복, 오징어, 새우, 병어, 가지, 달걀간장, 파프리카,, 두반장, 소고기등심, 공심채, 맛술, 소금, 대파, 양파,, 마늘, 청양고추, 즉석밥, 후추, 달걀, 전분, ,</v>
      </c>
    </row>
    <row r="771">
      <c r="A771" s="2" t="str">
        <f>recipe!C771
</f>
        <v>한방탕</v>
      </c>
      <c r="B771" s="1" t="str">
        <f>IFERROR(__xludf.DUMMYFUNCTION("TRIM(
  SUBSTITUTE(
    REGEXEXTRACT(raw!A771, ""(?s)재료\s*(.*?)●\s*조리\s*방법""),
    CHAR(10), "", ""
  )
)
"),"미나리, 로브스터, 전복, 관자, 잣, 피스타치오, 참외,, 우유, 유자청, 쯔유, 라이스페이퍼, 소금, 양파, 마늘,, 당근, 레몬, 화이트와인, 참기름, 깨, 식초, 달걀, ,")</f>
        <v>미나리, 로브스터, 전복, 관자, 잣, 피스타치오, 참외,, 우유, 유자청, 쯔유, 라이스페이퍼, 소금, 양파, 마늘,, 당근, 레몬, 화이트와인, 참기름, 깨, 식초, 달걀, ,</v>
      </c>
    </row>
    <row r="772">
      <c r="A772" s="2" t="str">
        <f>recipe!C772
</f>
        <v>낫토 먹고 crab! crab! crab! crab!</v>
      </c>
      <c r="B772" s="1" t="str">
        <f>IFERROR(__xludf.DUMMYFUNCTION("TRIM(
  SUBSTITUTE(
    REGEXEXTRACT(raw!A772, ""(?s)재료\s*(.*?)●\s*조리\s*방법""),
    CHAR(10), "", ""
  )
)
"),"베이컨, 살치살, 건표고버섯, 메밀면, 김치, 낫토,, 냉동 간장게장, 달걀, 옐로우스리라차소스, 양파,, 마늘, 청양고추, 홍고추, 간장, 식초, 설탕, 청주,, 다진 마늘, 참기름, 연겨자, 즉석밥, 대파, ,")</f>
        <v>베이컨, 살치살, 건표고버섯, 메밀면, 김치, 낫토,, 냉동 간장게장, 달걀, 옐로우스리라차소스, 양파,, 마늘, 청양고추, 홍고추, 간장, 식초, 설탕, 청주,, 다진 마늘, 참기름, 연겨자, 즉석밥, 대파, ,</v>
      </c>
    </row>
    <row r="773">
      <c r="A773" s="2" t="str">
        <f>recipe!C773
</f>
        <v>I'm so sorry 보말 love you♬</v>
      </c>
      <c r="B773" s="1" t="str">
        <f>IFERROR(__xludf.DUMMYFUNCTION("TRIM(
  SUBSTITUTE(
    REGEXEXTRACT(raw!A773, ""(?s)재료\s*(.*?)●\s*조리\s*방법""),
    CHAR(10), "", ""
  )
)
"),"통삼겹살, 맥주, 커피가루, 멸치육수팩, 전복, 보말,, 멜젓소스, 건표고버섯, 액상조미료, 소면, 당근, 대파,, 맛술, 멸치육수팩, 들기름, 참기름, 밀가루, 고춧가루,, 식초, 다진 마늘, 간장, 전분, 청양고추, ,")</f>
        <v>통삼겹살, 맥주, 커피가루, 멸치육수팩, 전복, 보말,, 멜젓소스, 건표고버섯, 액상조미료, 소면, 당근, 대파,, 맛술, 멸치육수팩, 들기름, 참기름, 밀가루, 고춧가루,, 식초, 다진 마늘, 간장, 전분, 청양고추, ,</v>
      </c>
    </row>
    <row r="774">
      <c r="A774" s="2" t="str">
        <f>recipe!C774
</f>
        <v>I'm so sorry 보말 love you♬</v>
      </c>
      <c r="B774" s="1" t="str">
        <f>IFERROR(__xludf.DUMMYFUNCTION("TRIM(
  SUBSTITUTE(
    REGEXEXTRACT(raw!A774, ""(?s)재료\s*(.*?)●\s*조리\s*방법""),
    CHAR(10), "", ""
  )
)
"),"통삼겹살, 맥주, 커피가루, 멸치육수팩, 전복, 보말,, 멜젓소스, 건표고버섯, 액상조미료, 소면, 당근, 대파,, 맛술, 멸치육수팩, 들기름, 참기름, 밀가루, 고춧가루,, 식초, 다진 마늘, 간장, 전분, 청양고추, ,")</f>
        <v>통삼겹살, 맥주, 커피가루, 멸치육수팩, 전복, 보말,, 멜젓소스, 건표고버섯, 액상조미료, 소면, 당근, 대파,, 맛술, 멸치육수팩, 들기름, 참기름, 밀가루, 고춧가루,, 식초, 다진 마늘, 간장, 전분, 청양고추, ,</v>
      </c>
    </row>
    <row r="775">
      <c r="A775" s="2" t="str">
        <f>recipe!C775
</f>
        <v>승리의 먹빵</v>
      </c>
      <c r="B775" s="1" t="str">
        <f>IFERROR(__xludf.DUMMYFUNCTION("TRIM(
  SUBSTITUTE(
    REGEXEXTRACT(raw!A775, ""(?s)재료\s*(.*?)●\s*조리\s*방법""),
    CHAR(10), "", ""
  )
)
"),"식빵, 블랙체리잼, 고체카레, 파르메산 치즈가루,, 인스턴트 제육불고기, 베이컨, 자두, 베트남고추,, 옐로우스리라차소스, 꿀유자청, 살라미, 버터, 대파, 후추, 밀가루, ,")</f>
        <v>식빵, 블랙체리잼, 고체카레, 파르메산 치즈가루,, 인스턴트 제육불고기, 베이컨, 자두, 베트남고추,, 옐로우스리라차소스, 꿀유자청, 살라미, 버터, 대파, 후추, 밀가루, ,</v>
      </c>
    </row>
    <row r="776">
      <c r="A776" s="2" t="str">
        <f>recipe!C776
</f>
        <v>꼬막이 빛나는 밤</v>
      </c>
      <c r="B776" s="1" t="str">
        <f>IFERROR(__xludf.DUMMYFUNCTION("TRIM(
  SUBSTITUTE(
    REGEXEXTRACT(raw!A776, ""(?s)재료\s*(.*?)●\s*조리\s*방법""),
    CHAR(10), "", ""
  )
)
"),"꼬막, 삼겹살, 두부, 양파, 오이, 청양고추,, 명란마요네즈, 들기름, 매실액, 소면,, 생강즙, 청주, 레몬즙, 간장, 대파, 고춧가루,, 고추냉이, 고추장, 식초, ,")</f>
        <v>꼬막, 삼겹살, 두부, 양파, 오이, 청양고추,, 명란마요네즈, 들기름, 매실액, 소면,, 생강즙, 청주, 레몬즙, 간장, 대파, 고춧가루,, 고추냉이, 고추장, 식초, ,</v>
      </c>
    </row>
    <row r="777">
      <c r="A777" s="2" t="str">
        <f>recipe!C777
</f>
        <v>화사한 플레이트</v>
      </c>
      <c r="B777" s="1" t="str">
        <f>IFERROR(__xludf.DUMMYFUNCTION("TRIM(
  SUBSTITUTE(
    REGEXEXTRACT(raw!A777, ""(?s)재료\s*(.*?)●\s*조리\s*방법""),
    CHAR(10), "", ""
  )
)
"),"통베이컨, 새우, 모차렐라치즈, 크림치즈, 바지락,, 훈제 닭, 감자, 깻잎, 양파, 애호박, 복숭아,, 칼라만시, 김부각, 깻잎장아찌, 막장, 트러플 오일,, 버터, 화이트와인, 소금, 후추, 당근, 전분, 청양고추,, 마늘, 홍고추, 레몬, 올리브 오일, 간장, 대파, ,")</f>
        <v>통베이컨, 새우, 모차렐라치즈, 크림치즈, 바지락,, 훈제 닭, 감자, 깻잎, 양파, 애호박, 복숭아,, 칼라만시, 김부각, 깻잎장아찌, 막장, 트러플 오일,, 버터, 화이트와인, 소금, 후추, 당근, 전분, 청양고추,, 마늘, 홍고추, 레몬, 올리브 오일, 간장, 대파, ,</v>
      </c>
    </row>
    <row r="778">
      <c r="A778" s="2" t="str">
        <f>recipe!C778
</f>
        <v>화사한 플레이트</v>
      </c>
      <c r="B778" s="1" t="str">
        <f>IFERROR(__xludf.DUMMYFUNCTION("TRIM(
  SUBSTITUTE(
    REGEXEXTRACT(raw!A778, ""(?s)재료\s*(.*?)●\s*조리\s*방법""),
    CHAR(10), "", ""
  )
)
"),"통베이컨, 새우, 모차렐라치즈, 크림치즈, 바지락,, 훈제 닭, 감자, 깻잎, 양파, 애호박, 복숭아,, 칼라만시, 김부각, 깻잎장아찌, 막장, 트러플 오일,, 버터, 화이트와인, 소금, 후추, 당근, 전분, 청양고추,, 마늘, 홍고추, 레몬, 올리브 오일, 간장, 대파, ,")</f>
        <v>통베이컨, 새우, 모차렐라치즈, 크림치즈, 바지락,, 훈제 닭, 감자, 깻잎, 양파, 애호박, 복숭아,, 칼라만시, 김부각, 깻잎장아찌, 막장, 트러플 오일,, 버터, 화이트와인, 소금, 후추, 당근, 전분, 청양고추,, 마늘, 홍고추, 레몬, 올리브 오일, 간장, 대파, ,</v>
      </c>
    </row>
    <row r="779">
      <c r="A779" s="2" t="str">
        <f>recipe!C779
</f>
        <v>장어 is 뭔들</v>
      </c>
      <c r="B779" s="1" t="str">
        <f>IFERROR(__xludf.DUMMYFUNCTION("TRIM(
  SUBSTITUTE(
    REGEXEXTRACT(raw!A779, ""(?s)재료\s*(.*?)●\s*조리\s*방법""),
    CHAR(10), "", ""
  )
)
"),"장어, 김부각, 바지락, 막장, 김치, 김치만두, 매실액,, 통베이컨, 명란마요네즈, 양파, 청양고추, 애호박,, 깻잎, 홍고추, 마늘, 대파, 고춧가루, 즉석밥, 맛술,, 설탕, 간장, 소금, 후추, 청주, 버터, ,")</f>
        <v>장어, 김부각, 바지락, 막장, 김치, 김치만두, 매실액,, 통베이컨, 명란마요네즈, 양파, 청양고추, 애호박,, 깻잎, 홍고추, 마늘, 대파, 고춧가루, 즉석밥, 맛술,, 설탕, 간장, 소금, 후추, 청주, 버터, ,</v>
      </c>
    </row>
    <row r="780">
      <c r="A780" s="2" t="str">
        <f>recipe!C780
</f>
        <v>부시리 복치기</v>
      </c>
      <c r="B780" s="1" t="str">
        <f>IFERROR(__xludf.DUMMYFUNCTION("TRIM(
  SUBSTITUTE(
    REGEXEXTRACT(raw!A780, ""(?s)재료\s*(.*?)●\s*조리\s*방법""),
    CHAR(10), "", ""
  )
)
"),"부시리, 전복, 무늬오징어, 오징어젓갈, 돼지 목살,, 굴소스, 파프리카, 액상조미료, 양파, 대파, 마늘, 청주,, 달걀, 전분, 고추장, 식초, 맛술, 청양고추, 즉석밥, 소금, ,")</f>
        <v>부시리, 전복, 무늬오징어, 오징어젓갈, 돼지 목살,, 굴소스, 파프리카, 액상조미료, 양파, 대파, 마늘, 청주,, 달걀, 전분, 고추장, 식초, 맛술, 청양고추, 즉석밥, 소금, ,</v>
      </c>
    </row>
    <row r="781">
      <c r="A781" s="2" t="str">
        <f>recipe!C781
</f>
        <v>수박냉면</v>
      </c>
      <c r="B781" s="1" t="str">
        <f>IFERROR(__xludf.DUMMYFUNCTION("TRIM(
  SUBSTITUTE(
    REGEXEXTRACT(raw!A781, ""(?s)재료\s*(.*?)●\s*조리\s*방법""),
    CHAR(10), "", ""
  )
)
"),"수박, 차돌박이, 돼지 뒷다리살, 부챗살, 토마토, 파프리카,, 인스턴트 냉면, 루콜라, 액상조미료, 오이, 상추, 굴소스, 대파, 소금, 고춧가루, 간장, 된장, 식초, 레몬, 다진마늘, ,")</f>
        <v>수박, 차돌박이, 돼지 뒷다리살, 부챗살, 토마토, 파프리카,, 인스턴트 냉면, 루콜라, 액상조미료, 오이, 상추, 굴소스, 대파, 소금, 고춧가루, 간장, 된장, 식초, 레몬, 다진마늘, ,</v>
      </c>
    </row>
    <row r="782">
      <c r="A782" s="2" t="str">
        <f>recipe!C782
</f>
        <v>Drop the fish</v>
      </c>
      <c r="B782" s="1" t="str">
        <f>IFERROR(__xludf.DUMMYFUNCTION("TRIM(
  SUBSTITUTE(
    REGEXEXTRACT(raw!A782, ""(?s)재료\s*(.*?)●\s*조리\s*방법""),
    CHAR(10), "", ""
  )
)
"),"붉바리, 루콜라, 감자, 토마토, 발사믹글레이즈,, 스위트칠리소스, 파프리카, 생모차렐라 치즈, 양파,, 화이트와인, 통후추, 순후추, 버터, 설탕, 레몬, 올리브오일, 소금, ,")</f>
        <v>붉바리, 루콜라, 감자, 토마토, 발사믹글레이즈,, 스위트칠리소스, 파프리카, 생모차렐라 치즈, 양파,, 화이트와인, 통후추, 순후추, 버터, 설탕, 레몬, 올리브오일, 소금, ,</v>
      </c>
    </row>
    <row r="783">
      <c r="A783" s="2" t="str">
        <f>recipe!C783
</f>
        <v>Fish Fish Baby♬</v>
      </c>
      <c r="B783" s="1" t="str">
        <f>IFERROR(__xludf.DUMMYFUNCTION("TRIM(
  SUBSTITUTE(
    REGEXEXTRACT(raw!A783, ""(?s)재료\s*(.*?)●\s*조리\s*방법""),
    CHAR(10), "", ""
  )
)
"),"붉바리, 전복, 아보카도, 감자, 파프리카, 스위트칠리소스,, 루콜라, 맛술, 청주, 설탕, 간장, 버터, 튀김가루, 전분, 홍고추, 청양고추, 통마늘, 식초, 케첩, 양파, ,")</f>
        <v>붉바리, 전복, 아보카도, 감자, 파프리카, 스위트칠리소스,, 루콜라, 맛술, 청주, 설탕, 간장, 버터, 튀김가루, 전분, 홍고추, 청양고추, 통마늘, 식초, 케첩, 양파, ,</v>
      </c>
    </row>
    <row r="784">
      <c r="A784" s="2" t="str">
        <f>recipe!C784
</f>
        <v>청실홍실</v>
      </c>
      <c r="B784" s="1" t="str">
        <f>IFERROR(__xludf.DUMMYFUNCTION("TRIM(
  SUBSTITUTE(
    REGEXEXTRACT(raw!A784, ""(?s)재료\s*(.*?)●\s*조리\s*방법""),
    CHAR(10), "", ""
  )
)
"),"홍어 날개, 홍어 애, 청국장, 된장, 오리엔탈드레싱,, 발사믹식초, 코코넛식초, 다시마육수팩, 비트&amp;무 피클,, 양배추, 적양파, 양송이버섯, 당근, 오이, 설탕, ,")</f>
        <v>홍어 날개, 홍어 애, 청국장, 된장, 오리엔탈드레싱,, 발사믹식초, 코코넛식초, 다시마육수팩, 비트&amp;무 피클,, 양배추, 적양파, 양송이버섯, 당근, 오이, 설탕, ,</v>
      </c>
    </row>
    <row r="785">
      <c r="A785" s="2" t="str">
        <f>recipe!C785
</f>
        <v>최애 홍파스타</v>
      </c>
      <c r="B785" s="1" t="str">
        <f>IFERROR(__xludf.DUMMYFUNCTION("TRIM(
  SUBSTITUTE(
    REGEXEXTRACT(raw!A785, ""(?s)재료\s*(.*?)●\s*조리\s*방법""),
    CHAR(10), "", ""
  )
)
"),"홍어 날개, 홍어 애, 파스타면, 그린올리브,, 블랙올리브, 고추냉이마요네즈, 무, 깻잎,, 아스파라거스, 사과, 치킨스톡, 후추, 참기름,, 밀가루, 마늘, 대파, 된장, 양파, 소금, ,")</f>
        <v>홍어 날개, 홍어 애, 파스타면, 그린올리브,, 블랙올리브, 고추냉이마요네즈, 무, 깻잎,, 아스파라거스, 사과, 치킨스톡, 후추, 참기름,, 밀가루, 마늘, 대파, 된장, 양파, 소금, ,</v>
      </c>
    </row>
    <row r="786">
      <c r="A786" s="2" t="str">
        <f>recipe!C786
</f>
        <v>안심하소</v>
      </c>
      <c r="B786" s="1" t="str">
        <f>IFERROR(__xludf.DUMMYFUNCTION("TRIM(
  SUBSTITUTE(
    REGEXEXTRACT(raw!A786, ""(?s)재료\s*(.*?)●\s*조리\s*방법""),
    CHAR(10), "", ""
  )
)
"),"소 안심, 프로방스 허브, 양송이버섯,, 아스파라거스, 우유, 버터, 양파, 밀가루,, 당근, 소금, 간장, 레드와인, ,")</f>
        <v>소 안심, 프로방스 허브, 양송이버섯,, 아스파라거스, 우유, 버터, 양파, 밀가루,, 당근, 소금, 간장, 레드와인, ,</v>
      </c>
    </row>
    <row r="787">
      <c r="A787" s="2" t="str">
        <f>recipe!C787
</f>
        <v>고급이양</v>
      </c>
      <c r="B787" s="1" t="str">
        <f>IFERROR(__xludf.DUMMYFUNCTION("TRIM(
  SUBSTITUTE(
    REGEXEXTRACT(raw!A787, ""(?s)재료\s*(.*?)●\s*조리\s*방법""),
    CHAR(10), "", ""
  )
)
"),"양갈비, 무화과, 그릭 요거트, 크림치즈,, 프로방스 허브, 갈릭솔트, 통후추, 멸치볶음,, 아스파라거스, 석류농축액, 올리브 오일,, 밀가루, 버터, 설탕, 청주, 레몬, 후추, 당근, ,")</f>
        <v>양갈비, 무화과, 그릭 요거트, 크림치즈,, 프로방스 허브, 갈릭솔트, 통후추, 멸치볶음,, 아스파라거스, 석류농축액, 올리브 오일,, 밀가루, 버터, 설탕, 청주, 레몬, 후추, 당근, ,</v>
      </c>
    </row>
    <row r="788">
      <c r="A788" s="2" t="str">
        <f>recipe!C788
</f>
        <v>육개장에 파 하나 놓고 가라</v>
      </c>
      <c r="B788" s="1" t="str">
        <f>IFERROR(__xludf.DUMMYFUNCTION("TRIM(
  SUBSTITUTE(
    REGEXEXTRACT(raw!A788, ""(?s)재료\s*(.*?)●\s*조리\s*방법""),
    CHAR(10), "", ""
  )
)
"),"소고기 등심, 낙지, 두부, 사골육수, 말린 애호박,, 표고버섯, 표고버섯가루, 어간장, 굴소스,, 쪽파, 집된장, 무, 마늘, 양파, 청양고추, 대파,, 고춧가루, 참기름, 식용유, 다진마늘, 다진생강, 소금, ,")</f>
        <v>소고기 등심, 낙지, 두부, 사골육수, 말린 애호박,, 표고버섯, 표고버섯가루, 어간장, 굴소스,, 쪽파, 집된장, 무, 마늘, 양파, 청양고추, 대파,, 고춧가루, 참기름, 식용유, 다진마늘, 다진생강, 소금, ,</v>
      </c>
    </row>
    <row r="789">
      <c r="A789" s="2" t="str">
        <f>recipe!C789
</f>
        <v>해장이나 잘하세요</v>
      </c>
      <c r="B789" s="1" t="str">
        <f>IFERROR(__xludf.DUMMYFUNCTION("TRIM(
  SUBSTITUTE(
    REGEXEXTRACT(raw!A789, ""(?s)재료\s*(.*?)●\s*조리\s*방법""),
    CHAR(10), "", ""
  )
)
"),"전복, 삼겹살, 새우, 두부, 묵은지, 사골육수,, 북어포, 표고버섯, 굴소스, 들기름, 집된장, 대파,, 다진마늘, 고춧가루, 달걀, 밀가루, 양파, 간장,, 청양고추, 후추, 소금, 맛술, 홍고추, 설탕, ,")</f>
        <v>전복, 삼겹살, 새우, 두부, 묵은지, 사골육수,, 북어포, 표고버섯, 굴소스, 들기름, 집된장, 대파,, 다진마늘, 고춧가루, 달걀, 밀가루, 양파, 간장,, 청양고추, 후추, 소금, 맛술, 홍고추, 설탕, ,</v>
      </c>
    </row>
    <row r="790">
      <c r="A790" s="2" t="str">
        <f>recipe!C790
</f>
        <v>연가복</v>
      </c>
      <c r="B790" s="1" t="str">
        <f>IFERROR(__xludf.DUMMYFUNCTION("TRIM(
  SUBSTITUTE(
    REGEXEXTRACT(raw!A790, ""(?s)재료\s*(.*?)●\s*조리\s*방법""),
    CHAR(10), "", ""
  )
)
"),"낙지, 새우, 전복, 삼겹살, 꽃게, 애호박,, 느타리버섯, 은행, 쪽파, 소갈비양념, 대파,, 고춧가루, 고추, 청주, 맛술, 다진생강,, 밀가루, 달걀, 청양고추, 전분, 소금, ,")</f>
        <v>낙지, 새우, 전복, 삼겹살, 꽃게, 애호박,, 느타리버섯, 은행, 쪽파, 소갈비양념, 대파,, 고춧가루, 고추, 청주, 맛술, 다진생강,, 밀가루, 달걀, 청양고추, 전분, 소금, ,</v>
      </c>
    </row>
    <row r="791">
      <c r="A791" s="2" t="str">
        <f>recipe!C791
</f>
        <v>맛있어서 우럭?</v>
      </c>
      <c r="B791" s="1" t="str">
        <f>IFERROR(__xludf.DUMMYFUNCTION("TRIM(
  SUBSTITUTE(
    REGEXEXTRACT(raw!A791, ""(?s)재료\s*(.*?)●\s*조리\s*방법""),
    CHAR(10), "", ""
  )
)
"),"말린 우럭, 낙지, 새우, 표고버섯, 느타리버섯,, 두부, 사과즙, 양파, 대파, 화이트와인, 마늘,, 맛술, 간장, 고춧가루, 설탕, 청주, 소금,, 홍고추, 청양고추, 깨, ,")</f>
        <v>말린 우럭, 낙지, 새우, 표고버섯, 느타리버섯,, 두부, 사과즙, 양파, 대파, 화이트와인, 마늘,, 맛술, 간장, 고춧가루, 설탕, 청주, 소금,, 홍고추, 청양고추, 깨, ,</v>
      </c>
    </row>
    <row r="792">
      <c r="A792" s="2" t="str">
        <f>recipe!C792
</f>
        <v>쌍칼국수</v>
      </c>
      <c r="B792" s="1" t="str">
        <f>IFERROR(__xludf.DUMMYFUNCTION("TRIM(
  SUBSTITUTE(
    REGEXEXTRACT(raw!A792, ""(?s)재료\s*(.*?)●\s*조리\s*방법""),
    CHAR(10), "", ""
  )
)
"),"소 안심, 삼계탕, 칼국수면, 옥수수, 고수,, 굴비고추장, 갈치속젓, 스리라차소스,, 땅콩버터, 시저샐러드 드레싱, 땅콩, 부추,, 베트남고추, 청양고추, 당근, 후추, 간장,, 식초, 대파, 마늘, 설탕, 양파, ,")</f>
        <v>소 안심, 삼계탕, 칼국수면, 옥수수, 고수,, 굴비고추장, 갈치속젓, 스리라차소스,, 땅콩버터, 시저샐러드 드레싱, 땅콩, 부추,, 베트남고추, 청양고추, 당근, 후추, 간장,, 식초, 대파, 마늘, 설탕, 양파, ,</v>
      </c>
    </row>
    <row r="793">
      <c r="A793" s="2" t="str">
        <f>recipe!C793
</f>
        <v>누들이닭</v>
      </c>
      <c r="B793" s="1" t="str">
        <f>IFERROR(__xludf.DUMMYFUNCTION("TRIM(
  SUBSTITUTE(
    REGEXEXTRACT(raw!A793, ""(?s)재료\s*(.*?)●\s*조리\s*방법""),
    CHAR(10), "", ""
  )
)
"),"닭, 닭 안심, 고수, 느타리버섯, 소금,, 달걀, 밀가루, 올리브오일, 당근, 양파,, 대파, 다진 생강, 통후추, 간장,, 청양고추, 레몬, 홍고추, ,")</f>
        <v>닭, 닭 안심, 고수, 느타리버섯, 소금,, 달걀, 밀가루, 올리브오일, 당근, 양파,, 대파, 다진 생강, 통후추, 간장,, 청양고추, 레몬, 홍고추, ,</v>
      </c>
    </row>
    <row r="794">
      <c r="A794" s="2" t="str">
        <f>recipe!C794
</f>
        <v>놀리지말라규♡</v>
      </c>
      <c r="B794" s="1" t="str">
        <f>IFERROR(__xludf.DUMMYFUNCTION("TRIM(
  SUBSTITUTE(
    REGEXEXTRACT(raw!A794, ""(?s)재료\s*(.*?)●\s*조리\s*방법""),
    CHAR(10), "", ""
  )
)
"),"핫케이크 가루, 호두, 아몬드, 잣, 크림치즈,, 땅콩버터, 블루베리, 휘핑크림, 사과잼,, 아로니아잼, 설탕, 밀가루, 대파, ,")</f>
        <v>핫케이크 가루, 호두, 아몬드, 잣, 크림치즈,, 땅콩버터, 블루베리, 휘핑크림, 사과잼,, 아로니아잼, 설탕, 밀가루, 대파, ,</v>
      </c>
    </row>
    <row r="795">
      <c r="A795" s="2" t="str">
        <f>recipe!C795
</f>
        <v>떠먹으라규♡</v>
      </c>
      <c r="B795" s="1" t="str">
        <f>IFERROR(__xludf.DUMMYFUNCTION("TRIM(
  SUBSTITUTE(
    REGEXEXTRACT(raw!A795, ""(?s)재료\s*(.*?)●\s*조리\s*방법""),
    CHAR(10), "", ""
  )
)
"),"천도복숭아, 아몬드, 호두, 초콜릿,, 크림치즈, 휘핑크림, 설탕, 달걀,, 밀가루, 버터, 레몬, ,")</f>
        <v>천도복숭아, 아몬드, 호두, 초콜릿,, 크림치즈, 휘핑크림, 설탕, 달걀,, 밀가루, 버터, 레몬, ,</v>
      </c>
    </row>
    <row r="796">
      <c r="A796" s="2" t="str">
        <f>recipe!C796
</f>
        <v>가지가지한다</v>
      </c>
      <c r="B796" s="1" t="str">
        <f>IFERROR(__xludf.DUMMYFUNCTION("TRIM(
  SUBSTITUTE(
    REGEXEXTRACT(raw!A796, ""(?s)재료\s*(.*?)●\s*조리\s*방법""),
    CHAR(10), "", ""
  )
)
"),"가지, 삼겹살, 멸치육수팩, 칼국수면,, 멸치액젓, 대파, 다진 마늘, 다진 생강,, 간장, 소금, 후추, 전분, 고춧가루, 맛술, 설탕, ,")</f>
        <v>가지, 삼겹살, 멸치육수팩, 칼국수면,, 멸치액젓, 대파, 다진 마늘, 다진 생강,, 간장, 소금, 후추, 전분, 고춧가루, 맛술, 설탕, ,</v>
      </c>
    </row>
    <row r="797">
      <c r="A797" s="2" t="str">
        <f>recipe!C797
</f>
        <v>순대 스마일~</v>
      </c>
      <c r="B797" s="1" t="str">
        <f>IFERROR(__xludf.DUMMYFUNCTION("TRIM(
  SUBSTITUTE(
    REGEXEXTRACT(raw!A797, ""(?s)재료\s*(.*?)●\s*조리\s*방법""),
    CHAR(10), "", ""
  )
)
"),"오징어, 삼겹살, 햄, 인스턴트 주꾸미낙지볶음,, 프라이드 어니언, 인스턴트 양송이수프,, 사과, 쌈무, 칼국수면, 쥐포 과자, 오징어맛 과자,, 달걀, 전분, 다진 마늘, 양파, 후추, 청양고추,, 소금, 식초, 설탕, 물엿, 라면수프, ,")</f>
        <v>오징어, 삼겹살, 햄, 인스턴트 주꾸미낙지볶음,, 프라이드 어니언, 인스턴트 양송이수프,, 사과, 쌈무, 칼국수면, 쥐포 과자, 오징어맛 과자,, 달걀, 전분, 다진 마늘, 양파, 후추, 청양고추,, 소금, 식초, 설탕, 물엿, 라면수프, ,</v>
      </c>
    </row>
    <row r="798">
      <c r="A798" s="2" t="str">
        <f>recipe!C798
</f>
        <v>홍삼드삼</v>
      </c>
      <c r="B798" s="1" t="str">
        <f>IFERROR(__xludf.DUMMYFUNCTION("TRIM(
  SUBSTITUTE(
    REGEXEXTRACT(raw!A798, ""(?s)재료\s*(.*?)●\s*조리\s*방법""),
    CHAR(10), "", ""
  )
)
"),"오징어, 삼겹살, 홍삼 음료, 홍삼 농축액,, 사과, 파인애플식초, 쌈무, 배즙, 견과류,, 마늘, 소금, 튀김가루, 양파, 설탕, 레몬즙,, 홍고추, 청양고추, 대파, 고추장, 설탕,, 참기름, 케첩, 올리브 오일, ,")</f>
        <v>오징어, 삼겹살, 홍삼 음료, 홍삼 농축액,, 사과, 파인애플식초, 쌈무, 배즙, 견과류,, 마늘, 소금, 튀김가루, 양파, 설탕, 레몬즙,, 홍고추, 청양고추, 대파, 고추장, 설탕,, 참기름, 케첩, 올리브 오일, ,</v>
      </c>
    </row>
    <row r="799">
      <c r="A799" s="2" t="str">
        <f>recipe!C799
</f>
        <v>홍카엘</v>
      </c>
      <c r="B799" s="1" t="str">
        <f>IFERROR(__xludf.DUMMYFUNCTION("TRIM(
  SUBSTITUTE(
    REGEXEXTRACT(raw!A799, ""(?s)재료\s*(.*?)●\s*조리\s*방법""),
    CHAR(10), "", ""
  )
)
"),"홍삼 농축액, 홍삼 음료, 가지, 오징어, 호박즙,, 파인애플식초, 파프리카, 플레인 요거트, 애호박,, 밀가루, 전분, 식용유, 달걀, 소금, 레몬즙, 마요네즈,, 된장, 마늘, 청양고추, 양파, 올리브오일, 후추, ,")</f>
        <v>홍삼 농축액, 홍삼 음료, 가지, 오징어, 호박즙,, 파인애플식초, 파프리카, 플레인 요거트, 애호박,, 밀가루, 전분, 식용유, 달걀, 소금, 레몬즙, 마요네즈,, 된장, 마늘, 청양고추, 양파, 올리브오일, 후추, ,</v>
      </c>
    </row>
    <row r="800">
      <c r="A800" s="2" t="str">
        <f>recipe!C800
</f>
        <v>팟타이 피플</v>
      </c>
      <c r="B800" s="1" t="str">
        <f>IFERROR(__xludf.DUMMYFUNCTION("TRIM(
  SUBSTITUTE(
    REGEXEXTRACT(raw!A800, ""(?s)재료\s*(.*?)●\s*조리\s*방법""),
    CHAR(10), "", ""
  )
)
"),"전복, 꼴뚜기, 갈치, 새우, 명란젓, 다마리 간장,, 고수, 가래떡, 모차렐라 치즈, 스리라차 소스,, 두반장, 밀가루양파, 대파, 마늘, 청양고추, 대파, 레몬, ,")</f>
        <v>전복, 꼴뚜기, 갈치, 새우, 명란젓, 다마리 간장,, 고수, 가래떡, 모차렐라 치즈, 스리라차 소스,, 두반장, 밀가루양파, 대파, 마늘, 청양고추, 대파, 레몬, ,</v>
      </c>
    </row>
    <row r="801">
      <c r="A801" s="2" t="str">
        <f>recipe!C801
</f>
        <v>샘나는 볶음면</v>
      </c>
      <c r="B801" s="1" t="str">
        <f>IFERROR(__xludf.DUMMYFUNCTION("TRIM(
  SUBSTITUTE(
    REGEXEXTRACT(raw!A801, ""(?s)재료\s*(.*?)●\s*조리\s*방법""),
    CHAR(10), "", ""
  )
)
"),"채끝살, 꽃게튀김, 살구&amp;아몬드 크림치즈,, 인스턴트 우동, 아보카도, 고수, 무화과, 그릭요거트,, 다마리 간장,바나나칩, 유자후추, 휘핑크림, 밀가루,, 버터, 설탕, 달걀, 양파, 대파, 마늘, 고춧가루,, 맛술, 레몬, 올리브오일, ,")</f>
        <v>채끝살, 꽃게튀김, 살구&amp;아몬드 크림치즈,, 인스턴트 우동, 아보카도, 고수, 무화과, 그릭요거트,, 다마리 간장,바나나칩, 유자후추, 휘핑크림, 밀가루,, 버터, 설탕, 달걀, 양파, 대파, 마늘, 고춧가루,, 맛술, 레몬, 올리브오일, ,</v>
      </c>
    </row>
    <row r="802">
      <c r="A802" s="2" t="str">
        <f>recipe!C802
</f>
        <v>찜의 정수</v>
      </c>
      <c r="B802" s="1" t="str">
        <f>IFERROR(__xludf.DUMMYFUNCTION("TRIM(
  SUBSTITUTE(
    REGEXEXTRACT(raw!A802, ""(?s)재료\s*(.*?)●\s*조리\s*방법""),
    CHAR(10), "", ""
  )
)
"),"소고기 등심, 연어, 베이컨, 퀴노아, 다마리 간장,, 레몬청, 베이크드 빈, 돈가스 소스, 사골육수, 바나나칩, 고수, 파슬리, 케이퍼, 케이퍼 베리, 그린올리브,, 블랙올리브, 사과, 식용유, 소금, 후추, 레드와인,, 양파, 당근, 설탕연겨자, 청고추, 홍고추, 올리브오일, 레몬, 버터, ,")</f>
        <v>소고기 등심, 연어, 베이컨, 퀴노아, 다마리 간장,, 레몬청, 베이크드 빈, 돈가스 소스, 사골육수, 바나나칩, 고수, 파슬리, 케이퍼, 케이퍼 베리, 그린올리브,, 블랙올리브, 사과, 식용유, 소금, 후추, 레드와인,, 양파, 당근, 설탕연겨자, 청고추, 홍고추, 올리브오일, 레몬, 버터, ,</v>
      </c>
    </row>
    <row r="803">
      <c r="A803" s="2" t="str">
        <f>recipe!C803
</f>
        <v>말이야~ 아보말이야♬</v>
      </c>
      <c r="B803" s="1" t="str">
        <f>IFERROR(__xludf.DUMMYFUNCTION("TRIM(
  SUBSTITUTE(
    REGEXEXTRACT(raw!A803, ""(?s)재료\s*(.*?)●\s*조리\s*방법""),
    CHAR(10), "", ""
  )
)
"),"채끝살, 전복, 연어, 고수, 무화과, 아보카도,, 단호박, 햄프시드, 아몬드 우유, 휘핑크림,, 그릭요거트, 다마리 간장, 방울토마토, 설탕,, 레드와인, 맛술, 청주, ,")</f>
        <v>채끝살, 전복, 연어, 고수, 무화과, 아보카도,, 단호박, 햄프시드, 아몬드 우유, 휘핑크림,, 그릭요거트, 다마리 간장, 방울토마토, 설탕,, 레드와인, 맛술, 청주, ,</v>
      </c>
    </row>
    <row r="804">
      <c r="A804" s="2" t="str">
        <f>recipe!C804
</f>
        <v>연장피</v>
      </c>
      <c r="B804" s="1" t="str">
        <f>IFERROR(__xludf.DUMMYFUNCTION("TRIM(
  SUBSTITUTE(
    REGEXEXTRACT(raw!A804, ""(?s)재료\s*(.*?)●\s*조리\s*방법""),
    CHAR(10), "", ""
  )
)
"),"소 등심, 메로, 총각김치, 돈가스 소스,, 고춧잎무침, 고사리볶음, 오이, 부추, 사과,, 어간장, 밀가루, 전분, 소금, 달걀, 밀가루,, 연겨자, 식초, 설탕, 양파, 당근, 대파, 참기름, ,")</f>
        <v>소 등심, 메로, 총각김치, 돈가스 소스,, 고춧잎무침, 고사리볶음, 오이, 부추, 사과,, 어간장, 밀가루, 전분, 소금, 달걀, 밀가루,, 연겨자, 식초, 설탕, 양파, 당근, 대파, 참기름, ,</v>
      </c>
    </row>
    <row r="805">
      <c r="A805" s="2" t="str">
        <f>recipe!C805
</f>
        <v>사연장사 만만세♬</v>
      </c>
      <c r="B805" s="1" t="str">
        <f>IFERROR(__xludf.DUMMYFUNCTION("TRIM(
  SUBSTITUTE(
    REGEXEXTRACT(raw!A805, ""(?s)재료\s*(.*?)●\s*조리\s*방법""),
    CHAR(10), "", ""
  )
)
"),"소 등심, 돼지 목살, 매실장아찌, 도라지볶음,, 쑥떡, 콩고물, 닭죽, 고추장, 동그랑땡, 팥빵,, 꿀마늘, 식혜, 부추, 다진 마늘, 소금, 전분,, 설탕, 청양고추, 튀김가루, 식용유, 물엿, 깨, ,")</f>
        <v>소 등심, 돼지 목살, 매실장아찌, 도라지볶음,, 쑥떡, 콩고물, 닭죽, 고추장, 동그랑땡, 팥빵,, 꿀마늘, 식혜, 부추, 다진 마늘, 소금, 전분,, 설탕, 청양고추, 튀김가루, 식용유, 물엿, 깨, ,</v>
      </c>
    </row>
    <row r="806">
      <c r="A806" s="2" t="str">
        <f>recipe!C806
</f>
        <v>김치 잘 먹는 예쁜 누나</v>
      </c>
      <c r="B806" s="1" t="str">
        <f>IFERROR(__xludf.DUMMYFUNCTION("TRIM(
  SUBSTITUTE(
    REGEXEXTRACT(raw!A806, ""(?s)재료\s*(.*?)●\s*조리\s*방법""),
    CHAR(10), "", ""
  )
)
"),"배추김치, 총각김치, 삼겹살, 옥돔, 오미자 진액,, 누룽지, 북어포, 건홍고추, 두부, 김, 식용유,, 청주, 후추, 다진생강, 간장, 당근, 청양고추,, 양파, 전분, 달걀, 참기름, 깨, ,")</f>
        <v>배추김치, 총각김치, 삼겹살, 옥돔, 오미자 진액,, 누룽지, 북어포, 건홍고추, 두부, 김, 식용유,, 청주, 후추, 다진생강, 간장, 당근, 청양고추,, 양파, 전분, 달걀, 참기름, 깨, ,</v>
      </c>
    </row>
    <row r="807">
      <c r="A807" s="2" t="str">
        <f>recipe!C807
</f>
        <v>맛있으면 김~치</v>
      </c>
      <c r="B807" s="1" t="str">
        <f>IFERROR(__xludf.DUMMYFUNCTION("TRIM(
  SUBSTITUTE(
    REGEXEXTRACT(raw!A807, ""(?s)재료\s*(.*?)●\s*조리\s*방법""),
    CHAR(10), "", ""
  )
)
"),"배추김치, 고구마순김치, 열무물김치,, 총각김치, 소 등심, 베이컨, 우유, 부추,, 곶감, 올리브오일, 소금, 후추, 양파,, 청양고추, 즉석밥, 간장, 레드와인, 버터, 밀가루, ,")</f>
        <v>배추김치, 고구마순김치, 열무물김치,, 총각김치, 소 등심, 베이컨, 우유, 부추,, 곶감, 올리브오일, 소금, 후추, 양파,, 청양고추, 즉석밥, 간장, 레드와인, 버터, 밀가루, ,</v>
      </c>
    </row>
    <row r="808">
      <c r="A808" s="2" t="str">
        <f>recipe!C808
</f>
        <v>함박84</v>
      </c>
      <c r="B808" s="1" t="str">
        <f>IFERROR(__xludf.DUMMYFUNCTION("TRIM(
  SUBSTITUTE(
    REGEXEXTRACT(raw!A808, ""(?s)재료\s*(.*?)●\s*조리\s*방법""),
    CHAR(10), "", ""
  )
)
"),"돼지목살, 삼겹살, 갈비탕 육수,, 훈제 닭다리, 프랑크소시지, 살사소스맛 과자,, 간장치킨맛 과자, 버터, 양파, 고추, 소금,, 후추, 간장, 밀가루, 다진마늘, 다진생강, 마늘,, 참기름, 레몬, 설탕, 올리브오일, 달걀, ,")</f>
        <v>돼지목살, 삼겹살, 갈비탕 육수,, 훈제 닭다리, 프랑크소시지, 살사소스맛 과자,, 간장치킨맛 과자, 버터, 양파, 고추, 소금,, 후추, 간장, 밀가루, 다진마늘, 다진생강, 마늘,, 참기름, 레몬, 설탕, 올리브오일, 달걀, ,</v>
      </c>
    </row>
    <row r="809">
      <c r="A809" s="2" t="str">
        <f>recipe!C809
</f>
        <v>목살84</v>
      </c>
      <c r="B809" s="1" t="str">
        <f>IFERROR(__xludf.DUMMYFUNCTION("TRIM(
  SUBSTITUTE(
    REGEXEXTRACT(raw!A809, ""(?s)재료\s*(.*?)●\s*조리\s*방법""),
    CHAR(10), "", ""
  )
)
"),"돼지목살, 명란젓, 콜라, 라면, 어묵탕 육수,, 불닭 소스, 훈제 닭다리, 레드와인, 달걀,, 홍고추, 대파, 양파, 간장청양고추, 마요네즈,, 청주, 맛술, 설탕, 밀가루, 후추, 마늘, 전분, ,")</f>
        <v>돼지목살, 명란젓, 콜라, 라면, 어묵탕 육수,, 불닭 소스, 훈제 닭다리, 레드와인, 달걀,, 홍고추, 대파, 양파, 간장청양고추, 마요네즈,, 청주, 맛술, 설탕, 밀가루, 후추, 마늘, 전분, ,</v>
      </c>
    </row>
    <row r="810">
      <c r="A810" s="2" t="str">
        <f>recipe!C810
</f>
        <v>덮밥왕</v>
      </c>
      <c r="B810" s="1" t="str">
        <f>IFERROR(__xludf.DUMMYFUNCTION("TRIM(
  SUBSTITUTE(
    REGEXEXTRACT(raw!A810, ""(?s)재료\s*(.*?)●\s*조리\s*방법""),
    CHAR(10), "", ""
  )
)
"),"돼지목살, 편의점 편육, 새우젓 양념, 김치,, 명란젓, 라면수프, 상추, 들기름, 간장, 맛술,, 전분, 밀가루, 대파, 다진마늘, 고춧가루, 즉석밥,, 식초, 소금, 물엿, 참기름, 버터, 달걀, ,")</f>
        <v>돼지목살, 편의점 편육, 새우젓 양념, 김치,, 명란젓, 라면수프, 상추, 들기름, 간장, 맛술,, 전분, 밀가루, 대파, 다진마늘, 고춧가루, 즉석밥,, 식초, 소금, 물엿, 참기름, 버터, 달걀, ,</v>
      </c>
    </row>
    <row r="811">
      <c r="A811" s="2" t="str">
        <f>recipe!C811
</f>
        <v>내가 이길 소야</v>
      </c>
      <c r="B811" s="1" t="str">
        <f>IFERROR(__xludf.DUMMYFUNCTION("TRIM(
  SUBSTITUTE(
    REGEXEXTRACT(raw!A811, ""(?s)재료\s*(.*?)●\s*조리\s*방법""),
    CHAR(10), "", ""
  )
)
"),"돼지목살, 족발, 편의점 편육, 갈비탕 육수,, 프랑크소시지, 명란젓, 상추, 파인애플맛 탄산음료,, 김치, 들기름, 된장고춧가루, 다진마늘, 맛술, 대파,, 고추, 홍고추, 마늘, 양파, 당근, 연겨자, 설탕, 식초,, 간장, 즉석밥, 달걀, 고추장, 케첩, 물엿, 후추, 마요네즈, ,")</f>
        <v>돼지목살, 족발, 편의점 편육, 갈비탕 육수,, 프랑크소시지, 명란젓, 상추, 파인애플맛 탄산음료,, 김치, 들기름, 된장고춧가루, 다진마늘, 맛술, 대파,, 고추, 홍고추, 마늘, 양파, 당근, 연겨자, 설탕, 식초,, 간장, 즉석밥, 달걀, 고추장, 케첩, 물엿, 후추, 마요네즈, ,</v>
      </c>
    </row>
    <row r="812">
      <c r="A812" s="2" t="str">
        <f>recipe!C812
</f>
        <v>소바로우</v>
      </c>
      <c r="B812" s="1" t="str">
        <f>IFERROR(__xludf.DUMMYFUNCTION("TRIM(
  SUBSTITUTE(
    REGEXEXTRACT(raw!A812, ""(?s)재료\s*(.*?)●\s*조리\s*방법""),
    CHAR(10), "", ""
  )
)
"),"비엔나소시지, 사과잼, 시나몬가루,, 옥수수 통조림, 전분, 식용유, 양파,, 식초, 물엿, 간장, ,")</f>
        <v>비엔나소시지, 사과잼, 시나몬가루,, 옥수수 통조림, 전분, 식용유, 양파,, 식초, 물엿, 간장, ,</v>
      </c>
    </row>
    <row r="813">
      <c r="A813" s="2" t="str">
        <f>recipe!C813
</f>
        <v>해비한 소시지</v>
      </c>
      <c r="B813" s="1" t="str">
        <f>IFERROR(__xludf.DUMMYFUNCTION("TRIM(
  SUBSTITUTE(
    REGEXEXTRACT(raw!A813, ""(?s)재료\s*(.*?)●\s*조리\s*방법""),
    CHAR(10), "", ""
  )
)
"),"비엔나소시지, 치즈맛 육포, 과일맛 탄산주,, 해바라기씨, 모둠 견과류, 오이지무침,, 달걀, 밀가루, 마요네즈, 후추, ,")</f>
        <v>비엔나소시지, 치즈맛 육포, 과일맛 탄산주,, 해바라기씨, 모둠 견과류, 오이지무침,, 달걀, 밀가루, 마요네즈, 후추, ,</v>
      </c>
    </row>
    <row r="814">
      <c r="A814" s="2" t="str">
        <f>recipe!C814
</f>
        <v>등심은 맛있어♬</v>
      </c>
      <c r="B814" s="1" t="str">
        <f>IFERROR(__xludf.DUMMYFUNCTION("TRIM(
  SUBSTITUTE(
    REGEXEXTRACT(raw!A814, ""(?s)재료\s*(.*?)●\s*조리\s*방법""),
    CHAR(10), "", ""
  )
)
"),"소 등심, 인스턴트 떡갈비, 도가니탕 육수,, 옥수수 통조림, 홀그레인 머스터드,, 양파크림소스, 모둠 견과류, 기름, 후추,, 간장, 전분, 달걀, 버터, 양파, 밀가루, 소금, 대파, ,")</f>
        <v>소 등심, 인스턴트 떡갈비, 도가니탕 육수,, 옥수수 통조림, 홀그레인 머스터드,, 양파크림소스, 모둠 견과류, 기름, 후추,, 간장, 전분, 달걀, 버터, 양파, 밀가루, 소금, 대파, ,</v>
      </c>
    </row>
    <row r="815">
      <c r="A815" s="2" t="str">
        <f>recipe!C815
</f>
        <v>고로케까지 생각했어♬</v>
      </c>
      <c r="B815" s="1" t="str">
        <f>IFERROR(__xludf.DUMMYFUNCTION("TRIM(
  SUBSTITUTE(
    REGEXEXTRACT(raw!A815, ""(?s)재료\s*(.*?)●\s*조리\s*방법""),
    CHAR(10), "", ""
  )
)
"),"인스턴트 카레, 냉동 군고구마, 옥수수 통조림,, 소 등심, 사과, 모둠 견과류, 볶은 캐슈넛,, 참치 통조림,망고&amp;요거트맛 초콜릿, 당근,, 양파, 맛술, 간장, 밀가루, 버터, 기름, 마요네즈, ,")</f>
        <v>인스턴트 카레, 냉동 군고구마, 옥수수 통조림,, 소 등심, 사과, 모둠 견과류, 볶은 캐슈넛,, 참치 통조림,망고&amp;요거트맛 초콜릿, 당근,, 양파, 맛술, 간장, 밀가루, 버터, 기름, 마요네즈, ,</v>
      </c>
    </row>
    <row r="816">
      <c r="A816" s="2" t="str">
        <f>recipe!C816
</f>
        <v>오골계이득</v>
      </c>
      <c r="B816" s="1" t="str">
        <f>IFERROR(__xludf.DUMMYFUNCTION("TRIM(
  SUBSTITUTE(
    REGEXEXTRACT(raw!A816, ""(?s)재료\s*(.*?)●\s*조리\s*방법""),
    CHAR(10), "", ""
  )
)
"),"오골계, 오골계 초란, 명란젓, 된장, 간장게장 국물,, 팽이버섯, 알배추, 라이스페이퍼, 애호박, 블랙트러플 절임,, 청귤청, 그린스리라차 소스, 참기름, 막걸리, 소금,, 튀김가루, 참기름, 양파, 홍고추, 고추, 설탕, ,")</f>
        <v>오골계, 오골계 초란, 명란젓, 된장, 간장게장 국물,, 팽이버섯, 알배추, 라이스페이퍼, 애호박, 블랙트러플 절임,, 청귤청, 그린스리라차 소스, 참기름, 막걸리, 소금,, 튀김가루, 참기름, 양파, 홍고추, 고추, 설탕, ,</v>
      </c>
    </row>
    <row r="817">
      <c r="A817" s="2" t="str">
        <f>recipe!C817
</f>
        <v>오골계 국밥</v>
      </c>
      <c r="B817" s="1" t="str">
        <f>IFERROR(__xludf.DUMMYFUNCTION("TRIM(
  SUBSTITUTE(
    REGEXEXTRACT(raw!A817, ""(?s)재료\s*(.*?)●\s*조리\s*방법""),
    CHAR(10), "", ""
  )
)
"),"오골계, 전복, 된장, 조림 간장, 알배추,, 소금, 대파, 양파, 설탕, 즉석밥, 청양고추,, 홍고추, 마늘, 고춧가루, ,")</f>
        <v>오골계, 전복, 된장, 조림 간장, 알배추,, 소금, 대파, 양파, 설탕, 즉석밥, 청양고추,, 홍고추, 마늘, 고춧가루, ,</v>
      </c>
    </row>
    <row r="818">
      <c r="A818" s="2" t="str">
        <f>recipe!C818
</f>
        <v>바비큐 Baby~♬</v>
      </c>
      <c r="B818" s="1" t="str">
        <f>IFERROR(__xludf.DUMMYFUNCTION("TRIM(
  SUBSTITUTE(
    REGEXEXTRACT(raw!A818, ""(?s)재료\s*(.*?)●\s*조리\s*방법""),
    CHAR(10), "", ""
  )
)
"),"통삼겹살, 굴소스, 브로콜리, 팽이버섯,, 발사믹 식초, 그린스리라차 소스, 설탕, 소금,, 전분, 대파, 홍고추, 고추양파, 마늘, 다진생강,, 간장, 케첩, 레몬, ,")</f>
        <v>통삼겹살, 굴소스, 브로콜리, 팽이버섯,, 발사믹 식초, 그린스리라차 소스, 설탕, 소금,, 전분, 대파, 홍고추, 고추양파, 마늘, 다진생강,, 간장, 케첩, 레몬, ,</v>
      </c>
    </row>
    <row r="819">
      <c r="A819" s="2" t="str">
        <f>recipe!C819
</f>
        <v>이 돼지의 끝을 잡고♬</v>
      </c>
      <c r="B819" s="1" t="str">
        <f>IFERROR(__xludf.DUMMYFUNCTION("TRIM(
  SUBSTITUTE(
    REGEXEXTRACT(raw!A819, ""(?s)재료\s*(.*?)●\s*조리\s*방법""),
    CHAR(10), "", ""
  )
)
"),"돼지 앞다리살, 낙지젓, 명란젓, 된장, 국간장,, 매실청, 부추, 그린스리라차 소스, 참기름, 양파 드레싱,, 올리브오일참기름, 된장, 다진마늘, 다진생강, 국간장, 맛술,, 물엿, 양파, 마늘, 고추, 대파, 달걀, 즉석밥, 레몬즙, 식초, 통깨, ,")</f>
        <v>돼지 앞다리살, 낙지젓, 명란젓, 된장, 국간장,, 매실청, 부추, 그린스리라차 소스, 참기름, 양파 드레싱,, 올리브오일참기름, 된장, 다진마늘, 다진생강, 국간장, 맛술,, 물엿, 양파, 마늘, 고추, 대파, 달걀, 즉석밥, 레몬즙, 식초, 통깨, ,</v>
      </c>
    </row>
    <row r="820">
      <c r="A820" s="2" t="str">
        <f>recipe!C820
</f>
        <v>꽃게찜 했다♬</v>
      </c>
      <c r="B820" s="1" t="str">
        <f>IFERROR(__xludf.DUMMYFUNCTION("TRIM(
  SUBSTITUTE(
    REGEXEXTRACT(raw!A820, ""(?s)재료\s*(.*?)●\s*조리\s*방법""),
    CHAR(10), "", ""
  )
)
"),"꽃게, 굴, 전복, 우유, 양송이버섯, 표고버섯,, 굴소스, 트러플소스, 고수, 날치알, 해물육수팩,, 파르메산 치즈가루, 토마토, 베트남고추, 달걀,, 버터, 밀가루, 양파, 후추, 소금, 간장, 맛술, 전분, ,")</f>
        <v>꽃게, 굴, 전복, 우유, 양송이버섯, 표고버섯,, 굴소스, 트러플소스, 고수, 날치알, 해물육수팩,, 파르메산 치즈가루, 토마토, 베트남고추, 달걀,, 버터, 밀가루, 양파, 후추, 소금, 간장, 맛술, 전분, ,</v>
      </c>
    </row>
    <row r="821">
      <c r="A821" s="2" t="str">
        <f>recipe!C821
</f>
        <v>씨푸드파이터</v>
      </c>
      <c r="B821" s="1" t="str">
        <f>IFERROR(__xludf.DUMMYFUNCTION("TRIM(
  SUBSTITUTE(
    REGEXEXTRACT(raw!A821, ""(?s)재료\s*(.*?)●\s*조리\s*방법""),
    CHAR(10), "", ""
  )
)
"),"매생이, 전복, 굴, 낙지, 사과, 토마토, 석류,, 고수, 애호박, 우유, 유자청, 샐러드 채소,, 벌화분, 맥주달걀, 소금, 밀가루, 버터, 후추,, 올리브오일, 레몬, 양파, 청양고추, 마늘, ,")</f>
        <v>매생이, 전복, 굴, 낙지, 사과, 토마토, 석류,, 고수, 애호박, 우유, 유자청, 샐러드 채소,, 벌화분, 맥주달걀, 소금, 밀가루, 버터, 후추,, 올리브오일, 레몬, 양파, 청양고추, 마늘, ,</v>
      </c>
    </row>
    <row r="822">
      <c r="A822" s="2" t="str">
        <f>recipe!C822
</f>
        <v>고수의 고수</v>
      </c>
      <c r="B822" s="1" t="str">
        <f>IFERROR(__xludf.DUMMYFUNCTION("TRIM(
  SUBSTITUTE(
    REGEXEXTRACT(raw!A822, ""(?s)재료\s*(.*?)●\s*조리\s*방법""),
    CHAR(10), "", ""
  )
)
"),"고수, 살치살, 감자, 바질페스토, 양송이버섯,, 표고버섯, 느타리버섯, 석류, 망고, 쌀겨가루,, 트러플소스마늘, 소금, 후추, 올리브오일, 달걀,, 레몬, 밀가루, 식초, 설탕, ,")</f>
        <v>고수, 살치살, 감자, 바질페스토, 양송이버섯,, 표고버섯, 느타리버섯, 석류, 망고, 쌀겨가루,, 트러플소스마늘, 소금, 후추, 올리브오일, 달걀,, 레몬, 밀가루, 식초, 설탕, ,</v>
      </c>
    </row>
    <row r="823">
      <c r="A823" s="2" t="str">
        <f>recipe!C823
</f>
        <v>고수테이크</v>
      </c>
      <c r="B823" s="1" t="str">
        <f>IFERROR(__xludf.DUMMYFUNCTION("TRIM(
  SUBSTITUTE(
    REGEXEXTRACT(raw!A823, ""(?s)재료\s*(.*?)●\s*조리\s*방법""),
    CHAR(10), "", ""
  )
)
"),"고수, 대패삼겹살, 살치살, 트러플소스, 토마토,, 망고, 양송이버섯, 바질페스토, 슬라이스 치즈,, 닭가슴살 소시지, 냉이, 우유전분, 후추, 소금,, 올리브오일, 버터, 와인, 대파, 양파, 밀가루, ,")</f>
        <v>고수, 대패삼겹살, 살치살, 트러플소스, 토마토,, 망고, 양송이버섯, 바질페스토, 슬라이스 치즈,, 닭가슴살 소시지, 냉이, 우유전분, 후추, 소금,, 올리브오일, 버터, 와인, 대파, 양파, 밀가루, ,</v>
      </c>
    </row>
    <row r="824">
      <c r="A824" s="2" t="str">
        <f>recipe!C824
</f>
        <v>소울 담아 구워 드림</v>
      </c>
      <c r="B824" s="1" t="str">
        <f>IFERROR(__xludf.DUMMYFUNCTION("TRIM(
  SUBSTITUTE(
    REGEXEXTRACT(raw!A824, ""(?s)재료\s*(.*?)●\s*조리\s*방법""),
    CHAR(10), "", ""
  )
)
"),"등갈비, 갈치, 닭다리살, 쯔유, 레몬청,, 마늘종, 굴소스, 파프리카, 알배추, 애호박,, 표고버섯, 쌀, 설탕, 간장, 레몬 대파, 고추,, 양파, 마늘, 고춧가루, 당근, 고추장, 들기름, ,")</f>
        <v>등갈비, 갈치, 닭다리살, 쯔유, 레몬청,, 마늘종, 굴소스, 파프리카, 알배추, 애호박,, 표고버섯, 쌀, 설탕, 간장, 레몬 대파, 고추,, 양파, 마늘, 고춧가루, 당근, 고추장, 들기름, ,</v>
      </c>
    </row>
    <row r="825">
      <c r="A825" s="2" t="str">
        <f>recipe!C825
</f>
        <v>별난 스테이크</v>
      </c>
      <c r="B825" s="1" t="str">
        <f>IFERROR(__xludf.DUMMYFUNCTION("TRIM(
  SUBSTITUTE(
    REGEXEXTRACT(raw!A825, ""(?s)재료\s*(.*?)●\s*조리\s*방법""),
    CHAR(10), "", ""
  )
)
"),"소고기 안심, 연어, 새우, 말린 국화, 아보카도,, 바비큐소스, 시금치, 베트남고추, 로제소스,, 양송이버섯, 마늘, 대파, 레몬간장, 물엿, 소금,, 후추, 올리브오일, 양파, 화이트와인, ,")</f>
        <v>소고기 안심, 연어, 새우, 말린 국화, 아보카도,, 바비큐소스, 시금치, 베트남고추, 로제소스,, 양송이버섯, 마늘, 대파, 레몬간장, 물엿, 소금,, 후추, 올리브오일, 양파, 화이트와인, ,</v>
      </c>
    </row>
    <row r="826">
      <c r="A826" s="2" t="str">
        <f>recipe!C826
</f>
        <v>하얀 닭발이라고~ 까만 닭발이라고♬</v>
      </c>
      <c r="B826" s="1" t="str">
        <f>IFERROR(__xludf.DUMMYFUNCTION("TRIM(
  SUBSTITUTE(
    REGEXEXTRACT(raw!A826, ""(?s)재료\s*(.*?)●\s*조리\s*방법""),
    CHAR(10), "", ""
  )
)
"),"닭발, 베트남고추, 콜라, 마늘종, 콩나물,, 들깻가루, 꿀, 매실청, 굴소스, 치킨스톡,, 소금, 마늘, 맛술, 청주, 간장, 다진생강,, 전분, 고춧가루, 참기름, ,")</f>
        <v>닭발, 베트남고추, 콜라, 마늘종, 콩나물,, 들깻가루, 꿀, 매실청, 굴소스, 치킨스톡,, 소금, 마늘, 맛술, 청주, 간장, 다진생강,, 전분, 고춧가루, 참기름, ,</v>
      </c>
    </row>
    <row r="827">
      <c r="A827" s="2" t="str">
        <f>recipe!C827
</f>
        <v>닭발라드</v>
      </c>
      <c r="B827" s="1" t="str">
        <f>IFERROR(__xludf.DUMMYFUNCTION("TRIM(
  SUBSTITUTE(
    REGEXEXTRACT(raw!A827, ""(?s)재료\s*(.*?)●\s*조리\s*방법""),
    CHAR(10), "", ""
  )
)
"),"닭발, 라조장, 표고버섯, 만가닥버섯, 마늘종,, 굴소스, 간장, 다진 생강, 대파, 마늘, 고춧가루,, 홍고추, 청양고추, 양파, 설탕, 튀김가루, 들기름, ,")</f>
        <v>닭발, 라조장, 표고버섯, 만가닥버섯, 마늘종,, 굴소스, 간장, 다진 생강, 대파, 마늘, 고춧가루,, 홍고추, 청양고추, 양파, 설탕, 튀김가루, 들기름, ,</v>
      </c>
    </row>
    <row r="828">
      <c r="A828" s="2" t="str">
        <f>recipe!C828
</f>
        <v>양갈비~ Save Us♬</v>
      </c>
      <c r="B828" s="1" t="str">
        <f>IFERROR(__xludf.DUMMYFUNCTION("TRIM(
  SUBSTITUTE(
    REGEXEXTRACT(raw!A828, ""(?s)재료\s*(.*?)●\s*조리\s*방법""),
    CHAR(10), "", ""
  )
)
"),"양갈비, 귀리우유, 미숫가루, 낙지,, 데리야키소스, 찜닭소스, 자숙새우, 매생이,, 굴소스, 초콜릿시럽, 허니머스터드 소스, 토마토,, 복분자원액, 복분자퓌레, 레드와인, 다진마늘, 양파,, 후추, 밀가루, 올리브오일, 대파, 즉석밥, 버터, 올리브오일, ,")</f>
        <v>양갈비, 귀리우유, 미숫가루, 낙지,, 데리야키소스, 찜닭소스, 자숙새우, 매생이,, 굴소스, 초콜릿시럽, 허니머스터드 소스, 토마토,, 복분자원액, 복분자퓌레, 레드와인, 다진마늘, 양파,, 후추, 밀가루, 올리브오일, 대파, 즉석밥, 버터, 올리브오일, ,</v>
      </c>
    </row>
    <row r="829">
      <c r="A829" s="2" t="str">
        <f>recipe!C829
</f>
        <v>황도 스피릿</v>
      </c>
      <c r="B829" s="1" t="str">
        <f>IFERROR(__xludf.DUMMYFUNCTION("TRIM(
  SUBSTITUTE(
    REGEXEXTRACT(raw!A829, ""(?s)재료\s*(.*?)●\s*조리\s*방법""),
    CHAR(10), "", ""
  )
)
"),"쌀식빵, 통조림 황도, 블루베리, 코코넛시럽,, 초콜릿시럽, 장미꽃잼, 양상추, 배도라지즙, 딸기,, 복분자원액, 휘핑크림, 복분자퓌레, 설탕, 레몬, 전분, ,")</f>
        <v>쌀식빵, 통조림 황도, 블루베리, 코코넛시럽,, 초콜릿시럽, 장미꽃잼, 양상추, 배도라지즙, 딸기,, 복분자원액, 휘핑크림, 복분자퓌레, 설탕, 레몬, 전분, ,</v>
      </c>
    </row>
    <row r="830">
      <c r="A830" s="2" t="str">
        <f>recipe!C830
</f>
        <v>고샌 끝에 낙이 온다</v>
      </c>
      <c r="B830" s="1" t="str">
        <f>IFERROR(__xludf.DUMMYFUNCTION("TRIM(
  SUBSTITUTE(
    REGEXEXTRACT(raw!A830, ""(?s)재료\s*(.*?)●\s*조리\s*방법""),
    CHAR(10), "", ""
  )
)
"),"쌀식빵, 고등어, 자숙새우, 낙지, 토마토,, 사과, 통조림 황도, 유자조청, 굴소스,, 데리야키소스, 양파, 식초, 고춧가루, 참기름,, 후추, 소금, 달걀, 올리브오일, 레몬, 대파, 마늘,, 청양고추, 물엿, 마요네즈, 깨, ,")</f>
        <v>쌀식빵, 고등어, 자숙새우, 낙지, 토마토,, 사과, 통조림 황도, 유자조청, 굴소스,, 데리야키소스, 양파, 식초, 고춧가루, 참기름,, 후추, 소금, 달걀, 올리브오일, 레몬, 대파, 마늘,, 청양고추, 물엿, 마요네즈, 깨, ,</v>
      </c>
    </row>
    <row r="831">
      <c r="A831" s="2" t="str">
        <f>recipe!C831
</f>
        <v>내가 이길 거고등</v>
      </c>
      <c r="B831" s="1" t="str">
        <f>IFERROR(__xludf.DUMMYFUNCTION("TRIM(
  SUBSTITUTE(
    REGEXEXTRACT(raw!A831, ""(?s)재료\s*(.*?)●\s*조리\s*방법""),
    CHAR(10), "", ""
  )
)
"),"쌀식빵, 고등어, 복분자즙, 통조림 황도,, 통조림 골뱅이, 토마토, 사과, 자숙새우,, 낙지, 양상추, 복분자퓌레, 달걀, 소금, 설탕,, 청주, 맛술, 간장, 후추, 밀가루, 기름, 올리브오일,, 식초, 양파, 레몬, 마요네즈, ,")</f>
        <v>쌀식빵, 고등어, 복분자즙, 통조림 황도,, 통조림 골뱅이, 토마토, 사과, 자숙새우,, 낙지, 양상추, 복분자퓌레, 달걀, 소금, 설탕,, 청주, 맛술, 간장, 후추, 밀가루, 기름, 올리브오일,, 식초, 양파, 레몬, 마요네즈, ,</v>
      </c>
    </row>
    <row r="832">
      <c r="A832" s="2" t="str">
        <f>recipe!C832
</f>
        <v>파짱쫀</v>
      </c>
      <c r="B832" s="1" t="str">
        <f>IFERROR(__xludf.DUMMYFUNCTION("TRIM(
  SUBSTITUTE(
    REGEXEXTRACT(raw!A832, ""(?s)재료\s*(.*?)●\s*조리\s*방법""),
    CHAR(10), "", ""
  )
)
"),"불고기용 소고기, 까나리액젓, 라이스페이퍼,, 쯔유, 굴소스, 삶은 돼지껍질, 모과청, 들기름,, 비빔간장, 대파, 고춧가루, 전분, 달걀, 식초, 레몬, ,")</f>
        <v>불고기용 소고기, 까나리액젓, 라이스페이퍼,, 쯔유, 굴소스, 삶은 돼지껍질, 모과청, 들기름,, 비빔간장, 대파, 고춧가루, 전분, 달걀, 식초, 레몬, ,</v>
      </c>
    </row>
    <row r="833">
      <c r="A833" s="2" t="str">
        <f>recipe!C833
</f>
        <v>대파 Two</v>
      </c>
      <c r="B833" s="1" t="str">
        <f>IFERROR(__xludf.DUMMYFUNCTION("TRIM(
  SUBSTITUTE(
    REGEXEXTRACT(raw!A833, ""(?s)재료\s*(.*?)●\s*조리\s*방법""),
    CHAR(10), "", ""
  )
)
"),"소고기 등심, 삼치, 관자, 삶은 전복, 삶은 문어,, 자숙새우, 멸치육수, 건새우, 국물용 멸치, 밴댕이(디포리),, 파뿌리북어대가리, 마늘장아찌, 매실청, 까나리액젓,, 국간장, 쯔유, 통후추, 맛술, 대파, 소금, 전분, 달걀,, 된장, 다진마늘, 참기름고춧가루, 청양고추, ,")</f>
        <v>소고기 등심, 삼치, 관자, 삶은 전복, 삶은 문어,, 자숙새우, 멸치육수, 건새우, 국물용 멸치, 밴댕이(디포리),, 파뿌리북어대가리, 마늘장아찌, 매실청, 까나리액젓,, 국간장, 쯔유, 통후추, 맛술, 대파, 소금, 전분, 달걀,, 된장, 다진마늘, 참기름고춧가루, 청양고추, ,</v>
      </c>
    </row>
    <row r="834">
      <c r="A834" s="2" t="str">
        <f>recipe!C834
</f>
        <v>오~ 김치 코리아♬</v>
      </c>
      <c r="B834" s="1" t="str">
        <f>IFERROR(__xludf.DUMMYFUNCTION("TRIM(
  SUBSTITUTE(
    REGEXEXTRACT(raw!A834, ""(?s)재료\s*(.*?)●\s*조리\s*방법""),
    CHAR(10), "", ""
  )
)
"),"불고기용 소고기, 소고기 등심, 전복, 관자,, 자숙새우, 주꾸미, 삶은 문어, 멸치육수, 굴소스,, 쯔유, 고수, 밴댕이(디포리), 북어대가리, 건새우,, 배추김치, 대파, 맛술, 다진생강, 전분, 청양고추,, 고춧가루, 설탕, 참기름, ,")</f>
        <v>불고기용 소고기, 소고기 등심, 전복, 관자,, 자숙새우, 주꾸미, 삶은 문어, 멸치육수, 굴소스,, 쯔유, 고수, 밴댕이(디포리), 북어대가리, 건새우,, 배추김치, 대파, 맛술, 다진생강, 전분, 청양고추,, 고춧가루, 설탕, 참기름, ,</v>
      </c>
    </row>
    <row r="835">
      <c r="A835" s="2" t="str">
        <f>recipe!C835
</f>
        <v>나 백숙 할래♬</v>
      </c>
      <c r="B835" s="1" t="str">
        <f>IFERROR(__xludf.DUMMYFUNCTION("TRIM(
  SUBSTITUTE(
    REGEXEXTRACT(raw!A835, ""(?s)재료\s*(.*?)●\s*조리\s*방법""),
    CHAR(10), "", ""
  )
)
"),"소고기 등심, 전복, 관자, 주꾸미, 삶은 문어,, 누룽지, 홍삼진액, 고수, 현미식초, 배추김치,, 멸치육수, 자숙새우, 버터간장, 참기름, 양파,, 대파, 식초, 설탕, 마늘, 홍고추, 청양고추,, 참기름, 고춧가루, 연겨자, 통깨, ,")</f>
        <v>소고기 등심, 전복, 관자, 주꾸미, 삶은 문어,, 누룽지, 홍삼진액, 고수, 현미식초, 배추김치,, 멸치육수, 자숙새우, 버터간장, 참기름, 양파,, 대파, 식초, 설탕, 마늘, 홍고추, 청양고추,, 참기름, 고춧가루, 연겨자, 통깨, ,</v>
      </c>
    </row>
    <row r="836">
      <c r="A836" s="2" t="str">
        <f>recipe!C836
</f>
        <v>맵다고 가지 마라</v>
      </c>
      <c r="B836" s="1" t="str">
        <f>IFERROR(__xludf.DUMMYFUNCTION("TRIM(
  SUBSTITUTE(
    REGEXEXTRACT(raw!A836, ""(?s)재료\s*(.*?)●\s*조리\s*방법""),
    CHAR(10), "", ""
  )
)
"),"삼겹살, 대패삼겹살, 자숙새우, 가지, 춘장,, 표고버섯, 양송이버섯, 굴소스, 생강, 그린올리브,, 알배추, 마라탕 소스,매운 김치, 중국당면, 고수,, 애호박, 쯔유, XO소스, 태국고추, 대파, 고춧가루,, 다진생강, 맛술, 전분, 달걀, 양파, 설탕, 식초, 소금, ,")</f>
        <v>삼겹살, 대패삼겹살, 자숙새우, 가지, 춘장,, 표고버섯, 양송이버섯, 굴소스, 생강, 그린올리브,, 알배추, 마라탕 소스,매운 김치, 중국당면, 고수,, 애호박, 쯔유, XO소스, 태국고추, 대파, 고춧가루,, 다진생강, 맛술, 전분, 달걀, 양파, 설탕, 식초, 소금, ,</v>
      </c>
    </row>
    <row r="837">
      <c r="A837" s="2" t="str">
        <f>recipe!C837
</f>
        <v>보헤미안 앤초비</v>
      </c>
      <c r="B837" s="1" t="str">
        <f>IFERROR(__xludf.DUMMYFUNCTION("TRIM(
  SUBSTITUTE(
    REGEXEXTRACT(raw!A837, ""(?s)재료\s*(.*?)●\s*조리\s*방법""),
    CHAR(10), "", ""
  )
)
"),"소 안심, 다진 소고기, 표고버섯, 허브양념새우,, 똠얌꿍소스, 태국고추, 고수, 브로콜리, 앤초비,, 그린올리브, 배, 생강, 파스타면, 바비큐소스,, 중국고춧가루, 올리브오일, 양파, 마늘, 밀가루, 후추, 소금, ,")</f>
        <v>소 안심, 다진 소고기, 표고버섯, 허브양념새우,, 똠얌꿍소스, 태국고추, 고수, 브로콜리, 앤초비,, 그린올리브, 배, 생강, 파스타면, 바비큐소스,, 중국고춧가루, 올리브오일, 양파, 마늘, 밀가루, 후추, 소금, ,</v>
      </c>
    </row>
    <row r="838">
      <c r="A838" s="2" t="str">
        <f>recipe!C838
</f>
        <v>생강나는 장어</v>
      </c>
      <c r="B838" s="1" t="str">
        <f>IFERROR(__xludf.DUMMYFUNCTION("TRIM(
  SUBSTITUTE(
    REGEXEXTRACT(raw!A838, ""(?s)재료\s*(.*?)●\s*조리\s*방법""),
    CHAR(10), "", ""
  )
)
"),"장어, 생강, 쯔유, 베트남고추소스, 굴소스,, 알배추, 고수, 마라소스, 중국고춧가루,, 청양고춧가루, 하바네로 핫소스, 다진생강,, 대파, 간장, 맛술, 설탕, 식초, 전분, ,")</f>
        <v>장어, 생강, 쯔유, 베트남고추소스, 굴소스,, 알배추, 고수, 마라소스, 중국고춧가루,, 청양고춧가루, 하바네로 핫소스, 다진생강,, 대파, 간장, 맛술, 설탕, 식초, 전분, ,</v>
      </c>
    </row>
    <row r="839">
      <c r="A839" s="2" t="str">
        <f>recipe!C839
</f>
        <v>매워도 안심하으~리</v>
      </c>
      <c r="B839" s="1" t="str">
        <f>IFERROR(__xludf.DUMMYFUNCTION("TRIM(
  SUBSTITUTE(
    REGEXEXTRACT(raw!A839, ""(?s)재료\s*(.*?)●\s*조리\s*방법""),
    CHAR(10), "", ""
  )
)
"),"소 안심, 표고버섯, XO소스, 마라소스, 굴,, 우렁이, 중국고춧가루, 고추기름, 태국고추,, 감자, 생강, 허브양념새우, 앤초비, 그린올리브,, 토마토, 사과, 파인애플, 요구르트, 플레인요거트,, 대파, 소금, 후추, 청양고추, 홍고추, 전분, 양파, ,")</f>
        <v>소 안심, 표고버섯, XO소스, 마라소스, 굴,, 우렁이, 중국고춧가루, 고추기름, 태국고추,, 감자, 생강, 허브양념새우, 앤초비, 그린올리브,, 토마토, 사과, 파인애플, 요구르트, 플레인요거트,, 대파, 소금, 후추, 청양고추, 홍고추, 전분, 양파, ,</v>
      </c>
    </row>
    <row r="840">
      <c r="A840" s="2" t="str">
        <f>recipe!C840
</f>
        <v>참치 먹고 싶은 사람? 하이!</v>
      </c>
      <c r="B840" s="1" t="str">
        <f>IFERROR(__xludf.DUMMYFUNCTION("TRIM(
  SUBSTITUTE(
    REGEXEXTRACT(raw!A840, ""(?s)재료\s*(.*?)●\s*조리\s*방법""),
    CHAR(10), "", ""
  )
)
"),"참치, 소 앞다릿살, 알배추, 시금치,, 오코노미야키 소스, 유자폰즈소스, 미소,, 아보카도, 불고기소스, 가쓰오부시, 팽이버섯,, 양송이버섯, 양배추, 채소육수팩, 우동면, 명란젓,, 대파, 양파, 전분, 다진 생강, 맛술, 간장,, 레몬즙, 설탕, 고춧가루, 다진 마늘, 소금, ,")</f>
        <v>참치, 소 앞다릿살, 알배추, 시금치,, 오코노미야키 소스, 유자폰즈소스, 미소,, 아보카도, 불고기소스, 가쓰오부시, 팽이버섯,, 양송이버섯, 양배추, 채소육수팩, 우동면, 명란젓,, 대파, 양파, 전분, 다진 생강, 맛술, 간장,, 레몬즙, 설탕, 고춧가루, 다진 마늘, 소금, ,</v>
      </c>
    </row>
    <row r="841">
      <c r="A841" s="2" t="str">
        <f>recipe!C841
</f>
        <v>추풍낙엽</v>
      </c>
      <c r="B841" s="1" t="str">
        <f>IFERROR(__xludf.DUMMYFUNCTION("TRIM(
  SUBSTITUTE(
    REGEXEXTRACT(raw!A841, ""(?s)재료\s*(.*?)●\s*조리\s*방법""),
    CHAR(10), "", ""
  )
)
"),"소 앞다릿살, 우동면, 유자폰즈소스, 쯔유,, 토마토, 팽이버섯, 잣, 알배추, 파인애플, 꿀,, 식초, 설탕, 소금, 대파, 간장, 달걀, 전분,, 다진 마늘, 고춧가루, 기름, ,")</f>
        <v>소 앞다릿살, 우동면, 유자폰즈소스, 쯔유,, 토마토, 팽이버섯, 잣, 알배추, 파인애플, 꿀,, 식초, 설탕, 소금, 대파, 간장, 달걀, 전분,, 다진 마늘, 고춧가루, 기름, ,</v>
      </c>
    </row>
    <row r="842">
      <c r="A842" s="2" t="str">
        <f>recipe!C842
</f>
        <v>가슴속에 차오르는 연~어♬</v>
      </c>
      <c r="B842" s="1" t="str">
        <f>IFERROR(__xludf.DUMMYFUNCTION("TRIM(
  SUBSTITUTE(
    REGEXEXTRACT(raw!A842, ""(?s)재료\s*(.*?)●\s*조리\s*방법""),
    CHAR(10), "", ""
  )
)
"),"연어, 양송이버섯, 애호박, 파프리카, 고구마,, 닭가슴살, 파인애플, 토마토파스타 소스,, 파르메산 치즈, 알프레도파스타 소스, 발사믹크림,, 시금치, 아보카도, 잣, 바나나, 마늘, 올리브오일,, 소금, 후추, 버터, 기름, 양파, 레몬, 다진 마늘, ,")</f>
        <v>연어, 양송이버섯, 애호박, 파프리카, 고구마,, 닭가슴살, 파인애플, 토마토파스타 소스,, 파르메산 치즈, 알프레도파스타 소스, 발사믹크림,, 시금치, 아보카도, 잣, 바나나, 마늘, 올리브오일,, 소금, 후추, 버터, 기름, 양파, 레몬, 다진 마늘, ,</v>
      </c>
    </row>
    <row r="843">
      <c r="A843" s="2" t="str">
        <f>recipe!C843
</f>
        <v>베이징닭</v>
      </c>
      <c r="B843" s="1" t="str">
        <f>IFERROR(__xludf.DUMMYFUNCTION("TRIM(
  SUBSTITUTE(
    REGEXEXTRACT(raw!A843, ""(?s)재료\s*(.*?)●\s*조리\s*방법""),
    CHAR(10), "", ""
  )
)
"),"생닭, 오코노미야키 소스, 미소, 가쓰오부시,, 알배추, 셀러리, 파프리카, 화이트와인,, 스키야키 소스, 콤부차, 채소육수팩, 식빵,, 잣, 생강, 데미글라스 소스, 참깨드레싱, 설탕, 간장,, 마늘, 전분, 대파, 당근, 맛술, 식초, 고춧가루, ,")</f>
        <v>생닭, 오코노미야키 소스, 미소, 가쓰오부시,, 알배추, 셀러리, 파프리카, 화이트와인,, 스키야키 소스, 콤부차, 채소육수팩, 식빵,, 잣, 생강, 데미글라스 소스, 참깨드레싱, 설탕, 간장,, 마늘, 전분, 대파, 당근, 맛술, 식초, 고춧가루, ,</v>
      </c>
    </row>
    <row r="844">
      <c r="A844" s="2" t="str">
        <f>recipe!C844
</f>
        <v>나의 사랑 나의 김치</v>
      </c>
      <c r="B844" s="1" t="str">
        <f>IFERROR(__xludf.DUMMYFUNCTION("TRIM(
  SUBSTITUTE(
    REGEXEXTRACT(raw!A844, ""(?s)재료\s*(.*?)●\s*조리\s*방법""),
    CHAR(10), "", ""
  )
)
"),"배추김치, 총각김치, 인스턴트 곰탕,, 멸치육수, 맛간장, 꽃게, 황태, 무말랭이,, 고춧가루, 들기름, 국물용 조미료, 두부,, 콩가루, 표고버섯, 콩나물, 고춧가루, 설탕,, 고추장, 전분, 달걀, 다진 마늘, 깨, ,")</f>
        <v>배추김치, 총각김치, 인스턴트 곰탕,, 멸치육수, 맛간장, 꽃게, 황태, 무말랭이,, 고춧가루, 들기름, 국물용 조미료, 두부,, 콩가루, 표고버섯, 콩나물, 고춧가루, 설탕,, 고추장, 전분, 달걀, 다진 마늘, 깨, ,</v>
      </c>
    </row>
    <row r="845">
      <c r="A845" s="2" t="str">
        <f>recipe!C845
</f>
        <v>랄라라♬ 김치라고</v>
      </c>
      <c r="B845" s="1" t="str">
        <f>IFERROR(__xludf.DUMMYFUNCTION("TRIM(
  SUBSTITUTE(
    REGEXEXTRACT(raw!A845, ""(?s)재료\s*(.*?)●\s*조리\s*방법""),
    CHAR(10), "", ""
  )
)
"),"배추김치, 총각김치, 낙지, 콩나물, 두부,, 미소, 들기름, 다마리 간장, 낫토, 느타리버섯,, 표고버섯, 쪽파, 삼겹살, 멸치육수, 대파, 청양고추,, 참기름, 깨, 달걀, 고춧가루, 설탕, ,")</f>
        <v>배추김치, 총각김치, 낙지, 콩나물, 두부,, 미소, 들기름, 다마리 간장, 낫토, 느타리버섯,, 표고버섯, 쪽파, 삼겹살, 멸치육수, 대파, 청양고추,, 참기름, 깨, 달걀, 고춧가루, 설탕, ,</v>
      </c>
    </row>
    <row r="846">
      <c r="A846" s="2" t="str">
        <f>recipe!C846
</f>
        <v>투면스</v>
      </c>
      <c r="B846" s="1" t="str">
        <f>IFERROR(__xludf.DUMMYFUNCTION("TRIM(
  SUBSTITUTE(
    REGEXEXTRACT(raw!A846, ""(?s)재료\s*(.*?)●\s*조리\s*방법""),
    CHAR(10), "", ""
  )
)
"),"삼겹살, 깻잎, 콩나물, 들기름, 참치액, 굴소스,, 표고버섯, 느타리버섯, 국물용 조미료, 새우, 꽃게,, 밀가루, 전분, 식용유, 대파, 다진 마늘, 고춧가루, ,")</f>
        <v>삼겹살, 깻잎, 콩나물, 들기름, 참치액, 굴소스,, 표고버섯, 느타리버섯, 국물용 조미료, 새우, 꽃게,, 밀가루, 전분, 식용유, 대파, 다진 마늘, 고춧가루, ,</v>
      </c>
    </row>
    <row r="847">
      <c r="A847" s="2" t="str">
        <f>recipe!C847
</f>
        <v>레이면킹</v>
      </c>
      <c r="B847" s="1" t="str">
        <f>IFERROR(__xludf.DUMMYFUNCTION("TRIM(
  SUBSTITUTE(
    REGEXEXTRACT(raw!A847, ""(?s)재료\s*(.*?)●\s*조리\s*방법""),
    CHAR(10), "", ""
  )
)
"),"매생이, 표고버섯, 느타리버섯, 멸치액젓, 들기름,, 다마리 간장, 맛간장, 인스턴트 멸치다시마 육수,, 국물용 조미료, 황태, 멸치육수, 쪽파, 사과, 무,, 밀가루, 맛술, 대파, 청양고추, 소금, 깨, 식초, 양파,, 즉석밥, 다진 생강, 다진 마늘, ,")</f>
        <v>매생이, 표고버섯, 느타리버섯, 멸치액젓, 들기름,, 다마리 간장, 맛간장, 인스턴트 멸치다시마 육수,, 국물용 조미료, 황태, 멸치육수, 쪽파, 사과, 무,, 밀가루, 맛술, 대파, 청양고추, 소금, 깨, 식초, 양파,, 즉석밥, 다진 생강, 다진 마늘, ,</v>
      </c>
    </row>
    <row r="848">
      <c r="A848" s="2" t="str">
        <f>recipe!C848
</f>
        <v>해선만복</v>
      </c>
      <c r="B848" s="1" t="str">
        <f>IFERROR(__xludf.DUMMYFUNCTION("TRIM(
  SUBSTITUTE(
    REGEXEXTRACT(raw!A848, ""(?s)재료\s*(.*?)●\s*조리\s*방법""),
    CHAR(10), "", ""
  )
)
"),"새우, 관자, 삶은 문어, 주꾸미, 오징어,, 전복, 게살, 오디, 마파소스, 라임청,, 파프리카, 송이버섯, 그린빈, 브로콜리,, 잣, 대파, 양파, 전분, 소금, 달걀, 밀가루,, 된장, 마늘, 설탕, 청양고추, 간장, ,")</f>
        <v>새우, 관자, 삶은 문어, 주꾸미, 오징어,, 전복, 게살, 오디, 마파소스, 라임청,, 파프리카, 송이버섯, 그린빈, 브로콜리,, 잣, 대파, 양파, 전분, 소금, 달걀, 밀가루,, 된장, 마늘, 설탕, 청양고추, 간장, ,</v>
      </c>
    </row>
    <row r="849">
      <c r="A849" s="2" t="str">
        <f>recipe!C849
</f>
        <v>저 빠다에 누워♬</v>
      </c>
      <c r="B849" s="1" t="str">
        <f>IFERROR(__xludf.DUMMYFUNCTION("TRIM(
  SUBSTITUTE(
    REGEXEXTRACT(raw!A849, ""(?s)재료\s*(.*?)●\s*조리\s*방법""),
    CHAR(10), "", ""
  )
)
"),"오징어, 관자, 전복, 주꾸미, 삶은 문어, 게살,, 꽈리고추, 셀러리, 이탈리안 파슬리, 삼발 올렉,, 스리라차소스, 파인애플, 미니 파프리카,, 쌀국수볶음소스, 고수, 대파, 달걀, 버터, 소금,, 홍고추, 간장, 다진마늘, 설탕, 전분, 참기름, ,")</f>
        <v>오징어, 관자, 전복, 주꾸미, 삶은 문어, 게살,, 꽈리고추, 셀러리, 이탈리안 파슬리, 삼발 올렉,, 스리라차소스, 파인애플, 미니 파프리카,, 쌀국수볶음소스, 고수, 대파, 달걀, 버터, 소금,, 홍고추, 간장, 다진마늘, 설탕, 전분, 참기름, ,</v>
      </c>
    </row>
    <row r="850">
      <c r="A850" s="2" t="str">
        <f>recipe!C850
</f>
        <v>날아라 슈퍼푸드</v>
      </c>
      <c r="B850" s="1" t="str">
        <f>IFERROR(__xludf.DUMMYFUNCTION("TRIM(
  SUBSTITUTE(
    REGEXEXTRACT(raw!A850, ""(?s)재료\s*(.*?)●\s*조리\s*방법""),
    CHAR(10), "", ""
  )
)
"),"소 안심, 다진 소고기, 리코타 치즈,, 생모차렐라 치즈, 강황가루, 강황물, 송이버섯,, 파프리카, 케일, 토란, 유자드레싱, 아로니아가루,, 사과, 닭가슴살, 토마토, 토마토홀, 파프리카가루,, 파슬리, 바질, 올리브오일, 마늘, 소금, 설탕,, 밀가루, 양파, 후추, 레몬, ,")</f>
        <v>소 안심, 다진 소고기, 리코타 치즈,, 생모차렐라 치즈, 강황가루, 강황물, 송이버섯,, 파프리카, 케일, 토란, 유자드레싱, 아로니아가루,, 사과, 닭가슴살, 토마토, 토마토홀, 파프리카가루,, 파슬리, 바질, 올리브오일, 마늘, 소금, 설탕,, 밀가루, 양파, 후추, 레몬, ,</v>
      </c>
    </row>
    <row r="851">
      <c r="A851" s="2" t="str">
        <f>recipe!C851
</f>
        <v>강황장군</v>
      </c>
      <c r="B851" s="1" t="str">
        <f>IFERROR(__xludf.DUMMYFUNCTION("TRIM(
  SUBSTITUTE(
    REGEXEXTRACT(raw!A851, ""(?s)재료\s*(.*?)●\s*조리\s*방법""),
    CHAR(10), "", ""
  )
)
"),"양갈비, 송이버섯, 강황가루, 셀러리, 토마토,, 이탈리안 파슬리, 토마토페이스트, 토마토홀,, 마파소스, 후추, 양파, 올리브오일, 당근, 고추,, 소금, 달걀, 밀가루, 마늘, 간장, ,")</f>
        <v>양갈비, 송이버섯, 강황가루, 셀러리, 토마토,, 이탈리안 파슬리, 토마토페이스트, 토마토홀,, 마파소스, 후추, 양파, 올리브오일, 당근, 고추,, 소금, 달걀, 밀가루, 마늘, 간장, ,</v>
      </c>
    </row>
    <row r="852">
      <c r="A852" s="2" t="str">
        <f>recipe!C852
</f>
        <v>복믈렛</v>
      </c>
      <c r="B852" s="1" t="str">
        <f>IFERROR(__xludf.DUMMYFUNCTION("TRIM(
  SUBSTITUTE(
    REGEXEXTRACT(raw!A852, ""(?s)재료\s*(.*?)●\s*조리\s*방법""),
    CHAR(10), "", ""
  )
)
"),"감자, 떡볶이, 모차렐라 치즈, 하바티 치즈,, 하몽, 단무지, 만두, 불고기, 양파, 대파, 마늘,, 고추장, 간장, 설탕, 전분, 소금, 달걀, ,")</f>
        <v>감자, 떡볶이, 모차렐라 치즈, 하바티 치즈,, 하몽, 단무지, 만두, 불고기, 양파, 대파, 마늘,, 고추장, 간장, 설탕, 전분, 소금, 달걀, ,</v>
      </c>
    </row>
    <row r="853">
      <c r="A853" s="2" t="str">
        <f>recipe!C853
</f>
        <v>감~자봤쌈</v>
      </c>
      <c r="B853" s="1" t="str">
        <f>IFERROR(__xludf.DUMMYFUNCTION("TRIM(
  SUBSTITUTE(
    REGEXEXTRACT(raw!A853, ""(?s)재료\s*(.*?)●\s*조리\s*방법""),
    CHAR(10), "", ""
  )
)
"),"감자, 찐 옥수수, 셀러리장아찌, 쌈장,, 마스카르포네 치즈, 하몽, 파스타면, 육포,, 할루미 치즈, 고추장, 간장, 설탕,, 밀가루, 소금, 양파, 대파, 홍고추,, 맛술, 후추, 물엿, 올리브오일, ,")</f>
        <v>감자, 찐 옥수수, 셀러리장아찌, 쌈장,, 마스카르포네 치즈, 하몽, 파스타면, 육포,, 할루미 치즈, 고추장, 간장, 설탕,, 밀가루, 소금, 양파, 대파, 홍고추,, 맛술, 후추, 물엿, 올리브오일, ,</v>
      </c>
    </row>
    <row r="854">
      <c r="A854" s="2" t="str">
        <f>recipe!C854
</f>
        <v>담비 내릴 두부</v>
      </c>
      <c r="B854" s="1" t="str">
        <f>IFERROR(__xludf.DUMMYFUNCTION("TRIM(
  SUBSTITUTE(
    REGEXEXTRACT(raw!A854, ""(?s)재료\s*(.*?)●\s*조리\s*방법""),
    CHAR(10), "", ""
  )
)
"),"두부, 살라미, 감자, 모차렐라 치즈,, 하바티 치즈, 고다 치즈, 살사소스,, 시저드레싱, 발사믹 식초, 셀러리장아찌,, 케첩, 사과, 전분, 설탕, 당근, 양파, 마늘,, 마요네즈, 레몬, 올리브오일, ,")</f>
        <v>두부, 살라미, 감자, 모차렐라 치즈,, 하바티 치즈, 고다 치즈, 살사소스,, 시저드레싱, 발사믹 식초, 셀러리장아찌,, 케첩, 사과, 전분, 설탕, 당근, 양파, 마늘,, 마요네즈, 레몬, 올리브오일, ,</v>
      </c>
    </row>
    <row r="855">
      <c r="A855" s="2" t="str">
        <f>recipe!C855
</f>
        <v>두부퀸</v>
      </c>
      <c r="B855" s="1" t="str">
        <f>IFERROR(__xludf.DUMMYFUNCTION("TRIM(
  SUBSTITUTE(
    REGEXEXTRACT(raw!A855, ""(?s)재료\s*(.*?)●\s*조리\s*방법""),
    CHAR(10), "", ""
  )
)
"),"두부, 살라미, 찐 옥수수, 페페론치노,, 마스카르포네 치즈, 꿀, 냉동 딸기, 냉동, 블루베리, 아몬드, 튀밥, 오렌지맛 사탕,, 케첩,전분, 올리브오일, 양파, 설탕, 고추,, 홍고추, 후추, 레몬, 대파, ,")</f>
        <v>두부, 살라미, 찐 옥수수, 페페론치노,, 마스카르포네 치즈, 꿀, 냉동 딸기, 냉동, 블루베리, 아몬드, 튀밥, 오렌지맛 사탕,, 케첩,전분, 올리브오일, 양파, 설탕, 고추,, 홍고추, 후추, 레몬, 대파, ,</v>
      </c>
    </row>
    <row r="856">
      <c r="A856" s="2" t="str">
        <f>recipe!C856
</f>
        <v>인사이덕</v>
      </c>
      <c r="B856" s="1" t="str">
        <f>IFERROR(__xludf.DUMMYFUNCTION("TRIM(
  SUBSTITUTE(
    REGEXEXTRACT(raw!A856, ""(?s)재료\s*(.*?)●\s*조리\s*방법""),
    CHAR(10), "", ""
  )
)
"),"오리고기, 인스턴트 곰탕, 자몽청, 레몬청, 곶감, 삶은 쥐눈이콩&amp;팥, 데친 브로콜리, 자색 찐고구마, 김, 오징어낙지볶음소스, 식초, 달걀, 맛술, 청주, 간장, 올리브오일, 생강, 즉석밥, 전분, 튀김가루, ,")</f>
        <v>오리고기, 인스턴트 곰탕, 자몽청, 레몬청, 곶감, 삶은 쥐눈이콩&amp;팥, 데친 브로콜리, 자색 찐고구마, 김, 오징어낙지볶음소스, 식초, 달걀, 맛술, 청주, 간장, 올리브오일, 생강, 즉석밥, 전분, 튀김가루, ,</v>
      </c>
    </row>
    <row r="857">
      <c r="A857" s="2" t="str">
        <f>recipe!C857
</f>
        <v>광이 나는 함박♬</v>
      </c>
      <c r="B857" s="1" t="str">
        <f>IFERROR(__xludf.DUMMYFUNCTION("TRIM(
  SUBSTITUTE(
    REGEXEXTRACT(raw!A857, ""(?s)재료\s*(.*?)●\s*조리\s*방법""),
    CHAR(10), "", ""
  )
)
"),"오리고기, 소갈비양념, 스위트 칠리소스, 아이스크림, 감자칩, 설탕, 달걀, 전분, 다진 마늘, 대파, 청주, 양파, 당근, 밀가루, 고춧가루, 케첩, 물엿, 고추장, 물, ,")</f>
        <v>오리고기, 소갈비양념, 스위트 칠리소스, 아이스크림, 감자칩, 설탕, 달걀, 전분, 다진 마늘, 대파, 청주, 양파, 당근, 밀가루, 고춧가루, 케첩, 물엿, 고추장, 물, ,</v>
      </c>
    </row>
    <row r="858">
      <c r="A858" s="2" t="str">
        <f>recipe!C858
</f>
        <v>마늘 어찌하오리</v>
      </c>
      <c r="B858" s="1" t="str">
        <f>IFERROR(__xludf.DUMMYFUNCTION("TRIM(
  SUBSTITUTE(
    REGEXEXTRACT(raw!A858, ""(?s)재료\s*(.*?)●\s*조리\s*방법""),
    CHAR(10), "", ""
  )
)
"),"오리고기, 인스턴트 곰탕, 초장, 미숫가루, 들깻가루, 양배추, 양상추, 마늘, 다진 마늘, 생강, 된장, 식초, 설탕, 간장, 들기름, 고춧가루, 청양고추, 물, ,")</f>
        <v>오리고기, 인스턴트 곰탕, 초장, 미숫가루, 들깻가루, 양배추, 양상추, 마늘, 다진 마늘, 생강, 된장, 식초, 설탕, 간장, 들기름, 고춧가루, 청양고추, 물, ,</v>
      </c>
    </row>
    <row r="859">
      <c r="A859" s="2" t="str">
        <f>recipe!C859
</f>
        <v>너마늘 위한 목살</v>
      </c>
      <c r="B859" s="1" t="str">
        <f>IFERROR(__xludf.DUMMYFUNCTION("TRIM(
  SUBSTITUTE(
    REGEXEXTRACT(raw!A859, ""(?s)재료\s*(.*?)●\s*조리\s*방법""),
    CHAR(10), "", ""
  )
)
"),"돼지목살, 양배추, 한라봉청, 찹쌀가루, 마늘, 대파, 고춧가루, 맛술, 간장, 후추, ,")</f>
        <v>돼지목살, 양배추, 한라봉청, 찹쌀가루, 마늘, 대파, 고춧가루, 맛술, 간장, 후추, ,</v>
      </c>
    </row>
    <row r="860">
      <c r="A860" s="2" t="str">
        <f>recipe!C860
</f>
        <v>집밥 먹고 치열~업♬</v>
      </c>
      <c r="B860" s="1" t="str">
        <f>IFERROR(__xludf.DUMMYFUNCTION("TRIM(
  SUBSTITUTE(
    REGEXEXTRACT(raw!A860, ""(?s)재료\s*(.*?)●\s*조리\s*방법""),
    CHAR(10), "", ""
  )
)
"),"전복 삼계탕, 떡볶이 양념장, 돼지 목살, 국물용 멸치, 반건조 오징어, 배추김치, 건표고버섯, 소 안심, 식초, 소금, 달걀, 쌀, 마늘, 맛술, 청주, 간장, 설탕, 청양고추, 다진 마늘, 후추, 대파, 고추장, 고춧가루, 참기름, 깨, 당근, 라면, ,")</f>
        <v>전복 삼계탕, 떡볶이 양념장, 돼지 목살, 국물용 멸치, 반건조 오징어, 배추김치, 건표고버섯, 소 안심, 식초, 소금, 달걀, 쌀, 마늘, 맛술, 청주, 간장, 설탕, 청양고추, 다진 마늘, 후추, 대파, 고추장, 고춧가루, 참기름, 깨, 당근, 라면, ,</v>
      </c>
    </row>
    <row r="861">
      <c r="A861" s="2" t="str">
        <f>recipe!C861
</f>
        <v>닭개장 먹고 치열스</v>
      </c>
      <c r="B861" s="1" t="str">
        <f>IFERROR(__xludf.DUMMYFUNCTION("TRIM(
  SUBSTITUTE(
    REGEXEXTRACT(raw!A861, ""(?s)재료\s*(.*?)●\s*조리\s*방법""),
    CHAR(10), "", ""
  )
)
"),"인스턴트 삼계탕, 명이나물 무침, 건표고버섯, 마늘장아찌, 게맛살, 쌀, 청양고추, 대파, 기름, 고춧가루, 간장, 마늘, 양파, 맛술, 달걀, 케첩, ,")</f>
        <v>인스턴트 삼계탕, 명이나물 무침, 건표고버섯, 마늘장아찌, 게맛살, 쌀, 청양고추, 대파, 기름, 고춧가루, 간장, 마늘, 양파, 맛술, 달걀, 케첩, ,</v>
      </c>
    </row>
    <row r="862">
      <c r="A862" s="2" t="str">
        <f>recipe!C862
</f>
        <v>스테이크 맛있소</v>
      </c>
      <c r="B862" s="1" t="str">
        <f>IFERROR(__xludf.DUMMYFUNCTION("TRIM(
  SUBSTITUTE(
    REGEXEXTRACT(raw!A862, ""(?s)재료\s*(.*?)●\s*조리\s*방법""),
    CHAR(10), "", ""
  )
)
"),"소 등심, 건표고버섯, 위스키, 콜라, 야채주스, 곰탕, 간장, 설탕, 레몬, 다진 마늘, 다진 생강, 후추, 당근, 올리브오일, 양파, 청양고추, 버터, 밀가루, 소금, 후추, 대파, ,")</f>
        <v>소 등심, 건표고버섯, 위스키, 콜라, 야채주스, 곰탕, 간장, 설탕, 레몬, 다진 마늘, 다진 생강, 후추, 당근, 올리브오일, 양파, 청양고추, 버터, 밀가루, 소금, 후추, 대파, ,</v>
      </c>
    </row>
    <row r="863">
      <c r="A863" s="2" t="str">
        <f>recipe!C863
</f>
        <v>소고기, 바로 이 맛 아닙니까!</v>
      </c>
      <c r="B863" s="1" t="str">
        <f>IFERROR(__xludf.DUMMYFUNCTION("TRIM(
  SUBSTITUTE(
    REGEXEXTRACT(raw!A863, ""(?s)재료\s*(.*?)●\s*조리\s*방법""),
    CHAR(10), "", ""
  )
)
"),"소 안심, 돼지 목살, 게맛살, 한방 배숙, 전복 삼계탕, 명이나물 무침, 건표고버섯, 후추, 소금, 전분, 달걀, 기름, 마늘, 청양고추, 양파, 대파, 고추장, 케첩, 레몬, 물엿, ,")</f>
        <v>소 안심, 돼지 목살, 게맛살, 한방 배숙, 전복 삼계탕, 명이나물 무침, 건표고버섯, 후추, 소금, 전분, 달걀, 기름, 마늘, 청양고추, 양파, 대파, 고추장, 케첩, 레몬, 물엿, ,</v>
      </c>
    </row>
    <row r="864">
      <c r="A864" s="2" t="str">
        <f>recipe!C864
</f>
        <v>오늘의 하이라이트닭</v>
      </c>
      <c r="B864" s="1" t="str">
        <f>IFERROR(__xludf.DUMMYFUNCTION("TRIM(
  SUBSTITUTE(
    REGEXEXTRACT(raw!A864, ""(?s)재료\s*(.*?)●\s*조리\s*방법""),
    CHAR(10), "", ""
  )
)
"),"양념닭불고기, 맥주, 감자, 방울토마토, 치킨스톡, 멸치육수팩, 오렌지, 벚꽃와인, 아보카도, 스트링치즈, 달걀, 올리브오일, 전분, 양파, 맛술, 간장, 레몬, 당근, 대파, 고추,")</f>
        <v>양념닭불고기, 맥주, 감자, 방울토마토, 치킨스톡, 멸치육수팩, 오렌지, 벚꽃와인, 아보카도, 스트링치즈, 달걀, 올리브오일, 전분, 양파, 맛술, 간장, 레몬, 당근, 대파, 고추,</v>
      </c>
    </row>
    <row r="865">
      <c r="A865" s="2" t="str">
        <f>recipe!C865
</f>
        <v>유씨네 닭갈비</v>
      </c>
      <c r="B865" s="1" t="str">
        <f>IFERROR(__xludf.DUMMYFUNCTION("TRIM(
  SUBSTITUTE(
    REGEXEXTRACT(raw!A865, ""(?s)재료\s*(.*?)●\s*조리\s*방법""),
    CHAR(10), "", ""
  )
)
"),"생닭, 보이차 분말, 파슬리, 닭가슴살 스테이크, 표고버섯 슬라이스, 인스턴트 삼계탕, 치킨스톡, 동치미, 칠리소스, 비빔라면, 오이, 방울토마토, 핫바, 칼라만시, 밀가루, 대파, 후추, 다진마늘, 청양고추, 양파, 간장, 고추장, 설탕, 식초, 참기름, 연겨자, ,")</f>
        <v>생닭, 보이차 분말, 파슬리, 닭가슴살 스테이크, 표고버섯 슬라이스, 인스턴트 삼계탕, 치킨스톡, 동치미, 칠리소스, 비빔라면, 오이, 방울토마토, 핫바, 칼라만시, 밀가루, 대파, 후추, 다진마늘, 청양고추, 양파, 간장, 고추장, 설탕, 식초, 참기름, 연겨자, ,</v>
      </c>
    </row>
    <row r="866">
      <c r="A866" s="2" t="str">
        <f>recipe!C866
</f>
        <v>맛스타</v>
      </c>
      <c r="B866" s="1" t="str">
        <f>IFERROR(__xludf.DUMMYFUNCTION("TRIM(
  SUBSTITUTE(
    REGEXEXTRACT(raw!A866, ""(?s)재료\s*(.*?)●\s*조리\s*방법""),
    CHAR(10), "", ""
  )
)
"),"소등심, 두릅장아찌, 연근조림, 표고버섯 슬라이스, 양송이버섯, 치킨스톡, 카야잼, 양파, 소금, 후추, 마늘, 고춧가루, 고추, 홍고추, 청양고추, 식초, 간장, 설탕, 맛술, 올리브오일, 참기름, 대파, 레드와인, 연겨자, ,")</f>
        <v>소등심, 두릅장아찌, 연근조림, 표고버섯 슬라이스, 양송이버섯, 치킨스톡, 카야잼, 양파, 소금, 후추, 마늘, 고춧가루, 고추, 홍고추, 청양고추, 식초, 간장, 설탕, 맛술, 올리브오일, 참기름, 대파, 레드와인, 연겨자, ,</v>
      </c>
    </row>
    <row r="867">
      <c r="A867" s="2" t="str">
        <f>recipe!C867
</f>
        <v>소 정말 Mystery♬</v>
      </c>
      <c r="B867" s="1" t="str">
        <f>IFERROR(__xludf.DUMMYFUNCTION("TRIM(
  SUBSTITUTE(
    REGEXEXTRACT(raw!A867, ""(?s)재료\s*(.*?)●\s*조리\s*방법""),
    CHAR(10), "", ""
  )
)
"),"꽃등심, 채끝살, 감자, 감자과자, 양송이버섯, 치킨스톡, 아보카도, 요거트, 그린올리브, 블루베리, 소시지, 레드와인, 레몬, 올리브오일, 마늘, 소금, 간장, 참기름, 후추, 설탕, 식초, 버터, 밀가루, 달걀, ,")</f>
        <v>꽃등심, 채끝살, 감자, 감자과자, 양송이버섯, 치킨스톡, 아보카도, 요거트, 그린올리브, 블루베리, 소시지, 레드와인, 레몬, 올리브오일, 마늘, 소금, 간장, 참기름, 후추, 설탕, 식초, 버터, 밀가루, 달걀, ,</v>
      </c>
    </row>
    <row r="868">
      <c r="A868" s="2" t="str">
        <f>recipe!C868
</f>
        <v>멧돼이먼킴</v>
      </c>
      <c r="B868" s="1" t="str">
        <f>IFERROR(__xludf.DUMMYFUNCTION("TRIM(
  SUBSTITUTE(
    REGEXEXTRACT(raw!A868, ""(?s)재료\s*(.*?)●\s*조리\s*방법""),
    CHAR(10), "", ""
  )
)
"),"멧돼지 뒷다리, 시래기, 말린 뽕잎, 미소, 봄동, 도라지청, 복분자주, 국물용 조미료, 깻잎, 우유, 소주, 생강청, 조청, 다시마, 국물용 멸치. 된장, 참기름, 대파, 청양고추, 고춧가루, 레몬, 마늘, 양파, 고추장, 다진 생강, 다진 마늘, 올리브오일, 들기름, ,")</f>
        <v>멧돼지 뒷다리, 시래기, 말린 뽕잎, 미소, 봄동, 도라지청, 복분자주, 국물용 조미료, 깻잎, 우유, 소주, 생강청, 조청, 다시마, 국물용 멸치. 된장, 참기름, 대파, 청양고추, 고춧가루, 레몬, 마늘, 양파, 고추장, 다진 생강, 다진 마늘, 올리브오일, 들기름, ,</v>
      </c>
    </row>
    <row r="869">
      <c r="A869" s="2" t="str">
        <f>recipe!C869
</f>
        <v>유씨네 왕족발</v>
      </c>
      <c r="B869" s="1" t="str">
        <f>IFERROR(__xludf.DUMMYFUNCTION("TRIM(
  SUBSTITUTE(
    REGEXEXTRACT(raw!A869, ""(?s)재료\s*(.*?)●\s*조리\s*방법""),
    CHAR(10), "", ""
  )
)
"),"멧돼지 뒷다리, 시래기, 칡, 말린 뽕잎, 볶은 메뚜기, 갓김치, 칡대추차, 파인애플, 도라지청, 딸기, 오디잼, 감식초, 도라지주, 봄동, 오가피청, 한라봉잼, 도라지, 전분, 간장, 설탕, 다진 마늘, 다진 생강,")</f>
        <v>멧돼지 뒷다리, 시래기, 칡, 말린 뽕잎, 볶은 메뚜기, 갓김치, 칡대추차, 파인애플, 도라지청, 딸기, 오디잼, 감식초, 도라지주, 봄동, 오가피청, 한라봉잼, 도라지, 전분, 간장, 설탕, 다진 마늘, 다진 생강,</v>
      </c>
    </row>
    <row r="870">
      <c r="A870" s="2" t="str">
        <f>recipe!C870
</f>
        <v>치즈 앤 더 시티</v>
      </c>
      <c r="B870" s="1" t="str">
        <f>IFERROR(__xludf.DUMMYFUNCTION("TRIM(
  SUBSTITUTE(
    REGEXEXTRACT(raw!A870, ""(?s)재료\s*(.*?)●\s*조리\s*방법""),
    CHAR(10), "", ""
  )
)
"),"소등심, 베이컨, 바게트, 파프리카, 바나나, 크림치즈, 고추냉이, 슬라이스치즈, 모차렐라치즈, 칠리페퍼소스, 우유, 데미글라스 소스, 더치커피, 밀크 초콜릿, 화이트 초콜릿, 유채나물, 달걀, 설탕, 양파, 후추, 소금, 밀가루, 고춧가루, 즉석밥, ,")</f>
        <v>소등심, 베이컨, 바게트, 파프리카, 바나나, 크림치즈, 고추냉이, 슬라이스치즈, 모차렐라치즈, 칠리페퍼소스, 우유, 데미글라스 소스, 더치커피, 밀크 초콜릿, 화이트 초콜릿, 유채나물, 달걀, 설탕, 양파, 후추, 소금, 밀가루, 고춧가루, 즉석밥, ,</v>
      </c>
    </row>
    <row r="871">
      <c r="A871" s="2" t="str">
        <f>recipe!C871
</f>
        <v>극한 짬뽕</v>
      </c>
      <c r="B871" s="1" t="str">
        <f>IFERROR(__xludf.DUMMYFUNCTION("TRIM(
  SUBSTITUTE(
    REGEXEXTRACT(raw!A871, ""(?s)재료\s*(.*?)●\s*조리\s*방법""),
    CHAR(10), "", ""
  )
)
"),"오징어, 돼지 목살, 삼치, 가자미, 토마토파스타 소스, 크림파스타 소스, 파스타면, 스리라차소스, 해산물칠리소스, 국물용 조미료, 새송이버섯, 표고버섯, 알배추, 칵테일새우, 봄동, 애호박, 대파, 양파, 다진 마늘, 청양고추, 고춧가루, 소금, 전분, 밀가루, ,")</f>
        <v>오징어, 돼지 목살, 삼치, 가자미, 토마토파스타 소스, 크림파스타 소스, 파스타면, 스리라차소스, 해산물칠리소스, 국물용 조미료, 새송이버섯, 표고버섯, 알배추, 칵테일새우, 봄동, 애호박, 대파, 양파, 다진 마늘, 청양고추, 고춧가루, 소금, 전분, 밀가루, ,</v>
      </c>
    </row>
    <row r="872">
      <c r="A872" s="2" t="str">
        <f>recipe!C872
</f>
        <v>지라시스시 맛있저염</v>
      </c>
      <c r="B872" s="1" t="str">
        <f>IFERROR(__xludf.DUMMYFUNCTION("TRIM(
  SUBSTITUTE(
    REGEXEXTRACT(raw!A872, ""(?s)재료\s*(.*?)●\s*조리\s*방법""),
    CHAR(10), "", ""
  )
)
"),"소고기 양지, 건조 매생이, 아이용 된장, 아이용 간장, 명태채, 날치알, 무절임, 동치미, 매실청, 표고버섯, 전복,, 새우, 불린 완두콩, 냉이, 연어, 명란젓, 아스파라거스, 가지, 즉석밥, 참깨, 밀가루, 참기름, 청주, 맛술, 달걀, ,")</f>
        <v>소고기 양지, 건조 매생이, 아이용 된장, 아이용 간장, 명태채, 날치알, 무절임, 동치미, 매실청, 표고버섯, 전복,, 새우, 불린 완두콩, 냉이, 연어, 명란젓, 아스파라거스, 가지, 즉석밥, 참깨, 밀가루, 참기름, 청주, 맛술, 달걀, ,</v>
      </c>
    </row>
    <row r="873">
      <c r="A873" s="2" t="str">
        <f>recipe!C873
</f>
        <v>특명! 아빠의 도전</v>
      </c>
      <c r="B873" s="1" t="str">
        <f>IFERROR(__xludf.DUMMYFUNCTION("TRIM(
  SUBSTITUTE(
    REGEXEXTRACT(raw!A873, ""(?s)재료\s*(.*?)●\s*조리\s*방법""),
    CHAR(10), "", ""
  )
)
"),"소 안심, 소고기 양지, 애호박, 파프리카, 아몬드가루, 새우, 틸라피아, 크림치즈, 그라나파다노 치즈, 아스파라거스, 발사믹 글레이즈, 표고버섯, 양송이버섯, 느타리버섯, 휘핑크림, 선드라이드 토마토, 오징어, 전복, 올리브오일, 양파, 당근, 마늘, 즉석밥, 밀가루, ,")</f>
        <v>소 안심, 소고기 양지, 애호박, 파프리카, 아몬드가루, 새우, 틸라피아, 크림치즈, 그라나파다노 치즈, 아스파라거스, 발사믹 글레이즈, 표고버섯, 양송이버섯, 느타리버섯, 휘핑크림, 선드라이드 토마토, 오징어, 전복, 올리브오일, 양파, 당근, 마늘, 즉석밥, 밀가루, ,</v>
      </c>
    </row>
    <row r="874">
      <c r="A874" s="2" t="str">
        <f>recipe!C874
</f>
        <v>술풀 때 야식 한다</v>
      </c>
      <c r="B874" s="1" t="str">
        <f>IFERROR(__xludf.DUMMYFUNCTION("TRIM(
  SUBSTITUTE(
    REGEXEXTRACT(raw!A874, ""(?s)재료\s*(.*?)●\s*조리\s*방법""),
    CHAR(10), "", ""
  )
)
"),"갈매기살, 무, 적양배추, 냉이, 꿀, 그라나파다노 치즈, 스모크 치즈, 파르메산 치즈가루, 고수, 고추피클, 매실청, 파프리카, 전분, 다진생강, 소금, 당근, 청양고추, 참깨, 간장, 식초, 맛술, 참기름, 설탕, 올리브오일, 된장, 연겨자, ,")</f>
        <v>갈매기살, 무, 적양배추, 냉이, 꿀, 그라나파다노 치즈, 스모크 치즈, 파르메산 치즈가루, 고수, 고추피클, 매실청, 파프리카, 전분, 다진생강, 소금, 당근, 청양고추, 참깨, 간장, 식초, 맛술, 참기름, 설탕, 올리브오일, 된장, 연겨자, ,</v>
      </c>
    </row>
    <row r="875">
      <c r="A875" s="2" t="str">
        <f>recipe!C875
</f>
        <v>술맛 찾으러 가자</v>
      </c>
      <c r="B875" s="1" t="str">
        <f>IFERROR(__xludf.DUMMYFUNCTION("TRIM(
  SUBSTITUTE(
    REGEXEXTRACT(raw!A875, ""(?s)재료\s*(.*?)●\s*조리\s*방법""),
    CHAR(10), "", ""
  )
)
"),"새우, 삼겹살, 알목심, 가지, 새우가루, 해산물버섯가루, 참치액, 두반장, 해선장, 백후추, 쌈채소, 코코넛밀크, 고수, 다진마늘, 고춧가루, 식초, 맛술, 다진생강, 전분, 물엿, 설탕, 참기름, ,")</f>
        <v>새우, 삼겹살, 알목심, 가지, 새우가루, 해산물버섯가루, 참치액, 두반장, 해선장, 백후추, 쌈채소, 코코넛밀크, 고수, 다진마늘, 고춧가루, 식초, 맛술, 다진생강, 전분, 물엿, 설탕, 참기름, ,</v>
      </c>
    </row>
    <row r="876">
      <c r="A876" s="2" t="str">
        <f>recipe!C876
</f>
        <v>내 발가락 내놔</v>
      </c>
      <c r="B876" s="1" t="str">
        <f>IFERROR(__xludf.DUMMYFUNCTION("TRIM(
  SUBSTITUTE(
    REGEXEXTRACT(raw!A876, ""(?s)재료\s*(.*?)●\s*조리\s*방법""),
    CHAR(10), "", ""
  )
)
"),"새우, 다진 돼지고기, 강황가루, 나박김치, 김, 고추장, 메밀면, 밀가루, 소금, 올리브오일, 고추, 고춧가루, 다진생강,대파, 설탕, 다진마늘, 레몬, 참기름, 간장, 식초, 양파, ,")</f>
        <v>새우, 다진 돼지고기, 강황가루, 나박김치, 김, 고추장, 메밀면, 밀가루, 소금, 올리브오일, 고추, 고춧가루, 다진생강,대파, 설탕, 다진마늘, 레몬, 참기름, 간장, 식초, 양파, ,</v>
      </c>
    </row>
    <row r="877">
      <c r="A877" s="2" t="str">
        <f>recipe!C877
</f>
        <v>지옥에서 온 손님</v>
      </c>
      <c r="B877" s="1" t="str">
        <f>IFERROR(__xludf.DUMMYFUNCTION("TRIM(
  SUBSTITUTE(
    REGEXEXTRACT(raw!A877, ""(?s)재료\s*(.*?)●\s*조리\s*방법""),
    CHAR(10), "", ""
  )
)
"),"다진 돼지고기, 돼지 앞다릿살, 카레가루, 감자, 무, 비트, 새우, 가자미살, 표고버섯, 치킨스톡, 소금, 대파, 전분, 다진마늘, 후추, 버터, 고춧가루, 간장, 달걀, 맛술, 식초, ,")</f>
        <v>다진 돼지고기, 돼지 앞다릿살, 카레가루, 감자, 무, 비트, 새우, 가자미살, 표고버섯, 치킨스톡, 소금, 대파, 전분, 다진마늘, 후추, 버터, 고춧가루, 간장, 달걀, 맛술, 식초, ,</v>
      </c>
    </row>
    <row r="878">
      <c r="A878" s="2" t="str">
        <f>recipe!C878
</f>
        <v>돈플갱어</v>
      </c>
      <c r="B878" s="1" t="str">
        <f>IFERROR(__xludf.DUMMYFUNCTION("TRIM(
  SUBSTITUTE(
    REGEXEXTRACT(raw!A878, ""(?s)재료\s*(.*?)●\s*조리\s*방법""),
    CHAR(10), "", ""
  )
)
"),"돼지 앞다릿살, 황태채, 으깬 병아리콩, 아몬드가루, 나박김치, 생강청, 소고기 장조림, 커민, 후추, 감자, 단호박, 브로콜리, 체리, 쌀가루, 후추, 버터, 간장, 맛술, 청주, 다진생강, 소금, 레몬, ,")</f>
        <v>돼지 앞다릿살, 황태채, 으깬 병아리콩, 아몬드가루, 나박김치, 생강청, 소고기 장조림, 커민, 후추, 감자, 단호박, 브로콜리, 체리, 쌀가루, 후추, 버터, 간장, 맛술, 청주, 다진생강, 소금, 레몬, ,</v>
      </c>
    </row>
    <row r="879">
      <c r="A879" s="2" t="str">
        <f>recipe!C879
</f>
        <v>쌀과 함께</v>
      </c>
      <c r="B879" s="1" t="str">
        <f>IFERROR(__xludf.DUMMYFUNCTION("TRIM(
  SUBSTITUTE(
    REGEXEXTRACT(raw!A879, ""(?s)재료\s*(.*?)●\s*조리\s*방법""),
    CHAR(10), "", ""
  )
)
"),"부챗살, 돼지 앞다릿살, 메추리알, 감자, 검은콩 두유, 쌀국수면, 쌀가루, 표고버섯, 브로콜리 새싹, 양파, 간장, 후추, 소금, 참기름, 고추, 홍고추, ,")</f>
        <v>부챗살, 돼지 앞다릿살, 메추리알, 감자, 검은콩 두유, 쌀국수면, 쌀가루, 표고버섯, 브로콜리 새싹, 양파, 간장, 후추, 소금, 참기름, 고추, 홍고추, ,</v>
      </c>
    </row>
    <row r="880">
      <c r="A880" s="2" t="str">
        <f>recipe!C880
</f>
        <v>킴가네</v>
      </c>
      <c r="B880" s="1" t="str">
        <f>IFERROR(__xludf.DUMMYFUNCTION("TRIM(
  SUBSTITUTE(
    REGEXEXTRACT(raw!A880, ""(?s)재료\s*(.*?)●\s*조리\s*방법""),
    CHAR(10), "", ""
  )
)
"),"떡볶이 떡, 소 등심, 돼지갈비양념, 가쓰오부시, 베트남고추, 해시브라운, 오징어, 로제소스, 파프리카, 모차렐라치즈, 새우, 양파, 전분, 고춧가루, 대파, 마늘, 간장, 설탕, 맛술, 후추, 마요네즈, 올리브 오일, 소금, 레몬, ,")</f>
        <v>떡볶이 떡, 소 등심, 돼지갈비양념, 가쓰오부시, 베트남고추, 해시브라운, 오징어, 로제소스, 파프리카, 모차렐라치즈, 새우, 양파, 전분, 고춧가루, 대파, 마늘, 간장, 설탕, 맛술, 후추, 마요네즈, 올리브 오일, 소금, 레몬, ,</v>
      </c>
    </row>
    <row r="881">
      <c r="A881" s="2" t="str">
        <f>recipe!C881
</f>
        <v>분식과의 전쟁</v>
      </c>
      <c r="B881" s="1" t="str">
        <f>IFERROR(__xludf.DUMMYFUNCTION("TRIM(
  SUBSTITUTE(
    REGEXEXTRACT(raw!A881, ""(?s)재료\s*(.*?)●\s*조리\s*방법""),
    CHAR(10), "", ""
  )
)
"),"떡볶이 떡, 소 등심, 칵테일 새우, 두부, 청경채, 비엔나소시지, 팽이버섯, 통조림 햄, 양송이버섯, 오징어, 건홍합, 바지락, 무, 어묵, 굴소스, 대파, 달걀, 마늘, 고춧가루, 설탕, 된장, 전분, 밀가루, ,")</f>
        <v>떡볶이 떡, 소 등심, 칵테일 새우, 두부, 청경채, 비엔나소시지, 팽이버섯, 통조림 햄, 양송이버섯, 오징어, 건홍합, 바지락, 무, 어묵, 굴소스, 대파, 달걀, 마늘, 고춧가루, 설탕, 된장, 전분, 밀가루, ,</v>
      </c>
    </row>
    <row r="882">
      <c r="A882" s="2" t="str">
        <f>recipe!C882
</f>
        <v>후뚜루마뚜루</v>
      </c>
      <c r="B882" s="1" t="str">
        <f>IFERROR(__xludf.DUMMYFUNCTION("TRIM(
  SUBSTITUTE(
    REGEXEXTRACT(raw!A882, ""(?s)재료\s*(.*?)●\s*조리\s*방법""),
    CHAR(10), "", ""
  )
)
"),"연어, 인스턴트 훈제통닭, 김밥용 김, 돼지갈비양념, 칵테일 새우, 새우, 오징어, 미니오이, 통조림 햄, 소 갈빗살, 파프리카, 깻잎, 불닭 라면, 슬라이스 치즈, 밀가루, 달걀, 전분, 즉석밥, 참기름, ,")</f>
        <v>연어, 인스턴트 훈제통닭, 김밥용 김, 돼지갈비양념, 칵테일 새우, 새우, 오징어, 미니오이, 통조림 햄, 소 갈빗살, 파프리카, 깻잎, 불닭 라면, 슬라이스 치즈, 밀가루, 달걀, 전분, 즉석밥, 참기름, ,</v>
      </c>
    </row>
    <row r="883">
      <c r="A883" s="2" t="str">
        <f>recipe!C883
</f>
        <v>김치 와장창</v>
      </c>
      <c r="B883" s="1" t="str">
        <f>IFERROR(__xludf.DUMMYFUNCTION("TRIM(
  SUBSTITUTE(
    REGEXEXTRACT(raw!A883, ""(?s)재료\s*(.*?)●\s*조리\s*방법""),
    CHAR(10), "", ""
  )
)
"),"배추김치, 인스턴트 김치만두, 로제소스, 해시브라운, 미숫가루, 초코맛 크림파이, 모차렐라치즈, 다진 소고기, 알프레도파스타 소스, 고추장, 칵테일 새우, 슬라이스 치즈, 달걀, 설탕, 후추, 소금, 식용유, 튀김가루, 양파, 청양고추, 간장, 식초, 케첩, 고추장, , ,")</f>
        <v>배추김치, 인스턴트 김치만두, 로제소스, 해시브라운, 미숫가루, 초코맛 크림파이, 모차렐라치즈, 다진 소고기, 알프레도파스타 소스, 고추장, 칵테일 새우, 슬라이스 치즈, 달걀, 설탕, 후추, 소금, 식용유, 튀김가루, 양파, 청양고추, 간장, 식초, 케첩, 고추장, , ,</v>
      </c>
    </row>
    <row r="884">
      <c r="A884" s="2" t="str">
        <f>recipe!C884
</f>
        <v>소희네 반찬</v>
      </c>
      <c r="B884" s="1" t="str">
        <f>IFERROR(__xludf.DUMMYFUNCTION("TRIM(
  SUBSTITUTE(
    REGEXEXTRACT(raw!A884, ""(?s)재료\s*(.*?)●\s*조리\s*방법""),
    CHAR(10), "", ""
  )
)
"),"총각김치, 고등어, 매운 고추장아찌, 양송이버섯, 깻잎장아찌, 셀러리장아찌, 체리페퍼 크림치즈, 버섯 크림치즈, 마, 토마토소스, 방울토마토, 묵은지, 아스파라거스, 쌀, 후추, 다진마늘, 올리브오일, 대파, 양파, 마늘, 당근, 레드와인, 소금, 물엿, ,")</f>
        <v>총각김치, 고등어, 매운 고추장아찌, 양송이버섯, 깻잎장아찌, 셀러리장아찌, 체리페퍼 크림치즈, 버섯 크림치즈, 마, 토마토소스, 방울토마토, 묵은지, 아스파라거스, 쌀, 후추, 다진마늘, 올리브오일, 대파, 양파, 마늘, 당근, 레드와인, 소금, 물엿, ,</v>
      </c>
    </row>
    <row r="885">
      <c r="A885" s="2" t="str">
        <f>recipe!C885
</f>
        <v>땡잡은 장아찌</v>
      </c>
      <c r="B885" s="1" t="str">
        <f>IFERROR(__xludf.DUMMYFUNCTION("TRIM(
  SUBSTITUTE(
    REGEXEXTRACT(raw!A885, ""(?s)재료\s*(.*?)●\s*조리\s*방법""),
    CHAR(10), "", ""
  )
)
"),"묵은지, 다진 돼지고기, 멸치육수팩, 새우젓, 마, 김장아찌, 아스파라거스, 시금치, 무장아찌, 매운 고추장아찌, 반숙란, 청양고춧가루, 고춧가루, 즉석밥, 소금, 대파, 다진마늘, 양파, 달걀, 튀김가루, 간장, 물엿, 깨, 홍고추, ,")</f>
        <v>묵은지, 다진 돼지고기, 멸치육수팩, 새우젓, 마, 김장아찌, 아스파라거스, 시금치, 무장아찌, 매운 고추장아찌, 반숙란, 청양고춧가루, 고춧가루, 즉석밥, 소금, 대파, 다진마늘, 양파, 달걀, 튀김가루, 간장, 물엿, 깨, 홍고추, ,</v>
      </c>
    </row>
    <row r="886">
      <c r="A886" s="2" t="str">
        <f>recipe!C886
</f>
        <v>으라차차 스테이키</v>
      </c>
      <c r="B886" s="1" t="str">
        <f>IFERROR(__xludf.DUMMYFUNCTION("TRIM(
  SUBSTITUTE(
    REGEXEXTRACT(raw!A886, ""(?s)재료\s*(.*?)●\s*조리\s*방법""),
    CHAR(10), "", ""
  )
)
"),"채끝등심, 건크랜베리, 할라피뇨, 스리라차소스, 그뤼에르 치즈, 시금치, 양송이버섯, 아몬드우유, 우유, 크랜베리주스, 오렌지주스, 파인애플, 마, 후추, 올리브오일, 마늘, 양파, 화이트와인, 소금, 버터, 전분, 레몬, ,")</f>
        <v>채끝등심, 건크랜베리, 할라피뇨, 스리라차소스, 그뤼에르 치즈, 시금치, 양송이버섯, 아몬드우유, 우유, 크랜베리주스, 오렌지주스, 파인애플, 마, 후추, 올리브오일, 마늘, 양파, 화이트와인, 소금, 버터, 전분, 레몬, ,</v>
      </c>
    </row>
    <row r="887">
      <c r="A887" s="2" t="str">
        <f>recipe!C887
</f>
        <v>스테이크가 어~머나!</v>
      </c>
      <c r="B887" s="1" t="str">
        <f>IFERROR(__xludf.DUMMYFUNCTION("TRIM(
  SUBSTITUTE(
    REGEXEXTRACT(raw!A887, ""(?s)재료\s*(.*?)●\s*조리\s*방법""),
    CHAR(10), "", ""
  )
)
"),"살치살, 표고&amp;새우육수팩, 양송이버섯, 트러플 치즈크림소스, 우유, 그뤼에르 치즈, 식빵 테두리, 아스파라거스, 아보카도, 명란젓, 유자후추, 방울토마토, 굴소스, 청주, 맛술, 설탕, 간장, 후추, 마늘, 양파, 청양고추, 올리브오일, 전분, 식초, 달걀, ,")</f>
        <v>살치살, 표고&amp;새우육수팩, 양송이버섯, 트러플 치즈크림소스, 우유, 그뤼에르 치즈, 식빵 테두리, 아스파라거스, 아보카도, 명란젓, 유자후추, 방울토마토, 굴소스, 청주, 맛술, 설탕, 간장, 후추, 마늘, 양파, 청양고추, 올리브오일, 전분, 식초, 달걀, ,</v>
      </c>
    </row>
    <row r="888">
      <c r="A888" s="2" t="str">
        <f>recipe!C888
</f>
        <v>계모임</v>
      </c>
      <c r="B888" s="1" t="str">
        <f>IFERROR(__xludf.DUMMYFUNCTION("TRIM(
  SUBSTITUTE(
    REGEXEXTRACT(raw!A888, ""(?s)재료\s*(.*?)●\s*조리\s*방법""),
    CHAR(10), "", ""
  )
)
"),"닭가슴살, 커리맛 닭가슴살, 새우, 당면, 불냉면 소스, 우유, 장국, 멸치액젓, 부추, 청고추, 버터, 소금, 전분, 달걀, 생강, 마늘, 청양고추, 설탕, 고춧가루, 다진 마늘, 대파, 식용유, 튀김가루, 물엿, 간장, 참기름, ,")</f>
        <v>닭가슴살, 커리맛 닭가슴살, 새우, 당면, 불냉면 소스, 우유, 장국, 멸치액젓, 부추, 청고추, 버터, 소금, 전분, 달걀, 생강, 마늘, 청양고추, 설탕, 고춧가루, 다진 마늘, 대파, 식용유, 튀김가루, 물엿, 간장, 참기름, ,</v>
      </c>
    </row>
    <row r="889">
      <c r="A889" s="2" t="str">
        <f>recipe!C889
</f>
        <v>샘킴반점</v>
      </c>
      <c r="B889" s="1" t="str">
        <f>IFERROR(__xludf.DUMMYFUNCTION("TRIM(
  SUBSTITUTE(
    REGEXEXTRACT(raw!A889, ""(?s)재료\s*(.*?)●\s*조리\s*방법""),
    CHAR(10), "", ""
  )
)
"),"닭가슴살, 쯔유, 양념 소갈비 국물, 레몬청, 밀가루, 달걀, 대파, 홍고추, 마늘, 소금, 후추, 생강, 고춧가루, 식용유, 설탕, 참기름, 깨, 간장, 식초, ,")</f>
        <v>닭가슴살, 쯔유, 양념 소갈비 국물, 레몬청, 밀가루, 달걀, 대파, 홍고추, 마늘, 소금, 후추, 생강, 고춧가루, 식용유, 설탕, 참기름, 깨, 간장, 식초, ,</v>
      </c>
    </row>
    <row r="890">
      <c r="A890" s="2" t="str">
        <f>recipe!C890
</f>
        <v>나베로 이경?</v>
      </c>
      <c r="B890" s="1" t="str">
        <f>IFERROR(__xludf.DUMMYFUNCTION("TRIM(
  SUBSTITUTE(
    REGEXEXTRACT(raw!A890, ""(?s)재료\s*(.*?)●\s*조리\s*방법""),
    CHAR(10), "", ""
  )
)
"),"양념 소갈비, 부추, 새우, 배추김치, 명이나물 장아찌, 통조림 참치샐러드, 베이크드 빈, 스키야키 소스, 쯔유, 연어육포, 닭봉, 칼국수라면, 비엔나소시지, 고춧가루, 대파, 밀가루, 달걀, 홍고추, 청양고추, 식용유, 후추, ,")</f>
        <v>양념 소갈비, 부추, 새우, 배추김치, 명이나물 장아찌, 통조림 참치샐러드, 베이크드 빈, 스키야키 소스, 쯔유, 연어육포, 닭봉, 칼국수라면, 비엔나소시지, 고춧가루, 대파, 밀가루, 달걀, 홍고추, 청양고추, 식용유, 후추, ,</v>
      </c>
    </row>
    <row r="891">
      <c r="A891" s="2" t="str">
        <f>recipe!C891
</f>
        <v>전병 가즈아~ 온면도 가보자!</v>
      </c>
      <c r="B891" s="1" t="str">
        <f>IFERROR(__xludf.DUMMYFUNCTION("TRIM(
  SUBSTITUTE(
    REGEXEXTRACT(raw!A891, ""(?s)재료\s*(.*?)●\s*조리\s*방법""),
    CHAR(10), "", ""
  )
)
"),"인스턴트 비빔냉면, 진미채 무침, 멸치볶음, 불린 황태채, 콘마요네즈, 냉동 아보카도, 배추김치, 양념 소갈비, 부추, 쯔유, 멸치육수팩, 새우 머리, 비엔나소시지, 고춧가루, 대파, 밀가루, 부침가루, 간장, ,")</f>
        <v>인스턴트 비빔냉면, 진미채 무침, 멸치볶음, 불린 황태채, 콘마요네즈, 냉동 아보카도, 배추김치, 양념 소갈비, 부추, 쯔유, 멸치육수팩, 새우 머리, 비엔나소시지, 고춧가루, 대파, 밀가루, 부침가루, 간장, ,</v>
      </c>
    </row>
    <row r="892">
      <c r="A892" s="2" t="str">
        <f>recipe!C892
</f>
        <v>스튜맨이 돌아왔다</v>
      </c>
      <c r="B892" s="1" t="str">
        <f>IFERROR(__xludf.DUMMYFUNCTION("TRIM(
  SUBSTITUTE(
    REGEXEXTRACT(raw!A892, ""(?s)재료\s*(.*?)●\s*조리\s*방법""),
    CHAR(10), "", ""
  )
)
"),"연어, 새우, 새우살, 참돔, 베지마이트, 셀러리, 달래, 방울양배추, 꽃게, 치킨스톡, 양송이버섯, 올리브토마토파스타소스, 토마토 페이스트, 아스파라거스, 레지아노 치즈, 바질, 타임, 고수, 딜, 로즈마리, 펜네, 양파, 청양고추, 버터, 화이트 와인, 밀가루, 마늘, 올리브오일, 레몬, 소금, 당근, 후추, ,")</f>
        <v>연어, 새우, 새우살, 참돔, 베지마이트, 셀러리, 달래, 방울양배추, 꽃게, 치킨스톡, 양송이버섯, 올리브토마토파스타소스, 토마토 페이스트, 아스파라거스, 레지아노 치즈, 바질, 타임, 고수, 딜, 로즈마리, 펜네, 양파, 청양고추, 버터, 화이트 와인, 밀가루, 마늘, 올리브오일, 레몬, 소금, 당근, 후추, ,</v>
      </c>
    </row>
    <row r="893">
      <c r="A893" s="2" t="str">
        <f>recipe!C893
</f>
        <v>미트파이~ 진촤 맛있다</v>
      </c>
      <c r="B893" s="1" t="str">
        <f>IFERROR(__xludf.DUMMYFUNCTION("TRIM(
  SUBSTITUTE(
    REGEXEXTRACT(raw!A893, ""(?s)재료\s*(.*?)●\s*조리\s*방법""),
    CHAR(10), "", ""
  )
)
"),"베이컨, 올리브토마토파스타소스, 모차렐라치즈, 슬라이스치즈, 굴소스, 바비큐소스, 파프리카, 다진 소고기, 토마토 처트니, 양송이버섯, 달래, 아스파라거스, 로즈마리, 버터, 밀가루, 소금, 버터, 양파, 마늘, 대파, 청양고추, 올리브오일, 설탕, 식용유, ,")</f>
        <v>베이컨, 올리브토마토파스타소스, 모차렐라치즈, 슬라이스치즈, 굴소스, 바비큐소스, 파프리카, 다진 소고기, 토마토 처트니, 양송이버섯, 달래, 아스파라거스, 로즈마리, 버터, 밀가루, 소금, 버터, 양파, 마늘, 대파, 청양고추, 올리브오일, 설탕, 식용유, ,</v>
      </c>
    </row>
    <row r="894">
      <c r="A894" s="2" t="str">
        <f>recipe!C894
</f>
        <v>샘해밍떡</v>
      </c>
      <c r="B894" s="1" t="str">
        <f>IFERROR(__xludf.DUMMYFUNCTION("TRIM(
  SUBSTITUTE(
    REGEXEXTRACT(raw!A894, ""(?s)재료\s*(.*?)●\s*조리\s*방법""),
    CHAR(10), "", ""
  )
)
"),"기리모찌, 달래, 잣, 은행, 꽃게, 라이스페이퍼, 셀러리, 조미김, 콜라비, 비트, 파프리카, 식초양념장, 유자식초, 시콰사 마멀레이드, 새우살, 라임, 토마토 처트니, 쯔유, 알목심, 다진 소고기, 달걀, 밀가루, 다진 생강, 당근, 튀김가루, 전분, 참기름,")</f>
        <v>기리모찌, 달래, 잣, 은행, 꽃게, 라이스페이퍼, 셀러리, 조미김, 콜라비, 비트, 파프리카, 식초양념장, 유자식초, 시콰사 마멀레이드, 새우살, 라임, 토마토 처트니, 쯔유, 알목심, 다진 소고기, 달걀, 밀가루, 다진 생강, 당근, 튀김가루, 전분, 참기름,</v>
      </c>
    </row>
    <row r="895">
      <c r="A895" s="2" t="str">
        <f>recipe!C895
</f>
        <v>게장이 달라 달라♬</v>
      </c>
      <c r="B895" s="1" t="str">
        <f>IFERROR(__xludf.DUMMYFUNCTION("TRIM(
  SUBSTITUTE(
    REGEXEXTRACT(raw!A895, ""(?s)재료\s*(.*?)●\s*조리\s*방법""),
    CHAR(10), "", ""
  )
)
"),"꽃게, 연어, 참돔, 표고버섯 육수팩, 우엉, 시금치, 순두부, 두부, 잣, 타마고간장, 스키야키소스, 달래, 아스파라거스, 청주, 맛술, 다진 생강, 다진 마늘, 물엿, 쌀, 소금, 깨, ,")</f>
        <v>꽃게, 연어, 참돔, 표고버섯 육수팩, 우엉, 시금치, 순두부, 두부, 잣, 타마고간장, 스키야키소스, 달래, 아스파라거스, 청주, 맛술, 다진 생강, 다진 마늘, 물엿, 쌀, 소금, 깨, ,</v>
      </c>
    </row>
    <row r="896">
      <c r="A896" s="2" t="str">
        <f>recipe!C896
</f>
        <v>완자가 앗 뜨거뜨거♬</v>
      </c>
      <c r="B896" s="1" t="str">
        <f>IFERROR(__xludf.DUMMYFUNCTION("TRIM(
  SUBSTITUTE(
    REGEXEXTRACT(raw!A896, ""(?s)재료\s*(.*?)●\s*조리\s*방법""),
    CHAR(10), "", ""
  )
)
"),"가자미살, 대구살, 칵테일새우, 연어, 청경채, 바질페스토, 플레인요거트, 베이비피클, 무뼈닭발, 애호박, 말린 문어, 가쓰오부시장국, 인스턴트 황태해장국, 올리브오일, 대파, 홍고추, 마늘, 고춧가루, 후추, 전분, 소금, 양파, 설탕, 레몬, 고추, ,")</f>
        <v>가자미살, 대구살, 칵테일새우, 연어, 청경채, 바질페스토, 플레인요거트, 베이비피클, 무뼈닭발, 애호박, 말린 문어, 가쓰오부시장국, 인스턴트 황태해장국, 올리브오일, 대파, 홍고추, 마늘, 고춧가루, 후추, 전분, 소금, 양파, 설탕, 레몬, 고추, ,</v>
      </c>
    </row>
    <row r="897">
      <c r="A897" s="2" t="str">
        <f>recipe!C897
</f>
        <v>초통령</v>
      </c>
      <c r="B897" s="1" t="str">
        <f>IFERROR(__xludf.DUMMYFUNCTION("TRIM(
  SUBSTITUTE(
    REGEXEXTRACT(raw!A897, ""(?s)재료\s*(.*?)●\s*조리\s*방법""),
    CHAR(10), "", ""
  )
)
"),"무뼈닭발, 청경채, 가쓰오부시장국, 가자미살, 새우살, 대구살, 인스턴트 황태해장국, 바지락살, 방울토마토, 된장, 소금, 밀가루, 전분, 식용유, 대파, 다진마늘, 청양고추, 간장, 고춧가루, 식초, ,")</f>
        <v>무뼈닭발, 청경채, 가쓰오부시장국, 가자미살, 새우살, 대구살, 인스턴트 황태해장국, 바지락살, 방울토마토, 된장, 소금, 밀가루, 전분, 식용유, 대파, 다진마늘, 청양고추, 간장, 고춧가루, 식초, ,</v>
      </c>
    </row>
    <row r="898">
      <c r="A898" s="2" t="str">
        <f>recipe!C898
</f>
        <v>세.나.떡</v>
      </c>
      <c r="B898" s="1" t="str">
        <f>IFERROR(__xludf.DUMMYFUNCTION("TRIM(
  SUBSTITUTE(
    REGEXEXTRACT(raw!A898, ""(?s)재료\s*(.*?)●\s*조리\s*방법""),
    CHAR(10), "", ""
  )
)
"),"말린 문어, 고추장, 청경채, 대구살, 새우살, 칵테일새우, 가자미살, 고체 카레, 인스턴트 황태해장국, 바질페스토, 가쓰오부시장국, 방울토마토, 즉석밥, 전분, 고추장, 고춧가루, 설탕, 물엿, 고추, 홍고추, 참깨, 대파, 달걀, 레몬, 참기름, ,")</f>
        <v>말린 문어, 고추장, 청경채, 대구살, 새우살, 칵테일새우, 가자미살, 고체 카레, 인스턴트 황태해장국, 바질페스토, 가쓰오부시장국, 방울토마토, 즉석밥, 전분, 고추장, 고춧가루, 설탕, 물엿, 고추, 홍고추, 참깨, 대파, 달걀, 레몬, 참기름, ,</v>
      </c>
    </row>
    <row r="899">
      <c r="A899" s="2" t="str">
        <f>recipe!C899
</f>
        <v>세.나.피</v>
      </c>
      <c r="B899" s="1" t="str">
        <f>IFERROR(__xludf.DUMMYFUNCTION("TRIM(
  SUBSTITUTE(
    REGEXEXTRACT(raw!A899, ""(?s)재료\s*(.*?)●\s*조리\s*방법""),
    CHAR(10), "", ""
  )
)
"),"글루텐프리 도우, 연어, 그릭요거트, 아보카도, 된장, 새우살, 말린 문어, 곡물가루, 애호박, 가쓰오부시장국, 고추장, 소금, 달걀, 대파, 양파, 홍고추, 고추, 된장, 올리브오일, 연겨자, 다진마늘, ,")</f>
        <v>글루텐프리 도우, 연어, 그릭요거트, 아보카도, 된장, 새우살, 말린 문어, 곡물가루, 애호박, 가쓰오부시장국, 고추장, 소금, 달걀, 대파, 양파, 홍고추, 고추, 된장, 올리브오일, 연겨자, 다진마늘, ,</v>
      </c>
    </row>
    <row r="900">
      <c r="A900" s="2" t="str">
        <f>recipe!C900
</f>
        <v>한 이불 덮었닭</v>
      </c>
      <c r="B900" s="1" t="str">
        <f>IFERROR(__xludf.DUMMYFUNCTION("TRIM(
  SUBSTITUTE(
    REGEXEXTRACT(raw!A900, ""(?s)재료\s*(.*?)●\s*조리\s*방법""),
    CHAR(10), "", ""
  )
)
"),"감자수제비가루, 카레가루, 탄두리맛 닭가슴살, 닭날개, 치즈맛 핫바, 인스턴트 갈비탕, 시금치, 올리브오일, 청양고추, 홍고추, 양파, 마늘, 버터, 레몬, 소금, ,")</f>
        <v>감자수제비가루, 카레가루, 탄두리맛 닭가슴살, 닭날개, 치즈맛 핫바, 인스턴트 갈비탕, 시금치, 올리브오일, 청양고추, 홍고추, 양파, 마늘, 버터, 레몬, 소금, ,</v>
      </c>
    </row>
    <row r="901">
      <c r="A901" s="2" t="str">
        <f>recipe!C901
</f>
        <v>짬짜탕</v>
      </c>
      <c r="B901" s="1" t="str">
        <f>IFERROR(__xludf.DUMMYFUNCTION("TRIM(
  SUBSTITUTE(
    REGEXEXTRACT(raw!A901, ""(?s)재료\s*(.*?)●\s*조리\s*방법""),
    CHAR(10), "", ""
  )
)
"),"닭날개, 닭봉, 숯불맛 핫바, 전복, 인스턴트 갈비탕, 누룽지, 매운맛 짜장라면, 시금치, 간장, 달걀, 전분, 대파, 마늘, 양파, 고춧가루, 당근, ,")</f>
        <v>닭날개, 닭봉, 숯불맛 핫바, 전복, 인스턴트 갈비탕, 누룽지, 매운맛 짜장라면, 시금치, 간장, 달걀, 전분, 대파, 마늘, 양파, 고춧가루, 당근, ,</v>
      </c>
    </row>
    <row r="902">
      <c r="A902" s="2" t="str">
        <f>recipe!C902
</f>
        <v>레이먼의 손아귀</v>
      </c>
      <c r="B902" s="1" t="str">
        <f>IFERROR(__xludf.DUMMYFUNCTION("TRIM(
  SUBSTITUTE(
    REGEXEXTRACT(raw!A902, ""(?s)재료\s*(.*?)●\s*조리\s*방법""),
    CHAR(10), "", ""
  )
)
"),"아귀, 시금치, 애호박, 유자소스, 낙지젓, 무, 다시마, 국물용 멸치, 간장, 설탕, 맛술, 청양고추, 대파, 마늘, 후추, 생강, 소금, 후추, 청주, 홍고추, 청양고추, 즉석밥, ,")</f>
        <v>아귀, 시금치, 애호박, 유자소스, 낙지젓, 무, 다시마, 국물용 멸치, 간장, 설탕, 맛술, 청양고추, 대파, 마늘, 후추, 생강, 소금, 후추, 청주, 홍고추, 청양고추, 즉석밥, ,</v>
      </c>
    </row>
    <row r="903">
      <c r="A903" s="2" t="str">
        <f>recipe!C903
</f>
        <v>폭식해도 대구</v>
      </c>
      <c r="B903" s="1" t="str">
        <f>IFERROR(__xludf.DUMMYFUNCTION("TRIM(
  SUBSTITUTE(
    REGEXEXTRACT(raw!A903, ""(?s)재료\s*(.*?)●\s*조리\s*방법""),
    CHAR(10), "", ""
  )
)
"),"대구, 문어, 오징어젓, 전복, 미역, 달래, 버터, 즉석밥, 고춧가루, 청양고추, 양파, 당근, 간장, 설탕, 들기름, 깨, ,")</f>
        <v>대구, 문어, 오징어젓, 전복, 미역, 달래, 버터, 즉석밥, 고춧가루, 청양고추, 양파, 당근, 간장, 설탕, 들기름, 깨, ,</v>
      </c>
    </row>
    <row r="904">
      <c r="A904" s="2" t="str">
        <f>recipe!C904
</f>
        <v>나비족 세트</v>
      </c>
      <c r="B904" s="1" t="str">
        <f>IFERROR(__xludf.DUMMYFUNCTION("TRIM(
  SUBSTITUTE(
    REGEXEXTRACT(raw!A904, ""(?s)재료\s*(.*?)●\s*조리\s*방법""),
    CHAR(10), "", ""
  )
)
"),"삼겹살, 갈치속젓, 통조림 번데기, 인스턴트 순대, 부추, 숙취해소음료, 동그랑땡, 감자, 인스턴트 짜장, 짜장라면, 아보카도, 쌈무, 고추냉이 마요네즈, 당근, 양파, 대파, 청양고추, 고춧가루, 즉석밥, 깨, 올리브오일, ,")</f>
        <v>삼겹살, 갈치속젓, 통조림 번데기, 인스턴트 순대, 부추, 숙취해소음료, 동그랑땡, 감자, 인스턴트 짜장, 짜장라면, 아보카도, 쌈무, 고추냉이 마요네즈, 당근, 양파, 대파, 청양고추, 고춧가루, 즉석밥, 깨, 올리브오일, ,</v>
      </c>
    </row>
    <row r="905">
      <c r="A905" s="2" t="str">
        <f>recipe!C905
</f>
        <v>보헤미안 미슐랭</v>
      </c>
      <c r="B905" s="1" t="str">
        <f>IFERROR(__xludf.DUMMYFUNCTION("TRIM(
  SUBSTITUTE(
    REGEXEXTRACT(raw!A905, ""(?s)재료\s*(.*?)●\s*조리\s*방법""),
    CHAR(10), "", ""
  )
)
"),"돼지목살, 새우, 방울토마토, 굴소스, 부추, 해물육수팩, 다시마, 파스타면, 김과자, 깻잎, 팽이버섯, 건새우, 마늘, 홍고추, 대파, 고춧가루, 소금, 간장, 물엿, 양파, 들기름, 참기름, 전분, ,")</f>
        <v>돼지목살, 새우, 방울토마토, 굴소스, 부추, 해물육수팩, 다시마, 파스타면, 김과자, 깻잎, 팽이버섯, 건새우, 마늘, 홍고추, 대파, 고춧가루, 소금, 간장, 물엿, 양파, 들기름, 참기름, 전분, ,</v>
      </c>
    </row>
    <row r="906">
      <c r="A906" s="2" t="str">
        <f>recipe!C906
</f>
        <v>이런 된장</v>
      </c>
      <c r="B906" s="1" t="str">
        <f>IFERROR(__xludf.DUMMYFUNCTION("TRIM(
  SUBSTITUTE(
    REGEXEXTRACT(raw!A906, ""(?s)재료\s*(.*?)●\s*조리\s*방법""),
    CHAR(10), "", ""
  )
)
"),"돼지목살, 감자, 인스턴트 소라강된장, 양상추, 매운 김치, 배추김치, 부추, 쪽파, 무, 허브솔트, 표고버섯, 애호박, 건새우, 새우젓, 소금, 고춧가루, 당근, 깨, 양파, 청양고추, 밀가루, 버터, 후추, 올리브오일, 식초, ,")</f>
        <v>돼지목살, 감자, 인스턴트 소라강된장, 양상추, 매운 김치, 배추김치, 부추, 쪽파, 무, 허브솔트, 표고버섯, 애호박, 건새우, 새우젓, 소금, 고춧가루, 당근, 깨, 양파, 청양고추, 밀가루, 버터, 후추, 올리브오일, 식초, ,</v>
      </c>
    </row>
    <row r="907">
      <c r="A907" s="2" t="str">
        <f>recipe!C907
</f>
        <v>막걸리 칼라 파워!</v>
      </c>
      <c r="B907" s="1" t="str">
        <f>IFERROR(__xludf.DUMMYFUNCTION("TRIM(
  SUBSTITUTE(
    REGEXEXTRACT(raw!A907, ""(?s)재료\s*(.*?)●\s*조리\s*방법""),
    CHAR(10), "", ""
  )
)
"),"삼겹살, 주꾸미, 맥주, 쪽파, 매운 고추장, 깻잎, 감자, 애호박, 건새우, 섞박지, 배, 초고추장, 오이소박이, 굴소스, 된장, 다진마늘, 맛술, 레몬, 전분, 청양고추, 설탕, 간장, 물엿, 고춧가루, 양파, 참기름, 깨, 식초, ,")</f>
        <v>삼겹살, 주꾸미, 맥주, 쪽파, 매운 고추장, 깻잎, 감자, 애호박, 건새우, 섞박지, 배, 초고추장, 오이소박이, 굴소스, 된장, 다진마늘, 맛술, 레몬, 전분, 청양고추, 설탕, 간장, 물엿, 고춧가루, 양파, 참기름, 깨, 식초, ,</v>
      </c>
    </row>
    <row r="908">
      <c r="A908" s="2" t="str">
        <f>recipe!C908
</f>
        <v>청양공주</v>
      </c>
      <c r="B908" s="1" t="str">
        <f>IFERROR(__xludf.DUMMYFUNCTION("TRIM(
  SUBSTITUTE(
    REGEXEXTRACT(raw!A908, ""(?s)재료\s*(.*?)●\s*조리\s*방법""),
    CHAR(10), "", ""
  )
)
"),"소 등심, 콜라비 깍두기, 배추김치, 삼겹살, 마른 김, 전복, 황설탕, 타마고 간장, 들기름, 올리고당, 말린 뽕잎, 깻잎, 대파, 고춧가루, 간장, 맛술, 다진 마늘, 양파, 청양고추, 들기름, 깨, ,")</f>
        <v>소 등심, 콜라비 깍두기, 배추김치, 삼겹살, 마른 김, 전복, 황설탕, 타마고 간장, 들기름, 올리고당, 말린 뽕잎, 깻잎, 대파, 고춧가루, 간장, 맛술, 다진 마늘, 양파, 청양고추, 들기름, 깨, ,</v>
      </c>
    </row>
    <row r="909">
      <c r="A909" s="2" t="str">
        <f>recipe!C909
</f>
        <v>지금 이 순간~ 전골처럼♬</v>
      </c>
      <c r="B909" s="1" t="str">
        <f>IFERROR(__xludf.DUMMYFUNCTION("TRIM(
  SUBSTITUTE(
    REGEXEXTRACT(raw!A909, ""(?s)재료\s*(.*?)●\s*조리\s*방법""),
    CHAR(10), "", ""
  )
)
"),"차돌박이, 다진 소고기, 건표고버섯, 표고버섯, 송이버섯, 감자, 애호박, 타마고 간장, 소고기뭇국, 무, 올리브오일, 청양고추, 밀가루, 대파, 홍고추, 양파, 식초, 레몬, 들기름, 소금, ,")</f>
        <v>차돌박이, 다진 소고기, 건표고버섯, 표고버섯, 송이버섯, 감자, 애호박, 타마고 간장, 소고기뭇국, 무, 올리브오일, 청양고추, 밀가루, 대파, 홍고추, 양파, 식초, 레몬, 들기름, 소금, ,</v>
      </c>
    </row>
    <row r="910">
      <c r="A910" s="2" t="str">
        <f>recipe!C910
</f>
        <v>러시아 가 봤슈?</v>
      </c>
      <c r="B910" s="1" t="str">
        <f>IFERROR(__xludf.DUMMYFUNCTION("TRIM(
  SUBSTITUTE(
    REGEXEXTRACT(raw!A910, ""(?s)재료\s*(.*?)●\s*조리\s*방법""),
    CHAR(10), "", ""
  )
)
"),"다진 소고기, 콜라비 깍두기, 마늘장아찌, 매실장아찌, 표고버섯, 송이버섯, 감자, 카레가루, 찹쌀호떡가루, 로열젤리, 사과, 연근조림, 대파, 양파, 맛술, 간장, 설탕, 소금, 당근, 달걀, 참기름, 청양고추, 홍고추, 화이트와인, 올리브오일, 고추장, 후추, ,")</f>
        <v>다진 소고기, 콜라비 깍두기, 마늘장아찌, 매실장아찌, 표고버섯, 송이버섯, 감자, 카레가루, 찹쌀호떡가루, 로열젤리, 사과, 연근조림, 대파, 양파, 맛술, 간장, 설탕, 소금, 당근, 달걀, 참기름, 청양고추, 홍고추, 화이트와인, 올리브오일, 고추장, 후추, ,</v>
      </c>
    </row>
    <row r="911">
      <c r="A911" s="2" t="str">
        <f>recipe!C911
</f>
        <v>러시아풍 크레페</v>
      </c>
      <c r="B911" s="1" t="str">
        <f>IFERROR(__xludf.DUMMYFUNCTION("TRIM(
  SUBSTITUTE(
    REGEXEXTRACT(raw!A911, ""(?s)재료\s*(.*?)●\s*조리\s*방법""),
    CHAR(10), "", ""
  )
)
"),"차돌박이, 딸기, 타마고 간장, 깻잎, 우유, 건새우, 찹쌀가루, 설탕, 밀가루, 달걀, 소금, 양파, 물엿, 식초, 청양고추, 레몬, 간장, ,")</f>
        <v>차돌박이, 딸기, 타마고 간장, 깻잎, 우유, 건새우, 찹쌀가루, 설탕, 밀가루, 달걀, 소금, 양파, 물엿, 식초, 청양고추, 레몬, 간장, ,</v>
      </c>
    </row>
    <row r="912">
      <c r="A912" s="2" t="str">
        <f>recipe!C912
</f>
        <v>보양식이랑깨</v>
      </c>
      <c r="B912" s="1" t="str">
        <f>IFERROR(__xludf.DUMMYFUNCTION("TRIM(
  SUBSTITUTE(
    REGEXEXTRACT(raw!A912, ""(?s)재료\s*(.*?)●\s*조리\s*방법""),
    CHAR(10), "", ""
  )
)
"),"꽃등심, 샤부샤부용 소고기, 차돌박이, 낙지, 마, 설렁탕, 국물용 멸치, 무, 다시마, 총각김치, 들깻가루, 초고추장, 부추, 깻잎, 팽이버섯, 들기름, 대파, 설탕, 간장, 소금, 밀가루, 달걀, 된장, 맛술, 고춧가루, 다진마늘, 연겨자, 마늘, 홍고추
, 
,")</f>
        <v>꽃등심, 샤부샤부용 소고기, 차돌박이, 낙지, 마, 설렁탕, 국물용 멸치, 무, 다시마, 총각김치, 들깻가루, 초고추장, 부추, 깻잎, 팽이버섯, 들기름, 대파, 설탕, 간장, 소금, 밀가루, 달걀, 된장, 맛술, 고춧가루, 다진마늘, 연겨자, 마늘, 홍고추
, 
,</v>
      </c>
    </row>
    <row r="913">
      <c r="A913" s="2" t="str">
        <f>recipe!C913
</f>
        <v>잣잣잣~하고 말아 드세요♬</v>
      </c>
      <c r="B913" s="1" t="str">
        <f>IFERROR(__xludf.DUMMYFUNCTION("TRIM(
  SUBSTITUTE(
    REGEXEXTRACT(raw!A913, ""(?s)재료\s*(.*?)●\s*조리\s*방법""),
    CHAR(10), "", ""
  )
)
"),"전복, 낙지, 오징어, 새우, 잣, 두부, 레몬청, 오이, 애호박, 무순, 깻잎, 팽이버섯, 감태, 스리라차소스, 굴소스, 소금, 밀가루, 마늘, 맛술, 간장, 설탕, 식초, 케첩, 마요네즈, 대파,
, 
,")</f>
        <v>전복, 낙지, 오징어, 새우, 잣, 두부, 레몬청, 오이, 애호박, 무순, 깻잎, 팽이버섯, 감태, 스리라차소스, 굴소스, 소금, 밀가루, 마늘, 맛술, 간장, 설탕, 식초, 케첩, 마요네즈, 대파,
, 
,</v>
      </c>
    </row>
    <row r="914">
      <c r="A914" s="2" t="str">
        <f>recipe!C914
</f>
        <v>꽃중년 스테이크</v>
      </c>
      <c r="B914" s="1" t="str">
        <f>IFERROR(__xludf.DUMMYFUNCTION("TRIM(
  SUBSTITUTE(
    REGEXEXTRACT(raw!A914, ""(?s)재료\s*(.*?)●\s*조리\s*방법""),
    CHAR(10), "", ""
  )
)
"),"꽃등심, 삼겹살, 애호박, 양송이버섯, 상추, 마늘장아찌, 오이, 부추, 레몬청, 유자폰즈소스, 잣, 새우젓무침, 마늘, 달걀, 소금, 레몬, 후추
,")</f>
        <v>꽃등심, 삼겹살, 애호박, 양송이버섯, 상추, 마늘장아찌, 오이, 부추, 레몬청, 유자폰즈소스, 잣, 새우젓무침, 마늘, 달걀, 소금, 레몬, 후추
,</v>
      </c>
    </row>
    <row r="915">
      <c r="A915" s="2" t="str">
        <f>recipe!C915
</f>
        <v>애꿎은 스테이크 어이하라고♬</v>
      </c>
      <c r="B915" s="1" t="str">
        <f>IFERROR(__xludf.DUMMYFUNCTION("TRIM(
  SUBSTITUTE(
    REGEXEXTRACT(raw!A915, ""(?s)재료\s*(.*?)●\s*조리\s*방법""),
    CHAR(10), "", ""
  )
)
"),"토종닭, 소등심, 새우, 콩비지, 잣, 마, 호박죽, 오미자원액, 감태, 자몽청, 두릅, 마늘, 소금, 후추, 올리브오일, 튀김가루, 전분, 식초
, 
,")</f>
        <v>토종닭, 소등심, 새우, 콩비지, 잣, 마, 호박죽, 오미자원액, 감태, 자몽청, 두릅, 마늘, 소금, 후추, 올리브오일, 튀김가루, 전분, 식초
, 
,</v>
      </c>
    </row>
    <row r="916">
      <c r="A916" s="2" t="str">
        <f>recipe!C916
</f>
        <v>미역도 다시 한 번</v>
      </c>
      <c r="B916" s="1" t="str">
        <f>IFERROR(__xludf.DUMMYFUNCTION("TRIM(
  SUBSTITUTE(
    REGEXEXTRACT(raw!A916, ""(?s)재료\s*(.*?)●\s*조리\s*방법""),
    CHAR(10), "", ""
  )
)
"),"연어, 미역, 훈제 연어, 참외, 사과, 두릅, 돌나물, 크림치즈, 쌈장, 소면, 백김치, 소금, 달걀, 고추냉이, 대파, 마늘, 고춧가루, 설탕, 다진 마늘, 다진 생강, 식초, 간장, 청양고추, 참기름, ,")</f>
        <v>연어, 미역, 훈제 연어, 참외, 사과, 두릅, 돌나물, 크림치즈, 쌈장, 소면, 백김치, 소금, 달걀, 고추냉이, 대파, 마늘, 고춧가루, 설탕, 다진 마늘, 다진 생강, 식초, 간장, 청양고추, 참기름, ,</v>
      </c>
    </row>
    <row r="917">
      <c r="A917" s="2" t="str">
        <f>recipe!C917
</f>
        <v>불혹에 딱 좋은 면인데♬</v>
      </c>
      <c r="B917" s="1" t="str">
        <f>IFERROR(__xludf.DUMMYFUNCTION("TRIM(
  SUBSTITUTE(
    REGEXEXTRACT(raw!A917, ""(?s)재료\s*(.*?)●\s*조리\s*방법""),
    CHAR(10), "", ""
  )
)
"),"연어, 미역, 파스타면, 시금치, 굴소스, 두반장, 바지락, 돌나물, 건홍합, 전복, 파프리카, 참기름, 버터, 밀가루, 고추장, 식초, 설탕, 올리브오일, 후추
, 
,")</f>
        <v>연어, 미역, 파스타면, 시금치, 굴소스, 두반장, 바지락, 돌나물, 건홍합, 전복, 파프리카, 참기름, 버터, 밀가루, 고추장, 식초, 설탕, 올리브오일, 후추
, 
,</v>
      </c>
    </row>
    <row r="918">
      <c r="A918" s="2" t="str">
        <f>recipe!C918
</f>
        <v>레이먼사우르스</v>
      </c>
      <c r="B918" s="1" t="str">
        <f>IFERROR(__xludf.DUMMYFUNCTION("TRIM(
  SUBSTITUTE(
    REGEXEXTRACT(raw!A918, ""(?s)재료\s*(.*?)●\s*조리\s*방법""),
    CHAR(10), "", ""
  )
)
"),"시금치, 양념 소불고기, 스트링치즈, 모차렐라치즈, 우유, 빵가루, 달걀, 당근, 설탕, 소금, 밀가루, 버터, 튀김가루, 케첩
, 
,")</f>
        <v>시금치, 양념 소불고기, 스트링치즈, 모차렐라치즈, 우유, 빵가루, 달걀, 당근, 설탕, 소금, 밀가루, 버터, 튀김가루, 케첩
, 
,</v>
      </c>
    </row>
    <row r="919">
      <c r="A919" s="2" t="str">
        <f>recipe!C919
</f>
        <v>코알라 구할 준비됐나요♬</v>
      </c>
      <c r="B919" s="1" t="str">
        <f>IFERROR(__xludf.DUMMYFUNCTION("TRIM(
  SUBSTITUTE(
    REGEXEXTRACT(raw!A919, ""(?s)재료\s*(.*?)●\s*조리\s*방법""),
    CHAR(10), "", ""
  )
)
"),"시금치, 불고기용 소고기, 애호박, 브로콜리, 케이퍼, 블랙 올리브, 우유, 고기 육수, 굴소스, 라면, 빵가루, 튀김가루, 버터, 밀가루
,")</f>
        <v>시금치, 불고기용 소고기, 애호박, 브로콜리, 케이퍼, 블랙 올리브, 우유, 고기 육수, 굴소스, 라면, 빵가루, 튀김가루, 버터, 밀가루
,</v>
      </c>
    </row>
    <row r="920">
      <c r="A920" s="2" t="str">
        <f>recipe!C920
</f>
        <v>갱년기 날렸찜</v>
      </c>
      <c r="B920" s="1" t="str">
        <f>IFERROR(__xludf.DUMMYFUNCTION("TRIM(
  SUBSTITUTE(
    REGEXEXTRACT(raw!A920, ""(?s)재료\s*(.*?)●\s*조리\s*방법""),
    CHAR(10), "", ""
  )
)
"),"돼지목살, 삶은 문어, 전복, 삶은 메추리알, 브로콜리, 오렌지, 취나물, 화이트와인 식초, 호두기름, 발사믹 식초, 토마토, 셀러리, 샤부샤부용 육수, 파슬리, 표고버섯, 고추, 마늘, 올리브오일, 케첩, 맛술, 후추, 소금, 양파, 라면, 설탕
, 
,")</f>
        <v>돼지목살, 삶은 문어, 전복, 삶은 메추리알, 브로콜리, 오렌지, 취나물, 화이트와인 식초, 호두기름, 발사믹 식초, 토마토, 셀러리, 샤부샤부용 육수, 파슬리, 표고버섯, 고추, 마늘, 올리브오일, 케첩, 맛술, 후추, 소금, 양파, 라면, 설탕
, 
,</v>
      </c>
    </row>
    <row r="921">
      <c r="A921" s="2" t="str">
        <f>recipe!C921
</f>
        <v>문어지지마</v>
      </c>
      <c r="B921" s="1" t="str">
        <f>IFERROR(__xludf.DUMMYFUNCTION("TRIM(
  SUBSTITUTE(
    REGEXEXTRACT(raw!A921, ""(?s)재료\s*(.*?)●\s*조리\s*방법""),
    CHAR(10), "", ""
  )
)
"),"돼지목살, 삶은 문어, 꽃등심, 감자, 토마토, 파슬리, 취나물, 표고버섯, 새송이버섯, 플레인요거트, 파프리카, 화이트와인 식초, 발사믹 식초, 오렌지, 달걀, 설탕, 레몬, 올리브오일, 후추, 소금, 다진생강, 다진마늘, 마늘
, 
,")</f>
        <v>돼지목살, 삶은 문어, 꽃등심, 감자, 토마토, 파슬리, 취나물, 표고버섯, 새송이버섯, 플레인요거트, 파프리카, 화이트와인 식초, 발사믹 식초, 오렌지, 달걀, 설탕, 레몬, 올리브오일, 후추, 소금, 다진생강, 다진마늘, 마늘
, 
,</v>
      </c>
    </row>
    <row r="922">
      <c r="A922" s="2" t="str">
        <f>recipe!C922
</f>
        <v>아피제닌맨</v>
      </c>
      <c r="B922" s="1" t="str">
        <f>IFERROR(__xludf.DUMMYFUNCTION("TRIM(
  SUBSTITUTE(
    REGEXEXTRACT(raw!A922, ""(?s)재료\s*(.*?)●\s*조리\s*방법""),
    CHAR(10), "", ""
  )
)
"),"브로콜리, 셀러리, 파슬리, 두부, 호두기름, 애호박, 보리된장, 전복, 오징어, 우렁이, 오이무침, 깨, 전분, 소금, 식초, 홍고추, 마늘, 설탕, 양파, 고추
, 
,")</f>
        <v>브로콜리, 셀러리, 파슬리, 두부, 호두기름, 애호박, 보리된장, 전복, 오징어, 우렁이, 오이무침, 깨, 전분, 소금, 식초, 홍고추, 마늘, 설탕, 양파, 고추
, 
,</v>
      </c>
    </row>
    <row r="923">
      <c r="A923" s="2" t="str">
        <f>recipe!C923
</f>
        <v>닥터 호영레인지</v>
      </c>
      <c r="B923" s="1" t="str">
        <f>IFERROR(__xludf.DUMMYFUNCTION("TRIM(
  SUBSTITUTE(
    REGEXEXTRACT(raw!A923, ""(?s)재료\s*(.*?)●\s*조리\s*방법""),
    CHAR(10), "", ""
  )
)
"),"브로콜리, 셀러리, 파슬리, 두부, 오징어, 새우, 칵테일새우, 전복, 표고버섯, 새송이버섯, 조갯살, 인스턴트 백짬뽕,콩나물, 통조림 참치, 잣, 단무지, 멸치육수팩, 맛간장, 밀가루, 대파, 양파, 다진마늘, 고춧가루, 고추, 달걀, 설탕, 깨, 참기름,
, 
,")</f>
        <v>브로콜리, 셀러리, 파슬리, 두부, 오징어, 새우, 칵테일새우, 전복, 표고버섯, 새송이버섯, 조갯살, 인스턴트 백짬뽕,콩나물, 통조림 참치, 잣, 단무지, 멸치육수팩, 맛간장, 밀가루, 대파, 양파, 다진마늘, 고춧가루, 고추, 달걀, 설탕, 깨, 참기름,
, 
,</v>
      </c>
    </row>
    <row r="924">
      <c r="A924" s="2" t="str">
        <f>recipe!C924
</f>
        <v>버거김</v>
      </c>
      <c r="B924" s="1" t="str">
        <f>IFERROR(__xludf.DUMMYFUNCTION("TRIM(
  SUBSTITUTE(
    REGEXEXTRACT(raw!A924, ""(?s)재료\s*(.*?)●\s*조리\s*방법""),
    CHAR(10), "", ""
  )
)
"),"햄버거번, 조미김, 슬라이스 체더치즈, 모차렐라 치즈, 새우, 렐리시, 크림파스타소스, 통조림 햄, 대패삼겹살, 베이컨, 배추김치, 단무지, 가자미식해, 매콤달콤맛 과자, 전분, 다진마늘, 설탕, 튀김가루
, 
,")</f>
        <v>햄버거번, 조미김, 슬라이스 체더치즈, 모차렐라 치즈, 새우, 렐리시, 크림파스타소스, 통조림 햄, 대패삼겹살, 베이컨, 배추김치, 단무지, 가자미식해, 매콤달콤맛 과자, 전분, 다진마늘, 설탕, 튀김가루
, 
,</v>
      </c>
    </row>
    <row r="925">
      <c r="A925" s="2" t="str">
        <f>recipe!C925
</f>
        <v>샘도날드</v>
      </c>
      <c r="B925" s="1" t="str">
        <f>IFERROR(__xludf.DUMMYFUNCTION("TRIM(
  SUBSTITUTE(
    REGEXEXTRACT(raw!A925, ""(?s)재료\s*(.*?)●\s*조리\s*방법""),
    CHAR(10), "", ""
  )
)
"),"햄버거번, 삼겹살, 베이컨, 훈제오리, 슬라이스 체더치즈, 모차렐라치즈, 크림치즈, 블루베리, 휘핑크림, 렐리시, 우유, 감자, 매운맛 과자, 소금, 양파, 달걀, 밀가루, 버터, 설탕, 레몬
, 
,")</f>
        <v>햄버거번, 삼겹살, 베이컨, 훈제오리, 슬라이스 체더치즈, 모차렐라치즈, 크림치즈, 블루베리, 휘핑크림, 렐리시, 우유, 감자, 매운맛 과자, 소금, 양파, 달걀, 밀가루, 버터, 설탕, 레몬
, 
,</v>
      </c>
    </row>
    <row r="926">
      <c r="A926" s="2" t="str">
        <f>recipe!C926
</f>
        <v>내가 이길고렝</v>
      </c>
      <c r="B926" s="1" t="str">
        <f>IFERROR(__xludf.DUMMYFUNCTION("TRIM(
  SUBSTITUTE(
    REGEXEXTRACT(raw!A926, ""(?s)재료\s*(.*?)●\s*조리\s*방법""),
    CHAR(10), "", ""
  )
)
"),"꽃게, 피시소스, 고수, 소갈비양념, 우유, 건새우, 오이, 새우, 파스타면, 고체 카레, 베이컨, 맥주, 대파, 고춧가루, 양파, 청양고추, 홍고추, 마늘, 즉석밥, 설탕, 밀가루, 달걀
, 
,")</f>
        <v>꽃게, 피시소스, 고수, 소갈비양념, 우유, 건새우, 오이, 새우, 파스타면, 고체 카레, 베이컨, 맥주, 대파, 고춧가루, 양파, 청양고추, 홍고추, 마늘, 즉석밥, 설탕, 밀가루, 달걀
, 
,</v>
      </c>
    </row>
    <row r="927">
      <c r="A927" s="2" t="str">
        <f>recipe!C927
</f>
        <v>꿍푸팬더</v>
      </c>
      <c r="B927" s="1" t="str">
        <f>IFERROR(__xludf.DUMMYFUNCTION("TRIM(
  SUBSTITUTE(
    REGEXEXTRACT(raw!A927, ""(?s)재료\s*(.*?)●\s*조리\s*방법""),
    CHAR(10), "", ""
  )
)
"),"꽃게, 똠얌 페이스트, 피시소스, 고수, 건새우, 깍두기, 대패 삼겹살, 삼겹살, 새우, 방울토마토, 진미채, 라면 면, 레몬, 마늘, 홍고추, 설탕, 청양고추, 간장, 식초, 전분, 대파, 달걀
, 
,")</f>
        <v>꽃게, 똠얌 페이스트, 피시소스, 고수, 건새우, 깍두기, 대패 삼겹살, 삼겹살, 새우, 방울토마토, 진미채, 라면 면, 레몬, 마늘, 홍고추, 설탕, 청양고추, 간장, 식초, 전분, 대파, 달걀
, 
,</v>
      </c>
    </row>
    <row r="928">
      <c r="A928" s="2" t="str">
        <f>recipe!C928
</f>
        <v>런닝램</v>
      </c>
      <c r="B928" s="1" t="str">
        <f>IFERROR(__xludf.DUMMYFUNCTION("TRIM(
  SUBSTITUTE(
    REGEXEXTRACT(raw!A928, ""(?s)재료\s*(.*?)●\s*조리\s*방법""),
    CHAR(10), "", ""
  )
)
"),"양갈비, 토마토, 스테비아토마토, 토마토홀, 치킨스톡, 고형카레, 무말랭이, 야생화 꿀, 페페론치노, 파슬리, 양상추, 관자, 올리브오일, 양파, 청주, 다진마늘, 다진생강, 버터, 소금, 후추, 밀가루, 레몬, 설탕, 즉석밥
, 
,")</f>
        <v>양갈비, 토마토, 스테비아토마토, 토마토홀, 치킨스톡, 고형카레, 무말랭이, 야생화 꿀, 페페론치노, 파슬리, 양상추, 관자, 올리브오일, 양파, 청주, 다진마늘, 다진생강, 버터, 소금, 후추, 밀가루, 레몬, 설탕, 즉석밥
, 
,</v>
      </c>
    </row>
    <row r="929">
      <c r="A929" s="2" t="str">
        <f>recipe!C929
</f>
        <v>의기양양</v>
      </c>
      <c r="B929" s="1" t="str">
        <f>IFERROR(__xludf.DUMMYFUNCTION("TRIM(
  SUBSTITUTE(
    REGEXEXTRACT(raw!A929, ""(?s)재료\s*(.*?)●\s*조리\s*방법""),
    CHAR(10), "", ""
  )
)
"),"양갈비, 새우, 굴소스, 치킨스톡, 스리라차소스, 관자, 양상추, 양배추, 분모자, 고추마늘소스, XO칠리소스, 느타리버섯, 피망, 고춧가루, 대파, 후추, 간장, 맛술, 전분, 달걀, 쌀, 소금, 마늘, 생강
, 
,")</f>
        <v>양갈비, 새우, 굴소스, 치킨스톡, 스리라차소스, 관자, 양상추, 양배추, 분모자, 고추마늘소스, XO칠리소스, 느타리버섯, 피망, 고춧가루, 대파, 후추, 간장, 맛술, 전분, 달걀, 쌀, 소금, 마늘, 생강
, 
,</v>
      </c>
    </row>
    <row r="930">
      <c r="A930" s="2" t="str">
        <f>recipe!C930
</f>
        <v>파리지엥케이크</v>
      </c>
      <c r="B930" s="1" t="str">
        <f>IFERROR(__xludf.DUMMYFUNCTION("TRIM(
  SUBSTITUTE(
    REGEXEXTRACT(raw!A930, ""(?s)재료\s*(.*?)●\s*조리\s*방법""),
    CHAR(10), "", ""
  )
)
"),"마스카르포네 치즈, 크림치즈, 딸기, 스테비아토마토, 오렌지, 핫도그, 초코시리얼, 마카롱, 초콜릿, 레몬청, 설탕, 달걀, 소금, 밀가루, 물엿
, 
,")</f>
        <v>마스카르포네 치즈, 크림치즈, 딸기, 스테비아토마토, 오렌지, 핫도그, 초코시리얼, 마카롱, 초콜릿, 레몬청, 설탕, 달걀, 소금, 밀가루, 물엿
, 
,</v>
      </c>
    </row>
    <row r="931">
      <c r="A931" s="2" t="str">
        <f>recipe!C931
</f>
        <v>하와이안 풍딩</v>
      </c>
      <c r="B931" s="1" t="str">
        <f>IFERROR(__xludf.DUMMYFUNCTION("TRIM(
  SUBSTITUTE(
    REGEXEXTRACT(raw!A931, ""(?s)재료\s*(.*?)●\s*조리\s*방법""),
    CHAR(10), "", ""
  )
)
"),"코코넛밀크, 우유, 깐호두, 잣, 팥배기, 딸기, 파인애플, 오렌지, 블루베리잼, 비스킷믹스, 마카다미아, 녹차아이스크림, 시리얼, 표고버섯칩, 전분, 설탕, 물엿
, 
,")</f>
        <v>코코넛밀크, 우유, 깐호두, 잣, 팥배기, 딸기, 파인애플, 오렌지, 블루베리잼, 비스킷믹스, 마카다미아, 녹차아이스크림, 시리얼, 표고버섯칩, 전분, 설탕, 물엿
, 
,</v>
      </c>
    </row>
    <row r="932">
      <c r="A932" s="2" t="str">
        <f>recipe!C932
</f>
        <v>유자라면 다가와♬</v>
      </c>
      <c r="B932" s="1" t="str">
        <f>IFERROR(__xludf.DUMMYFUNCTION("TRIM(
  SUBSTITUTE(
    REGEXEXTRACT(raw!A932, ""(?s)재료\s*(.*?)●\s*조리\s*방법""),
    CHAR(10), "", ""
  )
)
"),"대패삼겹살, 유자청, 무, 오이, 참외, 콩나물, 두부, 라면, 고춧가루, 소금, 다진 마늘, 식초, 레몬
, 
,")</f>
        <v>대패삼겹살, 유자청, 무, 오이, 참외, 콩나물, 두부, 라면, 고춧가루, 소금, 다진 마늘, 식초, 레몬
, 
,</v>
      </c>
    </row>
    <row r="933">
      <c r="A933" s="2" t="str">
        <f>recipe!C933
</f>
        <v>해결쌈</v>
      </c>
      <c r="B933" s="1" t="str">
        <f>IFERROR(__xludf.DUMMYFUNCTION("TRIM(
  SUBSTITUTE(
    REGEXEXTRACT(raw!A933, ""(?s)재료\s*(.*?)●\s*조리\s*방법""),
    CHAR(10), "", ""
  )
)
"),"대패삼겹살, 유자청, 시금치, 총각김치, 파프리카, 두부, 쌈장, 사과, 유부초밥용 유부, 무, 오이, 굴소스, 멸치액젓, 소금, 대파, 양파, 마늘, 즉석밥, 청양고추, 식초, 물엿, 맛술
, 
,")</f>
        <v>대패삼겹살, 유자청, 시금치, 총각김치, 파프리카, 두부, 쌈장, 사과, 유부초밥용 유부, 무, 오이, 굴소스, 멸치액젓, 소금, 대파, 양파, 마늘, 즉석밥, 청양고추, 식초, 물엿, 맛술
, 
,</v>
      </c>
    </row>
    <row r="934">
      <c r="A934" s="2" t="str">
        <f>recipe!C934
</f>
        <v>비지창조</v>
      </c>
      <c r="B934" s="1" t="str">
        <f>IFERROR(__xludf.DUMMYFUNCTION("TRIM(
  SUBSTITUTE(
    REGEXEXTRACT(raw!A934, ""(?s)재료\s*(.*?)●\s*조리\s*방법""),
    CHAR(10), "", ""
  )
)
"),"두부, 순두부, 대패삼겹살, 고등어, 총각김치, 감자, 시금치, 애호박, 무, 된장, 마늘, 양파, 청양고추, 홍고추, 대파, 간장, 깨, 참기름, 설탕
, 
,")</f>
        <v>두부, 순두부, 대패삼겹살, 고등어, 총각김치, 감자, 시금치, 애호박, 무, 된장, 마늘, 양파, 청양고추, 홍고추, 대파, 간장, 깨, 참기름, 설탕
, 
,</v>
      </c>
    </row>
    <row r="935">
      <c r="A935" s="2" t="str">
        <f>recipe!C935
</f>
        <v>돼지 파국이다!</v>
      </c>
      <c r="B935" s="1" t="str">
        <f>IFERROR(__xludf.DUMMYFUNCTION("TRIM(
  SUBSTITUTE(
    REGEXEXTRACT(raw!A935, ""(?s)재료\s*(.*?)●\s*조리\s*방법""),
    CHAR(10), "", ""
  )
)
"),"대패삼겹살, 가지, 무, 황태채, 마늘, 설탕, 간장, 대파, 청양고추, 식초, 맛술, 간장, 설탕, 홍고추, 다진 생강, 후추, 즉석밥
, 
,")</f>
        <v>대패삼겹살, 가지, 무, 황태채, 마늘, 설탕, 간장, 대파, 청양고추, 식초, 맛술, 간장, 설탕, 홍고추, 다진 생강, 후추, 즉석밥
, 
,</v>
      </c>
    </row>
    <row r="936">
      <c r="A936" s="2" t="str">
        <f>recipe!C936
</f>
        <v>T.O.P 돔</v>
      </c>
      <c r="B936" s="1" t="str">
        <f>IFERROR(__xludf.DUMMYFUNCTION("TRIM(
  SUBSTITUTE(
    REGEXEXTRACT(raw!A936, ""(?s)재료\s*(.*?)●\s*조리\s*방법""),
    CHAR(10), "", ""
  )
)
"),"참돔, 새우, 블랙타이거 새우, 굴소스, 미역, 바지락, 표고버섯, 게맛살, 갑오징어, 창난젓, 스리라차소스, 양파, 홍고추, 고추, 후추, 밀가루, 올리브오일, 대파, 고춧가루, 케첩, 마요네즈, 맛술, 식초, 전분
, 
,")</f>
        <v>참돔, 새우, 블랙타이거 새우, 굴소스, 미역, 바지락, 표고버섯, 게맛살, 갑오징어, 창난젓, 스리라차소스, 양파, 홍고추, 고추, 후추, 밀가루, 올리브오일, 대파, 고춧가루, 케첩, 마요네즈, 맛술, 식초, 전분
, 
,</v>
      </c>
    </row>
    <row r="937">
      <c r="A937" s="2" t="str">
        <f>recipe!C937
</f>
        <v>퍼펙트 돔</v>
      </c>
      <c r="B937" s="1" t="str">
        <f>IFERROR(__xludf.DUMMYFUNCTION("TRIM(
  SUBSTITUTE(
    REGEXEXTRACT(raw!A937, ""(?s)재료\s*(.*?)●\s*조리\s*방법""),
    CHAR(10), "", ""
  )
)
"),"참돔, 고추장, 된장, 막장, 커피가루, 쪽파, 무, 블랙타이거 새우, 모시조개, 창난젓, 낙지, 국물용 멸치, 양파, 대파, 소금, 후추, 버터, 올리브오일, 즉석밥, 마늘, 고추
,")</f>
        <v>참돔, 고추장, 된장, 막장, 커피가루, 쪽파, 무, 블랙타이거 새우, 모시조개, 창난젓, 낙지, 국물용 멸치, 양파, 대파, 소금, 후추, 버터, 올리브오일, 즉석밥, 마늘, 고추
,</v>
      </c>
    </row>
    <row r="938">
      <c r="A938" s="2" t="str">
        <f>recipe!C938
</f>
        <v>와일드 아이즈면</v>
      </c>
      <c r="B938" s="1" t="str">
        <f>IFERROR(__xludf.DUMMYFUNCTION("TRIM(
  SUBSTITUTE(
    REGEXEXTRACT(raw!A938, ""(?s)재료\s*(.*?)●\s*조리\s*방법""),
    CHAR(10), "", ""
  )
)
"),"생닭, 돼지목살, 국물용 멸치, 된장, 문어, 전복, 갑오징어, 인스턴트 라멘, 해삼내장, 막장, 블랙타이거 새우, 건새우, 조미김, 쪽파, 대파, 고춧가루, 다진마늘, 당근, 양파, 달걀, 밀가루, 참기름, 마늘
, 
,")</f>
        <v>생닭, 돼지목살, 국물용 멸치, 된장, 문어, 전복, 갑오징어, 인스턴트 라멘, 해삼내장, 막장, 블랙타이거 새우, 건새우, 조미김, 쪽파, 대파, 고춧가루, 다진마늘, 당근, 양파, 달걀, 밀가루, 참기름, 마늘
, 
,</v>
      </c>
    </row>
    <row r="939">
      <c r="A939" s="2" t="str">
        <f>recipe!C939
</f>
        <v>Hey, Come 면!</v>
      </c>
      <c r="B939" s="1" t="str">
        <f>IFERROR(__xludf.DUMMYFUNCTION("TRIM(
  SUBSTITUTE(
    REGEXEXTRACT(raw!A939, ""(?s)재료\s*(.*?)●\s*조리\s*방법""),
    CHAR(10), "", ""
  )
)
"),"갑오징어, 차돌박이, 굴소스, 팟타이소스, 한라봉, 전복, 쪽파, 멸치가리비소스, 알배추, 파스타면,밀가루, 달걀, 소금, 다진마늘, 올리브오일, 후추, 마늘, 다진생강, 간장, 레몬, 설탕, 참기름, 전분, 양파, 대파
, 
,")</f>
        <v>갑오징어, 차돌박이, 굴소스, 팟타이소스, 한라봉, 전복, 쪽파, 멸치가리비소스, 알배추, 파스타면,밀가루, 달걀, 소금, 다진마늘, 올리브오일, 후추, 마늘, 다진생강, 간장, 레몬, 설탕, 참기름, 전분, 양파, 대파
, 
,</v>
      </c>
    </row>
    <row r="940">
      <c r="A940" s="2" t="str">
        <f>recipe!C940
</f>
        <v>뉴욕 버터 치킨</v>
      </c>
      <c r="B940" s="1" t="str">
        <f>IFERROR(__xludf.DUMMYFUNCTION("TRIM(
  SUBSTITUTE(
    REGEXEXTRACT(raw!A940, ""(?s)재료\s*(.*?)●\s*조리\s*방법""),
    CHAR(10), "", ""
  )
)
"),"토종닭, 맛간장, 오디, 쑥갓, 애호박, 가지, 사골육수, 새우살, 탄산수, 표고버섯, 김치만두, 발사믹 식초, 대파, 버터, 후추, 밀가루, 전분, 맛술, 양파, 소금, 올리브 오일
, 
,")</f>
        <v>토종닭, 맛간장, 오디, 쑥갓, 애호박, 가지, 사골육수, 새우살, 탄산수, 표고버섯, 김치만두, 발사믹 식초, 대파, 버터, 후추, 밀가루, 전분, 맛술, 양파, 소금, 올리브 오일
, 
,</v>
      </c>
    </row>
    <row r="941">
      <c r="A941" s="2" t="str">
        <f>recipe!C941
</f>
        <v>베이징닭 말고 뭣이 중헌디!</v>
      </c>
      <c r="B941" s="1" t="str">
        <f>IFERROR(__xludf.DUMMYFUNCTION("TRIM(
  SUBSTITUTE(
    REGEXEXTRACT(raw!A941, ""(?s)재료\s*(.*?)●\s*조리\s*방법""),
    CHAR(10), "", ""
  )
)
"),"토종닭, 된장, 오이, 가지, 알배추, 쑥갓, 쑥청, 대파, 전복, 파프리카, 해선장, 들기름, 두부, 설탕, 간장, 대파, 생강, 밀가루, 소금
, 
,")</f>
        <v>토종닭, 된장, 오이, 가지, 알배추, 쑥갓, 쑥청, 대파, 전복, 파프리카, 해선장, 들기름, 두부, 설탕, 간장, 대파, 생강, 밀가루, 소금
, 
,</v>
      </c>
    </row>
    <row r="942">
      <c r="A942" s="2" t="str">
        <f>recipe!C942
</f>
        <v>맛있으면 돼지?</v>
      </c>
      <c r="B942" s="1" t="str">
        <f>IFERROR(__xludf.DUMMYFUNCTION("TRIM(
  SUBSTITUTE(
    REGEXEXTRACT(raw!A942, ""(?s)재료\s*(.*?)●\s*조리\s*방법""),
    CHAR(10), "", ""
  )
)
"),"돼지 갈비살, 간장게장, 애호박, 참나물, 시래기, 된장, 고추장, 매실효소, 맛간장, 들기름, 해물 육수팩, 쌀, 사골육수, 즉석밥, 연겨자, 다진 마늘, 설탕, 양파, 대파
,")</f>
        <v>돼지 갈비살, 간장게장, 애호박, 참나물, 시래기, 된장, 고추장, 매실효소, 맛간장, 들기름, 해물 육수팩, 쌀, 사골육수, 즉석밥, 연겨자, 다진 마늘, 설탕, 양파, 대파
,</v>
      </c>
    </row>
    <row r="943">
      <c r="A943" s="2" t="str">
        <f>recipe!C943
</f>
        <v>강정으로 이기면 돼지?</v>
      </c>
      <c r="B943" s="1" t="str">
        <f>IFERROR(__xludf.DUMMYFUNCTION("TRIM(
  SUBSTITUTE(
    REGEXEXTRACT(raw!A943, ""(?s)재료\s*(.*?)●\s*조리\s*방법""),
    CHAR(10), "", ""
  )
)
"),"돼지 갈비살, 돼지 등심, 파프리카, 알배추, 참깨소스, 표고버섯, 상추, 새우살, 마늘장아찌, 맛간장, 고추장, 방울양배추, 청란, 전분, 소금, 튀김가루, 양파, 물엿, 청양고추, 홍고추, 대파, 설탕, 다진 생강
, 
,")</f>
        <v>돼지 갈비살, 돼지 등심, 파프리카, 알배추, 참깨소스, 표고버섯, 상추, 새우살, 마늘장아찌, 맛간장, 고추장, 방울양배추, 청란, 전분, 소금, 튀김가루, 양파, 물엿, 청양고추, 홍고추, 대파, 설탕, 다진 생강
, 
,</v>
      </c>
    </row>
    <row r="944">
      <c r="A944" s="2" t="str">
        <f>recipe!C944
</f>
        <v>짜장왕</v>
      </c>
      <c r="B944" s="1" t="str">
        <f>IFERROR(__xludf.DUMMYFUNCTION("TRIM(
  SUBSTITUTE(
    REGEXEXTRACT(raw!A944, ""(?s)재료\s*(.*?)●\s*조리\s*방법""),
    CHAR(10), "", ""
  )
)
"),"소등심, 갈빗살, 미소, 굴소스, 치킨스톡, 자숙새우, 오징어, 마, 양배추, 불고기 소스, 콜라, 양파, 대파, 간장, 후추, 소금, 달걀, 밀가루, 전분, 참기름, 다진마늘
, 
,")</f>
        <v>소등심, 갈빗살, 미소, 굴소스, 치킨스톡, 자숙새우, 오징어, 마, 양배추, 불고기 소스, 콜라, 양파, 대파, 간장, 후추, 소금, 달걀, 밀가루, 전분, 참기름, 다진마늘
, 
,</v>
      </c>
    </row>
    <row r="945">
      <c r="A945" s="2" t="str">
        <f>recipe!C945
</f>
        <v>만두가 캐비지</v>
      </c>
      <c r="B945" s="1" t="str">
        <f>IFERROR(__xludf.DUMMYFUNCTION("TRIM(
  SUBSTITUTE(
    REGEXEXTRACT(raw!A945, ""(?s)재료\s*(.*?)●\s*조리\s*방법""),
    CHAR(10), "", ""
  )
)
"),"돼지목살, 양배추, 굴소스, 콜라, 고추냉이 마요네즈, 고추냉이, 대파, 마늘, 고춧가루, 다진마늘, 후추, 맛술, 전분, 간장, 레몬
, 
,")</f>
        <v>돼지목살, 양배추, 굴소스, 콜라, 고추냉이 마요네즈, 고추냉이, 대파, 마늘, 고춧가루, 다진마늘, 후추, 맛술, 전분, 간장, 레몬
, 
,</v>
      </c>
    </row>
    <row r="946">
      <c r="A946" s="2" t="str">
        <f>recipe!C946
</f>
        <v>응답하라 바스크</v>
      </c>
      <c r="B946" s="1" t="str">
        <f>IFERROR(__xludf.DUMMYFUNCTION("TRIM(
  SUBSTITUTE(
    REGEXEXTRACT(raw!A946, ""(?s)재료\s*(.*?)●\s*조리\s*방법""),
    CHAR(10), "", ""
  )
)
"),"소등심, 하몽, 카카오 초콜릿, 치킨스톡, 파르메산 치즈가루, 방울토마토, 두유, 아몬드, 파스타면, 파슬리 가루, 마늘, 당근, 양파, 대파, 소금, 후추, 밀가루, 버터, 레드와인, 청양고추, 올리브오일
, 
,")</f>
        <v>소등심, 하몽, 카카오 초콜릿, 치킨스톡, 파르메산 치즈가루, 방울토마토, 두유, 아몬드, 파스타면, 파슬리 가루, 마늘, 당근, 양파, 대파, 소금, 후추, 밀가루, 버터, 레드와인, 청양고추, 올리브오일
, 
,</v>
      </c>
    </row>
    <row r="947">
      <c r="A947" s="2" t="str">
        <f>recipe!C947
</f>
        <v>응답하라 이탈리아</v>
      </c>
      <c r="B947" s="1" t="str">
        <f>IFERROR(__xludf.DUMMYFUNCTION("TRIM(
  SUBSTITUTE(
    REGEXEXTRACT(raw!A947, ""(?s)재료\s*(.*?)●\s*조리\s*방법""),
    CHAR(10), "", ""
  )
)
"),"페투치네 파스타면, 하몽, 돼지목살, 자숙새우, 방울토마토, 브로콜리, 아몬드, 파르메산 치즈가루, 발사믹 드레싱, 셀러리, 파슬리 가루, 설탕, 올리브오일, 양파, 소금, 레몬, 마요네즈, 대파, 마늘, 후추, 당근
, 
,")</f>
        <v>페투치네 파스타면, 하몽, 돼지목살, 자숙새우, 방울토마토, 브로콜리, 아몬드, 파르메산 치즈가루, 발사믹 드레싱, 셀러리, 파슬리 가루, 설탕, 올리브오일, 양파, 소금, 레몬, 마요네즈, 대파, 마늘, 후추, 당근
, 
,</v>
      </c>
    </row>
    <row r="948">
      <c r="A948" s="2" t="str">
        <f>recipe!C948
</f>
        <v>국밥정상회담</v>
      </c>
      <c r="B948" s="1" t="str">
        <f>IFERROR(__xludf.DUMMYFUNCTION("TRIM(
  SUBSTITUTE(
    REGEXEXTRACT(raw!A948, ""(?s)재료\s*(.*?)●\s*조리\s*방법""),
    CHAR(10), "", ""
  )
)
"),"생닭, 묵은지, 사골육수, 쌈배추, 삼겹살, 불린 완두콩, 고사리, 불린 표고버섯, 불린 녹두, 대파, 양파, 맛술, 밀가루, 즉석밥, 소금, 간장, 청양고추, 후추, 다진 마늘, 참기름, 깨, 달걀, 고추, 홍고추
, 
,")</f>
        <v>생닭, 묵은지, 사골육수, 쌈배추, 삼겹살, 불린 완두콩, 고사리, 불린 표고버섯, 불린 녹두, 대파, 양파, 맛술, 밀가루, 즉석밥, 소금, 간장, 청양고추, 후추, 다진 마늘, 참기름, 깨, 달걀, 고추, 홍고추
, 
,</v>
      </c>
    </row>
    <row r="949">
      <c r="A949" s="2" t="str">
        <f>recipe!C949
</f>
        <v>공동만두구역</v>
      </c>
      <c r="B949" s="1" t="str">
        <f>IFERROR(__xludf.DUMMYFUNCTION("TRIM(
  SUBSTITUTE(
    REGEXEXTRACT(raw!A949, ""(?s)재료\s*(.*?)●\s*조리\s*방법""),
    CHAR(10), "", ""
  )
)
"),"민어, 삼겹살, 고사리, 묵은지, 꼬리곰탕, 사골육수, 닭발, 불린 노가리, 고추장굴비, 총각김치, 불린 현미, 김, 달걀말이, 시금치, 강력분, 중력분, 소금, 식용유, 다진 생강, 다진 마늘, 참기름, 고춧가루, 대파, 청양고추, 간장
, 
,")</f>
        <v>민어, 삼겹살, 고사리, 묵은지, 꼬리곰탕, 사골육수, 닭발, 불린 노가리, 고추장굴비, 총각김치, 불린 현미, 김, 달걀말이, 시금치, 강력분, 중력분, 소금, 식용유, 다진 생강, 다진 마늘, 참기름, 고춧가루, 대파, 청양고추, 간장
, 
,</v>
      </c>
    </row>
    <row r="950">
      <c r="A950" s="2" t="str">
        <f>recipe!C950
</f>
        <v>이게 불낙이야</v>
      </c>
      <c r="B950" s="1" t="str">
        <f>IFERROR(__xludf.DUMMYFUNCTION("TRIM(
  SUBSTITUTE(
    REGEXEXTRACT(raw!A950, ""(?s)재료\s*(.*?)●\s*조리\s*방법""),
    CHAR(10), "", ""
  )
)
"),"소등심, 낙지, 민어 뼈, 다슬기, 전복, 새우, 매생이, 미더덕, 꽈리고추, 베트남고추피클, 브로콜리, 닭발, 굴, 장어, 인삼음료, 불린 표고버섯, 아내표 물, 마늘, 대파, 소금, 청주, 다진 생강, 밀가루, 청양고추, 양파, 간장, 후추, 다진 마늘, 고춧가루, 물엿, 참기름, 맛술
, 
,")</f>
        <v>소등심, 낙지, 민어 뼈, 다슬기, 전복, 새우, 매생이, 미더덕, 꽈리고추, 베트남고추피클, 브로콜리, 닭발, 굴, 장어, 인삼음료, 불린 표고버섯, 아내표 물, 마늘, 대파, 소금, 청주, 다진 생강, 밀가루, 청양고추, 양파, 간장, 후추, 다진 마늘, 고춧가루, 물엿, 참기름, 맛술
, 
,</v>
      </c>
    </row>
    <row r="951">
      <c r="A951" s="2" t="str">
        <f>recipe!C951
</f>
        <v>장어 뺀 보양식, 그거슨 아니지~</v>
      </c>
      <c r="B951" s="1" t="str">
        <f>IFERROR(__xludf.DUMMYFUNCTION("TRIM(
  SUBSTITUTE(
    REGEXEXTRACT(raw!A951, ""(?s)재료\s*(.*?)●\s*조리\s*방법""),
    CHAR(10), "", ""
  )
)
"),"장어, 참돔, 가지, 채끝등심, 새우머리, 낙지, 홍합, 새우, 전복, 불린 표고버섯, 꽈리고추, 고추기름, 샤부샤부소스, 삼겹살, 맛술, 다진 생강, 대파, 마늘, 전분, 밀가루, 튀김가루, 청양고추, 고추장, 전분
, 
,")</f>
        <v>장어, 참돔, 가지, 채끝등심, 새우머리, 낙지, 홍합, 새우, 전복, 불린 표고버섯, 꽈리고추, 고추기름, 샤부샤부소스, 삼겹살, 맛술, 다진 생강, 대파, 마늘, 전분, 밀가루, 튀김가루, 청양고추, 고추장, 전분
, 
,</v>
      </c>
    </row>
    <row r="952">
      <c r="A952" s="2" t="str">
        <f>recipe!C952
</f>
        <v>순대거탑</v>
      </c>
      <c r="B952" s="1" t="str">
        <f>IFERROR(__xludf.DUMMYFUNCTION("TRIM(
  SUBSTITUTE(
    REGEXEXTRACT(raw!A952, ""(?s)재료\s*(.*?)●\s*조리\s*방법""),
    CHAR(10), "", ""
  )
)
"),"순대, 항정살, 소등심, 명태회젓, 배추김치, 깍두기, 귀리, 즉석밥, 마늘, 다진 생강, 다진 마늘, 양파, 대파, 후추, 된장, 고추장, 청주, 맛술, 간장, 고춧가루, 물엿, 참기름, 참깨, 홍고추
, 
,")</f>
        <v>순대, 항정살, 소등심, 명태회젓, 배추김치, 깍두기, 귀리, 즉석밥, 마늘, 다진 생강, 다진 마늘, 양파, 대파, 후추, 된장, 고추장, 청주, 맛술, 간장, 고춧가루, 물엿, 참기름, 참깨, 홍고추
, 
,</v>
      </c>
    </row>
    <row r="953">
      <c r="A953" s="2" t="str">
        <f>recipe!C953
</f>
        <v>흐린 기억 속의 고추장찌개♬</v>
      </c>
      <c r="B953" s="1" t="str">
        <f>IFERROR(__xludf.DUMMYFUNCTION("TRIM(
  SUBSTITUTE(
    REGEXEXTRACT(raw!A953, ""(?s)재료\s*(.*?)●\s*조리\s*방법""),
    CHAR(10), "", ""
  )
)
"),"항정살, 돼지 내장, 배추김치, 통조림 참치, 통조림 햄, 굴소스, 국물용 멸치, 쥐포, 조미료, 당근, 양파, 대파, 고추장, 식초, 설탕, 맛술, 간장, 참기름, 다진 마늘, 참깨, 된장, 밀가루, 달걀, 고춧가루, 홍고추
, 
,")</f>
        <v>항정살, 돼지 내장, 배추김치, 통조림 참치, 통조림 햄, 굴소스, 국물용 멸치, 쥐포, 조미료, 당근, 양파, 대파, 고추장, 식초, 설탕, 맛술, 간장, 참기름, 다진 마늘, 참깨, 된장, 밀가루, 달걀, 고춧가루, 홍고추
, 
,</v>
      </c>
    </row>
    <row r="954">
      <c r="A954" s="2" t="str">
        <f>recipe!C954
</f>
        <v>풍장금</v>
      </c>
      <c r="B954" s="1" t="str">
        <f>IFERROR(__xludf.DUMMYFUNCTION("TRIM(
  SUBSTITUTE(
    REGEXEXTRACT(raw!A954, ""(?s)재료\s*(.*?)●\s*조리\s*방법""),
    CHAR(10), "", ""
  )
)
"),"소등심, 항정살, 미역, 쥐포, 배추김치, 명태회젓, 유자청, 포도즙, 소면, 조미료, 양파, 다진 마늘, 대파, 청양고추, 후추, 전분, 소금, 참기름, 간장, 식초, 레몬
, 
,")</f>
        <v>소등심, 항정살, 미역, 쥐포, 배추김치, 명태회젓, 유자청, 포도즙, 소면, 조미료, 양파, 다진 마늘, 대파, 청양고추, 후추, 전분, 소금, 참기름, 간장, 식초, 레몬
, 
,</v>
      </c>
    </row>
    <row r="955">
      <c r="A955" s="2" t="str">
        <f>recipe!C955
</f>
        <v>내가 왕이 될 밥상인가?</v>
      </c>
      <c r="B955" s="1" t="str">
        <f>IFERROR(__xludf.DUMMYFUNCTION("TRIM(
  SUBSTITUTE(
    REGEXEXTRACT(raw!A955, ""(?s)재료\s*(.*?)●\s*조리\s*방법""),
    CHAR(10), "", ""
  )
)
"),"소등심, 항정살, 잡곡, 우유, 크림치즈, 마카다미아 초콜릿, 배추김치, 쌀, 참기름, 마늘, 대파, 참깨, 후추, 설탕, 양파, 올리브오일, 소금, 달걀, 홍고추, 밀가루, 버터
, 
,")</f>
        <v>소등심, 항정살, 잡곡, 우유, 크림치즈, 마카다미아 초콜릿, 배추김치, 쌀, 참기름, 마늘, 대파, 참깨, 후추, 설탕, 양파, 올리브오일, 소금, 달걀, 홍고추, 밀가루, 버터
, 
,</v>
      </c>
    </row>
    <row r="956">
      <c r="A956" s="2" t="str">
        <f>recipe!C956
</f>
        <v>송훈각</v>
      </c>
      <c r="B956" s="1" t="str">
        <f>IFERROR(__xludf.DUMMYFUNCTION("TRIM(
  SUBSTITUTE(
    REGEXEXTRACT(raw!A956, ""(?s)재료\s*(.*?)●\s*조리\s*방법""),
    CHAR(10), "", ""
  )
)
"),"돼지 앞다릿살, 오징어, 가지, 애호박, 양파, 새송이버섯, 오이지무침, 조개젓무침, 국물용 조미료, 통조림 햄, 인스턴트 북엇국, 대파, 청양고추, 고춧가루, 식용유, 식초, 간장, 맛술, 후추, 밀가루, 전분, 홍고추, 양파
, 
,")</f>
        <v>돼지 앞다릿살, 오징어, 가지, 애호박, 양파, 새송이버섯, 오이지무침, 조개젓무침, 국물용 조미료, 통조림 햄, 인스턴트 북엇국, 대파, 청양고추, 고춧가루, 식용유, 식초, 간장, 맛술, 후추, 밀가루, 전분, 홍고추, 양파
, 
,</v>
      </c>
    </row>
    <row r="957">
      <c r="A957" s="2" t="str">
        <f>recipe!C957
</f>
        <v>풍화반점</v>
      </c>
      <c r="B957" s="1" t="str">
        <f>IFERROR(__xludf.DUMMYFUNCTION("TRIM(
  SUBSTITUTE(
    REGEXEXTRACT(raw!A957, ""(?s)재료\s*(.*?)●\s*조리\s*방법""),
    CHAR(10), "", ""
  )
)
"),"돼지 앞다릿살, 상추, 오이지무침, 감자, 가지, 칼국수라면, 새우맛라면, 통조림 햄, 인스턴트 미역국, 달걀, 다진 마늘, 다진 생강, 전분, 소금, 대파, 청양고추, 맛술, 홍고추, 즉석밥, 식초, 설탕, 고춧가루
, 
,")</f>
        <v>돼지 앞다릿살, 상추, 오이지무침, 감자, 가지, 칼국수라면, 새우맛라면, 통조림 햄, 인스턴트 미역국, 달걀, 다진 마늘, 다진 생강, 전분, 소금, 대파, 청양고추, 맛술, 홍고추, 즉석밥, 식초, 설탕, 고춧가루
, 
,</v>
      </c>
    </row>
    <row r="958">
      <c r="A958" s="2" t="str">
        <f>recipe!C958
</f>
        <v>신(辛)봤다</v>
      </c>
      <c r="B958" s="1" t="str">
        <f>IFERROR(__xludf.DUMMYFUNCTION("TRIM(
  SUBSTITUTE(
    REGEXEXTRACT(raw!A958, ""(?s)재료\s*(.*?)●\s*조리\s*방법""),
    CHAR(10), "", ""
  )
)
"),"돼지 앞다릿살, 오징어, 조개젓무침, 상추, 가지, 국물용 조미료, 간장, 청주, 맛술, 청양고추, 고춧가루, 다진 마늘, 대파, 홍고추, 양파, 대파, 소금, 즉석밥, 달걀
, 
,")</f>
        <v>돼지 앞다릿살, 오징어, 조개젓무침, 상추, 가지, 국물용 조미료, 간장, 청주, 맛술, 청양고추, 고춧가루, 다진 마늘, 대파, 홍고추, 양파, 대파, 소금, 즉석밥, 달걀
, 
,</v>
      </c>
    </row>
    <row r="959">
      <c r="A959" s="2" t="str">
        <f>recipe!C959
</f>
        <v>스파이시맨</v>
      </c>
      <c r="B959" s="1" t="str">
        <f>IFERROR(__xludf.DUMMYFUNCTION("TRIM(
  SUBSTITUTE(
    REGEXEXTRACT(raw!A959, ""(?s)재료\s*(.*?)●\s*조리\s*방법""),
    CHAR(10), "", ""
  )
)
"),"돼지 앞다릿살, 상추, 베이컨, 애호박, 오이, 청고추, 청양고추, 올리브오일, 버터, 대파, 양파, 고춧가루, 설탕, 간장, 마늘, 다진 마늘, 마요네즈, 후추, 레몬, 밀가루, 소금
, 
,")</f>
        <v>돼지 앞다릿살, 상추, 베이컨, 애호박, 오이, 청고추, 청양고추, 올리브오일, 버터, 대파, 양파, 고춧가루, 설탕, 간장, 마늘, 다진 마늘, 마요네즈, 후추, 레몬, 밀가루, 소금
, 
,</v>
      </c>
    </row>
    <row r="960">
      <c r="A960" s="2" t="str">
        <f>recipe!C960
</f>
        <v>갈치 한판승</v>
      </c>
      <c r="B960" s="1" t="str">
        <f>IFERROR(__xludf.DUMMYFUNCTION("TRIM(
  SUBSTITUTE(
    REGEXEXTRACT(raw!A960, ""(?s)재료\s*(.*?)●\s*조리\s*방법""),
    CHAR(10), "", ""
  )
)
"),"갈치, 말린 우엉, 머윗잎, 국물용 멸치, 인스턴트 재첩국, 국간장, 깻잎, 산초가루, 검정콩+검정깨가루, 호박, 된장, 양파, 마늘, 대파, 당근, 맛술, 다진마늘, 소금, 밀가루, 올리브오일, 즉석밥, 홍고추, 고춧가루, 간장
, 
,")</f>
        <v>갈치, 말린 우엉, 머윗잎, 국물용 멸치, 인스턴트 재첩국, 국간장, 깻잎, 산초가루, 검정콩+검정깨가루, 호박, 된장, 양파, 마늘, 대파, 당근, 맛술, 다진마늘, 소금, 밀가루, 올리브오일, 즉석밥, 홍고추, 고춧가루, 간장
, 
,</v>
      </c>
    </row>
    <row r="961">
      <c r="A961" s="2" t="str">
        <f>recipe!C961
</f>
        <v>뭉쳐야 찐다</v>
      </c>
      <c r="B961" s="1" t="str">
        <f>IFERROR(__xludf.DUMMYFUNCTION("TRIM(
  SUBSTITUTE(
    REGEXEXTRACT(raw!A961, ""(?s)재료\s*(.*?)●\s*조리\s*방법""),
    CHAR(10), "", ""
  )
)
"),"갈치, 가문어, 애호박, 갈빗살, 호박잎, 완두콩, 불린 표고버섯, 양념더덕황태구이, 칠리소스, 매실액, 쪽파, 쌀, 양파, 대파, 간장, 마늘, 맛술, 참기름, 설탕, 고춧가루, 청양고추, 소금
, 
,")</f>
        <v>갈치, 가문어, 애호박, 갈빗살, 호박잎, 완두콩, 불린 표고버섯, 양념더덕황태구이, 칠리소스, 매실액, 쪽파, 쌀, 양파, 대파, 간장, 마늘, 맛술, 참기름, 설탕, 고춧가루, 청양고추, 소금
, 
,</v>
      </c>
    </row>
    <row r="962">
      <c r="A962" s="2" t="str">
        <f>recipe!C962
</f>
        <v>갈빗살 베스튜</v>
      </c>
      <c r="B962" s="1" t="str">
        <f>IFERROR(__xludf.DUMMYFUNCTION("TRIM(
  SUBSTITUTE(
    REGEXEXTRACT(raw!A962, ""(?s)재료\s*(.*?)●\s*조리\s*방법""),
    CHAR(10), "", ""
  )
)
"),"갈빗살, 서대, 흰 강낭콩, 완두콩, 잣, 깻잎, 우유, 칠리소스, 케첩, 곰탕육수, 천연조미료, 닭 고명, 인스턴트 재첩국, 양배추, 밀가루, 올리브오일, 양파, 당근, 케첩, 레드와인, 고추, 마늘, 버터, 밀가루, 소금, 후추, 홍고추, 레몬
, 
,")</f>
        <v>갈빗살, 서대, 흰 강낭콩, 완두콩, 잣, 깻잎, 우유, 칠리소스, 케첩, 곰탕육수, 천연조미료, 닭 고명, 인스턴트 재첩국, 양배추, 밀가루, 올리브오일, 양파, 당근, 케첩, 레드와인, 고추, 마늘, 버터, 밀가루, 소금, 후추, 홍고추, 레몬
, 
,</v>
      </c>
    </row>
    <row r="963">
      <c r="A963" s="2" t="str">
        <f>recipe!C963
</f>
        <v>굴라시로 입맛 잡아!</v>
      </c>
      <c r="B963" s="1" t="str">
        <f>IFERROR(__xludf.DUMMYFUNCTION("TRIM(
  SUBSTITUTE(
    REGEXEXTRACT(raw!A963, ""(?s)재료\s*(.*?)●\s*조리\s*방법""),
    CHAR(10), "", ""
  )
)
"),"파프리카, 갈빗살, 양배추, 완두콩, 혼합 강낭콩, 닭 고명, 산초가루, 들깨청, 애호박, 표고버섯, 호박잎, 양파, 밀가루, 달걀, 소금, 다진마늘, 고추장, 설탕, 케첩, 후추, 올리브오일, 레몬
, 
,")</f>
        <v>파프리카, 갈빗살, 양배추, 완두콩, 혼합 강낭콩, 닭 고명, 산초가루, 들깨청, 애호박, 표고버섯, 호박잎, 양파, 밀가루, 달걀, 소금, 다진마늘, 고추장, 설탕, 케첩, 후추, 올리브오일, 레몬
, 
,</v>
      </c>
    </row>
    <row r="964">
      <c r="A964" s="2" t="str">
        <f>recipe!C964
</f>
        <v>페이스트리 요정</v>
      </c>
      <c r="B964" s="1" t="str">
        <f>IFERROR(__xludf.DUMMYFUNCTION("TRIM(
  SUBSTITUTE(
    REGEXEXTRACT(raw!A964, ""(?s)재료\s*(.*?)●\s*조리\s*방법""),
    CHAR(10), "", ""
  )
)
"),"돼지등심, 얼갈이배추, 블루베리, 아스파라거스, 그린빈, 사과, 사과잼, 토마토소스, 스리라차소스, 맛간장, 펜노니, 시나몬가루, 밀가루, 달걀, 버터, 올리브오일, 설탕, 소금, 양파, 청양고추, 마늘, 대파, 후추, 레몬
, 
,")</f>
        <v>돼지등심, 얼갈이배추, 블루베리, 아스파라거스, 그린빈, 사과, 사과잼, 토마토소스, 스리라차소스, 맛간장, 펜노니, 시나몬가루, 밀가루, 달걀, 버터, 올리브오일, 설탕, 소금, 양파, 청양고추, 마늘, 대파, 후추, 레몬
, 
,</v>
      </c>
    </row>
    <row r="965">
      <c r="A965" s="2" t="str">
        <f>recipe!C965
</f>
        <v>밀가루 신상임당</v>
      </c>
      <c r="B965" s="1" t="str">
        <f>IFERROR(__xludf.DUMMYFUNCTION("TRIM(
  SUBSTITUTE(
    REGEXEXTRACT(raw!A965, ""(?s)재료\s*(.*?)●\s*조리\s*방법""),
    CHAR(10), "", ""
  )
)
"),"만두피, 명란젓, 완두콩, 아스파라거스, 애호박, 사과, 복숭아, 딸기, 블루베리, 새우살, 집된장, 사과잼, 브리치즈, 생모차렐라치즈, 크림소스, 바닐라아이스크림, 시나몬가루, 초콜릿시럽, 식빵, 메이플설탕, 설탕, 달걀, 소금, 밀가루, 양파, 청양고추, 후추, 올리브오일
, 
,")</f>
        <v>만두피, 명란젓, 완두콩, 아스파라거스, 애호박, 사과, 복숭아, 딸기, 블루베리, 새우살, 집된장, 사과잼, 브리치즈, 생모차렐라치즈, 크림소스, 바닐라아이스크림, 시나몬가루, 초콜릿시럽, 식빵, 메이플설탕, 설탕, 달걀, 소금, 밀가루, 양파, 청양고추, 후추, 올리브오일
, 
,</v>
      </c>
    </row>
    <row r="966">
      <c r="A966" s="2" t="str">
        <f>recipe!C966
</f>
        <v>패셔니스튜</v>
      </c>
      <c r="B966" s="1" t="str">
        <f>IFERROR(__xludf.DUMMYFUNCTION("TRIM(
  SUBSTITUTE(
    REGEXEXTRACT(raw!A966, ""(?s)재료\s*(.*?)●\s*조리\s*방법""),
    CHAR(10), "", ""
  )
)
"),"채끝등심, 아스파라거스, 완두콩, 안초비, 그뤼에르 치즈, 플뢰르 드 셀 소금, 베이컨, 쌀조청, 트러플오일, 홀그레인 머스터드, 후추, 양파, 레드와인, 올리브오일, 다진마늘, 연겨자, 버터, 소금, 설탕, 당근, 달걀
, 
,")</f>
        <v>채끝등심, 아스파라거스, 완두콩, 안초비, 그뤼에르 치즈, 플뢰르 드 셀 소금, 베이컨, 쌀조청, 트러플오일, 홀그레인 머스터드, 후추, 양파, 레드와인, 올리브오일, 다진마늘, 연겨자, 버터, 소금, 설탕, 당근, 달걀
, 
,</v>
      </c>
    </row>
    <row r="967">
      <c r="A967" s="2" t="str">
        <f>recipe!C967
</f>
        <v>시칠리아 정식~ 오 솔레미오♬</v>
      </c>
      <c r="B967" s="1" t="str">
        <f>IFERROR(__xludf.DUMMYFUNCTION("TRIM(
  SUBSTITUTE(
    REGEXEXTRACT(raw!A967, ""(?s)재료\s*(.*?)●\s*조리\s*방법""),
    CHAR(10), "", ""
  )
)
"),"가자미살, 식빵, 생모차렐라치즈, 방울토마토, 아스파라거스, 그린빈, 애호박, 발사믹식초, 리카토니, 바게트 과자, 바질페스토, 열무, 토마토소스, 안초비, 소금, 마늘, 올리브오일, 밀가루, 양파, 후추, 레몬
, 
,")</f>
        <v>가자미살, 식빵, 생모차렐라치즈, 방울토마토, 아스파라거스, 그린빈, 애호박, 발사믹식초, 리카토니, 바게트 과자, 바질페스토, 열무, 토마토소스, 안초비, 소금, 마늘, 올리브오일, 밀가루, 양파, 후추, 레몬
, 
,</v>
      </c>
    </row>
    <row r="968">
      <c r="A968" s="2" t="str">
        <f>recipe!C968
</f>
        <v>생생 리소통</v>
      </c>
      <c r="B968" s="1" t="str">
        <f>IFERROR(__xludf.DUMMYFUNCTION("TRIM(
  SUBSTITUTE(
    REGEXEXTRACT(raw!A968, ""(?s)재료\s*(.*?)●\s*조리\s*방법""),
    CHAR(10), "", ""
  )
)
"),"누룽지, 생닭, 새우, 토마토퓌레, 구워먹는 치즈, 체리, 오미자효소, 옥수수, 바질페스토, 트러플소스, 초콜릿, 수제요거트, 금귤청, 당유자청, 양파, 대파, 당근, 마늘, 통후추, 맛술, 올리브오일, 청양고추, 설탕, 식초, 소금, 버터
, 
,")</f>
        <v>누룽지, 생닭, 새우, 토마토퓌레, 구워먹는 치즈, 체리, 오미자효소, 옥수수, 바질페스토, 트러플소스, 초콜릿, 수제요거트, 금귤청, 당유자청, 양파, 대파, 당근, 마늘, 통후추, 맛술, 올리브오일, 청양고추, 설탕, 식초, 소금, 버터
, 
,</v>
      </c>
    </row>
    <row r="969">
      <c r="A969" s="2" t="str">
        <f>recipe!C969
</f>
        <v>니들이 게살수프 맛을 알아?</v>
      </c>
      <c r="B969" s="1" t="str">
        <f>IFERROR(__xludf.DUMMYFUNCTION("TRIM(
  SUBSTITUTE(
    REGEXEXTRACT(raw!A969, ""(?s)재료\s*(.*?)●\s*조리\s*방법""),
    CHAR(10), "", ""
  )
)
"),"누룽지, 게맛살, 육수팩, 황태채, 바지락, 낙지, 새우, 게 간장, 떡국떡, 양념돼지갈비, 주꾸미, 두부, 팽이버섯, 설탕, 밀가루, 튀김가루, 후추, 전분, 달걀, 참기름
, 
,")</f>
        <v>누룽지, 게맛살, 육수팩, 황태채, 바지락, 낙지, 새우, 게 간장, 떡국떡, 양념돼지갈비, 주꾸미, 두부, 팽이버섯, 설탕, 밀가루, 튀김가루, 후추, 전분, 달걀, 참기름
, 
,</v>
      </c>
    </row>
    <row r="970">
      <c r="A970" s="2" t="str">
        <f>recipe!C970
</f>
        <v>고인돌 떡갈비</v>
      </c>
      <c r="B970" s="1" t="str">
        <f>IFERROR(__xludf.DUMMYFUNCTION("TRIM(
  SUBSTITUTE(
    REGEXEXTRACT(raw!A970, ""(?s)재료\s*(.*?)●\s*조리\s*방법""),
    CHAR(10), "", ""
  )
)
"),"돼지목살, 양념돼지갈비, 차돌박이, 구워먹는 치즈, 수삼, 맛간장, 토마토퓌레, 파스타면, 육수팩, 굴소스, 월남쌈 소스, 스테이크소스, 트러플 소스, 달걀, 양파, 설탕, 전분, 밀가루, 마늘, 버터
, 
,")</f>
        <v>돼지목살, 양념돼지갈비, 차돌박이, 구워먹는 치즈, 수삼, 맛간장, 토마토퓌레, 파스타면, 육수팩, 굴소스, 월남쌈 소스, 스테이크소스, 트러플 소스, 달걀, 양파, 설탕, 전분, 밀가루, 마늘, 버터
, 
,</v>
      </c>
    </row>
    <row r="971">
      <c r="A971" s="2" t="str">
        <f>recipe!C971
</f>
        <v>금 나와라 와라~ 금탕♬</v>
      </c>
      <c r="B971" s="1" t="str">
        <f>IFERROR(__xludf.DUMMYFUNCTION("TRIM(
  SUBSTITUTE(
    REGEXEXTRACT(raw!A971, ""(?s)재료\s*(.*?)●\s*조리\s*방법""),
    CHAR(10), "", ""
  )
)
"),"차돌박이, 돼지목살, 팽이버섯, 육수팩, 황태채, 카레가루, 복숭아, 수박, 청귤청, 소금, 전분, 다진마늘, 청양고추, 참기름, 다진생강, 대파, 된장, 식초, 맛술, 설탕
, 
,")</f>
        <v>차돌박이, 돼지목살, 팽이버섯, 육수팩, 황태채, 카레가루, 복숭아, 수박, 청귤청, 소금, 전분, 다진마늘, 청양고추, 참기름, 다진생강, 대파, 된장, 식초, 맛술, 설탕
, 
,</v>
      </c>
    </row>
    <row r="972">
      <c r="A972" s="2" t="str">
        <f>recipe!C972
</f>
        <v>기절토풍</v>
      </c>
      <c r="B972" s="1" t="str">
        <f>IFERROR(__xludf.DUMMYFUNCTION("TRIM(
  SUBSTITUTE(
    REGEXEXTRACT(raw!A972, ""(?s)재료\s*(.*?)●\s*조리\s*방법""),
    CHAR(10), "", ""
  )
)
"),": 토마토, 동두부, 전복, 깻잎, 오징어, 팽이버섯, 느타리버섯, 새우젓, 액상조미료, 옥수수, 청양고추, 마늘, 양파, 대파, 밀가루, 전분, 식용유, 고춧가루
, 
,")</f>
        <v>: 토마토, 동두부, 전복, 깻잎, 오징어, 팽이버섯, 느타리버섯, 새우젓, 액상조미료, 옥수수, 청양고추, 마늘, 양파, 대파, 밀가루, 전분, 식용유, 고춧가루
, 
,</v>
      </c>
    </row>
    <row r="973">
      <c r="A973" s="2" t="str">
        <f>recipe!C973
</f>
        <v>봉주르 부야베스</v>
      </c>
      <c r="B973" s="1" t="str">
        <f>IFERROR(__xludf.DUMMYFUNCTION("TRIM(
  SUBSTITUTE(
    REGEXEXTRACT(raw!A973, ""(?s)재료\s*(.*?)●\s*조리\s*방법""),
    CHAR(10), "", ""
  )
)
"),"토마토, 감자, 토마토소스, 연어, 가자미살 커틀릿, 깍두기, 애호박, 국물용 멸치, 국물용 조미료, 느타리버섯, 대파, 고춧가루, 양파, 대파, 청양고추, 소금, 마늘, 홍고추, 간장, 식초, 후추
, 
,")</f>
        <v>토마토, 감자, 토마토소스, 연어, 가자미살 커틀릿, 깍두기, 애호박, 국물용 멸치, 국물용 조미료, 느타리버섯, 대파, 고춧가루, 양파, 대파, 청양고추, 소금, 마늘, 홍고추, 간장, 식초, 후추
, 
,</v>
      </c>
    </row>
    <row r="974">
      <c r="A974" s="2" t="str">
        <f>recipe!C974
</f>
        <v>쌀 스틸러</v>
      </c>
      <c r="B974" s="1" t="str">
        <f>IFERROR(__xludf.DUMMYFUNCTION("TRIM(
  SUBSTITUTE(
    REGEXEXTRACT(raw!A974, ""(?s)재료\s*(.*?)●\s*조리\s*방법""),
    CHAR(10), "", ""
  )
)
"),"쌀, 생닭, 토마토고추장, 소등심, 오징어, 방울토마토, 베이컨, 팽이버섯, 파프리카피클, 토마토소스, 마늘맛 소시지, 훈제 닭가슴살, 사골육수, 칠리파우더수프, 건새우, 라면, 올리브오일, 대파, 청양고추, 양파, 청주, 고춧가루, 후추, 맛술, 버터
, 
,")</f>
        <v>쌀, 생닭, 토마토고추장, 소등심, 오징어, 방울토마토, 베이컨, 팽이버섯, 파프리카피클, 토마토소스, 마늘맛 소시지, 훈제 닭가슴살, 사골육수, 칠리파우더수프, 건새우, 라면, 올리브오일, 대파, 청양고추, 양파, 청주, 고춧가루, 후추, 맛술, 버터
, 
,</v>
      </c>
    </row>
    <row r="975">
      <c r="A975" s="2" t="str">
        <f>recipe!C975
</f>
        <v>쌀와디캅</v>
      </c>
      <c r="B975" s="1" t="str">
        <f>IFERROR(__xludf.DUMMYFUNCTION("TRIM(
  SUBSTITUTE(
    REGEXEXTRACT(raw!A975, ""(?s)재료\s*(.*?)●\s*조리\s*방법""),
    CHAR(10), "", ""
  )
)
"),"쌀, 보리굴비, 말린 문어, 마른 오징어, 전복, 약고추장, 팽이버섯, 표고버섯, 양배추, 액상조미료, 청양고추, 홍고추, 대파, 양파, 다진 생강, 다진 마늘, 설탕, 참기름, 참깨
, 
,")</f>
        <v>쌀, 보리굴비, 말린 문어, 마른 오징어, 전복, 약고추장, 팽이버섯, 표고버섯, 양배추, 액상조미료, 청양고추, 홍고추, 대파, 양파, 다진 생강, 다진 마늘, 설탕, 참기름, 참깨
, 
,</v>
      </c>
    </row>
    <row r="976">
      <c r="A976" s="2" t="str">
        <f>recipe!C976
</f>
        <v>쌈밥의 여인♬</v>
      </c>
      <c r="B976" s="1" t="str">
        <f>IFERROR(__xludf.DUMMYFUNCTION("TRIM(
  SUBSTITUTE(
    REGEXEXTRACT(raw!A976, ""(?s)재료\s*(.*?)●\s*조리\s*방법""),
    CHAR(10), "", ""
  )
)
"),"바지락, 감자, 참깨소스, 닭육수, 브로콜리, 표고버섯, 애호박, 상추, 깻잎, 파프리카, 들깨가루, 냉동아보카도,
, 오이지, 완두콩, 슬라이스 치즈, 레몬, 화이트와인, 다진마늘, 즉석밥, 고추, 올리브오일, 소금, 된장, 밀가루, 버터, 전분
, 
,")</f>
        <v>바지락, 감자, 참깨소스, 닭육수, 브로콜리, 표고버섯, 애호박, 상추, 깻잎, 파프리카, 들깨가루, 냉동아보카도,
, 오이지, 완두콩, 슬라이스 치즈, 레몬, 화이트와인, 다진마늘, 즉석밥, 고추, 올리브오일, 소금, 된장, 밀가루, 버터, 전분
, 
,</v>
      </c>
    </row>
    <row r="977">
      <c r="A977" s="2" t="str">
        <f>recipe!C977
</f>
        <v>바지락상회</v>
      </c>
      <c r="B977" s="1" t="str">
        <f>IFERROR(__xludf.DUMMYFUNCTION("TRIM(
  SUBSTITUTE(
    REGEXEXTRACT(raw!A977, ""(?s)재료\s*(.*?)●\s*조리\s*방법""),
    CHAR(10), "", ""
  )
)
"),"바지락, 매생이, 소고기 양지, 박정수표 육수, 국물용 멸치, 황태채, 국물용 새우, 애호박, 조기, 간장소스, 맛간장, 완두콩, 밀가루, 다진마늘, 올리브오일, 대파, 전분, 달걀
, 
,")</f>
        <v>바지락, 매생이, 소고기 양지, 박정수표 육수, 국물용 멸치, 황태채, 국물용 새우, 애호박, 조기, 간장소스, 맛간장, 완두콩, 밀가루, 다진마늘, 올리브오일, 대파, 전분, 달걀
, 
,</v>
      </c>
    </row>
    <row r="978">
      <c r="A978" s="2" t="str">
        <f>recipe!C978
</f>
        <v>옥돔이 뭐길래</v>
      </c>
      <c r="B978" s="1" t="str">
        <f>IFERROR(__xludf.DUMMYFUNCTION("TRIM(
  SUBSTITUTE(
    REGEXEXTRACT(raw!A978, ""(?s)재료\s*(.*?)●\s*조리\s*방법""),
    CHAR(10), "", ""
  )
)
"),"옥돔, 감자, 냉동아보카도, 오이지, 파프리카, 참깨소스, 옥수수, 닭육수, 발사믹드레싱, 날치알, 양파, 올리브오일,
, 마요네즈, 소금, 버터, 레몬
, 
,")</f>
        <v>옥돔, 감자, 냉동아보카도, 오이지, 파프리카, 참깨소스, 옥수수, 닭육수, 발사믹드레싱, 날치알, 양파, 올리브오일,
, 마요네즈, 소금, 버터, 레몬
, 
,</v>
      </c>
    </row>
    <row r="979">
      <c r="A979" s="2" t="str">
        <f>recipe!C979
</f>
        <v>와인 아리랑</v>
      </c>
      <c r="B979" s="1" t="str">
        <f>IFERROR(__xludf.DUMMYFUNCTION("TRIM(
  SUBSTITUTE(
    REGEXEXTRACT(raw!A979, ""(?s)재료\s*(.*?)●\s*조리\s*방법""),
    CHAR(10), "", ""
  )
)
"),"이베리코 목살, 불린 오이지, 참깨소스, 옥수수, 파프리카, 불린 표고버섯, 간장소스, 오리엔탈드레싱, 마늘초절임,
, 다진생강, 양파, 고추, 참기름, 대파, 맛술, 올리브오일, 설탕, 달걀, 식초, 마늘
, 
,")</f>
        <v>이베리코 목살, 불린 오이지, 참깨소스, 옥수수, 파프리카, 불린 표고버섯, 간장소스, 오리엔탈드레싱, 마늘초절임,
, 다진생강, 양파, 고추, 참기름, 대파, 맛술, 올리브오일, 설탕, 달걀, 식초, 마늘
, 
,</v>
      </c>
    </row>
    <row r="980">
      <c r="A980" s="2" t="str">
        <f>recipe!C980
</f>
        <v>브루클린 바비큐</v>
      </c>
      <c r="B980" s="1" t="str">
        <f>IFERROR(__xludf.DUMMYFUNCTION("TRIM(
  SUBSTITUTE(
    REGEXEXTRACT(raw!A980, ""(?s)재료\s*(.*?)●\s*조리\s*방법""),
    CHAR(10), "", ""
  )
)
"),"소 등심, 소 안심, 모닝빵, 쪽파, 양배추, 오이, 파프리카, 파슬리가루, 머스터드, 스리라차소스, 스테이크소스, 닭가슴살 소시지, 고구마큐브, 닭가슴살 큐브, 오이지물김치, 방울토마토, 비파잎, 올리브오일, 라면 수프, 다진 마늘, 간장, 양파, 케첩, 물엿, 식초, 다진 생강, 후추, 설탕, 밀가루, 달걀, 소금, 마요네즈
, 
,")</f>
        <v>소 등심, 소 안심, 모닝빵, 쪽파, 양배추, 오이, 파프리카, 파슬리가루, 머스터드, 스리라차소스, 스테이크소스, 닭가슴살 소시지, 고구마큐브, 닭가슴살 큐브, 오이지물김치, 방울토마토, 비파잎, 올리브오일, 라면 수프, 다진 마늘, 간장, 양파, 케첩, 물엿, 식초, 다진 생강, 후추, 설탕, 밀가루, 달걀, 소금, 마요네즈
, 
,</v>
      </c>
    </row>
    <row r="981">
      <c r="A981" s="2" t="str">
        <f>recipe!C981
</f>
        <v>오 나의 소고기님</v>
      </c>
      <c r="B981" s="1" t="str">
        <f>IFERROR(__xludf.DUMMYFUNCTION("TRIM(
  SUBSTITUTE(
    REGEXEXTRACT(raw!A981, ""(?s)재료\s*(.*?)●\s*조리\s*방법""),
    CHAR(10), "", ""
  )
)
"),"소 안심, 비파잎, 올리브오일 방울토마토절임, 매실청, 타바스코소스, 방울토마토, 라임, 토닉워터, 파프리카, 슬라이스치즈, 청포도, 아스파라거스, 리코타치즈, 파인애플, 그린올리브, 콩, 모닝빵, 쪽파, 양파, 후추, 소금, 올리브오일, 다진 마늘, 레몬, 청양고추, 달걀
, 
,")</f>
        <v>소 안심, 비파잎, 올리브오일 방울토마토절임, 매실청, 타바스코소스, 방울토마토, 라임, 토닉워터, 파프리카, 슬라이스치즈, 청포도, 아스파라거스, 리코타치즈, 파인애플, 그린올리브, 콩, 모닝빵, 쪽파, 양파, 후추, 소금, 올리브오일, 다진 마늘, 레몬, 청양고추, 달걀
, 
,</v>
      </c>
    </row>
    <row r="982">
      <c r="A982" s="2" t="str">
        <f>recipe!C982
</f>
        <v>그릇을 부딪치며 단짠짠♬</v>
      </c>
      <c r="B982" s="1" t="str">
        <f>IFERROR(__xludf.DUMMYFUNCTION("TRIM(
  SUBSTITUTE(
    REGEXEXTRACT(raw!A982, ""(?s)재료\s*(.*?)●\s*조리\s*방법""),
    CHAR(10), "", ""
  )
)
"),"새우살, 모닝빵, 복숭아, 방울토마토, 오이지물김치, 멸치볶음, 쪽파김치, 쿠키맛 아이스크림, 오이, 공심채, 우동면, 초코과자, 아스파라거스레몬절임, 굴소스, 설탕, 간장, 청양고추, 레몬, 홍고추, 마늘, 맛술, 양파, 올리브오일, 식초, 참기름
, 
,")</f>
        <v>새우살, 모닝빵, 복숭아, 방울토마토, 오이지물김치, 멸치볶음, 쪽파김치, 쿠키맛 아이스크림, 오이, 공심채, 우동면, 초코과자, 아스파라거스레몬절임, 굴소스, 설탕, 간장, 청양고추, 레몬, 홍고추, 마늘, 맛술, 양파, 올리브오일, 식초, 참기름
, 
,</v>
      </c>
    </row>
    <row r="983">
      <c r="A983" s="2" t="str">
        <f>recipe!C983
</f>
        <v>오징어가 왜 그럴까</v>
      </c>
      <c r="B983" s="1" t="str">
        <f>IFERROR(__xludf.DUMMYFUNCTION("TRIM(
  SUBSTITUTE(
    REGEXEXTRACT(raw!A983, ""(?s)재료\s*(.*?)●\s*조리\s*방법""),
    CHAR(10), "", ""
  )
)
"),"반건조 오징어, 청포도, 방울토마토, 방울토마토 매실절임, 파프리카, 복숭아, 스리라차소스, 굴소스, 새우살, 새싹보리분말, 공심채, 타바스코소스, 베트남고추, 대파, 고춧가루, 달걀, 전분, 밀가루, 다진 마늘, 맛술
, 
,")</f>
        <v>반건조 오징어, 청포도, 방울토마토, 방울토마토 매실절임, 파프리카, 복숭아, 스리라차소스, 굴소스, 새우살, 새싹보리분말, 공심채, 타바스코소스, 베트남고추, 대파, 고춧가루, 달걀, 전분, 밀가루, 다진 마늘, 맛술
, 
,</v>
      </c>
    </row>
    <row r="984">
      <c r="A984" s="2" t="str">
        <f>recipe!C984
</f>
        <v>삼치바라기</v>
      </c>
      <c r="B984" s="1" t="str">
        <f>IFERROR(__xludf.DUMMYFUNCTION("TRIM(
  SUBSTITUTE(
    REGEXEXTRACT(raw!A984, ""(?s)재료\s*(.*?)●\s*조리\s*방법""),
    CHAR(10), "", ""
  )
)
"),"삼치, 깻잎, 파르메산 치즈, 양상추, 살라미, 바질페스토, 우유, 맛간장, 올리브오일, 달걀, 다진마늘, 고추, 후추, 레몬, 버터, 밀가루, 대파, 전분, 설탕, 마늘, 소금
, 
,")</f>
        <v>삼치, 깻잎, 파르메산 치즈, 양상추, 살라미, 바질페스토, 우유, 맛간장, 올리브오일, 달걀, 다진마늘, 고추, 후추, 레몬, 버터, 밀가루, 대파, 전분, 설탕, 마늘, 소금
, 
,</v>
      </c>
    </row>
    <row r="985">
      <c r="A985" s="2" t="str">
        <f>recipe!C985
</f>
        <v>삼치세끼</v>
      </c>
      <c r="B985" s="1" t="str">
        <f>IFERROR(__xludf.DUMMYFUNCTION("TRIM(
  SUBSTITUTE(
    REGEXEXTRACT(raw!A985, ""(?s)재료\s*(.*?)●\s*조리\s*방법""),
    CHAR(10), "", ""
  )
)
"),"삼치, 배, 맛간장, 꿀, 멸치액젓, 전복, 마, 양배추, 양상추, 표고버섯, 소금, 후추, 마늘, 대파, 고춧가루
, 
,")</f>
        <v>삼치, 배, 맛간장, 꿀, 멸치액젓, 전복, 마, 양배추, 양상추, 표고버섯, 소금, 후추, 마늘, 대파, 고춧가루
, 
,</v>
      </c>
    </row>
    <row r="986">
      <c r="A986" s="2" t="str">
        <f>recipe!C986
</f>
        <v>매일 메밀 기다려♬</v>
      </c>
      <c r="B986" s="1" t="str">
        <f>IFERROR(__xludf.DUMMYFUNCTION("TRIM(
  SUBSTITUTE(
    REGEXEXTRACT(raw!A986, ""(?s)재료\s*(.*?)●\s*조리\s*방법""),
    CHAR(10), "", ""
  )
)
"),"메밀면, 참다랑어, 은어, 전복, 오이, 양상추, 마, 김, 깻잎, 맛간장, 무, 마요네즈, 밀가루, 달걀, 고추냉이, 레몬
, 
,")</f>
        <v>메밀면, 참다랑어, 은어, 전복, 오이, 양상추, 마, 김, 깻잎, 맛간장, 무, 마요네즈, 밀가루, 달걀, 고추냉이, 레몬
, 
,</v>
      </c>
    </row>
    <row r="987">
      <c r="A987" s="2" t="str">
        <f>recipe!C987
</f>
        <v>메밀면 필 무렵</v>
      </c>
      <c r="B987" s="1" t="str">
        <f>IFERROR(__xludf.DUMMYFUNCTION("TRIM(
  SUBSTITUTE(
    REGEXEXTRACT(raw!A987, ""(?s)재료\s*(.*?)●\s*조리\s*방법""),
    CHAR(10), "", ""
  )
)
"),"메밀면, 참다랑어, 살치살, 전복, 표고버섯, 맛간장, 로메인, 양배추, 양상추, 김, 불린 먹태, 파르메산 치즈가루, 마요네즈, 대파, 마늘, 올리브오일, 고춧가루, 양파, 청양고추, 홍고추, 설탕, 간장, 다진마늘, 참기름, 후추, 레몬, 소금
, 
,")</f>
        <v>메밀면, 참다랑어, 살치살, 전복, 표고버섯, 맛간장, 로메인, 양배추, 양상추, 김, 불린 먹태, 파르메산 치즈가루, 마요네즈, 대파, 마늘, 올리브오일, 고춧가루, 양파, 청양고추, 홍고추, 설탕, 간장, 다진마늘, 참기름, 후추, 레몬, 소금
, 
,</v>
      </c>
    </row>
    <row r="988">
      <c r="A988" s="2" t="str">
        <f>recipe!C988
</f>
        <v>내가 공주라니!</v>
      </c>
      <c r="B988" s="1" t="str">
        <f>IFERROR(__xludf.DUMMYFUNCTION("TRIM(
  SUBSTITUTE(
    REGEXEXTRACT(raw!A988, ""(?s)재료\s*(.*?)●\s*조리\s*방법""),
    CHAR(10), "", ""
  )
)
"),"채끝살, 강황가루, 고구마, 블루베리, 요거트, 돈가스소스, 식빵, 굴소스, 게맛살, 애호박, 단호박, 밀가루, 달걀, 올리브오일, 소금, 마요네즈
, 
, 
,")</f>
        <v>채끝살, 강황가루, 고구마, 블루베리, 요거트, 돈가스소스, 식빵, 굴소스, 게맛살, 애호박, 단호박, 밀가루, 달걀, 올리브오일, 소금, 마요네즈
, 
, 
,</v>
      </c>
    </row>
    <row r="989">
      <c r="A989" s="2" t="str">
        <f>recipe!C989
</f>
        <v>라니공주와 올라프</v>
      </c>
      <c r="B989" s="1" t="str">
        <f>IFERROR(__xludf.DUMMYFUNCTION("TRIM(
  SUBSTITUTE(
    REGEXEXTRACT(raw!A989, ""(?s)재료\s*(.*?)●\s*조리\s*방법""),
    CHAR(10), "", ""
  )
)
"),"채끝살, 치킨너깃, 다진 새우버섯볶음, 슬라이스치즈, 김, 육포, 즉석밥, 깨, 소금, 달걀, 밀가루, 올리브오일, 참기름, 당근
, 
,")</f>
        <v>채끝살, 치킨너깃, 다진 새우버섯볶음, 슬라이스치즈, 김, 육포, 즉석밥, 깨, 소금, 달걀, 밀가루, 올리브오일, 참기름, 당근
, 
,</v>
      </c>
    </row>
    <row r="990">
      <c r="A990" s="2" t="str">
        <f>recipe!C990
</f>
        <v>문어 입떡</v>
      </c>
      <c r="B990" s="1" t="str">
        <f>IFERROR(__xludf.DUMMYFUNCTION("TRIM(
  SUBSTITUTE(
    REGEXEXTRACT(raw!A990, ""(?s)재료\s*(.*?)●\s*조리\s*방법""),
    CHAR(10), "", ""
  )
)
"),"문어, 만두, 자숙새우, 애호박, 김, 굴소스, 어묵, 가래떡, 삶은 달걀, 쌀국수면, 디포리, 참깨, 볶음고추장, 대파, 양파, 청주, 고춧가루, 물엿, 다진마늘, 간장, 전분, 고추, 후추
,")</f>
        <v>문어, 만두, 자숙새우, 애호박, 김, 굴소스, 어묵, 가래떡, 삶은 달걀, 쌀국수면, 디포리, 참깨, 볶음고추장, 대파, 양파, 청주, 고춧가루, 물엿, 다진마늘, 간장, 전분, 고추, 후추
,</v>
      </c>
    </row>
    <row r="991">
      <c r="A991" s="2" t="str">
        <f>recipe!C991
</f>
        <v>문어밖에 난 몰라♬</v>
      </c>
      <c r="B991" s="1" t="str">
        <f>IFERROR(__xludf.DUMMYFUNCTION("TRIM(
  SUBSTITUTE(
    REGEXEXTRACT(raw!A991, ""(?s)재료\s*(.*?)●\s*조리\s*방법""),
    CHAR(10), "", ""
  )
)
"),"문어, 채끝살, 무, 병아리콩, 매실고추장장아찌, 소면, 미역, 가리비, 애호박, 잣, 단호박, 불린 표고버섯, 양파장아찌, 초고추장, 밀가루, 올리브오일, 간장, 설탕, 양파, 레몬, 대파, 참기름, 청양고추
, 
,")</f>
        <v>문어, 채끝살, 무, 병아리콩, 매실고추장장아찌, 소면, 미역, 가리비, 애호박, 잣, 단호박, 불린 표고버섯, 양파장아찌, 초고추장, 밀가루, 올리브오일, 간장, 설탕, 양파, 레몬, 대파, 참기름, 청양고추
, 
,</v>
      </c>
    </row>
    <row r="992">
      <c r="A992" s="2" t="str">
        <f>recipe!C992
</f>
        <v>수상한 튀김</v>
      </c>
      <c r="B992" s="1" t="str">
        <f>IFERROR(__xludf.DUMMYFUNCTION("TRIM(
  SUBSTITUTE(
    REGEXEXTRACT(raw!A992, ""(?s)재료\s*(.*?)●\s*조리\s*방법""),
    CHAR(10), "", ""
  )
)
"),"근대, 쌈장, 밤조림, 새우장, 송이버섯, 쌈장, 청사과, 김, 제육불고기, 맥주, 어묵, 무김치, 매실액, 즉석밥, 청주, 식초, 참기름, 참깨, 밀가루, 전분, 튀김가루, 올리브오일, 청양고추, 양파
, 
,")</f>
        <v>근대, 쌈장, 밤조림, 새우장, 송이버섯, 쌈장, 청사과, 김, 제육불고기, 맥주, 어묵, 무김치, 매실액, 즉석밥, 청주, 식초, 참기름, 참깨, 밀가루, 전분, 튀김가루, 올리브오일, 청양고추, 양파
, 
,</v>
      </c>
    </row>
    <row r="993">
      <c r="A993" s="2" t="str">
        <f>recipe!C993
</f>
        <v>튀김의 신</v>
      </c>
      <c r="B993" s="1" t="str">
        <f>IFERROR(__xludf.DUMMYFUNCTION("TRIM(
  SUBSTITUTE(
    REGEXEXTRACT(raw!A993, ""(?s)재료\s*(.*?)●\s*조리\s*방법""),
    CHAR(10), "", ""
  )
)
"),"돼지 목살, 소 등심, 송이버섯, 배추김치, 애호박, 양배추, 짜장라면 수프, 아이용 간장, 밀가루, 소금, 다진 생강, 올리브오일, 대파, 후추, 전분, 달걀, 식용유, 청양고추, 식초, 참기름, 고춧가루
, 
,")</f>
        <v>돼지 목살, 소 등심, 송이버섯, 배추김치, 애호박, 양배추, 짜장라면 수프, 아이용 간장, 밀가루, 소금, 다진 생강, 올리브오일, 대파, 후추, 전분, 달걀, 식용유, 청양고추, 식초, 참기름, 고춧가루
, 
,</v>
      </c>
    </row>
    <row r="994">
      <c r="A994" s="2" t="str">
        <f>recipe!C994
</f>
        <v>맵지호?</v>
      </c>
      <c r="B994" s="1" t="str">
        <f>IFERROR(__xludf.DUMMYFUNCTION("TRIM(
  SUBSTITUTE(
    REGEXEXTRACT(raw!A994, ""(?s)재료\s*(.*?)●\s*조리\s*방법""),
    CHAR(10), "", ""
  )
)
"),"대패삼겹살, 표고버섯, 송이버섯, 낙지젓, 마른오징어, 애호박, 양배추, 콩나물, 새우가루, 게맛살, 브로콜리, 새우장, 홍고추, 청양고추, 밀가루 강력분, 밀가루 중력분, 양파, 고춧가루, 다진 마늘, 간장, 맛술
, 
,")</f>
        <v>대패삼겹살, 표고버섯, 송이버섯, 낙지젓, 마른오징어, 애호박, 양배추, 콩나물, 새우가루, 게맛살, 브로콜리, 새우장, 홍고추, 청양고추, 밀가루 강력분, 밀가루 중력분, 양파, 고춧가루, 다진 마늘, 간장, 맛술
, 
,</v>
      </c>
    </row>
    <row r="995">
      <c r="A995" s="2" t="str">
        <f>recipe!C995
</f>
        <v>매워서 놀라지 마라</v>
      </c>
      <c r="B995" s="1" t="str">
        <f>IFERROR(__xludf.DUMMYFUNCTION("TRIM(
  SUBSTITUTE(
    REGEXEXTRACT(raw!A995, ""(?s)재료\s*(.*?)●\s*조리\s*방법""),
    CHAR(10), "", ""
  )
)
"),"국거리용 소고기, 대패삼겹살, 양송이버섯, 표고버섯, 방울토마토, 콩나물, 된장, 옥수수, 게맛살, 스리라차소스, 핫소스, 건새우, 무, 대파, 청양고추, 마늘, 고춧가루, 버터, 다진 생강, 전분, 밀가루, 식용유
, 
,")</f>
        <v>국거리용 소고기, 대패삼겹살, 양송이버섯, 표고버섯, 방울토마토, 콩나물, 된장, 옥수수, 게맛살, 스리라차소스, 핫소스, 건새우, 무, 대파, 청양고추, 마늘, 고춧가루, 버터, 다진 생강, 전분, 밀가루, 식용유
, 
,</v>
      </c>
    </row>
    <row r="996">
      <c r="A996" s="2" t="str">
        <f>recipe!C996
</f>
        <v>알 Killer♬</v>
      </c>
      <c r="B996" s="1" t="str">
        <f>IFERROR(__xludf.DUMMYFUNCTION("TRIM(
  SUBSTITUTE(
    REGEXEXTRACT(raw!A996, ""(?s)재료\s*(.*?)●\s*조리\s*방법""),
    CHAR(10), "", ""
  )
)
"),"열빙어, 명란젓, 날치알, 소등심, 킹크랩, 두반장, 굴소스, 라이스페이퍼, 마라소스, 대파, 고춧가루, 식용유, 마늘, 밀가루, 양파, 설탕, 맛술, 전분
, 
,")</f>
        <v>열빙어, 명란젓, 날치알, 소등심, 킹크랩, 두반장, 굴소스, 라이스페이퍼, 마라소스, 대파, 고춧가루, 식용유, 마늘, 밀가루, 양파, 설탕, 맛술, 전분
, 
,</v>
      </c>
    </row>
    <row r="997">
      <c r="A997" s="2" t="str">
        <f>recipe!C997
</f>
        <v>비주알 센터</v>
      </c>
      <c r="B997" s="1" t="str">
        <f>IFERROR(__xludf.DUMMYFUNCTION("TRIM(
  SUBSTITUTE(
    REGEXEXTRACT(raw!A997, ""(?s)재료\s*(.*?)●\s*조리\s*방법""),
    CHAR(10), "", ""
  )
)
"),"열빙어, 명란젓, 날치알, 파프리카가루, 파슬리가루, 잣, 고추장아찌, 깻잎, 아스파라거스, 라이스페이퍼, 요거트, 말린 귤껍질, 식용유, 홍고추, 올리브오일, 소금, 후추, 레몬, 청양고추, 마요네즈
, 
,")</f>
        <v>열빙어, 명란젓, 날치알, 파프리카가루, 파슬리가루, 잣, 고추장아찌, 깻잎, 아스파라거스, 라이스페이퍼, 요거트, 말린 귤껍질, 식용유, 홍고추, 올리브오일, 소금, 후추, 레몬, 청양고추, 마요네즈
, 
,</v>
      </c>
    </row>
    <row r="998">
      <c r="A998" s="2" t="str">
        <f>recipe!C998
</f>
        <v>닭살돋자냐♡</v>
      </c>
      <c r="B998" s="1" t="str">
        <f>IFERROR(__xludf.DUMMYFUNCTION("TRIM(
  SUBSTITUTE(
    REGEXEXTRACT(raw!A998, ""(?s)재료\s*(.*?)●\s*조리\s*방법""),
    CHAR(10), "", ""
  )
)
"),"토종닭, 닭 모래주머니, 깻잎, 애호박, 스트링 치즈, 볶음고추장, 흰 목이버섯, 가래떡, 얼갈이배추, 소금, 후추, 올리브오일, 양파, 대파, 청양고추, 홍고추, 다진마늘, 고춧가루, 설탕, 물엿, 전분
, 
,")</f>
        <v>토종닭, 닭 모래주머니, 깻잎, 애호박, 스트링 치즈, 볶음고추장, 흰 목이버섯, 가래떡, 얼갈이배추, 소금, 후추, 올리브오일, 양파, 대파, 청양고추, 홍고추, 다진마늘, 고춧가루, 설탕, 물엿, 전분
, 
,</v>
      </c>
    </row>
    <row r="999">
      <c r="A999" s="2" t="str">
        <f>recipe!C999
</f>
        <v>닭파라치♬</v>
      </c>
      <c r="B999" s="1" t="str">
        <f>IFERROR(__xludf.DUMMYFUNCTION("TRIM(
  SUBSTITUTE(
    REGEXEXTRACT(raw!A999, ""(?s)재료\s*(.*?)●\s*조리\s*방법""),
    CHAR(10), "", ""
  )
)
"),"토종닭, 말린 귤껍질, 삼발소스, 피넛소스, 파프리카 가루, 호박잎, 얼갈이배추, 잣, 밀가루, 식용유, 청양고추, 홍고추, 다진마늘, 레몬, 설탕, 후추
, 
,")</f>
        <v>토종닭, 말린 귤껍질, 삼발소스, 피넛소스, 파프리카 가루, 호박잎, 얼갈이배추, 잣, 밀가루, 식용유, 청양고추, 홍고추, 다진마늘, 레몬, 설탕, 후추
, 
,</v>
      </c>
    </row>
    <row r="1000">
      <c r="A1000" s="2" t="str">
        <f>recipe!C1000
</f>
        <v>고등램지</v>
      </c>
      <c r="B1000" s="1" t="str">
        <f>IFERROR(__xludf.DUMMYFUNCTION("TRIM(
  SUBSTITUTE(
    REGEXEXTRACT(raw!A1000, ""(?s)재료\s*(.*?)●\s*조리\s*방법""),
    CHAR(10), "", ""
  )
)
"),"통조림 꼬막, 황태채, 스파게티, 애호박, 고등어, 느타리버섯, 고추장아찌, 우유, 페퍼론치노, 통조림 게살장, 베이컨, 파르메산 치즈가루, 시금치, 빵가루, 이유식용 육수, 올리브오일, 후추, 소금, 대파, 마늘, 청양고추, 케첩, 고춧가루, 화이트와인, 레몬
, 
,")</f>
        <v>통조림 꼬막, 황태채, 스파게티, 애호박, 고등어, 느타리버섯, 고추장아찌, 우유, 페퍼론치노, 통조림 게살장, 베이컨, 파르메산 치즈가루, 시금치, 빵가루, 이유식용 육수, 올리브오일, 후추, 소금, 대파, 마늘, 청양고추, 케첩, 고춧가루, 화이트와인, 레몬
, 
,</v>
      </c>
    </row>
    <row r="1001">
      <c r="A1001" s="2" t="str">
        <f>recipe!C1001
</f>
        <v>파스타 사랑해♬</v>
      </c>
      <c r="B1001" s="1" t="str">
        <f>IFERROR(__xludf.DUMMYFUNCTION("TRIM(
  SUBSTITUTE(
    REGEXEXTRACT(raw!A1001, ""(?s)재료\s*(.*?)●\s*조리\s*방법""),
    CHAR(10), "", ""
  )
)
"),"에스카르고, 느타리버섯, 애호박, 트러플 치즈크림소스, 스모크치즈, 완두콩, 빵가루, 우유, 통조림 꼬막, 다진 소고기, 깻잎의 순, 블루베리, 파르메산 치즈가루, 올리브오일, 소금, 밀가루, 달걀, 마늘, 버터
, 
,")</f>
        <v>에스카르고, 느타리버섯, 애호박, 트러플 치즈크림소스, 스모크치즈, 완두콩, 빵가루, 우유, 통조림 꼬막, 다진 소고기, 깻잎의 순, 블루베리, 파르메산 치즈가루, 올리브오일, 소금, 밀가루, 달걀, 마늘, 버터
, 
,</v>
      </c>
    </row>
    <row r="1002">
      <c r="A1002" s="2" t="str">
        <f>recipe!C1002
</f>
        <v>지구용사 산초맨</v>
      </c>
      <c r="B1002" s="1" t="str">
        <f>IFERROR(__xludf.DUMMYFUNCTION("TRIM(
  SUBSTITUTE(
    REGEXEXTRACT(raw!A1002, ""(?s)재료\s*(.*?)●\s*조리\s*방법""),
    CHAR(10), "", ""
  )
)
"),"산초가루, 어내토 시드, 소 등심, 페퍼론치노, 새우살, 느타리버섯, 새송이버섯, 청경채, 굴소스, 생강, 대파, 고춧가루, 맛술, 간장, 설탕, 참기름, 청양고추, 홍고추, 양파, 버터, 즉석밥
, 
,")</f>
        <v>산초가루, 어내토 시드, 소 등심, 페퍼론치노, 새우살, 느타리버섯, 새송이버섯, 청경채, 굴소스, 생강, 대파, 고춧가루, 맛술, 간장, 설탕, 참기름, 청양고추, 홍고추, 양파, 버터, 즉석밥
, 
,</v>
      </c>
    </row>
    <row r="1003">
      <c r="A1003" s="2" t="str">
        <f>recipe!C1003
</f>
        <v>마라왕 복탁구</v>
      </c>
      <c r="B1003" s="1" t="str">
        <f>IFERROR(__xludf.DUMMYFUNCTION("TRIM(
  SUBSTITUTE(
    REGEXEXTRACT(raw!A1003, ""(?s)재료\s*(.*?)●\s*조리\s*방법""),
    CHAR(10), "", ""
  )
)
"),"산초가루, 시금치, 청경채, 콩나물, 에스카르고, 국물용 멸치, 황태채, 건새우, 페페론치노, 돼지 안심, 연두부, 새송이버섯, 고구마, 새우살, 대파, 고춧가루, 맛술, 소금, 전분, 달걀, 양파, 마늘, 간장
, 
,")</f>
        <v>산초가루, 시금치, 청경채, 콩나물, 에스카르고, 국물용 멸치, 황태채, 건새우, 페페론치노, 돼지 안심, 연두부, 새송이버섯, 고구마, 새우살, 대파, 고춧가루, 맛술, 소금, 전분, 달걀, 양파, 마늘, 간장
, 
,</v>
      </c>
    </row>
    <row r="1004">
      <c r="A1004" s="2" t="str">
        <f>recipe!C1004
</f>
        <v>할리우드에서 미트볼을</v>
      </c>
      <c r="B1004" s="1" t="str">
        <f>IFERROR(__xludf.DUMMYFUNCTION("TRIM(
  SUBSTITUTE(
    REGEXEXTRACT(raw!A1004, ""(?s)재료\s*(.*?)●\s*조리\s*방법""),
    CHAR(10), "", ""
  )
)
"),"소등심, 드라이에이징 등심, 소안심, 바질가루, 크림파스타소스, 리코타치즈 토마토소스, 체리토마토소스, 스파게티면, 그릴드치즈, 화이트 체다치즈, 스트링치즈, 베이컨, 아스파라거스, 살사소스, 홀그레인머스터드, 열무김치, 비엔나소시지, 다진마늘, 후추, 부침가루, 양파, 마늘, 올리브오일, 간장
, 
,")</f>
        <v>소등심, 드라이에이징 등심, 소안심, 바질가루, 크림파스타소스, 리코타치즈 토마토소스, 체리토마토소스, 스파게티면, 그릴드치즈, 화이트 체다치즈, 스트링치즈, 베이컨, 아스파라거스, 살사소스, 홀그레인머스터드, 열무김치, 비엔나소시지, 다진마늘, 후추, 부침가루, 양파, 마늘, 올리브오일, 간장
, 
,</v>
      </c>
    </row>
    <row r="1005">
      <c r="A1005" s="2" t="str">
        <f>recipe!C1005
</f>
        <v>백 투 더 아메리카</v>
      </c>
      <c r="B1005" s="1" t="str">
        <f>IFERROR(__xludf.DUMMYFUNCTION("TRIM(
  SUBSTITUTE(
    REGEXEXTRACT(raw!A1005, ""(?s)재료\s*(.*?)●\s*조리\s*방법""),
    CHAR(10), "", ""
  )
)
"),"소등심, 소안심, 베이컨, 바질가루, 베트남 간장, 홀그레인머스터드, 목이버섯, 체리토마토소스, 인스턴트 삼계탕, 크림파스타소스, 토마토파스타소스, 파르펠레 면, 우유, 아스파라거스, 그릴드치즈, 화이트 체다치즈, 스트링치즈, 올리브오일, 양파, 버터, 청양고추, 소금, 달걀, 밀가루
,")</f>
        <v>소등심, 소안심, 베이컨, 바질가루, 베트남 간장, 홀그레인머스터드, 목이버섯, 체리토마토소스, 인스턴트 삼계탕, 크림파스타소스, 토마토파스타소스, 파르펠레 면, 우유, 아스파라거스, 그릴드치즈, 화이트 체다치즈, 스트링치즈, 올리브오일, 양파, 버터, 청양고추, 소금, 달걀, 밀가루
,</v>
      </c>
    </row>
    <row r="1006">
      <c r="A1006" s="2" t="str">
        <f>recipe!C1006
</f>
        <v>간장, 게 섰거라!</v>
      </c>
      <c r="B1006" s="1" t="str">
        <f>IFERROR(__xludf.DUMMYFUNCTION("TRIM(
  SUBSTITUTE(
    REGEXEXTRACT(raw!A1006, ""(?s)재료\s*(.*?)●\s*조리\s*방법""),
    CHAR(10), "", ""
  )
)
"),"꽃게, 소안심, 전복, 감자, 반숙란, 아보카도, 고추장아찌, 쌀, 올리브오일, 양파, 당근, 설탕, 청주, 맛술, 간장, 후추, 버터
, 
,")</f>
        <v>꽃게, 소안심, 전복, 감자, 반숙란, 아보카도, 고추장아찌, 쌀, 올리브오일, 양파, 당근, 설탕, 청주, 맛술, 간장, 후추, 버터
, 
,</v>
      </c>
    </row>
    <row r="1007">
      <c r="A1007" s="2" t="str">
        <f>recipe!C1007
</f>
        <v>간장 보증수표</v>
      </c>
      <c r="B1007" s="1" t="str">
        <f>IFERROR(__xludf.DUMMYFUNCTION("TRIM(
  SUBSTITUTE(
    REGEXEXTRACT(raw!A1007, ""(?s)재료\s*(.*?)●\s*조리\s*방법""),
    CHAR(10), "", ""
  )
)
"),"무늬오징어, 전복, 새우, 목이버섯, 백 목이버섯, 애호박, 아스파라거스, 불린 누룽지, 브로콜리, 표고버섯, 우유, 화이트 체다치즈, 베이컨, 버터, 밀가루, 마늘, 맛술, 간장, 후추
, 
,")</f>
        <v>무늬오징어, 전복, 새우, 목이버섯, 백 목이버섯, 애호박, 아스파라거스, 불린 누룽지, 브로콜리, 표고버섯, 우유, 화이트 체다치즈, 베이컨, 버터, 밀가루, 마늘, 맛술, 간장, 후추
, 
,</v>
      </c>
    </row>
    <row r="1008">
      <c r="A1008" s="2" t="str">
        <f>recipe!C1008
</f>
        <v>복고풍 샐러드</v>
      </c>
      <c r="B1008" s="1" t="str">
        <f>IFERROR(__xludf.DUMMYFUNCTION("TRIM(
  SUBSTITUTE(
    REGEXEXTRACT(raw!A1008, ""(?s)재료\s*(.*?)●\s*조리\s*방법""),
    CHAR(10), "", ""
  )
)
"),"인스턴트 핫도그, 닭가슴살 패티, 슬라이스 치즈, 모차렐라 치즈, 인스턴트 미니핫도그, 훈제오리, 무화과잼, 오이, 로메인, 사과, 우유, 청포도, 소다맛 아이스크림, 딸기맛 아이스크림, 딸기, 달걀, 소금, 식초, 양파, 다진마늘, 버터, 연겨자, 물엿, 설탕
, 
,")</f>
        <v>인스턴트 핫도그, 닭가슴살 패티, 슬라이스 치즈, 모차렐라 치즈, 인스턴트 미니핫도그, 훈제오리, 무화과잼, 오이, 로메인, 사과, 우유, 청포도, 소다맛 아이스크림, 딸기맛 아이스크림, 딸기, 달걀, 소금, 식초, 양파, 다진마늘, 버터, 연겨자, 물엿, 설탕
, 
,</v>
      </c>
    </row>
    <row r="1009">
      <c r="A1009" s="2" t="str">
        <f>recipe!C1009
</f>
        <v>이연복Go 연복Go♬</v>
      </c>
      <c r="B1009" s="1" t="str">
        <f>IFERROR(__xludf.DUMMYFUNCTION("TRIM(
  SUBSTITUTE(
    REGEXEXTRACT(raw!A1009, ""(?s)재료\s*(.*?)●\s*조리\s*방법""),
    CHAR(10), "", ""
  )
)
"),"삼겹살, 돈가스소스, 굴소스, 새우살, 오이, 로메인, 전분, 달걀, 소금, 양파, 당근, 튀김가루, 대파, 즉석밥, 케첩, 마요네즈
, 
,")</f>
        <v>삼겹살, 돈가스소스, 굴소스, 새우살, 오이, 로메인, 전분, 달걀, 소금, 양파, 당근, 튀김가루, 대파, 즉석밥, 케첩, 마요네즈
, 
,</v>
      </c>
    </row>
    <row r="1010">
      <c r="A1010" s="2" t="str">
        <f>recipe!C1010
</f>
        <v>장칼국수는 장난이 아니야♬</v>
      </c>
      <c r="B1010" s="1" t="str">
        <f>IFERROR(__xludf.DUMMYFUNCTION("TRIM(
  SUBSTITUTE(
    REGEXEXTRACT(raw!A1010, ""(?s)재료\s*(.*?)●\s*조리\s*방법""),
    CHAR(10), "", ""
  )
)
"),"취나물, 루콜라, 시래기, 감자, 건표고버섯, 국물용 멸치, 무, 건새우, 다시마, 열무김치, 바지락살. 된장, 참기름, 들깨, 고춧가루, 검정들깨기름, 밀가루, 소금, 고춧가루, 청양고추, 들깨, 간장, 참기름, 홍고추, 마늘
, 
,")</f>
        <v>취나물, 루콜라, 시래기, 감자, 건표고버섯, 국물용 멸치, 무, 건새우, 다시마, 열무김치, 바지락살. 된장, 참기름, 들깨, 고춧가루, 검정들깨기름, 밀가루, 소금, 고춧가루, 청양고추, 들깨, 간장, 참기름, 홍고추, 마늘
, 
,</v>
      </c>
    </row>
    <row r="1011">
      <c r="A1011" s="2" t="str">
        <f>recipe!C1011
</f>
        <v>토르티야 먹을 사람 뉴~규?</v>
      </c>
      <c r="B1011" s="1" t="str">
        <f>IFERROR(__xludf.DUMMYFUNCTION("TRIM(
  SUBSTITUTE(
    REGEXEXTRACT(raw!A1011, ""(?s)재료\s*(.*?)●\s*조리\s*방법""),
    CHAR(10), "", ""
  )
)
"),"취나물, 루콜라, 새송이버섯, 발사믹식초, 낙지, 시래기, 토르티야, 로메인, 트러플크림소스, 마요네즈, 피클, 마늘, 올리브오일, 양파, 소금, 후추, 마요네즈, 레몬, 물엿, 대파, 밀가루, 달걀
, 
,")</f>
        <v>취나물, 루콜라, 새송이버섯, 발사믹식초, 낙지, 시래기, 토르티야, 로메인, 트러플크림소스, 마요네즈, 피클, 마늘, 올리브오일, 양파, 소금, 후추, 마요네즈, 레몬, 물엿, 대파, 밀가루, 달걀
, 
,</v>
      </c>
    </row>
    <row r="1012">
      <c r="A1012" s="2" t="str">
        <f>recipe!C1012
</f>
        <v>특수돼지 삼형제</v>
      </c>
      <c r="B1012" s="1" t="str">
        <f>IFERROR(__xludf.DUMMYFUNCTION("TRIM(
  SUBSTITUTE(
    REGEXEXTRACT(raw!A1012, ""(?s)재료\s*(.*?)●\s*조리\s*방법""),
    CHAR(10), "", ""
  )
)
"),"모소리살, 가오리살, 삼각살, 표고버섯, 아스파라거스, 고수, 맥주, 표고버섯가루, 월계수잎, 꿀, 고추냉이맛 아몬드, 적양파, 청사과, 사과, 믹스베리, 대파, 마늘, 청양고추, 후추, 소금, 설탕, 레몬, 된장, 다진 마늘, 맛술, 올리브오일
, 
,")</f>
        <v>모소리살, 가오리살, 삼각살, 표고버섯, 아스파라거스, 고수, 맥주, 표고버섯가루, 월계수잎, 꿀, 고추냉이맛 아몬드, 적양파, 청사과, 사과, 믹스베리, 대파, 마늘, 청양고추, 후추, 소금, 설탕, 레몬, 된장, 다진 마늘, 맛술, 올리브오일
, 
,</v>
      </c>
    </row>
    <row r="1013">
      <c r="A1013" s="2" t="str">
        <f>recipe!C1013
</f>
        <v>돼지가 스튜에 빠진 날</v>
      </c>
      <c r="B1013" s="1" t="str">
        <f>IFERROR(__xludf.DUMMYFUNCTION("TRIM(
  SUBSTITUTE(
    REGEXEXTRACT(raw!A1013, ""(?s)재료\s*(.*?)●\s*조리\s*방법""),
    CHAR(10), "", ""
  )
)
"),"모소리살, 삼각살, 가오리살, 표고버섯, 표고버섯가루, 발사믹식초, 트러플소스, 닭다리, 아스파라거스, 고수, 적양파, 월계수잎, 그린올리브, 양파, 마늘, 당근, 대파, 후추, 올리브오일, 소금, 간장, 버터, 레몬
, 
,")</f>
        <v>모소리살, 삼각살, 가오리살, 표고버섯, 표고버섯가루, 발사믹식초, 트러플소스, 닭다리, 아스파라거스, 고수, 적양파, 월계수잎, 그린올리브, 양파, 마늘, 당근, 대파, 후추, 올리브오일, 소금, 간장, 버터, 레몬
, 
,</v>
      </c>
    </row>
    <row r="1014">
      <c r="A1014" s="2" t="str">
        <f>recipe!C1014
</f>
        <v>해산물 꼬치 피었습니다♬</v>
      </c>
      <c r="B1014" s="1" t="str">
        <f>IFERROR(__xludf.DUMMYFUNCTION("TRIM(
  SUBSTITUTE(
    REGEXEXTRACT(raw!A1014, ""(?s)재료\s*(.*?)●\s*조리\s*방법""),
    CHAR(10), "", ""
  )
)
"),"전복, 새우, 가리비, 아스파라거스, 아보카도, 그린올리브, 트러플소스, 청주, 대파, 설탕, 달걀, 식초, 소금, 올리브오일, 마요네즈, 간장, 버터
, 
,")</f>
        <v>전복, 새우, 가리비, 아스파라거스, 아보카도, 그린올리브, 트러플소스, 청주, 대파, 설탕, 달걀, 식초, 소금, 올리브오일, 마요네즈, 간장, 버터
, 
,</v>
      </c>
    </row>
    <row r="1015">
      <c r="A1015" s="2" t="str">
        <f>recipe!C1015
</f>
        <v>동고샤 돌격 앞으로!</v>
      </c>
      <c r="B1015" s="1" t="str">
        <f>IFERROR(__xludf.DUMMYFUNCTION("TRIM(
  SUBSTITUTE(
    REGEXEXTRACT(raw!A1015, ""(?s)재료\s*(.*?)●\s*조리\s*방법""),
    CHAR(10), "", ""
  )
)
"),"전복, 새우, 오징어, 낙지, 관자, 통조림 골뱅이, 소 등심, 아스파라거스, 고수, 표고버섯, 월계수잎, 표고버섯가루, 황태채, 대파, 생강, 고춧가루, 맛술, 마늘, 소금, 밀가루, 달걀, 전분, 간장
, 
,")</f>
        <v>전복, 새우, 오징어, 낙지, 관자, 통조림 골뱅이, 소 등심, 아스파라거스, 고수, 표고버섯, 월계수잎, 표고버섯가루, 황태채, 대파, 생강, 고춧가루, 맛술, 마늘, 소금, 밀가루, 달걀, 전분, 간장
, 
,</v>
      </c>
    </row>
    <row r="1016">
      <c r="A1016" s="2" t="str">
        <f>recipe!C1016
</f>
        <v>봉주르 캐비지</v>
      </c>
      <c r="B1016" s="1" t="str">
        <f>IFERROR(__xludf.DUMMYFUNCTION("TRIM(
  SUBSTITUTE(
    REGEXEXTRACT(raw!A1016, ""(?s)재료\s*(.*?)●\s*조리\s*방법""),
    CHAR(10), "", ""
  )
)
"),"소등심, 양배추, 적양배추, 인스턴트 만두, 애호박, 어린잎채소, 소시지, 부추, 꽈리고추, 깐호두, 방울토마토, 통마늘장아찌, 미니 파프리카, 꿀, 통조림 옥수수, 양파, 대파, 마늘, 버터, 레몬, 올리브오일, 고추, 소금, 후추
, 
,")</f>
        <v>소등심, 양배추, 적양배추, 인스턴트 만두, 애호박, 어린잎채소, 소시지, 부추, 꽈리고추, 깐호두, 방울토마토, 통마늘장아찌, 미니 파프리카, 꿀, 통조림 옥수수, 양파, 대파, 마늘, 버터, 레몬, 올리브오일, 고추, 소금, 후추
, 
,</v>
      </c>
    </row>
    <row r="1017">
      <c r="A1017" s="2" t="str">
        <f>recipe!C1017
</f>
        <v>캐비지 돌풍!</v>
      </c>
      <c r="B1017" s="1" t="str">
        <f>IFERROR(__xludf.DUMMYFUNCTION("TRIM(
  SUBSTITUTE(
    REGEXEXTRACT(raw!A1017, ""(?s)재료\s*(.*?)●\s*조리\s*방법""),
    CHAR(10), "", ""
  )
)
"),"채끝살, 양배추, 방울토마토, 슬라이스 체다치즈, 굴소스, 부추, 파르메산 치즈, 표고버섯, 소시지, 스테이크소스, 꿀,
, 밀가루, 버터, 다진마늘, 소금, 후추, 전분, 달걀, 대파
, 
,")</f>
        <v>채끝살, 양배추, 방울토마토, 슬라이스 체다치즈, 굴소스, 부추, 파르메산 치즈, 표고버섯, 소시지, 스테이크소스, 꿀,
, 밀가루, 버터, 다진마늘, 소금, 후추, 전분, 달걀, 대파
, 
,</v>
      </c>
    </row>
    <row r="1018">
      <c r="A1018" s="2" t="str">
        <f>recipe!C1018
</f>
        <v>피시 앤 만두</v>
      </c>
      <c r="B1018" s="1" t="str">
        <f>IFERROR(__xludf.DUMMYFUNCTION("TRIM(
  SUBSTITUTE(
    REGEXEXTRACT(raw!A1018, ""(?s)재료\s*(.*?)●\s*조리\s*방법""),
    CHAR(10), "", ""
  )
)
"),"조기, 가자미, 자숙새우, 부추, 김, 굴소스, 표고버섯, 파김치, 양파, 밀가루, 대파, 마요네즈, 다진 생강, 고춧가루, 다진 마늘, 참기름, 간장, 식초, 홍고추, 고추, 설탕
, 
,")</f>
        <v>조기, 가자미, 자숙새우, 부추, 김, 굴소스, 표고버섯, 파김치, 양파, 밀가루, 대파, 마요네즈, 다진 생강, 고춧가루, 다진 마늘, 참기름, 간장, 식초, 홍고추, 고추, 설탕
, 
,</v>
      </c>
    </row>
    <row r="1019">
      <c r="A1019" s="2" t="str">
        <f>recipe!C1019
</f>
        <v>만두 만두 만두 눈꽃만두♬</v>
      </c>
      <c r="B1019" s="1" t="str">
        <f>IFERROR(__xludf.DUMMYFUNCTION("TRIM(
  SUBSTITUTE(
    REGEXEXTRACT(raw!A1019, ""(?s)재료\s*(.*?)●\s*조리\s*방법""),
    CHAR(10), "", ""
  )
)
"),"소등심, 인스턴트 만두, 팽이버섯, 부추, 파프리카, 애호박, 새송이버섯, 아스파라거스, 가래떡, 트러플 소금, 트러플 오일, 참깨소스, 배추김치, 고추장아찌, 밀가루, 설탕, 맛술, 후추, 양파, 전분, 물엿, 깨, 다진 마늘
, 
,")</f>
        <v>소등심, 인스턴트 만두, 팽이버섯, 부추, 파프리카, 애호박, 새송이버섯, 아스파라거스, 가래떡, 트러플 소금, 트러플 오일, 참깨소스, 배추김치, 고추장아찌, 밀가루, 설탕, 맛술, 후추, 양파, 전분, 물엿, 깨, 다진 마늘
, 
,</v>
      </c>
    </row>
    <row r="1020">
      <c r="A1020" s="2" t="str">
        <f>recipe!C1020
</f>
        <v/>
      </c>
    </row>
    <row r="1024">
      <c r="B1024" s="1"/>
    </row>
    <row r="1025">
      <c r="B1025" s="1"/>
    </row>
    <row r="1026">
      <c r="B1026" s="1"/>
    </row>
    <row r="1027">
      <c r="B1027" s="1"/>
    </row>
    <row r="1028">
      <c r="B1028" s="1"/>
    </row>
    <row r="1029">
      <c r="B1029" s="1"/>
    </row>
    <row r="1030">
      <c r="B1030" s="1"/>
    </row>
    <row r="1031">
      <c r="B1031" s="1"/>
    </row>
    <row r="1032">
      <c r="B1032" s="1"/>
    </row>
    <row r="1033">
      <c r="B1033" s="1"/>
    </row>
    <row r="1034">
      <c r="B1034" s="1"/>
    </row>
    <row r="1035">
      <c r="B1035" s="1"/>
    </row>
    <row r="1036">
      <c r="B1036" s="1"/>
    </row>
    <row r="1037">
      <c r="B1037" s="1"/>
    </row>
    <row r="1038">
      <c r="B1038" s="1"/>
    </row>
    <row r="1039">
      <c r="B1039" s="1"/>
    </row>
    <row r="1040">
      <c r="B1040" s="1"/>
    </row>
    <row r="1041">
      <c r="B1041" s="1"/>
    </row>
    <row r="1042">
      <c r="B1042" s="1"/>
    </row>
    <row r="1043">
      <c r="B1043" s="1"/>
    </row>
    <row r="1044">
      <c r="B1044" s="1"/>
    </row>
    <row r="1045">
      <c r="B1045" s="1"/>
    </row>
    <row r="1046">
      <c r="B1046" s="1"/>
    </row>
    <row r="1047">
      <c r="B1047" s="1"/>
    </row>
    <row r="1048">
      <c r="B1048" s="1"/>
    </row>
    <row r="1049">
      <c r="B1049" s="1"/>
    </row>
    <row r="1050">
      <c r="B1050" s="1"/>
    </row>
    <row r="1051">
      <c r="B1051" s="1"/>
    </row>
    <row r="1052">
      <c r="B1052" s="1"/>
    </row>
    <row r="1053">
      <c r="B1053" s="1"/>
    </row>
    <row r="1054">
      <c r="B1054" s="1"/>
    </row>
    <row r="1055">
      <c r="B1055" s="1"/>
    </row>
    <row r="1056">
      <c r="B1056" s="1"/>
    </row>
    <row r="1057">
      <c r="B1057" s="1"/>
    </row>
    <row r="1058">
      <c r="B1058" s="1"/>
    </row>
    <row r="1059">
      <c r="B1059" s="1"/>
    </row>
    <row r="1060">
      <c r="B1060" s="1"/>
    </row>
    <row r="1061">
      <c r="B1061" s="1"/>
    </row>
    <row r="1062">
      <c r="B1062" s="1"/>
    </row>
    <row r="1063">
      <c r="B1063" s="1"/>
    </row>
    <row r="1064">
      <c r="B1064" s="1"/>
    </row>
    <row r="1065">
      <c r="B1065" s="1"/>
    </row>
    <row r="1066">
      <c r="B1066" s="1"/>
    </row>
    <row r="1067">
      <c r="B1067" s="1"/>
    </row>
    <row r="1068">
      <c r="B1068" s="1"/>
    </row>
    <row r="1069">
      <c r="B1069" s="1"/>
    </row>
    <row r="1070">
      <c r="B1070" s="1"/>
    </row>
    <row r="1071">
      <c r="B1071" s="1"/>
    </row>
    <row r="1072">
      <c r="B1072" s="1"/>
    </row>
    <row r="1073">
      <c r="B1073" s="1"/>
    </row>
    <row r="1074">
      <c r="B1074" s="1"/>
    </row>
    <row r="1075">
      <c r="B1075" s="1"/>
    </row>
    <row r="1076">
      <c r="B1076" s="1"/>
    </row>
    <row r="1077">
      <c r="B1077" s="1"/>
    </row>
    <row r="1078">
      <c r="B1078" s="1"/>
    </row>
    <row r="1079">
      <c r="B1079" s="1"/>
    </row>
    <row r="1080">
      <c r="B1080" s="1"/>
    </row>
    <row r="1081">
      <c r="B1081" s="1"/>
    </row>
    <row r="1082">
      <c r="B1082" s="1"/>
    </row>
    <row r="1083">
      <c r="B1083" s="1"/>
    </row>
    <row r="1084">
      <c r="B1084" s="1"/>
    </row>
    <row r="1085">
      <c r="B1085" s="1"/>
    </row>
    <row r="1086">
      <c r="B1086" s="1"/>
    </row>
    <row r="1087">
      <c r="B1087" s="1"/>
    </row>
    <row r="1088">
      <c r="B1088" s="1"/>
    </row>
    <row r="1089">
      <c r="B1089" s="1"/>
    </row>
    <row r="1090">
      <c r="B1090" s="1"/>
    </row>
    <row r="1091">
      <c r="B1091" s="1"/>
    </row>
    <row r="1092">
      <c r="B1092" s="1"/>
    </row>
    <row r="1093">
      <c r="B1093" s="1"/>
    </row>
    <row r="1094">
      <c r="B1094" s="1"/>
    </row>
    <row r="1095">
      <c r="B1095" s="1"/>
    </row>
    <row r="1096">
      <c r="B1096" s="1"/>
    </row>
    <row r="1097">
      <c r="B1097" s="1"/>
    </row>
    <row r="1098">
      <c r="B1098" s="1"/>
    </row>
    <row r="1099">
      <c r="B1099" s="1"/>
    </row>
    <row r="1100">
      <c r="B1100" s="1"/>
    </row>
    <row r="1101">
      <c r="B1101" s="1"/>
    </row>
    <row r="1102">
      <c r="B1102" s="1"/>
    </row>
    <row r="1103">
      <c r="B1103" s="1"/>
    </row>
    <row r="1104">
      <c r="B1104" s="1"/>
    </row>
    <row r="1105">
      <c r="B1105" s="1"/>
    </row>
    <row r="1106">
      <c r="B1106" s="1"/>
    </row>
    <row r="1107">
      <c r="B1107" s="1"/>
    </row>
    <row r="1108">
      <c r="B1108" s="1"/>
    </row>
    <row r="1109">
      <c r="B1109" s="1"/>
    </row>
    <row r="1110">
      <c r="B1110" s="1"/>
    </row>
    <row r="1111">
      <c r="B1111" s="1"/>
    </row>
    <row r="1112">
      <c r="B1112" s="1"/>
    </row>
    <row r="1113">
      <c r="B1113" s="1"/>
    </row>
    <row r="1114">
      <c r="B1114" s="1"/>
    </row>
    <row r="1115">
      <c r="B1115" s="1"/>
    </row>
    <row r="1116">
      <c r="B1116" s="1"/>
    </row>
    <row r="1117">
      <c r="B1117" s="1"/>
    </row>
    <row r="1118">
      <c r="B1118" s="1"/>
    </row>
    <row r="1119">
      <c r="B1119" s="1"/>
    </row>
    <row r="1120">
      <c r="B1120" s="1"/>
    </row>
    <row r="1121">
      <c r="B1121" s="1"/>
    </row>
    <row r="1122">
      <c r="B1122" s="1"/>
    </row>
    <row r="1123">
      <c r="B1123" s="1"/>
    </row>
    <row r="1124">
      <c r="B1124" s="1"/>
    </row>
    <row r="1125">
      <c r="B1125" s="1"/>
    </row>
    <row r="1126">
      <c r="B1126" s="1"/>
    </row>
    <row r="1127">
      <c r="B1127" s="1"/>
    </row>
    <row r="1128">
      <c r="B1128" s="1"/>
    </row>
    <row r="1129">
      <c r="B1129" s="1"/>
    </row>
    <row r="1130">
      <c r="B1130" s="1"/>
    </row>
    <row r="1131">
      <c r="B1131" s="1"/>
    </row>
    <row r="1132">
      <c r="B1132" s="1"/>
    </row>
    <row r="1133">
      <c r="B1133" s="1"/>
    </row>
    <row r="1134">
      <c r="B1134" s="1"/>
    </row>
    <row r="1135">
      <c r="B1135" s="1"/>
    </row>
    <row r="1136">
      <c r="B1136" s="1"/>
    </row>
    <row r="1137">
      <c r="B1137" s="1"/>
    </row>
    <row r="1138">
      <c r="B1138" s="1"/>
    </row>
    <row r="1139">
      <c r="B1139" s="1"/>
    </row>
    <row r="1140">
      <c r="B1140" s="1"/>
    </row>
    <row r="1141">
      <c r="B1141" s="1"/>
    </row>
    <row r="1142">
      <c r="B1142" s="1"/>
    </row>
    <row r="1143">
      <c r="B1143" s="1"/>
    </row>
    <row r="1144">
      <c r="B1144" s="1"/>
    </row>
    <row r="1145">
      <c r="B1145" s="1"/>
    </row>
    <row r="1146">
      <c r="B1146" s="1"/>
    </row>
    <row r="1147">
      <c r="B1147" s="1"/>
    </row>
    <row r="1148">
      <c r="B1148" s="1"/>
    </row>
    <row r="1149">
      <c r="B1149" s="1"/>
    </row>
    <row r="1150">
      <c r="B1150" s="1"/>
    </row>
    <row r="1151">
      <c r="B1151" s="1"/>
    </row>
    <row r="1152">
      <c r="B1152" s="1"/>
    </row>
    <row r="1153">
      <c r="B1153" s="1"/>
    </row>
    <row r="1154">
      <c r="B1154" s="1"/>
    </row>
    <row r="1155">
      <c r="B1155" s="1"/>
    </row>
    <row r="1156">
      <c r="B1156" s="1"/>
    </row>
    <row r="1157">
      <c r="B1157" s="1"/>
    </row>
    <row r="1158">
      <c r="B1158" s="1"/>
    </row>
    <row r="1159">
      <c r="B1159" s="1"/>
    </row>
    <row r="1160">
      <c r="B1160" s="1"/>
    </row>
    <row r="1161">
      <c r="B1161" s="1"/>
    </row>
    <row r="1162">
      <c r="B1162" s="1"/>
    </row>
    <row r="1163">
      <c r="B1163" s="1"/>
    </row>
    <row r="1164">
      <c r="B1164" s="1"/>
    </row>
    <row r="1165">
      <c r="B1165" s="1"/>
    </row>
    <row r="1166">
      <c r="B1166" s="1"/>
    </row>
    <row r="1167">
      <c r="B1167" s="1"/>
    </row>
    <row r="1168">
      <c r="B1168" s="1"/>
    </row>
    <row r="1169">
      <c r="B1169" s="1"/>
    </row>
    <row r="1170">
      <c r="B1170" s="1"/>
    </row>
    <row r="1171">
      <c r="B1171" s="1"/>
    </row>
    <row r="1172">
      <c r="B1172" s="1"/>
    </row>
    <row r="1173">
      <c r="B1173" s="1"/>
    </row>
    <row r="1174">
      <c r="B1174" s="1"/>
    </row>
    <row r="1175">
      <c r="B1175" s="1"/>
    </row>
    <row r="1176">
      <c r="B1176" s="1"/>
    </row>
    <row r="1177">
      <c r="B1177" s="1"/>
    </row>
    <row r="1178">
      <c r="B1178" s="1"/>
    </row>
    <row r="1179">
      <c r="B1179" s="1"/>
    </row>
    <row r="1180">
      <c r="B1180" s="1"/>
    </row>
    <row r="1181">
      <c r="B1181" s="1"/>
    </row>
    <row r="1182">
      <c r="B1182" s="1"/>
    </row>
    <row r="1183">
      <c r="B1183" s="1"/>
    </row>
    <row r="1184">
      <c r="B1184" s="1"/>
    </row>
    <row r="1185">
      <c r="B1185" s="1"/>
    </row>
    <row r="1186">
      <c r="B1186" s="1"/>
    </row>
    <row r="1187">
      <c r="B1187" s="1"/>
    </row>
    <row r="1188">
      <c r="B1188" s="1"/>
    </row>
    <row r="1189">
      <c r="B1189" s="1"/>
    </row>
    <row r="1190">
      <c r="B1190" s="1"/>
    </row>
    <row r="1191">
      <c r="B1191" s="1"/>
    </row>
    <row r="1192">
      <c r="B1192" s="1"/>
    </row>
    <row r="1193">
      <c r="B1193" s="1"/>
    </row>
    <row r="1194">
      <c r="B1194" s="1"/>
    </row>
    <row r="1195">
      <c r="B1195" s="1"/>
    </row>
    <row r="1196">
      <c r="B1196" s="1"/>
    </row>
    <row r="1197">
      <c r="B1197" s="1"/>
    </row>
    <row r="1198">
      <c r="B1198" s="1"/>
    </row>
    <row r="1199">
      <c r="B1199" s="1"/>
    </row>
    <row r="1200">
      <c r="B1200" s="1"/>
    </row>
    <row r="1201">
      <c r="B1201" s="1"/>
    </row>
    <row r="1202">
      <c r="B1202" s="1"/>
    </row>
    <row r="1203">
      <c r="B1203" s="1"/>
    </row>
    <row r="1204">
      <c r="B1204" s="1"/>
    </row>
    <row r="1205">
      <c r="B1205" s="1"/>
    </row>
    <row r="1206">
      <c r="B1206" s="1"/>
    </row>
    <row r="1207">
      <c r="B1207" s="1"/>
    </row>
    <row r="1208">
      <c r="B1208" s="1"/>
    </row>
    <row r="1209">
      <c r="B1209" s="1"/>
    </row>
    <row r="1210">
      <c r="B1210" s="1"/>
    </row>
    <row r="1211">
      <c r="B1211" s="1"/>
    </row>
    <row r="1212">
      <c r="B1212" s="1"/>
    </row>
    <row r="1213">
      <c r="B1213" s="1"/>
    </row>
    <row r="1214">
      <c r="B1214" s="1"/>
    </row>
    <row r="1215">
      <c r="B1215" s="1"/>
    </row>
    <row r="1216">
      <c r="B1216" s="1"/>
    </row>
    <row r="1217">
      <c r="B1217" s="1"/>
    </row>
    <row r="1218">
      <c r="B1218" s="1"/>
    </row>
    <row r="1219">
      <c r="B1219" s="1"/>
    </row>
    <row r="1220">
      <c r="B1220" s="1"/>
    </row>
    <row r="1221">
      <c r="B1221" s="1"/>
    </row>
    <row r="1222">
      <c r="B1222" s="1"/>
    </row>
    <row r="1223">
      <c r="B1223" s="1"/>
    </row>
    <row r="1224">
      <c r="B1224" s="1"/>
    </row>
    <row r="1225">
      <c r="B1225" s="1"/>
    </row>
    <row r="1226">
      <c r="B1226" s="1"/>
    </row>
    <row r="1227">
      <c r="B1227" s="1"/>
    </row>
    <row r="1228">
      <c r="B1228" s="1"/>
    </row>
    <row r="1229">
      <c r="B1229" s="1"/>
    </row>
    <row r="1230">
      <c r="B1230" s="1"/>
    </row>
    <row r="1231">
      <c r="B1231" s="1"/>
    </row>
    <row r="1232">
      <c r="B1232" s="1"/>
    </row>
    <row r="1233">
      <c r="B1233" s="1"/>
    </row>
    <row r="1234">
      <c r="B1234" s="1"/>
    </row>
    <row r="1235">
      <c r="B1235" s="1"/>
    </row>
    <row r="1236">
      <c r="B1236" s="1"/>
    </row>
    <row r="1237">
      <c r="B1237" s="1"/>
    </row>
    <row r="1238">
      <c r="B1238" s="1"/>
    </row>
    <row r="1239">
      <c r="B1239" s="1"/>
    </row>
    <row r="1240">
      <c r="B1240" s="1"/>
    </row>
    <row r="1241">
      <c r="B1241" s="1"/>
    </row>
    <row r="1242">
      <c r="B1242" s="1"/>
    </row>
    <row r="1243">
      <c r="B1243" s="1"/>
    </row>
    <row r="1244">
      <c r="B1244" s="1"/>
    </row>
    <row r="1245">
      <c r="B1245" s="1"/>
    </row>
    <row r="1246">
      <c r="B1246" s="1"/>
    </row>
    <row r="1247">
      <c r="B1247" s="1"/>
    </row>
    <row r="1248">
      <c r="B1248" s="1"/>
    </row>
    <row r="1249">
      <c r="B1249" s="1"/>
    </row>
    <row r="1250">
      <c r="B1250" s="1"/>
    </row>
    <row r="1251">
      <c r="B1251" s="1"/>
    </row>
    <row r="1252">
      <c r="B1252" s="1"/>
    </row>
    <row r="1253">
      <c r="B1253" s="1"/>
    </row>
    <row r="1254">
      <c r="B1254" s="1"/>
    </row>
    <row r="1255">
      <c r="B1255" s="1"/>
    </row>
    <row r="1256">
      <c r="B1256" s="1"/>
    </row>
    <row r="1257">
      <c r="B1257" s="1"/>
    </row>
    <row r="1258">
      <c r="B1258" s="1"/>
    </row>
    <row r="1259">
      <c r="B1259" s="1"/>
    </row>
    <row r="1260">
      <c r="B1260" s="1"/>
    </row>
    <row r="1261">
      <c r="B1261" s="1"/>
    </row>
    <row r="1262">
      <c r="B1262" s="1"/>
    </row>
    <row r="1263">
      <c r="B1263" s="1"/>
    </row>
    <row r="1264">
      <c r="B1264" s="1"/>
    </row>
    <row r="1265">
      <c r="B1265" s="1"/>
    </row>
    <row r="1266">
      <c r="B1266" s="1"/>
    </row>
    <row r="1267">
      <c r="B1267" s="1"/>
    </row>
    <row r="1268">
      <c r="B1268" s="1"/>
    </row>
    <row r="1269">
      <c r="B1269" s="1"/>
    </row>
    <row r="1270">
      <c r="B1270" s="1"/>
    </row>
    <row r="1271">
      <c r="B1271" s="1"/>
    </row>
    <row r="1272">
      <c r="B1272" s="1"/>
    </row>
    <row r="1273">
      <c r="B1273" s="1"/>
    </row>
    <row r="1274">
      <c r="B1274" s="1"/>
    </row>
    <row r="1275">
      <c r="B1275" s="1"/>
    </row>
    <row r="1276">
      <c r="B1276" s="1"/>
    </row>
    <row r="1277">
      <c r="B1277" s="1"/>
    </row>
    <row r="1278">
      <c r="B1278" s="1"/>
    </row>
    <row r="1279">
      <c r="B1279" s="1"/>
    </row>
    <row r="1280">
      <c r="B1280" s="1"/>
    </row>
    <row r="1281">
      <c r="B1281" s="1"/>
    </row>
    <row r="1282">
      <c r="B1282" s="1"/>
    </row>
    <row r="1283">
      <c r="B1283" s="1"/>
    </row>
    <row r="1284">
      <c r="B1284" s="1"/>
    </row>
    <row r="1285">
      <c r="B1285" s="1"/>
    </row>
    <row r="1286">
      <c r="B1286" s="1"/>
    </row>
    <row r="1287">
      <c r="B1287" s="1"/>
    </row>
    <row r="1288">
      <c r="B1288" s="1"/>
    </row>
    <row r="1289">
      <c r="B1289" s="1"/>
    </row>
    <row r="1290">
      <c r="B1290" s="1"/>
    </row>
    <row r="1291">
      <c r="B1291" s="1"/>
    </row>
    <row r="1292">
      <c r="B1292" s="1"/>
    </row>
    <row r="1293">
      <c r="B1293" s="1"/>
    </row>
    <row r="1294">
      <c r="B1294" s="1"/>
    </row>
    <row r="1295">
      <c r="B1295" s="1"/>
    </row>
    <row r="1296">
      <c r="B1296" s="1"/>
    </row>
    <row r="1297">
      <c r="B1297" s="1"/>
    </row>
    <row r="1298">
      <c r="B1298" s="1"/>
    </row>
    <row r="1299">
      <c r="B1299" s="1"/>
    </row>
    <row r="1300">
      <c r="B1300" s="1"/>
    </row>
    <row r="1301">
      <c r="B1301" s="1"/>
    </row>
    <row r="1302">
      <c r="B1302" s="1"/>
    </row>
    <row r="1303">
      <c r="B1303" s="1"/>
    </row>
    <row r="1304">
      <c r="B1304" s="1"/>
    </row>
    <row r="1305">
      <c r="B1305" s="1"/>
    </row>
    <row r="1306">
      <c r="B1306" s="1"/>
    </row>
    <row r="1307">
      <c r="B1307" s="1"/>
    </row>
    <row r="1308">
      <c r="B1308" s="1"/>
    </row>
    <row r="1309">
      <c r="B1309" s="1"/>
    </row>
    <row r="1310">
      <c r="B1310" s="1"/>
    </row>
    <row r="1311">
      <c r="B1311" s="1"/>
    </row>
    <row r="1312">
      <c r="B1312" s="1"/>
    </row>
    <row r="1313">
      <c r="B1313" s="1"/>
    </row>
    <row r="1314">
      <c r="B1314" s="1"/>
    </row>
    <row r="1315">
      <c r="B1315" s="1"/>
    </row>
    <row r="1316">
      <c r="B1316" s="1"/>
    </row>
    <row r="1317">
      <c r="B1317" s="1"/>
    </row>
    <row r="1318">
      <c r="B1318" s="1"/>
    </row>
    <row r="1319">
      <c r="B1319" s="1"/>
    </row>
    <row r="1320">
      <c r="B1320" s="1"/>
    </row>
    <row r="1321">
      <c r="B1321" s="1"/>
    </row>
    <row r="1322">
      <c r="B1322" s="1"/>
    </row>
    <row r="1323">
      <c r="B1323" s="1"/>
    </row>
    <row r="1324">
      <c r="B1324" s="1"/>
    </row>
    <row r="1325">
      <c r="B1325" s="1"/>
    </row>
    <row r="1326">
      <c r="B1326" s="1"/>
    </row>
    <row r="1327">
      <c r="B1327" s="1"/>
    </row>
    <row r="1328">
      <c r="B1328" s="1"/>
    </row>
    <row r="1329">
      <c r="B1329" s="1"/>
    </row>
    <row r="1330">
      <c r="B1330" s="1"/>
    </row>
    <row r="1331">
      <c r="B1331" s="1"/>
    </row>
    <row r="1332">
      <c r="B1332" s="1"/>
    </row>
    <row r="1333">
      <c r="B1333" s="1"/>
    </row>
    <row r="1334">
      <c r="B1334" s="1"/>
    </row>
    <row r="1335">
      <c r="B1335" s="1"/>
    </row>
    <row r="1336">
      <c r="B1336" s="1"/>
    </row>
    <row r="1337">
      <c r="B1337" s="1"/>
    </row>
    <row r="1338">
      <c r="B1338" s="1"/>
    </row>
    <row r="1339">
      <c r="B1339" s="1"/>
    </row>
    <row r="1340">
      <c r="B1340" s="1"/>
    </row>
    <row r="1341">
      <c r="B1341" s="1"/>
    </row>
    <row r="1342">
      <c r="B1342" s="1"/>
    </row>
    <row r="1343">
      <c r="B1343" s="1"/>
    </row>
    <row r="1344">
      <c r="B1344" s="1"/>
    </row>
    <row r="1345">
      <c r="B1345" s="1"/>
    </row>
    <row r="1346">
      <c r="B1346" s="1"/>
    </row>
    <row r="1347">
      <c r="B1347" s="1"/>
    </row>
    <row r="1348">
      <c r="B1348" s="1"/>
    </row>
    <row r="1349">
      <c r="B1349" s="1"/>
    </row>
    <row r="1350">
      <c r="B1350" s="1"/>
    </row>
    <row r="1351">
      <c r="B1351" s="1"/>
    </row>
    <row r="1352">
      <c r="B1352" s="1"/>
    </row>
    <row r="1353">
      <c r="B1353" s="1"/>
    </row>
    <row r="1354">
      <c r="B1354" s="1"/>
    </row>
    <row r="1355">
      <c r="B1355" s="1"/>
    </row>
    <row r="1356">
      <c r="B1356" s="1"/>
    </row>
    <row r="1357">
      <c r="B1357" s="1"/>
    </row>
    <row r="1358">
      <c r="B1358" s="1"/>
    </row>
    <row r="1359">
      <c r="B1359" s="1"/>
    </row>
    <row r="1360">
      <c r="B1360" s="1"/>
    </row>
    <row r="1361">
      <c r="B1361" s="1"/>
    </row>
    <row r="1362">
      <c r="B1362" s="1"/>
    </row>
    <row r="1363">
      <c r="B1363" s="1"/>
    </row>
    <row r="1364">
      <c r="B1364" s="1"/>
    </row>
    <row r="1365">
      <c r="B1365" s="1"/>
    </row>
    <row r="1366">
      <c r="B1366" s="1"/>
    </row>
    <row r="1367">
      <c r="B1367" s="1"/>
    </row>
    <row r="1368">
      <c r="B1368" s="1"/>
    </row>
    <row r="1369">
      <c r="B1369" s="1"/>
    </row>
    <row r="1370">
      <c r="B1370" s="1"/>
    </row>
    <row r="1371">
      <c r="B1371" s="1"/>
    </row>
    <row r="1372">
      <c r="B1372" s="1"/>
    </row>
    <row r="1373">
      <c r="B1373" s="1"/>
    </row>
    <row r="1374">
      <c r="B1374" s="1"/>
    </row>
    <row r="1375">
      <c r="B1375" s="1"/>
    </row>
    <row r="1376">
      <c r="B1376" s="1"/>
    </row>
    <row r="1377">
      <c r="B1377" s="1"/>
    </row>
    <row r="1378">
      <c r="B1378" s="1"/>
    </row>
    <row r="1379">
      <c r="B1379" s="1"/>
    </row>
    <row r="1380">
      <c r="B1380" s="1"/>
    </row>
    <row r="1381">
      <c r="B1381" s="1"/>
    </row>
    <row r="1382">
      <c r="B1382" s="1"/>
    </row>
    <row r="1383">
      <c r="B1383" s="1"/>
    </row>
    <row r="1384">
      <c r="B1384" s="1"/>
    </row>
    <row r="1385">
      <c r="B1385" s="1"/>
    </row>
    <row r="1386">
      <c r="B1386" s="1"/>
    </row>
    <row r="1387">
      <c r="B1387" s="1"/>
    </row>
    <row r="1388">
      <c r="B1388" s="1"/>
    </row>
    <row r="1389">
      <c r="B1389" s="1"/>
    </row>
    <row r="1390">
      <c r="B1390" s="1"/>
    </row>
    <row r="1391">
      <c r="B1391" s="1"/>
    </row>
    <row r="1392">
      <c r="B1392" s="1"/>
    </row>
    <row r="1393">
      <c r="B1393" s="1"/>
    </row>
    <row r="1394">
      <c r="B1394" s="1"/>
    </row>
    <row r="1395">
      <c r="B1395" s="1"/>
    </row>
    <row r="1396">
      <c r="B1396" s="1"/>
    </row>
    <row r="1397">
      <c r="B1397" s="1"/>
    </row>
    <row r="1398">
      <c r="B1398" s="1"/>
    </row>
    <row r="1399">
      <c r="B1399" s="1"/>
    </row>
    <row r="1400">
      <c r="B1400" s="1"/>
    </row>
    <row r="1401">
      <c r="B1401" s="1"/>
    </row>
    <row r="1402">
      <c r="B1402" s="1"/>
    </row>
    <row r="1403">
      <c r="B1403" s="1"/>
    </row>
    <row r="1404">
      <c r="B1404" s="1"/>
    </row>
    <row r="1405">
      <c r="B1405" s="1"/>
    </row>
    <row r="1406">
      <c r="B1406" s="1"/>
    </row>
    <row r="1407">
      <c r="B1407" s="1"/>
    </row>
    <row r="1408">
      <c r="B1408" s="1"/>
    </row>
    <row r="1409">
      <c r="B1409" s="1"/>
    </row>
    <row r="1410">
      <c r="B1410" s="1"/>
    </row>
    <row r="1411">
      <c r="B1411" s="1"/>
    </row>
    <row r="1412">
      <c r="B1412" s="1"/>
    </row>
    <row r="1413">
      <c r="B1413" s="1"/>
    </row>
    <row r="1414">
      <c r="B1414" s="1"/>
    </row>
    <row r="1415">
      <c r="B1415" s="1"/>
    </row>
    <row r="1416">
      <c r="B1416" s="1"/>
    </row>
    <row r="1417">
      <c r="B1417" s="1"/>
    </row>
    <row r="1418">
      <c r="B1418" s="1"/>
    </row>
    <row r="1419">
      <c r="B1419" s="1"/>
    </row>
    <row r="1420">
      <c r="B1420" s="1"/>
    </row>
    <row r="1421">
      <c r="B1421" s="1"/>
    </row>
    <row r="1422">
      <c r="B1422" s="1"/>
    </row>
    <row r="1423">
      <c r="B1423" s="1"/>
    </row>
    <row r="1424">
      <c r="B1424" s="1"/>
    </row>
    <row r="1425">
      <c r="B1425" s="1"/>
    </row>
    <row r="1426">
      <c r="B1426" s="1"/>
    </row>
    <row r="1427">
      <c r="B1427" s="1"/>
    </row>
    <row r="1428">
      <c r="B1428" s="1"/>
    </row>
    <row r="1429">
      <c r="B1429" s="1"/>
    </row>
    <row r="1430">
      <c r="B1430" s="1"/>
    </row>
    <row r="1431">
      <c r="B1431" s="1"/>
    </row>
    <row r="1432">
      <c r="B1432" s="1"/>
    </row>
    <row r="1433">
      <c r="B1433" s="1"/>
    </row>
    <row r="1434">
      <c r="B1434" s="1"/>
    </row>
    <row r="1435">
      <c r="B1435" s="1"/>
    </row>
    <row r="1436">
      <c r="B1436" s="1"/>
    </row>
    <row r="1437">
      <c r="B1437" s="1"/>
    </row>
    <row r="1438">
      <c r="B1438" s="1"/>
    </row>
    <row r="1439">
      <c r="B1439" s="1"/>
    </row>
    <row r="1440">
      <c r="B1440" s="1"/>
    </row>
    <row r="1441">
      <c r="B1441" s="1"/>
    </row>
    <row r="1442">
      <c r="B1442" s="1"/>
    </row>
    <row r="1443">
      <c r="B1443" s="1"/>
    </row>
    <row r="1444">
      <c r="B1444" s="1"/>
    </row>
    <row r="1445">
      <c r="B1445" s="1"/>
    </row>
    <row r="1446">
      <c r="B1446" s="1"/>
    </row>
    <row r="1447">
      <c r="B1447" s="1"/>
    </row>
    <row r="1448">
      <c r="B1448" s="1"/>
    </row>
    <row r="1449">
      <c r="B1449" s="1"/>
    </row>
    <row r="1450">
      <c r="B1450" s="1"/>
    </row>
    <row r="1451">
      <c r="B1451" s="1"/>
    </row>
    <row r="1452">
      <c r="B1452" s="1"/>
    </row>
    <row r="1453">
      <c r="B1453" s="1"/>
    </row>
    <row r="1454">
      <c r="B1454" s="1"/>
    </row>
    <row r="1455">
      <c r="B1455" s="1"/>
    </row>
    <row r="1456">
      <c r="B1456" s="1"/>
    </row>
    <row r="1457">
      <c r="B1457" s="1"/>
    </row>
    <row r="1458">
      <c r="B1458" s="1"/>
    </row>
    <row r="1459">
      <c r="B1459" s="1"/>
    </row>
    <row r="1460">
      <c r="B1460" s="1"/>
    </row>
    <row r="1461">
      <c r="B1461" s="1"/>
    </row>
    <row r="1462">
      <c r="B1462" s="1"/>
    </row>
    <row r="1463">
      <c r="B1463" s="1"/>
    </row>
    <row r="1464">
      <c r="B1464" s="1"/>
    </row>
    <row r="1465">
      <c r="B1465" s="1"/>
    </row>
    <row r="1466">
      <c r="B1466" s="1"/>
    </row>
    <row r="1467">
      <c r="B1467" s="1"/>
    </row>
    <row r="1468">
      <c r="B1468" s="1"/>
    </row>
    <row r="1469">
      <c r="B1469" s="1"/>
    </row>
    <row r="1470">
      <c r="B1470" s="1"/>
    </row>
    <row r="1471">
      <c r="B1471" s="1"/>
    </row>
    <row r="1472">
      <c r="B1472" s="1"/>
    </row>
    <row r="1473">
      <c r="B1473" s="1"/>
    </row>
    <row r="1474">
      <c r="B1474" s="1"/>
    </row>
    <row r="1475">
      <c r="B1475" s="1"/>
    </row>
    <row r="1476">
      <c r="B1476" s="1"/>
    </row>
    <row r="1477">
      <c r="B1477" s="1"/>
    </row>
    <row r="1478">
      <c r="B1478" s="1"/>
    </row>
    <row r="1479">
      <c r="B1479" s="1"/>
    </row>
    <row r="1480">
      <c r="B1480" s="1"/>
    </row>
    <row r="1481">
      <c r="B1481" s="1"/>
    </row>
    <row r="1482">
      <c r="B1482" s="1"/>
    </row>
    <row r="1483">
      <c r="B1483" s="1"/>
    </row>
    <row r="1484">
      <c r="B1484" s="1"/>
    </row>
    <row r="1485">
      <c r="B1485" s="1"/>
    </row>
    <row r="1486">
      <c r="B1486" s="1"/>
    </row>
    <row r="1487">
      <c r="B1487" s="1"/>
    </row>
    <row r="1488">
      <c r="B1488" s="1"/>
    </row>
    <row r="1489">
      <c r="B1489" s="1"/>
    </row>
    <row r="1490">
      <c r="B1490" s="1"/>
    </row>
    <row r="1491">
      <c r="B1491" s="1"/>
    </row>
    <row r="1492">
      <c r="B1492" s="1"/>
    </row>
    <row r="1493">
      <c r="B1493" s="1"/>
    </row>
    <row r="1494">
      <c r="B1494" s="1"/>
    </row>
    <row r="1495">
      <c r="B1495" s="1"/>
    </row>
    <row r="1496">
      <c r="B1496" s="1"/>
    </row>
    <row r="1497">
      <c r="B1497" s="1"/>
    </row>
    <row r="1498">
      <c r="B1498" s="1"/>
    </row>
    <row r="1499">
      <c r="B1499" s="1"/>
    </row>
    <row r="1500">
      <c r="B1500" s="1"/>
    </row>
    <row r="1501">
      <c r="B1501" s="1"/>
    </row>
    <row r="1502">
      <c r="B1502" s="1"/>
    </row>
    <row r="1503">
      <c r="B1503" s="1"/>
    </row>
    <row r="1504">
      <c r="B1504" s="1"/>
    </row>
    <row r="1505">
      <c r="B1505" s="1"/>
    </row>
    <row r="1506">
      <c r="B1506" s="1"/>
    </row>
    <row r="1507">
      <c r="B1507" s="1"/>
    </row>
    <row r="1508">
      <c r="B1508" s="1"/>
    </row>
    <row r="1509">
      <c r="B1509" s="1"/>
    </row>
    <row r="1510">
      <c r="B1510" s="1"/>
    </row>
    <row r="1511">
      <c r="B1511" s="1"/>
    </row>
    <row r="1512">
      <c r="B1512" s="1"/>
    </row>
    <row r="1513">
      <c r="B1513" s="1"/>
    </row>
    <row r="1514">
      <c r="B1514" s="1"/>
    </row>
    <row r="1515">
      <c r="B1515" s="1"/>
    </row>
    <row r="1516">
      <c r="B1516" s="1"/>
    </row>
    <row r="1517">
      <c r="B1517" s="1"/>
    </row>
    <row r="1518">
      <c r="B1518" s="1"/>
    </row>
    <row r="1519">
      <c r="B1519" s="1"/>
    </row>
    <row r="1520">
      <c r="B1520" s="1"/>
    </row>
    <row r="1521">
      <c r="B1521" s="1"/>
    </row>
    <row r="1522">
      <c r="B1522" s="1"/>
    </row>
    <row r="1523">
      <c r="B1523" s="1"/>
    </row>
    <row r="1524">
      <c r="B1524" s="1"/>
    </row>
    <row r="1525">
      <c r="B1525" s="1"/>
    </row>
    <row r="1526">
      <c r="B1526" s="1"/>
    </row>
    <row r="1527">
      <c r="B1527" s="1"/>
    </row>
    <row r="1528">
      <c r="B1528" s="1"/>
    </row>
    <row r="1529">
      <c r="B1529" s="1"/>
    </row>
    <row r="1530">
      <c r="B1530" s="1"/>
    </row>
    <row r="1531">
      <c r="B1531" s="1"/>
    </row>
    <row r="1532">
      <c r="B1532" s="1"/>
    </row>
    <row r="1533">
      <c r="B1533" s="1"/>
    </row>
    <row r="1534">
      <c r="B1534" s="1"/>
    </row>
    <row r="1535">
      <c r="B1535" s="1"/>
    </row>
    <row r="1536">
      <c r="B1536" s="1"/>
    </row>
    <row r="1537">
      <c r="B1537" s="1"/>
    </row>
    <row r="1538">
      <c r="B1538" s="1"/>
    </row>
    <row r="1539">
      <c r="B1539" s="1"/>
    </row>
    <row r="1540">
      <c r="B1540" s="1"/>
    </row>
    <row r="1541">
      <c r="B1541" s="1"/>
    </row>
    <row r="1542">
      <c r="B1542" s="1"/>
    </row>
    <row r="1543">
      <c r="B1543" s="1"/>
    </row>
    <row r="1544">
      <c r="B1544" s="1"/>
    </row>
    <row r="1545">
      <c r="B1545" s="1"/>
    </row>
    <row r="1546">
      <c r="B1546" s="1"/>
    </row>
    <row r="1547">
      <c r="B1547" s="1"/>
    </row>
    <row r="1548">
      <c r="B1548" s="1"/>
    </row>
    <row r="1549">
      <c r="B1549" s="1"/>
    </row>
    <row r="1550">
      <c r="B1550" s="1"/>
    </row>
    <row r="1551">
      <c r="B1551" s="1"/>
    </row>
    <row r="1552">
      <c r="B1552" s="1"/>
    </row>
    <row r="1553">
      <c r="B1553" s="1"/>
    </row>
    <row r="1554">
      <c r="B1554" s="1"/>
    </row>
    <row r="1555">
      <c r="B1555" s="1"/>
    </row>
    <row r="1556">
      <c r="B1556" s="1"/>
    </row>
    <row r="1557">
      <c r="B1557" s="1"/>
    </row>
    <row r="1558">
      <c r="B1558" s="1"/>
    </row>
    <row r="1559">
      <c r="B1559" s="1"/>
    </row>
    <row r="1560">
      <c r="B1560" s="1"/>
    </row>
    <row r="1561">
      <c r="B1561" s="1"/>
    </row>
    <row r="1562">
      <c r="B1562" s="1"/>
    </row>
    <row r="1563">
      <c r="B1563" s="1"/>
    </row>
    <row r="1564">
      <c r="B1564" s="1"/>
    </row>
    <row r="1565">
      <c r="B1565" s="1"/>
    </row>
    <row r="1566">
      <c r="B1566" s="1"/>
    </row>
    <row r="1567">
      <c r="B1567" s="1"/>
    </row>
    <row r="1568">
      <c r="B1568" s="1"/>
    </row>
    <row r="1569">
      <c r="B1569" s="1"/>
    </row>
    <row r="1570">
      <c r="B1570" s="1"/>
    </row>
    <row r="1571">
      <c r="B1571" s="1"/>
    </row>
    <row r="1572">
      <c r="B1572" s="1"/>
    </row>
    <row r="1573">
      <c r="B1573" s="1"/>
    </row>
    <row r="1574">
      <c r="B1574" s="1"/>
    </row>
    <row r="1575">
      <c r="B1575" s="1"/>
    </row>
    <row r="1576">
      <c r="B1576" s="1"/>
    </row>
    <row r="1577">
      <c r="B1577" s="1"/>
    </row>
    <row r="1578">
      <c r="B1578" s="1"/>
    </row>
    <row r="1579">
      <c r="B1579" s="1"/>
    </row>
    <row r="1580">
      <c r="B1580" s="1"/>
    </row>
    <row r="1581">
      <c r="B1581" s="1"/>
    </row>
    <row r="1582">
      <c r="B1582" s="1"/>
    </row>
    <row r="1583">
      <c r="B1583" s="1"/>
    </row>
    <row r="1584">
      <c r="B1584" s="1"/>
    </row>
    <row r="1585">
      <c r="B1585" s="1"/>
    </row>
    <row r="1586">
      <c r="B1586" s="1"/>
    </row>
    <row r="1587">
      <c r="B1587" s="1"/>
    </row>
    <row r="1588">
      <c r="B1588" s="1"/>
    </row>
    <row r="1589">
      <c r="B1589" s="1"/>
    </row>
    <row r="1590">
      <c r="B1590" s="1"/>
    </row>
    <row r="1591">
      <c r="B1591" s="1"/>
    </row>
    <row r="1592">
      <c r="B1592" s="1"/>
    </row>
    <row r="1593">
      <c r="B1593" s="1"/>
    </row>
    <row r="1594">
      <c r="B1594" s="1"/>
    </row>
    <row r="1595">
      <c r="B1595" s="1"/>
    </row>
    <row r="1596">
      <c r="B1596" s="1"/>
    </row>
    <row r="1597">
      <c r="B1597" s="1"/>
    </row>
    <row r="1598">
      <c r="B1598" s="1"/>
    </row>
    <row r="1599">
      <c r="B1599" s="1"/>
    </row>
    <row r="1600">
      <c r="B1600" s="1"/>
    </row>
    <row r="1601">
      <c r="B1601" s="1"/>
    </row>
    <row r="1602">
      <c r="B1602" s="1"/>
    </row>
    <row r="1603">
      <c r="B1603" s="1"/>
    </row>
    <row r="1604">
      <c r="B1604" s="1"/>
    </row>
    <row r="1605">
      <c r="B1605" s="1"/>
    </row>
    <row r="1606">
      <c r="B1606" s="1"/>
    </row>
    <row r="1607">
      <c r="B1607" s="1"/>
    </row>
    <row r="1608">
      <c r="B1608" s="1"/>
    </row>
    <row r="1609">
      <c r="B1609" s="1"/>
    </row>
    <row r="1610">
      <c r="B1610" s="1"/>
    </row>
    <row r="1611">
      <c r="B1611" s="1"/>
    </row>
    <row r="1612">
      <c r="B1612" s="1"/>
    </row>
    <row r="1613">
      <c r="B1613" s="1"/>
    </row>
    <row r="1614">
      <c r="B1614" s="1"/>
    </row>
    <row r="1615">
      <c r="B1615" s="1"/>
    </row>
    <row r="1616">
      <c r="B1616" s="1"/>
    </row>
    <row r="1617">
      <c r="B1617" s="1"/>
    </row>
    <row r="1618">
      <c r="B1618" s="1"/>
    </row>
    <row r="1619">
      <c r="B1619" s="1"/>
    </row>
    <row r="1620">
      <c r="B1620" s="1"/>
    </row>
    <row r="1621">
      <c r="B1621" s="1"/>
    </row>
    <row r="1622">
      <c r="B1622" s="1"/>
    </row>
    <row r="1623">
      <c r="B1623" s="1"/>
    </row>
    <row r="1624">
      <c r="B1624" s="1"/>
    </row>
    <row r="1625">
      <c r="B1625" s="1"/>
    </row>
    <row r="1626">
      <c r="B1626" s="1"/>
    </row>
    <row r="1627">
      <c r="B1627" s="1"/>
    </row>
    <row r="1628">
      <c r="B1628" s="1"/>
    </row>
    <row r="1629">
      <c r="B1629" s="1"/>
    </row>
    <row r="1630">
      <c r="B1630" s="1"/>
    </row>
    <row r="1631">
      <c r="B1631" s="1"/>
    </row>
    <row r="1632">
      <c r="B1632" s="1"/>
    </row>
    <row r="1633">
      <c r="B1633" s="1"/>
    </row>
    <row r="1634">
      <c r="B1634" s="1"/>
    </row>
    <row r="1635">
      <c r="B1635" s="1"/>
    </row>
    <row r="1636">
      <c r="B1636" s="1"/>
    </row>
    <row r="1637">
      <c r="B1637" s="1"/>
    </row>
    <row r="1638">
      <c r="B1638" s="1"/>
    </row>
    <row r="1639">
      <c r="B1639" s="1"/>
    </row>
    <row r="1640">
      <c r="B1640" s="1"/>
    </row>
    <row r="1641">
      <c r="B1641" s="1"/>
    </row>
    <row r="1642">
      <c r="B1642" s="1"/>
    </row>
    <row r="1643">
      <c r="B1643" s="1"/>
    </row>
    <row r="1644">
      <c r="B1644" s="1"/>
    </row>
    <row r="1645">
      <c r="B1645" s="1"/>
    </row>
    <row r="1646">
      <c r="B1646" s="1"/>
    </row>
    <row r="1647">
      <c r="B1647" s="1"/>
    </row>
    <row r="1648">
      <c r="B1648" s="1"/>
    </row>
    <row r="1649">
      <c r="B1649" s="1"/>
    </row>
    <row r="1650">
      <c r="B1650" s="1"/>
    </row>
    <row r="1651">
      <c r="B1651" s="1"/>
    </row>
    <row r="1652">
      <c r="B1652" s="1"/>
    </row>
    <row r="1653">
      <c r="B1653" s="1"/>
    </row>
    <row r="1654">
      <c r="B1654" s="1"/>
    </row>
    <row r="1655">
      <c r="B1655" s="1"/>
    </row>
    <row r="1656">
      <c r="B1656" s="1"/>
    </row>
    <row r="1657">
      <c r="B1657" s="1"/>
    </row>
    <row r="1658">
      <c r="B1658" s="1"/>
    </row>
    <row r="1659">
      <c r="B1659" s="1"/>
    </row>
    <row r="1660">
      <c r="B1660" s="1"/>
    </row>
    <row r="1661">
      <c r="B1661" s="1"/>
    </row>
    <row r="1662">
      <c r="B1662" s="1"/>
    </row>
    <row r="1663">
      <c r="B1663" s="1"/>
    </row>
    <row r="1664">
      <c r="B1664" s="1"/>
    </row>
    <row r="1665">
      <c r="B1665" s="1"/>
    </row>
    <row r="1666">
      <c r="B1666" s="1"/>
    </row>
    <row r="1667">
      <c r="B1667" s="1"/>
    </row>
    <row r="1668">
      <c r="B1668" s="1"/>
    </row>
    <row r="1669">
      <c r="B1669" s="1"/>
    </row>
    <row r="1670">
      <c r="B1670" s="1"/>
    </row>
    <row r="1671">
      <c r="B1671" s="1"/>
    </row>
    <row r="1672">
      <c r="B1672" s="1"/>
    </row>
    <row r="1673">
      <c r="B1673" s="1"/>
    </row>
    <row r="1674">
      <c r="B1674" s="1"/>
    </row>
    <row r="1675">
      <c r="B1675" s="1"/>
    </row>
    <row r="1676">
      <c r="B1676" s="1"/>
    </row>
    <row r="1677">
      <c r="B1677" s="1"/>
    </row>
    <row r="1678">
      <c r="B1678" s="1"/>
    </row>
    <row r="1679">
      <c r="B1679" s="1"/>
    </row>
    <row r="1680">
      <c r="B1680" s="1"/>
    </row>
    <row r="1681">
      <c r="B1681" s="1"/>
    </row>
    <row r="1682">
      <c r="B1682" s="1"/>
    </row>
    <row r="1683">
      <c r="B1683" s="1"/>
    </row>
    <row r="1684">
      <c r="B1684" s="1"/>
    </row>
    <row r="1685">
      <c r="B1685" s="1"/>
    </row>
    <row r="1686">
      <c r="B1686" s="1"/>
    </row>
    <row r="1687">
      <c r="B1687" s="1"/>
    </row>
    <row r="1688">
      <c r="B1688" s="1"/>
    </row>
    <row r="1689">
      <c r="B1689" s="1"/>
    </row>
    <row r="1690">
      <c r="B1690" s="1"/>
    </row>
    <row r="1691">
      <c r="B1691" s="1"/>
    </row>
    <row r="1692">
      <c r="B1692" s="1"/>
    </row>
    <row r="1693">
      <c r="B1693" s="1"/>
    </row>
    <row r="1694">
      <c r="B1694" s="1"/>
    </row>
    <row r="1695">
      <c r="B1695" s="1"/>
    </row>
    <row r="1696">
      <c r="B1696" s="1"/>
    </row>
    <row r="1697">
      <c r="B1697" s="1"/>
    </row>
    <row r="1698">
      <c r="B1698" s="1"/>
    </row>
    <row r="1699">
      <c r="B1699" s="1"/>
    </row>
    <row r="1700">
      <c r="B1700" s="1"/>
    </row>
    <row r="1701">
      <c r="B1701" s="1"/>
    </row>
    <row r="1702">
      <c r="B1702" s="1"/>
    </row>
    <row r="1703">
      <c r="B1703" s="1"/>
    </row>
    <row r="1704">
      <c r="B1704" s="1"/>
    </row>
    <row r="1705">
      <c r="B1705" s="1"/>
    </row>
    <row r="1706">
      <c r="B1706" s="1"/>
    </row>
    <row r="1707">
      <c r="B1707" s="1"/>
    </row>
    <row r="1708">
      <c r="B1708" s="1"/>
    </row>
    <row r="1709">
      <c r="B1709" s="1"/>
    </row>
    <row r="1710">
      <c r="B1710" s="1"/>
    </row>
    <row r="1711">
      <c r="B1711" s="1"/>
    </row>
    <row r="1712">
      <c r="B1712" s="1"/>
    </row>
    <row r="1713">
      <c r="B1713" s="1"/>
    </row>
    <row r="1714">
      <c r="B1714" s="1"/>
    </row>
    <row r="1715">
      <c r="B1715" s="1"/>
    </row>
    <row r="1716">
      <c r="B1716" s="1"/>
    </row>
    <row r="1717">
      <c r="B1717" s="1"/>
    </row>
    <row r="1718">
      <c r="B1718" s="1"/>
    </row>
    <row r="1719">
      <c r="B1719" s="1"/>
    </row>
    <row r="1720">
      <c r="B1720" s="1"/>
    </row>
    <row r="1721">
      <c r="B1721" s="1"/>
    </row>
    <row r="1722">
      <c r="B1722" s="1"/>
    </row>
    <row r="1723">
      <c r="B1723" s="1"/>
    </row>
    <row r="1724">
      <c r="B1724" s="1"/>
    </row>
    <row r="1725">
      <c r="B1725" s="1"/>
    </row>
    <row r="1726">
      <c r="B1726" s="1"/>
    </row>
    <row r="1727">
      <c r="B1727" s="1"/>
    </row>
    <row r="1728">
      <c r="B1728" s="1"/>
    </row>
    <row r="1729">
      <c r="B1729" s="1"/>
    </row>
    <row r="1730">
      <c r="B1730" s="1"/>
    </row>
    <row r="1731">
      <c r="B1731" s="1"/>
    </row>
    <row r="1732">
      <c r="B1732" s="1"/>
    </row>
    <row r="1733">
      <c r="B1733" s="1"/>
    </row>
    <row r="1734">
      <c r="B1734" s="1"/>
    </row>
    <row r="1735">
      <c r="B1735" s="1"/>
    </row>
    <row r="1736">
      <c r="B1736" s="1"/>
    </row>
    <row r="1737">
      <c r="B1737" s="1"/>
    </row>
    <row r="1738">
      <c r="B1738" s="1"/>
    </row>
    <row r="1739">
      <c r="B1739" s="1"/>
    </row>
    <row r="1740">
      <c r="B1740" s="1"/>
    </row>
    <row r="1741">
      <c r="B1741" s="1"/>
    </row>
    <row r="1742">
      <c r="B1742" s="1"/>
    </row>
    <row r="1743">
      <c r="B1743" s="1"/>
    </row>
    <row r="1744">
      <c r="B1744" s="1"/>
    </row>
    <row r="1745">
      <c r="B1745" s="1"/>
    </row>
    <row r="1746">
      <c r="B1746" s="1"/>
    </row>
    <row r="1747">
      <c r="B1747" s="1"/>
    </row>
    <row r="1748">
      <c r="B1748" s="1"/>
    </row>
    <row r="1749">
      <c r="B1749" s="1"/>
    </row>
    <row r="1750">
      <c r="B1750" s="1"/>
    </row>
    <row r="1751">
      <c r="B1751" s="1"/>
    </row>
    <row r="1752">
      <c r="B1752" s="1"/>
    </row>
    <row r="1753">
      <c r="B1753" s="1"/>
    </row>
    <row r="1754">
      <c r="B1754" s="1"/>
    </row>
    <row r="1755">
      <c r="B1755" s="1"/>
    </row>
    <row r="1756">
      <c r="B1756" s="1"/>
    </row>
    <row r="1757">
      <c r="B1757" s="1"/>
    </row>
    <row r="1758">
      <c r="B1758" s="1"/>
    </row>
    <row r="1759">
      <c r="B1759" s="1"/>
    </row>
    <row r="1760">
      <c r="B1760" s="1"/>
    </row>
    <row r="1761">
      <c r="B1761" s="1"/>
    </row>
    <row r="1762">
      <c r="B1762" s="1"/>
    </row>
    <row r="1763">
      <c r="B1763" s="1"/>
    </row>
    <row r="1764">
      <c r="B1764" s="1"/>
    </row>
    <row r="1765">
      <c r="B1765" s="1"/>
    </row>
    <row r="1766">
      <c r="B1766" s="1"/>
    </row>
    <row r="1767">
      <c r="B1767" s="1"/>
    </row>
    <row r="1768">
      <c r="B1768" s="1"/>
    </row>
    <row r="1769">
      <c r="B1769" s="1"/>
    </row>
    <row r="1770">
      <c r="B1770" s="1"/>
    </row>
    <row r="1771">
      <c r="B1771" s="1"/>
    </row>
    <row r="1772">
      <c r="B1772" s="1"/>
    </row>
    <row r="1773">
      <c r="B1773" s="1"/>
    </row>
    <row r="1774">
      <c r="B1774" s="1"/>
    </row>
    <row r="1775">
      <c r="B1775" s="1"/>
    </row>
    <row r="1776">
      <c r="B1776" s="1"/>
    </row>
    <row r="1777">
      <c r="B1777" s="1"/>
    </row>
    <row r="1778">
      <c r="B1778" s="1"/>
    </row>
    <row r="1779">
      <c r="B1779" s="1"/>
    </row>
    <row r="1780">
      <c r="B1780" s="1"/>
    </row>
    <row r="1781">
      <c r="B1781" s="1"/>
    </row>
    <row r="1782">
      <c r="B1782" s="1"/>
    </row>
    <row r="1783">
      <c r="B1783" s="1"/>
    </row>
    <row r="1784">
      <c r="B1784" s="1"/>
    </row>
    <row r="1785">
      <c r="B1785" s="1"/>
    </row>
    <row r="1786">
      <c r="B1786" s="1"/>
    </row>
    <row r="1787">
      <c r="B1787" s="1"/>
    </row>
    <row r="1788">
      <c r="B1788" s="1"/>
    </row>
    <row r="1789">
      <c r="B1789" s="1"/>
    </row>
    <row r="1790">
      <c r="B1790" s="1"/>
    </row>
    <row r="1791">
      <c r="B1791" s="1"/>
    </row>
    <row r="1792">
      <c r="B1792" s="1"/>
    </row>
    <row r="1793">
      <c r="B1793" s="1"/>
    </row>
    <row r="1794">
      <c r="B1794" s="1"/>
    </row>
    <row r="1795">
      <c r="B1795" s="1"/>
    </row>
    <row r="1796">
      <c r="B1796" s="1"/>
    </row>
    <row r="1797">
      <c r="B1797" s="1"/>
    </row>
    <row r="1798">
      <c r="B1798" s="1"/>
    </row>
    <row r="1799">
      <c r="B1799" s="1"/>
    </row>
    <row r="1800">
      <c r="B1800" s="1"/>
    </row>
    <row r="1801">
      <c r="B1801" s="1"/>
    </row>
    <row r="1802">
      <c r="B1802" s="1"/>
    </row>
    <row r="1803">
      <c r="B1803" s="1"/>
    </row>
    <row r="1804">
      <c r="B1804" s="1"/>
    </row>
    <row r="1805">
      <c r="B1805" s="1"/>
    </row>
    <row r="1806">
      <c r="B1806" s="1"/>
    </row>
    <row r="1807">
      <c r="B1807" s="1"/>
    </row>
    <row r="1808">
      <c r="B1808" s="1"/>
    </row>
    <row r="1809">
      <c r="B1809" s="1"/>
    </row>
    <row r="1810">
      <c r="B1810" s="1"/>
    </row>
    <row r="1811">
      <c r="B1811" s="1"/>
    </row>
    <row r="1812">
      <c r="B1812" s="1"/>
    </row>
    <row r="1813">
      <c r="B1813" s="1"/>
    </row>
    <row r="1814">
      <c r="B1814" s="1"/>
    </row>
    <row r="1815">
      <c r="B1815" s="1"/>
    </row>
    <row r="1816">
      <c r="B1816" s="1"/>
    </row>
    <row r="1817">
      <c r="B1817" s="1"/>
    </row>
    <row r="1818">
      <c r="B1818" s="1"/>
    </row>
    <row r="1819">
      <c r="B1819" s="1"/>
    </row>
    <row r="1820">
      <c r="B1820" s="1"/>
    </row>
    <row r="1821">
      <c r="B1821" s="1"/>
    </row>
    <row r="1822">
      <c r="B1822" s="1"/>
    </row>
    <row r="1823">
      <c r="B1823" s="1"/>
    </row>
    <row r="1824">
      <c r="B1824" s="1"/>
    </row>
    <row r="1825">
      <c r="B1825" s="1"/>
    </row>
    <row r="1826">
      <c r="B1826" s="1"/>
    </row>
    <row r="1827">
      <c r="B1827" s="1"/>
    </row>
    <row r="1828">
      <c r="B1828" s="1"/>
    </row>
    <row r="1829">
      <c r="B1829" s="1"/>
    </row>
    <row r="1830">
      <c r="B1830" s="1"/>
    </row>
    <row r="1831">
      <c r="B1831" s="1"/>
    </row>
    <row r="1832">
      <c r="B1832" s="1"/>
    </row>
    <row r="1833">
      <c r="B1833" s="1"/>
    </row>
    <row r="1834">
      <c r="B1834" s="1"/>
    </row>
    <row r="1835">
      <c r="B1835" s="1"/>
    </row>
    <row r="1836">
      <c r="B1836" s="1"/>
    </row>
    <row r="1837">
      <c r="B1837" s="1"/>
    </row>
    <row r="1838">
      <c r="B1838" s="1"/>
    </row>
    <row r="1839">
      <c r="B1839" s="1"/>
    </row>
    <row r="1840">
      <c r="B1840" s="1"/>
    </row>
    <row r="1841">
      <c r="B1841" s="1"/>
    </row>
    <row r="1842">
      <c r="B1842" s="1"/>
    </row>
    <row r="1843">
      <c r="B1843" s="1"/>
    </row>
    <row r="1844">
      <c r="B1844" s="1"/>
    </row>
    <row r="1845">
      <c r="B1845" s="1"/>
    </row>
    <row r="1846">
      <c r="B1846" s="1"/>
    </row>
    <row r="1847">
      <c r="B1847" s="1"/>
    </row>
    <row r="1848">
      <c r="B1848" s="1"/>
    </row>
    <row r="1849">
      <c r="B1849" s="1"/>
    </row>
    <row r="1850">
      <c r="B1850" s="1"/>
    </row>
    <row r="1851">
      <c r="B1851" s="1"/>
    </row>
    <row r="1852">
      <c r="B1852" s="1"/>
    </row>
    <row r="1853">
      <c r="B1853" s="1"/>
    </row>
    <row r="1854">
      <c r="B1854" s="1"/>
    </row>
    <row r="1855">
      <c r="B1855" s="1"/>
    </row>
    <row r="1856">
      <c r="B1856" s="1"/>
    </row>
    <row r="1857">
      <c r="B1857" s="1"/>
    </row>
    <row r="1858">
      <c r="B1858" s="1"/>
    </row>
    <row r="1859">
      <c r="B1859" s="1"/>
    </row>
    <row r="1860">
      <c r="B1860" s="1"/>
    </row>
    <row r="1861">
      <c r="B1861" s="1"/>
    </row>
    <row r="1862">
      <c r="B1862" s="1"/>
    </row>
    <row r="1863">
      <c r="B1863" s="1"/>
    </row>
    <row r="1864">
      <c r="B1864" s="1"/>
    </row>
    <row r="1865">
      <c r="B1865" s="1"/>
    </row>
    <row r="1866">
      <c r="B1866" s="1"/>
    </row>
    <row r="1867">
      <c r="B1867" s="1"/>
    </row>
    <row r="1868">
      <c r="B1868" s="1"/>
    </row>
    <row r="1869">
      <c r="B1869" s="1"/>
    </row>
    <row r="1870">
      <c r="B1870" s="1"/>
    </row>
    <row r="1871">
      <c r="B1871" s="1"/>
    </row>
    <row r="1872">
      <c r="B1872" s="1"/>
    </row>
    <row r="1873">
      <c r="B1873" s="1"/>
    </row>
    <row r="1874">
      <c r="B1874" s="1"/>
    </row>
    <row r="1875">
      <c r="B1875" s="1"/>
    </row>
    <row r="1876">
      <c r="B1876" s="1"/>
    </row>
    <row r="1877">
      <c r="B1877" s="1"/>
    </row>
    <row r="1878">
      <c r="B1878" s="1"/>
    </row>
    <row r="1879">
      <c r="B1879" s="1"/>
    </row>
    <row r="1880">
      <c r="B1880" s="1"/>
    </row>
    <row r="1881">
      <c r="B1881" s="1"/>
    </row>
    <row r="1882">
      <c r="B1882" s="1"/>
    </row>
    <row r="1883">
      <c r="B1883" s="1"/>
    </row>
    <row r="1884">
      <c r="B1884" s="1"/>
    </row>
    <row r="1885">
      <c r="B1885" s="1"/>
    </row>
    <row r="1886">
      <c r="B1886" s="1"/>
    </row>
    <row r="1887">
      <c r="B1887" s="1"/>
    </row>
    <row r="1888">
      <c r="B1888" s="1"/>
    </row>
    <row r="1889">
      <c r="B1889" s="1"/>
    </row>
    <row r="1890">
      <c r="B1890" s="1"/>
    </row>
    <row r="1891">
      <c r="B1891" s="1"/>
    </row>
    <row r="1892">
      <c r="B1892" s="1"/>
    </row>
    <row r="1893">
      <c r="B1893" s="1"/>
    </row>
    <row r="1894">
      <c r="B1894" s="1"/>
    </row>
    <row r="1895">
      <c r="B1895" s="1"/>
    </row>
    <row r="1896">
      <c r="B1896" s="1"/>
    </row>
    <row r="1897">
      <c r="B1897" s="1"/>
    </row>
    <row r="1898">
      <c r="B1898" s="1"/>
    </row>
    <row r="1899">
      <c r="B1899" s="1"/>
    </row>
    <row r="1900">
      <c r="B1900" s="1"/>
    </row>
    <row r="1901">
      <c r="B1901" s="1"/>
    </row>
    <row r="1902">
      <c r="B1902" s="1"/>
    </row>
    <row r="1903">
      <c r="B1903" s="1"/>
    </row>
    <row r="1904">
      <c r="B1904" s="1"/>
    </row>
    <row r="1905">
      <c r="B1905" s="1"/>
    </row>
    <row r="1906">
      <c r="B1906" s="1"/>
    </row>
    <row r="1907">
      <c r="B1907" s="1"/>
    </row>
    <row r="1908">
      <c r="B1908" s="1"/>
    </row>
    <row r="1909">
      <c r="B1909" s="1"/>
    </row>
    <row r="1910">
      <c r="B1910" s="1"/>
    </row>
    <row r="1911">
      <c r="B1911" s="1"/>
    </row>
    <row r="1912">
      <c r="B1912" s="1"/>
    </row>
    <row r="1913">
      <c r="B1913" s="1"/>
    </row>
    <row r="1914">
      <c r="B1914" s="1"/>
    </row>
    <row r="1915">
      <c r="B1915" s="1"/>
    </row>
    <row r="1916">
      <c r="B1916" s="1"/>
    </row>
    <row r="1917">
      <c r="B1917" s="1"/>
    </row>
    <row r="1918">
      <c r="B1918" s="1"/>
    </row>
    <row r="1919">
      <c r="B1919" s="1"/>
    </row>
    <row r="1920">
      <c r="B1920" s="1"/>
    </row>
    <row r="1921">
      <c r="B1921" s="1"/>
    </row>
    <row r="1922">
      <c r="B1922" s="1"/>
    </row>
    <row r="1923">
      <c r="B1923" s="1"/>
    </row>
    <row r="1924">
      <c r="B1924" s="1"/>
    </row>
    <row r="1925">
      <c r="B1925" s="1"/>
    </row>
    <row r="1926">
      <c r="B1926" s="1"/>
    </row>
    <row r="1927">
      <c r="B1927" s="1"/>
    </row>
    <row r="1928">
      <c r="B1928" s="1"/>
    </row>
    <row r="1929">
      <c r="B1929" s="1"/>
    </row>
    <row r="1930">
      <c r="B1930" s="1"/>
    </row>
    <row r="1931">
      <c r="B1931" s="1"/>
    </row>
    <row r="1932">
      <c r="B1932" s="1"/>
    </row>
    <row r="1933">
      <c r="B1933" s="1"/>
    </row>
    <row r="1934">
      <c r="B1934" s="1"/>
    </row>
    <row r="1935">
      <c r="B1935" s="1"/>
    </row>
    <row r="1936">
      <c r="B1936" s="1"/>
    </row>
    <row r="1937">
      <c r="B1937" s="1"/>
    </row>
    <row r="1938">
      <c r="B1938" s="1"/>
    </row>
    <row r="1939">
      <c r="B1939" s="1"/>
    </row>
    <row r="1940">
      <c r="B1940" s="1"/>
    </row>
    <row r="1941">
      <c r="B1941" s="1"/>
    </row>
    <row r="1942">
      <c r="B1942" s="1"/>
    </row>
    <row r="1943">
      <c r="B1943" s="1"/>
    </row>
    <row r="1944">
      <c r="B1944" s="1"/>
    </row>
    <row r="1945">
      <c r="B1945" s="1"/>
    </row>
    <row r="1946">
      <c r="B1946" s="1"/>
    </row>
    <row r="1947">
      <c r="B1947" s="1"/>
    </row>
    <row r="1948">
      <c r="B1948" s="1"/>
    </row>
    <row r="1949">
      <c r="B1949" s="1"/>
    </row>
    <row r="1950">
      <c r="B1950" s="1"/>
    </row>
    <row r="1951">
      <c r="B1951" s="1"/>
    </row>
    <row r="1952">
      <c r="B1952" s="1"/>
    </row>
    <row r="1953">
      <c r="B1953" s="1"/>
    </row>
    <row r="1954">
      <c r="B1954" s="1"/>
    </row>
    <row r="1955">
      <c r="B1955" s="1"/>
    </row>
    <row r="1956">
      <c r="B1956" s="1"/>
    </row>
    <row r="1957">
      <c r="B1957" s="1"/>
    </row>
    <row r="1958">
      <c r="B1958" s="1"/>
    </row>
    <row r="1959">
      <c r="B1959" s="1"/>
    </row>
    <row r="1960">
      <c r="B1960" s="1"/>
    </row>
    <row r="1961">
      <c r="B1961" s="1"/>
    </row>
    <row r="1962">
      <c r="B1962" s="1"/>
    </row>
    <row r="1963">
      <c r="B1963" s="1"/>
    </row>
    <row r="1964">
      <c r="B1964" s="1"/>
    </row>
    <row r="1965">
      <c r="B1965" s="1"/>
    </row>
    <row r="1966">
      <c r="B1966" s="1"/>
    </row>
    <row r="1967">
      <c r="B1967" s="1"/>
    </row>
    <row r="1968">
      <c r="B1968" s="1"/>
    </row>
    <row r="1969">
      <c r="B1969" s="1"/>
    </row>
    <row r="1970">
      <c r="B1970" s="1"/>
    </row>
    <row r="1971">
      <c r="B1971" s="1"/>
    </row>
    <row r="1972">
      <c r="B1972" s="1"/>
    </row>
    <row r="1973">
      <c r="B1973" s="1"/>
    </row>
    <row r="1974">
      <c r="B1974" s="1"/>
    </row>
    <row r="1975">
      <c r="B1975" s="1"/>
    </row>
    <row r="1976">
      <c r="B1976" s="1"/>
    </row>
    <row r="1977">
      <c r="B1977" s="1"/>
    </row>
    <row r="1978">
      <c r="B1978" s="1"/>
    </row>
    <row r="1979">
      <c r="B1979" s="1"/>
    </row>
    <row r="1980">
      <c r="B1980" s="1"/>
    </row>
    <row r="1981">
      <c r="B1981" s="1"/>
    </row>
    <row r="1982">
      <c r="B1982" s="1"/>
    </row>
    <row r="1983">
      <c r="B1983" s="1"/>
    </row>
    <row r="1984">
      <c r="B1984" s="1"/>
    </row>
    <row r="1985">
      <c r="B1985" s="1"/>
    </row>
    <row r="1986">
      <c r="B1986" s="1"/>
    </row>
    <row r="1987">
      <c r="B1987" s="1"/>
    </row>
    <row r="1988">
      <c r="B1988" s="1"/>
    </row>
    <row r="1989">
      <c r="B1989" s="1"/>
    </row>
    <row r="1990">
      <c r="B1990" s="1"/>
    </row>
    <row r="1991">
      <c r="B1991" s="1"/>
    </row>
    <row r="1992">
      <c r="B1992" s="1"/>
    </row>
    <row r="1993">
      <c r="B1993" s="1"/>
    </row>
    <row r="1994">
      <c r="B1994" s="1"/>
    </row>
    <row r="1995">
      <c r="B1995" s="1"/>
    </row>
    <row r="1996">
      <c r="B1996" s="1"/>
    </row>
    <row r="1997">
      <c r="B1997" s="1"/>
    </row>
    <row r="1998">
      <c r="B1998" s="1"/>
    </row>
    <row r="1999">
      <c r="B1999" s="1"/>
    </row>
    <row r="2000">
      <c r="B2000"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8"/>
    <col customWidth="1" min="2" max="2" width="15.38"/>
  </cols>
  <sheetData>
    <row r="1">
      <c r="A1" s="1" t="s">
        <v>1272</v>
      </c>
      <c r="B1" s="1" t="s">
        <v>1273</v>
      </c>
      <c r="C1" s="1" t="s">
        <v>1270</v>
      </c>
      <c r="D1" s="1" t="s">
        <v>1274</v>
      </c>
    </row>
    <row r="2">
      <c r="A2" s="2" t="str">
        <f>IFERROR(__xludf.DUMMYFUNCTION("REGEXEXTRACT(raw!A2, ""&lt;\s*(.+?)\s*&gt;"")
"),"정창욱 셰프 - 치킨 밀푀유")</f>
        <v>정창욱 셰프 - 치킨 밀푀유</v>
      </c>
      <c r="B2" s="2" t="str">
        <f>IFERROR(__xludf.DUMMYFUNCTION("TRIM(
  SUBSTITUTE(
    INDEX(SPLIT($A2,""-""),1),
    ""셰프"", 
    """"
  )
)
"),"정창욱")</f>
        <v>정창욱</v>
      </c>
      <c r="C2" s="2" t="str">
        <f>IFERROR(__xludf.DUMMYFUNCTION("TRIM(INDEX(SPLIT($A2,""-""),2))
"),"치킨 밀푀유")</f>
        <v>치킨 밀푀유</v>
      </c>
    </row>
    <row r="3">
      <c r="A3" s="2" t="str">
        <f>IFERROR(__xludf.DUMMYFUNCTION("REGEXEXTRACT(raw!A3, ""&lt;\s*(.+?)\s*&gt;"")
"),"홍석천 셰프 - 취닭거리")</f>
        <v>홍석천 셰프 - 취닭거리</v>
      </c>
      <c r="B3" s="2" t="str">
        <f>IFERROR(__xludf.DUMMYFUNCTION("TRIM(
  SUBSTITUTE(
    INDEX(SPLIT($A3,""-""),1),
    ""셰프"", 
    """"
  )
)
"),"홍석천")</f>
        <v>홍석천</v>
      </c>
      <c r="C3" s="2" t="str">
        <f>IFERROR(__xludf.DUMMYFUNCTION("TRIM(INDEX(SPLIT($A3,""-""),2))
"),"취닭거리")</f>
        <v>취닭거리</v>
      </c>
    </row>
    <row r="4">
      <c r="A4" s="2" t="str">
        <f>IFERROR(__xludf.DUMMYFUNCTION("REGEXEXTRACT(raw!A4, ""&lt;\s*(.+?)\s*&gt;"")
"),"최현석 - 닭딸")</f>
        <v>최현석 - 닭딸</v>
      </c>
      <c r="B4" s="2" t="str">
        <f>IFERROR(__xludf.DUMMYFUNCTION("TRIM(
  SUBSTITUTE(
    INDEX(SPLIT($A4,""-""),1),
    ""셰프"", 
    """"
  )
)
"),"최현석")</f>
        <v>최현석</v>
      </c>
      <c r="C4" s="2" t="str">
        <f>IFERROR(__xludf.DUMMYFUNCTION("TRIM(INDEX(SPLIT($A4,""-""),2))
"),"닭딸")</f>
        <v>닭딸</v>
      </c>
    </row>
    <row r="5">
      <c r="A5" s="2" t="str">
        <f>IFERROR(__xludf.DUMMYFUNCTION("REGEXEXTRACT(raw!A5, ""&lt;\s*(.+?)\s*&gt;"")
"),"김풍 셰프 - 어머니 맛 풍족밥")</f>
        <v>김풍 셰프 - 어머니 맛 풍족밥</v>
      </c>
      <c r="B5" s="2" t="str">
        <f>IFERROR(__xludf.DUMMYFUNCTION("TRIM(
  SUBSTITUTE(
    INDEX(SPLIT($A5,""-""),1),
    ""셰프"", 
    """"
  )
)
"),"김풍")</f>
        <v>김풍</v>
      </c>
      <c r="C5" s="2" t="str">
        <f>IFERROR(__xludf.DUMMYFUNCTION("TRIM(INDEX(SPLIT($A5,""-""),2))
"),"어머니 맛 풍족밥")</f>
        <v>어머니 맛 풍족밥</v>
      </c>
    </row>
    <row r="6">
      <c r="A6" s="2" t="str">
        <f>IFERROR(__xludf.DUMMYFUNCTION("REGEXEXTRACT(raw!A6, ""&lt;\s*(.+?)\s*&gt;"")
"),"샘킴 셰프 - 치킨 요로케")</f>
        <v>샘킴 셰프 - 치킨 요로케</v>
      </c>
      <c r="B6" s="2" t="str">
        <f>IFERROR(__xludf.DUMMYFUNCTION("TRIM(
  SUBSTITUTE(
    INDEX(SPLIT($A6,""-""),1),
    ""셰프"", 
    """"
  )
)
"),"샘킴")</f>
        <v>샘킴</v>
      </c>
      <c r="C6" s="2" t="str">
        <f>IFERROR(__xludf.DUMMYFUNCTION("TRIM(INDEX(SPLIT($A6,""-""),2))
"),"치킨 요로케")</f>
        <v>치킨 요로케</v>
      </c>
    </row>
    <row r="7">
      <c r="A7" s="2" t="str">
        <f>IFERROR(__xludf.DUMMYFUNCTION("REGEXEXTRACT(raw!A7, ""&lt;\s*(.+?)\s*&gt;"")
"),"미카엘 셰프 - 포크 미트볼")</f>
        <v>미카엘 셰프 - 포크 미트볼</v>
      </c>
      <c r="B7" s="2" t="str">
        <f>IFERROR(__xludf.DUMMYFUNCTION("TRIM(
  SUBSTITUTE(
    INDEX(SPLIT($A7,""-""),1),
    ""셰프"", 
    """"
  )
)
"),"미카엘")</f>
        <v>미카엘</v>
      </c>
      <c r="C7" s="2" t="str">
        <f>IFERROR(__xludf.DUMMYFUNCTION("TRIM(INDEX(SPLIT($A7,""-""),2))
"),"포크 미트볼")</f>
        <v>포크 미트볼</v>
      </c>
    </row>
    <row r="8">
      <c r="A8" s="2" t="str">
        <f>IFERROR(__xludf.DUMMYFUNCTION("REGEXEXTRACT(raw!A8, ""&lt;\s*(.+?)\s*&gt;"")
"),"홍석천 셰프 - 만두부인 육수터졌네")</f>
        <v>홍석천 셰프 - 만두부인 육수터졌네</v>
      </c>
      <c r="B8" s="2" t="str">
        <f>IFERROR(__xludf.DUMMYFUNCTION("TRIM(
  SUBSTITUTE(
    INDEX(SPLIT($A8,""-""),1),
    ""셰프"", 
    """"
  )
)
"),"홍석천")</f>
        <v>홍석천</v>
      </c>
      <c r="C8" s="2" t="str">
        <f>IFERROR(__xludf.DUMMYFUNCTION("TRIM(INDEX(SPLIT($A8,""-""),2))
"),"만두부인 육수터졌네")</f>
        <v>만두부인 육수터졌네</v>
      </c>
    </row>
    <row r="9">
      <c r="A9" s="2" t="str">
        <f>IFERROR(__xludf.DUMMYFUNCTION("REGEXEXTRACT(raw!A9, ""&lt;\s*(.+?)\s*&gt;"")
"),"정창욱 셰프 - 심쿵 오믈렛")</f>
        <v>정창욱 셰프 - 심쿵 오믈렛</v>
      </c>
      <c r="B9" s="2" t="str">
        <f>IFERROR(__xludf.DUMMYFUNCTION("TRIM(
  SUBSTITUTE(
    INDEX(SPLIT($A9,""-""),1),
    ""셰프"", 
    """"
  )
)
"),"정창욱")</f>
        <v>정창욱</v>
      </c>
      <c r="C9" s="2" t="str">
        <f>IFERROR(__xludf.DUMMYFUNCTION("TRIM(INDEX(SPLIT($A9,""-""),2))
"),"심쿵 오믈렛")</f>
        <v>심쿵 오믈렛</v>
      </c>
    </row>
    <row r="10">
      <c r="A10" s="2" t="str">
        <f>IFERROR(__xludf.DUMMYFUNCTION("REGEXEXTRACT(raw!A10, ""&lt;\s*(.+?)\s*&gt;"")
"),"샘킴 셰프 - 엔초비 파스타")</f>
        <v>샘킴 셰프 - 엔초비 파스타</v>
      </c>
      <c r="B10" s="2" t="str">
        <f>IFERROR(__xludf.DUMMYFUNCTION("TRIM(
  SUBSTITUTE(
    INDEX(SPLIT($A10,""-""),1),
    ""셰프"", 
    """"
  )
)
"),"샘킴")</f>
        <v>샘킴</v>
      </c>
      <c r="C10" s="2" t="str">
        <f>IFERROR(__xludf.DUMMYFUNCTION("TRIM(INDEX(SPLIT($A10,""-""),2))
"),"엔초비 파스타")</f>
        <v>엔초비 파스타</v>
      </c>
    </row>
    <row r="11">
      <c r="A11" s="2" t="str">
        <f>IFERROR(__xludf.DUMMYFUNCTION("REGEXEXTRACT(raw!A11, ""&lt;\s*(.+?)\s*&gt;"")
"),"김풍 셰프 - 고기와 썸타는 떡국떡 삼합")</f>
        <v>김풍 셰프 - 고기와 썸타는 떡국떡 삼합</v>
      </c>
      <c r="B11" s="2" t="str">
        <f>IFERROR(__xludf.DUMMYFUNCTION("TRIM(
  SUBSTITUTE(
    INDEX(SPLIT($A11,""-""),1),
    ""셰프"", 
    """"
  )
)
"),"김풍")</f>
        <v>김풍</v>
      </c>
      <c r="C11" s="2" t="str">
        <f>IFERROR(__xludf.DUMMYFUNCTION("TRIM(INDEX(SPLIT($A11,""-""),2))
"),"고기와 썸타는 떡국떡 삼합")</f>
        <v>고기와 썸타는 떡국떡 삼합</v>
      </c>
    </row>
    <row r="12">
      <c r="A12" s="2" t="str">
        <f>IFERROR(__xludf.DUMMYFUNCTION("REGEXEXTRACT(raw!A12, ""&lt;\s*(.+?)\s*&gt;"")
"),"최현석 셰프 - 와닭")</f>
        <v>최현석 셰프 - 와닭</v>
      </c>
      <c r="B12" s="2" t="str">
        <f>IFERROR(__xludf.DUMMYFUNCTION("TRIM(
  SUBSTITUTE(
    INDEX(SPLIT($A12,""-""),1),
    ""셰프"", 
    """"
  )
)
"),"최현석")</f>
        <v>최현석</v>
      </c>
      <c r="C12" s="2" t="str">
        <f>IFERROR(__xludf.DUMMYFUNCTION("TRIM(INDEX(SPLIT($A12,""-""),2))
"),"와닭")</f>
        <v>와닭</v>
      </c>
    </row>
    <row r="13">
      <c r="A13" s="2" t="str">
        <f>IFERROR(__xludf.DUMMYFUNCTION("REGEXEXTRACT(raw!A13, ""&lt;\s*(.+?)\s*&gt;"")
"),"미카엘 셰프 - 브로콜리 치킨")</f>
        <v>미카엘 셰프 - 브로콜리 치킨</v>
      </c>
      <c r="B13" s="2" t="str">
        <f>IFERROR(__xludf.DUMMYFUNCTION("TRIM(
  SUBSTITUTE(
    INDEX(SPLIT($A13,""-""),1),
    ""셰프"", 
    """"
  )
)
"),"미카엘")</f>
        <v>미카엘</v>
      </c>
      <c r="C13" s="2" t="str">
        <f>IFERROR(__xludf.DUMMYFUNCTION("TRIM(INDEX(SPLIT($A13,""-""),2))
"),"브로콜리 치킨")</f>
        <v>브로콜리 치킨</v>
      </c>
    </row>
    <row r="14">
      <c r="A14" s="2" t="str">
        <f>IFERROR(__xludf.DUMMYFUNCTION("REGEXEXTRACT(raw!A14, ""&lt;\s*(.+?)\s*&gt;"")
"),"정창욱 셰프 - 삼겹살 플레이트")</f>
        <v>정창욱 셰프 - 삼겹살 플레이트</v>
      </c>
      <c r="B14" s="2" t="str">
        <f>IFERROR(__xludf.DUMMYFUNCTION("TRIM(
  SUBSTITUTE(
    INDEX(SPLIT($A14,""-""),1),
    ""셰프"", 
    """"
  )
)
"),"정창욱")</f>
        <v>정창욱</v>
      </c>
      <c r="C14" s="2" t="str">
        <f>IFERROR(__xludf.DUMMYFUNCTION("TRIM(INDEX(SPLIT($A14,""-""),2))
"),"삼겹살 플레이트")</f>
        <v>삼겹살 플레이트</v>
      </c>
    </row>
    <row r="15">
      <c r="A15" s="2" t="str">
        <f>IFERROR(__xludf.DUMMYFUNCTION("REGEXEXTRACT(raw!A15, ""&lt;\s*(.+?)\s*&gt;"")
"),"최현석 셰프 - 강남비빔면")</f>
        <v>최현석 셰프 - 강남비빔면</v>
      </c>
      <c r="B15" s="2" t="str">
        <f>IFERROR(__xludf.DUMMYFUNCTION("TRIM(
  SUBSTITUTE(
    INDEX(SPLIT($A15,""-""),1),
    ""셰프"", 
    """"
  )
)
"),"최현석")</f>
        <v>최현석</v>
      </c>
      <c r="C15" s="2" t="str">
        <f>IFERROR(__xludf.DUMMYFUNCTION("TRIM(INDEX(SPLIT($A15,""-""),2))
"),"강남비빔면")</f>
        <v>강남비빔면</v>
      </c>
    </row>
    <row r="16">
      <c r="A16" s="2" t="str">
        <f>IFERROR(__xludf.DUMMYFUNCTION("REGEXEXTRACT(raw!A16, ""&lt;\s*(.+?)\s*&gt;"")
"),"샘킴 셰프 - 나 또 브리또")</f>
        <v>샘킴 셰프 - 나 또 브리또</v>
      </c>
      <c r="B16" s="2" t="str">
        <f>IFERROR(__xludf.DUMMYFUNCTION("TRIM(
  SUBSTITUTE(
    INDEX(SPLIT($A16,""-""),1),
    ""셰프"", 
    """"
  )
)
"),"샘킴")</f>
        <v>샘킴</v>
      </c>
      <c r="C16" s="2" t="str">
        <f>IFERROR(__xludf.DUMMYFUNCTION("TRIM(INDEX(SPLIT($A16,""-""),2))
"),"나 또 브리또")</f>
        <v>나 또 브리또</v>
      </c>
    </row>
    <row r="17">
      <c r="A17" s="2" t="str">
        <f>IFERROR(__xludf.DUMMYFUNCTION("REGEXEXTRACT(raw!A17, ""&lt;\s*(.+?)\s*&gt;"")
"),"김풍 셰프 - 갸루상 케이크")</f>
        <v>김풍 셰프 - 갸루상 케이크</v>
      </c>
      <c r="B17" s="2" t="str">
        <f>IFERROR(__xludf.DUMMYFUNCTION("TRIM(
  SUBSTITUTE(
    INDEX(SPLIT($A17,""-""),1),
    ""셰프"", 
    """"
  )
)
"),"김풍")</f>
        <v>김풍</v>
      </c>
      <c r="C17" s="2" t="str">
        <f>IFERROR(__xludf.DUMMYFUNCTION("TRIM(INDEX(SPLIT($A17,""-""),2))
"),"갸루상 케이크")</f>
        <v>갸루상 케이크</v>
      </c>
    </row>
    <row r="18">
      <c r="A18" s="2" t="str">
        <f>IFERROR(__xludf.DUMMYFUNCTION("REGEXEXTRACT(raw!A18, ""&lt;\s*(.+?)\s*&gt;"")
"),"미카엘 셰프 - PLETKA")</f>
        <v>미카엘 셰프 - PLETKA</v>
      </c>
      <c r="B18" s="2" t="str">
        <f>IFERROR(__xludf.DUMMYFUNCTION("TRIM(
  SUBSTITUTE(
    INDEX(SPLIT($A18,""-""),1),
    ""셰프"", 
    """"
  )
)
"),"미카엘")</f>
        <v>미카엘</v>
      </c>
      <c r="C18" s="2" t="str">
        <f>IFERROR(__xludf.DUMMYFUNCTION("TRIM(INDEX(SPLIT($A18,""-""),2))
"),"PLETKA")</f>
        <v>PLETKA</v>
      </c>
    </row>
    <row r="19">
      <c r="A19" s="2" t="str">
        <f>IFERROR(__xludf.DUMMYFUNCTION("REGEXEXTRACT(raw!A19, ""&lt;\s*(.+?)\s*&gt;"")
"),"홍석천 셰프 - 다 줄게라면")</f>
        <v>홍석천 셰프 - 다 줄게라면</v>
      </c>
      <c r="B19" s="2" t="str">
        <f>IFERROR(__xludf.DUMMYFUNCTION("TRIM(
  SUBSTITUTE(
    INDEX(SPLIT($A19,""-""),1),
    ""셰프"", 
    """"
  )
)
"),"홍석천")</f>
        <v>홍석천</v>
      </c>
      <c r="C19" s="2" t="str">
        <f>IFERROR(__xludf.DUMMYFUNCTION("TRIM(INDEX(SPLIT($A19,""-""),2))
"),"다 줄게라면")</f>
        <v>다 줄게라면</v>
      </c>
    </row>
    <row r="20">
      <c r="A20" s="2" t="str">
        <f>IFERROR(__xludf.DUMMYFUNCTION("REGEXEXTRACT(raw!A20, ""&lt;\s*(.+?)\s*&gt;"")
"),"정창욱 셰프 - 우리집에 오.새.요")</f>
        <v>정창욱 셰프 - 우리집에 오.새.요</v>
      </c>
      <c r="B20" s="2" t="str">
        <f>IFERROR(__xludf.DUMMYFUNCTION("TRIM(
  SUBSTITUTE(
    INDEX(SPLIT($A20,""-""),1),
    ""셰프"", 
    """"
  )
)
"),"정창욱")</f>
        <v>정창욱</v>
      </c>
      <c r="C20" s="2" t="str">
        <f>IFERROR(__xludf.DUMMYFUNCTION("TRIM(INDEX(SPLIT($A20,""-""),2))
"),"우리집에 오.새.요")</f>
        <v>우리집에 오.새.요</v>
      </c>
    </row>
    <row r="21">
      <c r="A21" s="2" t="str">
        <f>IFERROR(__xludf.DUMMYFUNCTION("REGEXEXTRACT(raw!A21, ""&lt;\s*(.+?)\s*&gt;"")
"),"샘킴 셰프 - Mr.콩chu~♥")</f>
        <v>샘킴 셰프 - Mr.콩chu~♥</v>
      </c>
      <c r="B21" s="2" t="str">
        <f>IFERROR(__xludf.DUMMYFUNCTION("TRIM(
  SUBSTITUTE(
    INDEX(SPLIT($A21,""-""),1),
    ""셰프"", 
    """"
  )
)
"),"샘킴")</f>
        <v>샘킴</v>
      </c>
      <c r="C21" s="2" t="str">
        <f>IFERROR(__xludf.DUMMYFUNCTION("TRIM(INDEX(SPLIT($A21,""-""),2))
"),"Mr.콩chu~♥")</f>
        <v>Mr.콩chu~♥</v>
      </c>
    </row>
    <row r="22">
      <c r="A22" s="2" t="str">
        <f>IFERROR(__xludf.DUMMYFUNCTION("REGEXEXTRACT(raw!A22, ""&lt;\s*(.+?)\s*&gt;"")
"),"최현석 셰프 - For덕")</f>
        <v>최현석 셰프 - For덕</v>
      </c>
      <c r="B22" s="2" t="str">
        <f>IFERROR(__xludf.DUMMYFUNCTION("TRIM(
  SUBSTITUTE(
    INDEX(SPLIT($A22,""-""),1),
    ""셰프"", 
    """"
  )
)
"),"최현석")</f>
        <v>최현석</v>
      </c>
      <c r="C22" s="2" t="str">
        <f>IFERROR(__xludf.DUMMYFUNCTION("TRIM(INDEX(SPLIT($A22,""-""),2))
"),"For덕")</f>
        <v>For덕</v>
      </c>
    </row>
    <row r="23">
      <c r="A23" s="2" t="str">
        <f>IFERROR(__xludf.DUMMYFUNCTION("REGEXEXTRACT(raw!A23, ""&lt;\s*(.+?)\s*&gt;"")
"),"미카엘 셰프 - 프로틴 스틱")</f>
        <v>미카엘 셰프 - 프로틴 스틱</v>
      </c>
      <c r="B23" s="2" t="str">
        <f>IFERROR(__xludf.DUMMYFUNCTION("TRIM(
  SUBSTITUTE(
    INDEX(SPLIT($A23,""-""),1),
    ""셰프"", 
    """"
  )
)
"),"미카엘")</f>
        <v>미카엘</v>
      </c>
      <c r="C23" s="2" t="str">
        <f>IFERROR(__xludf.DUMMYFUNCTION("TRIM(INDEX(SPLIT($A23,""-""),2))
"),"프로틴 스틱")</f>
        <v>프로틴 스틱</v>
      </c>
    </row>
    <row r="24">
      <c r="A24" s="2" t="str">
        <f>IFERROR(__xludf.DUMMYFUNCTION("REGEXEXTRACT(raw!A24, ""&lt;\s*(.+?)\s*&gt;"")
"),"홍석천 셰프 - 불닭 소시지")</f>
        <v>홍석천 셰프 - 불닭 소시지</v>
      </c>
      <c r="B24" s="2" t="str">
        <f>IFERROR(__xludf.DUMMYFUNCTION("TRIM(
  SUBSTITUTE(
    INDEX(SPLIT($A24,""-""),1),
    ""셰프"", 
    """"
  )
)
"),"홍석천")</f>
        <v>홍석천</v>
      </c>
      <c r="C24" s="2" t="str">
        <f>IFERROR(__xludf.DUMMYFUNCTION("TRIM(INDEX(SPLIT($A24,""-""),2))
"),"불닭 소시지")</f>
        <v>불닭 소시지</v>
      </c>
    </row>
    <row r="25">
      <c r="A25" s="2" t="str">
        <f>IFERROR(__xludf.DUMMYFUNCTION("REGEXEXTRACT(raw!A25, ""&lt;\s*(.+?)\s*&gt;"")
"),"김풍 셰프 - 매우면 참치 &amp; 쏘루아밀크")</f>
        <v>김풍 셰프 - 매우면 참치 &amp; 쏘루아밀크</v>
      </c>
      <c r="B25" s="2" t="str">
        <f>IFERROR(__xludf.DUMMYFUNCTION("TRIM(
  SUBSTITUTE(
    INDEX(SPLIT($A25,""-""),1),
    ""셰프"", 
    """"
  )
)
"),"김풍")</f>
        <v>김풍</v>
      </c>
      <c r="C25" s="2" t="str">
        <f>IFERROR(__xludf.DUMMYFUNCTION("TRIM(INDEX(SPLIT($A25,""-""),2))
"),"매우면 참치 &amp; 쏘루아밀크")</f>
        <v>매우면 참치 &amp; 쏘루아밀크</v>
      </c>
    </row>
    <row r="26">
      <c r="A26" s="2" t="str">
        <f>IFERROR(__xludf.DUMMYFUNCTION("REGEXEXTRACT(raw!A26, ""&lt;\s*(.+?)\s*&gt;"")
"),"정창욱 셰프 - 삼층돈탑")</f>
        <v>정창욱 셰프 - 삼층돈탑</v>
      </c>
      <c r="B26" s="2" t="str">
        <f>IFERROR(__xludf.DUMMYFUNCTION("TRIM(
  SUBSTITUTE(
    INDEX(SPLIT($A26,""-""),1),
    ""셰프"", 
    """"
  )
)
"),"정창욱")</f>
        <v>정창욱</v>
      </c>
      <c r="C26" s="2" t="str">
        <f>IFERROR(__xludf.DUMMYFUNCTION("TRIM(INDEX(SPLIT($A26,""-""),2))
"),"삼층돈탑")</f>
        <v>삼층돈탑</v>
      </c>
    </row>
    <row r="27">
      <c r="A27" s="2" t="str">
        <f>IFERROR(__xludf.DUMMYFUNCTION("REGEXEXTRACT(raw!A27, ""&lt;\s*(.+?)\s*&gt;"")
"),"김풍 셰프 - 엠티 오후의 라면")</f>
        <v>김풍 셰프 - 엠티 오후의 라면</v>
      </c>
      <c r="B27" s="2" t="str">
        <f>IFERROR(__xludf.DUMMYFUNCTION("TRIM(
  SUBSTITUTE(
    INDEX(SPLIT($A27,""-""),1),
    ""셰프"", 
    """"
  )
)
"),"김풍")</f>
        <v>김풍</v>
      </c>
      <c r="C27" s="2" t="str">
        <f>IFERROR(__xludf.DUMMYFUNCTION("TRIM(INDEX(SPLIT($A27,""-""),2))
"),"엠티 오후의 라면")</f>
        <v>엠티 오후의 라면</v>
      </c>
    </row>
    <row r="28">
      <c r="A28" s="2" t="str">
        <f>IFERROR(__xludf.DUMMYFUNCTION("REGEXEXTRACT(raw!A28, ""&lt;\s*(.+?)\s*&gt;"")
"),"최현석 셰프 - 봉선아 시집가자미")</f>
        <v>최현석 셰프 - 봉선아 시집가자미</v>
      </c>
      <c r="B28" s="2" t="str">
        <f>IFERROR(__xludf.DUMMYFUNCTION("TRIM(
  SUBSTITUTE(
    INDEX(SPLIT($A28,""-""),1),
    ""셰프"", 
    """"
  )
)
"),"최현석")</f>
        <v>최현석</v>
      </c>
      <c r="C28" s="2" t="str">
        <f>IFERROR(__xludf.DUMMYFUNCTION("TRIM(INDEX(SPLIT($A28,""-""),2))
"),"봉선아 시집가자미")</f>
        <v>봉선아 시집가자미</v>
      </c>
    </row>
    <row r="29">
      <c r="A29" s="2" t="str">
        <f>IFERROR(__xludf.DUMMYFUNCTION("REGEXEXTRACT(raw!A29, ""&lt;\s*(.+?)\s*&gt;"")
"),"샘킴 - 스키니 신")</f>
        <v>샘킴 - 스키니 신</v>
      </c>
      <c r="B29" s="2" t="str">
        <f>IFERROR(__xludf.DUMMYFUNCTION("TRIM(
  SUBSTITUTE(
    INDEX(SPLIT($A29,""-""),1),
    ""셰프"", 
    """"
  )
)
"),"샘킴")</f>
        <v>샘킴</v>
      </c>
      <c r="C29" s="2" t="str">
        <f>IFERROR(__xludf.DUMMYFUNCTION("TRIM(INDEX(SPLIT($A29,""-""),2))
"),"스키니 신")</f>
        <v>스키니 신</v>
      </c>
    </row>
    <row r="30">
      <c r="A30" s="2" t="str">
        <f>IFERROR(__xludf.DUMMYFUNCTION("REGEXEXTRACT(raw!A30, ""&lt;\s*(.+?)\s*&gt;"")
"),"미카엘 - 파티비프")</f>
        <v>미카엘 - 파티비프</v>
      </c>
      <c r="B30" s="2" t="str">
        <f>IFERROR(__xludf.DUMMYFUNCTION("TRIM(
  SUBSTITUTE(
    INDEX(SPLIT($A30,""-""),1),
    ""셰프"", 
    """"
  )
)
"),"미카엘")</f>
        <v>미카엘</v>
      </c>
      <c r="C30" s="2" t="str">
        <f>IFERROR(__xludf.DUMMYFUNCTION("TRIM(INDEX(SPLIT($A30,""-""),2))
"),"파티비프")</f>
        <v>파티비프</v>
      </c>
    </row>
    <row r="31">
      <c r="A31" s="2" t="str">
        <f>IFERROR(__xludf.DUMMYFUNCTION("REGEXEXTRACT(raw!A31, ""&lt;\s*(.+?)\s*&gt;"")
"),"홍석천 - 아이러브유부")</f>
        <v>홍석천 - 아이러브유부</v>
      </c>
      <c r="B31" s="2" t="str">
        <f>IFERROR(__xludf.DUMMYFUNCTION("TRIM(
  SUBSTITUTE(
    INDEX(SPLIT($A31,""-""),1),
    ""셰프"", 
    """"
  )
)
"),"홍석천")</f>
        <v>홍석천</v>
      </c>
      <c r="C31" s="2" t="str">
        <f>IFERROR(__xludf.DUMMYFUNCTION("TRIM(INDEX(SPLIT($A31,""-""),2))
"),"아이러브유부")</f>
        <v>아이러브유부</v>
      </c>
    </row>
    <row r="32">
      <c r="A32" s="2" t="str">
        <f>IFERROR(__xludf.DUMMYFUNCTION("REGEXEXTRACT(raw!A32, ""&lt;\s*(.+?)\s*&gt;"")
"),"최현석 셰프 - 곤약 봉골레 곤봉")</f>
        <v>최현석 셰프 - 곤약 봉골레 곤봉</v>
      </c>
      <c r="B32" s="2" t="str">
        <f>IFERROR(__xludf.DUMMYFUNCTION("TRIM(
  SUBSTITUTE(
    INDEX(SPLIT($A32,""-""),1),
    ""셰프"", 
    """"
  )
)
"),"최현석")</f>
        <v>최현석</v>
      </c>
      <c r="C32" s="2" t="str">
        <f>IFERROR(__xludf.DUMMYFUNCTION("TRIM(INDEX(SPLIT($A32,""-""),2))
"),"곤약 봉골레 곤봉")</f>
        <v>곤약 봉골레 곤봉</v>
      </c>
    </row>
    <row r="33">
      <c r="A33" s="2" t="str">
        <f>IFERROR(__xludf.DUMMYFUNCTION("REGEXEXTRACT(raw!A33, ""&lt;\s*(.+?)\s*&gt;"")
"),"홍석천 셰프 - 렛잇컵")</f>
        <v>홍석천 셰프 - 렛잇컵</v>
      </c>
      <c r="B33" s="2" t="str">
        <f>IFERROR(__xludf.DUMMYFUNCTION("TRIM(
  SUBSTITUTE(
    INDEX(SPLIT($A33,""-""),1),
    ""셰프"", 
    """"
  )
)
"),"홍석천")</f>
        <v>홍석천</v>
      </c>
      <c r="C33" s="2" t="str">
        <f>IFERROR(__xludf.DUMMYFUNCTION("TRIM(INDEX(SPLIT($A33,""-""),2))
"),"렛잇컵")</f>
        <v>렛잇컵</v>
      </c>
    </row>
    <row r="34">
      <c r="A34" s="2" t="str">
        <f>IFERROR(__xludf.DUMMYFUNCTION("REGEXEXTRACT(raw!A34, ""&lt;\s*(.+?)\s*&gt;"")
"),"샘킴 셰프 - 마이 러블리 튀밥")</f>
        <v>샘킴 셰프 - 마이 러블리 튀밥</v>
      </c>
      <c r="B34" s="2" t="str">
        <f>IFERROR(__xludf.DUMMYFUNCTION("TRIM(
  SUBSTITUTE(
    INDEX(SPLIT($A34,""-""),1),
    ""셰프"", 
    """"
  )
)
"),"샘킴")</f>
        <v>샘킴</v>
      </c>
      <c r="C34" s="2" t="str">
        <f>IFERROR(__xludf.DUMMYFUNCTION("TRIM(INDEX(SPLIT($A34,""-""),2))
"),"마이 러블리 튀밥")</f>
        <v>마이 러블리 튀밥</v>
      </c>
    </row>
    <row r="35">
      <c r="A35" s="2" t="str">
        <f>IFERROR(__xludf.DUMMYFUNCTION("REGEXEXTRACT(raw!A35, ""&lt;\s*(.+?)\s*&gt;"")
"),"김풍 셰프 - 자투리타타")</f>
        <v>김풍 셰프 - 자투리타타</v>
      </c>
      <c r="B35" s="2" t="str">
        <f>IFERROR(__xludf.DUMMYFUNCTION("TRIM(
  SUBSTITUTE(
    INDEX(SPLIT($A35,""-""),1),
    ""셰프"", 
    """"
  )
)
"),"김풍")</f>
        <v>김풍</v>
      </c>
      <c r="C35" s="2" t="str">
        <f>IFERROR(__xludf.DUMMYFUNCTION("TRIM(INDEX(SPLIT($A35,""-""),2))
"),"자투리타타")</f>
        <v>자투리타타</v>
      </c>
    </row>
    <row r="36">
      <c r="A36" s="2" t="str">
        <f>IFERROR(__xludf.DUMMYFUNCTION("REGEXEXTRACT(raw!A36, ""&lt;\s*(.+?)\s*&gt;"")
"),"정창욱 셰프 - 괜찮아, 목심이야")</f>
        <v>정창욱 셰프 - 괜찮아, 목심이야</v>
      </c>
      <c r="B36" s="2" t="str">
        <f>IFERROR(__xludf.DUMMYFUNCTION("TRIM(
  SUBSTITUTE(
    INDEX(SPLIT($A36,""-""),1),
    ""셰프"", 
    """"
  )
)
"),"정창욱")</f>
        <v>정창욱</v>
      </c>
      <c r="C36" s="2" t="str">
        <f>IFERROR(__xludf.DUMMYFUNCTION("TRIM(INDEX(SPLIT($A36,""-""),2))
"),"괜찮아, 목심이야")</f>
        <v>괜찮아, 목심이야</v>
      </c>
    </row>
    <row r="37">
      <c r="A37" s="2" t="str">
        <f>IFERROR(__xludf.DUMMYFUNCTION("REGEXEXTRACT(raw!A37, ""&lt;\s*(.+?)\s*&gt;"")
"),"미카엘 셰프 - 마이 스위트 베이비")</f>
        <v>미카엘 셰프 - 마이 스위트 베이비</v>
      </c>
      <c r="B37" s="2" t="str">
        <f>IFERROR(__xludf.DUMMYFUNCTION("TRIM(
  SUBSTITUTE(
    INDEX(SPLIT($A37,""-""),1),
    ""셰프"", 
    """"
  )
)
"),"미카엘")</f>
        <v>미카엘</v>
      </c>
      <c r="C37" s="2" t="str">
        <f>IFERROR(__xludf.DUMMYFUNCTION("TRIM(INDEX(SPLIT($A37,""-""),2))
"),"마이 스위트 베이비")</f>
        <v>마이 스위트 베이비</v>
      </c>
    </row>
    <row r="38">
      <c r="A38" s="2" t="str">
        <f>IFERROR(__xludf.DUMMYFUNCTION("REGEXEXTRACT(raw!A38, ""&lt;\s*(.+?)\s*&gt;"")
"),"최현석 셰프 - 어란대첩")</f>
        <v>최현석 셰프 - 어란대첩</v>
      </c>
      <c r="B38" s="2" t="str">
        <f>IFERROR(__xludf.DUMMYFUNCTION("TRIM(
  SUBSTITUTE(
    INDEX(SPLIT($A38,""-""),1),
    ""셰프"", 
    """"
  )
)
"),"최현석")</f>
        <v>최현석</v>
      </c>
      <c r="C38" s="2" t="str">
        <f>IFERROR(__xludf.DUMMYFUNCTION("TRIM(INDEX(SPLIT($A38,""-""),2))
"),"어란대첩")</f>
        <v>어란대첩</v>
      </c>
    </row>
    <row r="39">
      <c r="A39" s="2" t="str">
        <f>IFERROR(__xludf.DUMMYFUNCTION("REGEXEXTRACT(raw!A39, ""&lt;\s*(.+?)\s*&gt;"")
"),"박준우 셰프 - 뉴타운 달팽이")</f>
        <v>박준우 셰프 - 뉴타운 달팽이</v>
      </c>
      <c r="B39" s="2" t="str">
        <f>IFERROR(__xludf.DUMMYFUNCTION("TRIM(
  SUBSTITUTE(
    INDEX(SPLIT($A39,""-""),1),
    ""셰프"", 
    """"
  )
)
"),"박준우")</f>
        <v>박준우</v>
      </c>
      <c r="C39" s="2" t="str">
        <f>IFERROR(__xludf.DUMMYFUNCTION("TRIM(INDEX(SPLIT($A39,""-""),2))
"),"뉴타운 달팽이")</f>
        <v>뉴타운 달팽이</v>
      </c>
    </row>
    <row r="40">
      <c r="A40" s="2" t="str">
        <f>IFERROR(__xludf.DUMMYFUNCTION("REGEXEXTRACT(raw!A40, ""&lt;\s*(.+?)\s*&gt;"")
"),"홍석천 셰프 - 삼국회담")</f>
        <v>홍석천 셰프 - 삼국회담</v>
      </c>
      <c r="B40" s="2" t="str">
        <f>IFERROR(__xludf.DUMMYFUNCTION("TRIM(
  SUBSTITUTE(
    INDEX(SPLIT($A40,""-""),1),
    ""셰프"", 
    """"
  )
)
"),"홍석천")</f>
        <v>홍석천</v>
      </c>
      <c r="C40" s="2" t="str">
        <f>IFERROR(__xludf.DUMMYFUNCTION("TRIM(INDEX(SPLIT($A40,""-""),2))
"),"삼국회담")</f>
        <v>삼국회담</v>
      </c>
    </row>
    <row r="41">
      <c r="A41" s="2" t="str">
        <f>IFERROR(__xludf.DUMMYFUNCTION("REGEXEXTRACT(raw!A41, ""&lt;\s*(.+?)\s*&gt;"")
"),"샘킴 셰프 - 로맨티스튜~♡")</f>
        <v>샘킴 셰프 - 로맨티스튜~♡</v>
      </c>
      <c r="B41" s="2" t="str">
        <f>IFERROR(__xludf.DUMMYFUNCTION("TRIM(
  SUBSTITUTE(
    INDEX(SPLIT($A41,""-""),1),
    ""셰프"", 
    """"
  )
)
"),"샘킴")</f>
        <v>샘킴</v>
      </c>
      <c r="C41" s="2" t="str">
        <f>IFERROR(__xludf.DUMMYFUNCTION("TRIM(INDEX(SPLIT($A41,""-""),2))
"),"로맨티스튜~♡")</f>
        <v>로맨티스튜~♡</v>
      </c>
    </row>
    <row r="42">
      <c r="A42" s="2" t="str">
        <f>IFERROR(__xludf.DUMMYFUNCTION("REGEXEXTRACT(raw!A42, ""&lt;\s*(.+?)\s*&gt;"")
"),"김풍 셰프 - 섹시 한 컵")</f>
        <v>김풍 셰프 - 섹시 한 컵</v>
      </c>
      <c r="B42" s="2" t="str">
        <f>IFERROR(__xludf.DUMMYFUNCTION("TRIM(
  SUBSTITUTE(
    INDEX(SPLIT($A42,""-""),1),
    ""셰프"", 
    """"
  )
)
"),"김풍")</f>
        <v>김풍</v>
      </c>
      <c r="C42" s="2" t="str">
        <f>IFERROR(__xludf.DUMMYFUNCTION("TRIM(INDEX(SPLIT($A42,""-""),2))
"),"섹시 한 컵")</f>
        <v>섹시 한 컵</v>
      </c>
    </row>
    <row r="43">
      <c r="A43" s="2" t="str">
        <f>IFERROR(__xludf.DUMMYFUNCTION("REGEXEXTRACT(raw!A43, ""&lt;\s*(.+?)\s*&gt;"")
"),"미카엘 셰프 - 가희에게 반하나")</f>
        <v>미카엘 셰프 - 가희에게 반하나</v>
      </c>
      <c r="B43" s="2" t="str">
        <f>IFERROR(__xludf.DUMMYFUNCTION("TRIM(
  SUBSTITUTE(
    INDEX(SPLIT($A43,""-""),1),
    ""셰프"", 
    """"
  )
)
"),"미카엘")</f>
        <v>미카엘</v>
      </c>
      <c r="C43" s="2" t="str">
        <f>IFERROR(__xludf.DUMMYFUNCTION("TRIM(INDEX(SPLIT($A43,""-""),2))
"),"가희에게 반하나")</f>
        <v>가희에게 반하나</v>
      </c>
    </row>
    <row r="44">
      <c r="A44" s="2" t="str">
        <f>IFERROR(__xludf.DUMMYFUNCTION("REGEXEXTRACT(raw!A44, ""&lt;\s*(.+?)\s*&gt;"")
"),"정창욱 셰프 - 엑소 떡볶이")</f>
        <v>정창욱 셰프 - 엑소 떡볶이</v>
      </c>
      <c r="B44" s="2" t="str">
        <f>IFERROR(__xludf.DUMMYFUNCTION("TRIM(
  SUBSTITUTE(
    INDEX(SPLIT($A44,""-""),1),
    ""셰프"", 
    """"
  )
)
"),"정창욱")</f>
        <v>정창욱</v>
      </c>
      <c r="C44" s="2" t="str">
        <f>IFERROR(__xludf.DUMMYFUNCTION("TRIM(INDEX(SPLIT($A44,""-""),2))
"),"엑소 떡볶이")</f>
        <v>엑소 떡볶이</v>
      </c>
    </row>
    <row r="45">
      <c r="A45" s="2" t="str">
        <f>IFERROR(__xludf.DUMMYFUNCTION("REGEXEXTRACT(raw!A45, ""&lt;\s*(.+?)\s*&gt;"")
"),"이원일 셰프 - 한 뚝볶이 하실래예?")</f>
        <v>이원일 셰프 - 한 뚝볶이 하실래예?</v>
      </c>
      <c r="B45" s="2" t="str">
        <f>IFERROR(__xludf.DUMMYFUNCTION("TRIM(
  SUBSTITUTE(
    INDEX(SPLIT($A45,""-""),1),
    ""셰프"", 
    """"
  )
)
"),"이원일")</f>
        <v>이원일</v>
      </c>
      <c r="C45" s="2" t="str">
        <f>IFERROR(__xludf.DUMMYFUNCTION("TRIM(INDEX(SPLIT($A45,""-""),2))
"),"한 뚝볶이 하실래예?")</f>
        <v>한 뚝볶이 하실래예?</v>
      </c>
    </row>
    <row r="46">
      <c r="A46" s="2" t="str">
        <f>IFERROR(__xludf.DUMMYFUNCTION("REGEXEXTRACT(raw!A46, ""&lt;\s*(.+?)\s*&gt;"")
"),"홍석천 셰프 - 굴로장생")</f>
        <v>홍석천 셰프 - 굴로장생</v>
      </c>
      <c r="B46" s="2" t="str">
        <f>IFERROR(__xludf.DUMMYFUNCTION("TRIM(
  SUBSTITUTE(
    INDEX(SPLIT($A46,""-""),1),
    ""셰프"", 
    """"
  )
)
"),"홍석천")</f>
        <v>홍석천</v>
      </c>
      <c r="C46" s="2" t="str">
        <f>IFERROR(__xludf.DUMMYFUNCTION("TRIM(INDEX(SPLIT($A46,""-""),2))
"),"굴로장생")</f>
        <v>굴로장생</v>
      </c>
    </row>
    <row r="47">
      <c r="A47" s="2" t="str">
        <f>IFERROR(__xludf.DUMMYFUNCTION("REGEXEXTRACT(raw!A47, ""&lt;\s*(.+?)\s*&gt;"")
"),"이원일 셰프 - 낙지 호로록")</f>
        <v>이원일 셰프 - 낙지 호로록</v>
      </c>
      <c r="B47" s="2" t="str">
        <f>IFERROR(__xludf.DUMMYFUNCTION("TRIM(
  SUBSTITUTE(
    INDEX(SPLIT($A47,""-""),1),
    ""셰프"", 
    """"
  )
)
"),"이원일")</f>
        <v>이원일</v>
      </c>
      <c r="C47" s="2" t="str">
        <f>IFERROR(__xludf.DUMMYFUNCTION("TRIM(INDEX(SPLIT($A47,""-""),2))
"),"낙지 호로록")</f>
        <v>낙지 호로록</v>
      </c>
    </row>
    <row r="48">
      <c r="A48" s="2" t="str">
        <f>IFERROR(__xludf.DUMMYFUNCTION("REGEXEXTRACT(raw!A48, ""&lt;\s*(.+?)\s*&gt;"")
"),"샘킴 셰프 - 달.고.나")</f>
        <v>샘킴 셰프 - 달.고.나</v>
      </c>
      <c r="B48" s="2" t="str">
        <f>IFERROR(__xludf.DUMMYFUNCTION("TRIM(
  SUBSTITUTE(
    INDEX(SPLIT($A48,""-""),1),
    ""셰프"", 
    """"
  )
)
"),"샘킴")</f>
        <v>샘킴</v>
      </c>
      <c r="C48" s="2" t="str">
        <f>IFERROR(__xludf.DUMMYFUNCTION("TRIM(INDEX(SPLIT($A48,""-""),2))
"),"달.고.나")</f>
        <v>달.고.나</v>
      </c>
    </row>
    <row r="49">
      <c r="A49" s="2" t="str">
        <f>IFERROR(__xludf.DUMMYFUNCTION("REGEXEXTRACT(raw!A49, ""&lt;\s*(.+?)\s*&gt;"")
"),"미카엘 셰프 - 오순도순")</f>
        <v>미카엘 셰프 - 오순도순</v>
      </c>
      <c r="B49" s="2" t="str">
        <f>IFERROR(__xludf.DUMMYFUNCTION("TRIM(
  SUBSTITUTE(
    INDEX(SPLIT($A49,""-""),1),
    ""셰프"", 
    """"
  )
)
"),"미카엘")</f>
        <v>미카엘</v>
      </c>
      <c r="C49" s="2" t="str">
        <f>IFERROR(__xludf.DUMMYFUNCTION("TRIM(INDEX(SPLIT($A49,""-""),2))
"),"오순도순")</f>
        <v>오순도순</v>
      </c>
    </row>
    <row r="50">
      <c r="A50" s="2" t="str">
        <f>IFERROR(__xludf.DUMMYFUNCTION("REGEXEXTRACT(raw!A50, ""&lt;\s*(.+?)\s*&gt;"")
"),"정창욱 셰프 - 굴링굴링")</f>
        <v>정창욱 셰프 - 굴링굴링</v>
      </c>
      <c r="B50" s="2" t="str">
        <f>IFERROR(__xludf.DUMMYFUNCTION("TRIM(
  SUBSTITUTE(
    INDEX(SPLIT($A50,""-""),1),
    ""셰프"", 
    """"
  )
)
"),"정창욱")</f>
        <v>정창욱</v>
      </c>
      <c r="C50" s="2" t="str">
        <f>IFERROR(__xludf.DUMMYFUNCTION("TRIM(INDEX(SPLIT($A50,""-""),2))
"),"굴링굴링")</f>
        <v>굴링굴링</v>
      </c>
    </row>
    <row r="51">
      <c r="A51" s="2" t="str">
        <f>IFERROR(__xludf.DUMMYFUNCTION("REGEXEXTRACT(raw!A51, ""&lt;\s*(.+?)\s*&gt;"")
"),"최현석 셰프 - 보굴보굴")</f>
        <v>최현석 셰프 - 보굴보굴</v>
      </c>
      <c r="B51" s="2" t="str">
        <f>IFERROR(__xludf.DUMMYFUNCTION("TRIM(
  SUBSTITUTE(
    INDEX(SPLIT($A51,""-""),1),
    ""셰프"", 
    """"
  )
)
"),"최현석")</f>
        <v>최현석</v>
      </c>
      <c r="C51" s="2" t="str">
        <f>IFERROR(__xludf.DUMMYFUNCTION("TRIM(INDEX(SPLIT($A51,""-""),2))
"),"보굴보굴")</f>
        <v>보굴보굴</v>
      </c>
    </row>
    <row r="52">
      <c r="A52" s="2" t="str">
        <f>IFERROR(__xludf.DUMMYFUNCTION("REGEXEXTRACT(raw!A52, ""&lt;\s*(.+?)\s*&gt;"")
"),"김풍 셰프 - 허풍찜닭밥")</f>
        <v>김풍 셰프 - 허풍찜닭밥</v>
      </c>
      <c r="B52" s="2" t="str">
        <f>IFERROR(__xludf.DUMMYFUNCTION("TRIM(
  SUBSTITUTE(
    INDEX(SPLIT($A52,""-""),1),
    ""셰프"", 
    """"
  )
)
"),"김풍")</f>
        <v>김풍</v>
      </c>
      <c r="C52" s="2" t="str">
        <f>IFERROR(__xludf.DUMMYFUNCTION("TRIM(INDEX(SPLIT($A52,""-""),2))
"),"허풍찜닭밥")</f>
        <v>허풍찜닭밥</v>
      </c>
    </row>
    <row r="53">
      <c r="A53" s="2" t="str">
        <f>IFERROR(__xludf.DUMMYFUNCTION("REGEXEXTRACT(raw!A53, ""&lt;\s*(.+?)\s*&gt;"")
"),"박준우 셰프 - 허달달")</f>
        <v>박준우 셰프 - 허달달</v>
      </c>
      <c r="B53" s="2" t="str">
        <f>IFERROR(__xludf.DUMMYFUNCTION("TRIM(
  SUBSTITUTE(
    INDEX(SPLIT($A53,""-""),1),
    ""셰프"", 
    """"
  )
)
"),"박준우")</f>
        <v>박준우</v>
      </c>
      <c r="C53" s="2" t="str">
        <f>IFERROR(__xludf.DUMMYFUNCTION("TRIM(INDEX(SPLIT($A53,""-""),2))
"),"허달달")</f>
        <v>허달달</v>
      </c>
    </row>
    <row r="54">
      <c r="A54" s="2" t="str">
        <f>IFERROR(__xludf.DUMMYFUNCTION("REGEXEXTRACT(raw!A54, ""&lt;\s*(.+?)\s*&gt;"")
"),"샘킴 셰프 - 파콘 투게더")</f>
        <v>샘킴 셰프 - 파콘 투게더</v>
      </c>
      <c r="B54" s="2" t="str">
        <f>IFERROR(__xludf.DUMMYFUNCTION("TRIM(
  SUBSTITUTE(
    INDEX(SPLIT($A54,""-""),1),
    ""셰프"", 
    """"
  )
)
"),"샘킴")</f>
        <v>샘킴</v>
      </c>
      <c r="C54" s="2" t="str">
        <f>IFERROR(__xludf.DUMMYFUNCTION("TRIM(INDEX(SPLIT($A54,""-""),2))
"),"파콘 투게더")</f>
        <v>파콘 투게더</v>
      </c>
    </row>
    <row r="55">
      <c r="A55" s="2" t="str">
        <f>IFERROR(__xludf.DUMMYFUNCTION("REGEXEXTRACT(raw!A55, ""&lt;\s*(.+?)\s*&gt;"")
"),"미카엘 셰프 - 백 투 더 치킨")</f>
        <v>미카엘 셰프 - 백 투 더 치킨</v>
      </c>
      <c r="B55" s="2" t="str">
        <f>IFERROR(__xludf.DUMMYFUNCTION("TRIM(
  SUBSTITUTE(
    INDEX(SPLIT($A55,""-""),1),
    ""셰프"", 
    """"
  )
)
"),"미카엘")</f>
        <v>미카엘</v>
      </c>
      <c r="C55" s="2" t="str">
        <f>IFERROR(__xludf.DUMMYFUNCTION("TRIM(INDEX(SPLIT($A55,""-""),2))
"),"백 투 더 치킨")</f>
        <v>백 투 더 치킨</v>
      </c>
    </row>
    <row r="56">
      <c r="A56" s="2" t="str">
        <f>IFERROR(__xludf.DUMMYFUNCTION("REGEXEXTRACT(raw!A56, ""&lt;\s*(.+?)\s*&gt;"")
"),"홍석천 셰프 - 멕시코 갓(god) 쌈?!")</f>
        <v>홍석천 셰프 - 멕시코 갓(god) 쌈?!</v>
      </c>
      <c r="B56" s="2" t="str">
        <f>IFERROR(__xludf.DUMMYFUNCTION("TRIM(
  SUBSTITUTE(
    INDEX(SPLIT($A56,""-""),1),
    ""셰프"", 
    """"
  )
)
"),"홍석천")</f>
        <v>홍석천</v>
      </c>
      <c r="C56" s="2" t="str">
        <f>IFERROR(__xludf.DUMMYFUNCTION("TRIM(INDEX(SPLIT($A56,""-""),2))
"),"멕시코 갓(god) 쌈?!")</f>
        <v>멕시코 갓(god) 쌈?!</v>
      </c>
    </row>
    <row r="57">
      <c r="A57" s="2" t="str">
        <f>IFERROR(__xludf.DUMMYFUNCTION("REGEXEXTRACT(raw!A57, ""&lt;\s*(.+?)\s*&gt;"")
"),"정창욱 셰프 - 타코 리턴")</f>
        <v>정창욱 셰프 - 타코 리턴</v>
      </c>
      <c r="B57" s="2" t="str">
        <f>IFERROR(__xludf.DUMMYFUNCTION("TRIM(
  SUBSTITUTE(
    INDEX(SPLIT($A57,""-""),1),
    ""셰프"", 
    """"
  )
)
"),"정창욱")</f>
        <v>정창욱</v>
      </c>
      <c r="C57" s="2" t="str">
        <f>IFERROR(__xludf.DUMMYFUNCTION("TRIM(INDEX(SPLIT($A57,""-""),2))
"),"타코 리턴")</f>
        <v>타코 리턴</v>
      </c>
    </row>
    <row r="58">
      <c r="A58" s="2" t="str">
        <f>IFERROR(__xludf.DUMMYFUNCTION("REGEXEXTRACT(raw!A58, ""&lt;\s*(.+?)\s*&gt;"")
"),"이원일 셰프 - 냉장고탕")</f>
        <v>이원일 셰프 - 냉장고탕</v>
      </c>
      <c r="B58" s="2" t="str">
        <f>IFERROR(__xludf.DUMMYFUNCTION("TRIM(
  SUBSTITUTE(
    INDEX(SPLIT($A58,""-""),1),
    ""셰프"", 
    """"
  )
)
"),"이원일")</f>
        <v>이원일</v>
      </c>
      <c r="C58" s="2" t="str">
        <f>IFERROR(__xludf.DUMMYFUNCTION("TRIM(INDEX(SPLIT($A58,""-""),2))
"),"냉장고탕")</f>
        <v>냉장고탕</v>
      </c>
    </row>
    <row r="59">
      <c r="A59" s="2" t="str">
        <f>IFERROR(__xludf.DUMMYFUNCTION("REGEXEXTRACT(raw!A59, ""&lt;\s*(.+?)\s*&gt;"")
"),"박준우 셰프 - 고된 밀푀유")</f>
        <v>박준우 셰프 - 고된 밀푀유</v>
      </c>
      <c r="B59" s="2" t="str">
        <f>IFERROR(__xludf.DUMMYFUNCTION("TRIM(
  SUBSTITUTE(
    INDEX(SPLIT($A59,""-""),1),
    ""셰프"", 
    """"
  )
)
"),"박준우")</f>
        <v>박준우</v>
      </c>
      <c r="C59" s="2" t="str">
        <f>IFERROR(__xludf.DUMMYFUNCTION("TRIM(INDEX(SPLIT($A59,""-""),2))
"),"고된 밀푀유")</f>
        <v>고된 밀푀유</v>
      </c>
    </row>
    <row r="60">
      <c r="A60" s="2" t="str">
        <f>IFERROR(__xludf.DUMMYFUNCTION("REGEXEXTRACT(raw!A60, ""&lt;\s*(.+?)\s*&gt;"")
"),"최현석 셰프 - 안심하드라고~!")</f>
        <v>최현석 셰프 - 안심하드라고~!</v>
      </c>
      <c r="B60" s="2" t="str">
        <f>IFERROR(__xludf.DUMMYFUNCTION("TRIM(
  SUBSTITUTE(
    INDEX(SPLIT($A60,""-""),1),
    ""셰프"", 
    """"
  )
)
"),"최현석")</f>
        <v>최현석</v>
      </c>
      <c r="C60" s="2" t="str">
        <f>IFERROR(__xludf.DUMMYFUNCTION("TRIM(INDEX(SPLIT($A60,""-""),2))
"),"안심하드라고~!")</f>
        <v>안심하드라고~!</v>
      </c>
    </row>
    <row r="61">
      <c r="A61" s="2" t="str">
        <f>IFERROR(__xludf.DUMMYFUNCTION("REGEXEXTRACT(raw!A61, ""&lt;\s*(.+?)\s*&gt;"")
"),"김풍 셰프 - 미숫가루보나라")</f>
        <v>김풍 셰프 - 미숫가루보나라</v>
      </c>
      <c r="B61" s="2" t="str">
        <f>IFERROR(__xludf.DUMMYFUNCTION("TRIM(
  SUBSTITUTE(
    INDEX(SPLIT($A61,""-""),1),
    ""셰프"", 
    """"
  )
)
"),"김풍")</f>
        <v>김풍</v>
      </c>
      <c r="C61" s="2" t="str">
        <f>IFERROR(__xludf.DUMMYFUNCTION("TRIM(INDEX(SPLIT($A61,""-""),2))
"),"미숫가루보나라")</f>
        <v>미숫가루보나라</v>
      </c>
    </row>
    <row r="62">
      <c r="A62" s="2" t="str">
        <f>IFERROR(__xludf.DUMMYFUNCTION("REGEXEXTRACT(raw!A62, ""&lt;\s*(.+?)\s*&gt;"")
"),"정창욱 셰프 - 미소볼")</f>
        <v>정창욱 셰프 - 미소볼</v>
      </c>
      <c r="B62" s="2" t="str">
        <f>IFERROR(__xludf.DUMMYFUNCTION("TRIM(
  SUBSTITUTE(
    INDEX(SPLIT($A62,""-""),1),
    ""셰프"", 
    """"
  )
)
"),"정창욱")</f>
        <v>정창욱</v>
      </c>
      <c r="C62" s="2" t="str">
        <f>IFERROR(__xludf.DUMMYFUNCTION("TRIM(INDEX(SPLIT($A62,""-""),2))
"),"미소볼")</f>
        <v>미소볼</v>
      </c>
    </row>
    <row r="63">
      <c r="A63" s="2" t="str">
        <f>IFERROR(__xludf.DUMMYFUNCTION("REGEXEXTRACT(raw!A63, ""&lt;\s*(.+?)\s*&gt;"")
"),"김풍 셰프 - 와풍 주니어 버거")</f>
        <v>김풍 셰프 - 와풍 주니어 버거</v>
      </c>
      <c r="B63" s="2" t="str">
        <f>IFERROR(__xludf.DUMMYFUNCTION("TRIM(
  SUBSTITUTE(
    INDEX(SPLIT($A63,""-""),1),
    ""셰프"", 
    """"
  )
)
"),"김풍")</f>
        <v>김풍</v>
      </c>
      <c r="C63" s="2" t="str">
        <f>IFERROR(__xludf.DUMMYFUNCTION("TRIM(INDEX(SPLIT($A63,""-""),2))
"),"와풍 주니어 버거")</f>
        <v>와풍 주니어 버거</v>
      </c>
    </row>
    <row r="64">
      <c r="A64" s="2" t="str">
        <f>IFERROR(__xludf.DUMMYFUNCTION("REGEXEXTRACT(raw!A64, ""&lt;\s*(.+?)\s*&gt;"")
"),"이원일 셰프 - 트리퐁크라운")</f>
        <v>이원일 셰프 - 트리퐁크라운</v>
      </c>
      <c r="B64" s="2" t="str">
        <f>IFERROR(__xludf.DUMMYFUNCTION("TRIM(
  SUBSTITUTE(
    INDEX(SPLIT($A64,""-""),1),
    ""셰프"", 
    """"
  )
)
"),"이원일")</f>
        <v>이원일</v>
      </c>
      <c r="C64" s="2" t="str">
        <f>IFERROR(__xludf.DUMMYFUNCTION("TRIM(INDEX(SPLIT($A64,""-""),2))
"),"트리퐁크라운")</f>
        <v>트리퐁크라운</v>
      </c>
    </row>
    <row r="65">
      <c r="A65" s="2" t="str">
        <f>IFERROR(__xludf.DUMMYFUNCTION("REGEXEXTRACT(raw!A65, ""&lt;\s*(.+?)\s*&gt;"")
"),"박준우 셰프 - 라벤더숲")</f>
        <v>박준우 셰프 - 라벤더숲</v>
      </c>
      <c r="B65" s="2" t="str">
        <f>IFERROR(__xludf.DUMMYFUNCTION("TRIM(
  SUBSTITUTE(
    INDEX(SPLIT($A65,""-""),1),
    ""셰프"", 
    """"
  )
)
"),"박준우")</f>
        <v>박준우</v>
      </c>
      <c r="C65" s="2" t="str">
        <f>IFERROR(__xludf.DUMMYFUNCTION("TRIM(INDEX(SPLIT($A65,""-""),2))
"),"라벤더숲")</f>
        <v>라벤더숲</v>
      </c>
    </row>
    <row r="66">
      <c r="A66" s="2" t="str">
        <f>IFERROR(__xludf.DUMMYFUNCTION("REGEXEXTRACT(raw!A66, ""&lt;\s*(.+?)\s*&gt;"")
"),"샘킴 - 살치는 매운 요리")</f>
        <v>샘킴 - 살치는 매운 요리</v>
      </c>
      <c r="B66" s="2" t="str">
        <f>IFERROR(__xludf.DUMMYFUNCTION("TRIM(INDEX(SPLIT($A66,""-""),1))
"),"샘킴")</f>
        <v>샘킴</v>
      </c>
      <c r="C66" s="2" t="str">
        <f>IFERROR(__xludf.DUMMYFUNCTION("TRIM(INDEX(SPLIT($A66,""-""),2))
"),"살치는 매운 요리")</f>
        <v>살치는 매운 요리</v>
      </c>
    </row>
    <row r="67">
      <c r="A67" s="2" t="str">
        <f>IFERROR(__xludf.DUMMYFUNCTION("REGEXEXTRACT(raw!A67, ""&lt;\s*(.+?)\s*&gt;"")
"),"최현석 - 삼고마비")</f>
        <v>최현석 - 삼고마비</v>
      </c>
      <c r="B67" s="2" t="str">
        <f>IFERROR(__xludf.DUMMYFUNCTION("TRIM(INDEX(SPLIT($A67,""-""),1))
"),"최현석")</f>
        <v>최현석</v>
      </c>
      <c r="C67" s="2" t="str">
        <f>IFERROR(__xludf.DUMMYFUNCTION("TRIM(INDEX(SPLIT($A67,""-""),2))
"),"삼고마비")</f>
        <v>삼고마비</v>
      </c>
    </row>
    <row r="68">
      <c r="A68" s="2" t="str">
        <f>IFERROR(__xludf.DUMMYFUNCTION("REGEXEXTRACT(raw!A68, ""&lt;\s*(.+?)\s*&gt;"")
"),"미카엘 - 가슴이 콩닭콩닭")</f>
        <v>미카엘 - 가슴이 콩닭콩닭</v>
      </c>
      <c r="B68" s="2" t="str">
        <f>IFERROR(__xludf.DUMMYFUNCTION("TRIM(INDEX(SPLIT($A68,""-""),1))
"),"미카엘")</f>
        <v>미카엘</v>
      </c>
      <c r="C68" s="2" t="str">
        <f>IFERROR(__xludf.DUMMYFUNCTION("TRIM(INDEX(SPLIT($A68,""-""),2))
"),"가슴이 콩닭콩닭")</f>
        <v>가슴이 콩닭콩닭</v>
      </c>
    </row>
    <row r="69">
      <c r="A69" s="2" t="str">
        <f>IFERROR(__xludf.DUMMYFUNCTION("REGEXEXTRACT(raw!A69, ""&lt;\s*(.+?)\s*&gt;"")
"),"홍석천 - 나 혼자 쓰리볼")</f>
        <v>홍석천 - 나 혼자 쓰리볼</v>
      </c>
      <c r="B69" s="2" t="str">
        <f>IFERROR(__xludf.DUMMYFUNCTION("TRIM(INDEX(SPLIT($A69,""-""),1))
"),"홍석천")</f>
        <v>홍석천</v>
      </c>
      <c r="C69" s="2" t="str">
        <f>IFERROR(__xludf.DUMMYFUNCTION("TRIM(INDEX(SPLIT($A69,""-""),2))
"),"나 혼자 쓰리볼")</f>
        <v>나 혼자 쓰리볼</v>
      </c>
    </row>
    <row r="70">
      <c r="A70" s="2" t="str">
        <f>IFERROR(__xludf.DUMMYFUNCTION("REGEXEXTRACT(raw!A70, ""&lt;\s*(.+?)\s*&gt;"")
"),"샘킴 - 연양만점")</f>
        <v>샘킴 - 연양만점</v>
      </c>
      <c r="B70" s="2" t="str">
        <f>IFERROR(__xludf.DUMMYFUNCTION("TRIM(INDEX(SPLIT($A70,""-""),1))
"),"샘킴")</f>
        <v>샘킴</v>
      </c>
      <c r="C70" s="2" t="str">
        <f>IFERROR(__xludf.DUMMYFUNCTION("TRIM(INDEX(SPLIT($A70,""-""),2))
"),"연양만점")</f>
        <v>연양만점</v>
      </c>
    </row>
    <row r="71">
      <c r="A71" s="2" t="str">
        <f>IFERROR(__xludf.DUMMYFUNCTION("REGEXEXTRACT(raw!A71, ""&lt;\s*(.+?)\s*&gt;"")
"),"정창욱 - 의기양양")</f>
        <v>정창욱 - 의기양양</v>
      </c>
      <c r="B71" s="2" t="str">
        <f>IFERROR(__xludf.DUMMYFUNCTION("TRIM(INDEX(SPLIT($A71,""-""),1))
"),"정창욱")</f>
        <v>정창욱</v>
      </c>
      <c r="C71" s="2" t="str">
        <f>IFERROR(__xludf.DUMMYFUNCTION("TRIM(INDEX(SPLIT($A71,""-""),2))
"),"의기양양")</f>
        <v>의기양양</v>
      </c>
    </row>
    <row r="72">
      <c r="A72" s="2" t="str">
        <f>IFERROR(__xludf.DUMMYFUNCTION("REGEXEXTRACT(raw!A72, ""&lt;\s*(.+?)\s*&gt;"")
"),"이원일 - 감자봤수란")</f>
        <v>이원일 - 감자봤수란</v>
      </c>
      <c r="B72" s="2" t="str">
        <f>IFERROR(__xludf.DUMMYFUNCTION("TRIM(INDEX(SPLIT($A72,""-""),1))
"),"이원일")</f>
        <v>이원일</v>
      </c>
      <c r="C72" s="2" t="str">
        <f>IFERROR(__xludf.DUMMYFUNCTION("TRIM(INDEX(SPLIT($A72,""-""),2))
"),"감자봤수란")</f>
        <v>감자봤수란</v>
      </c>
    </row>
    <row r="73">
      <c r="A73" s="2" t="str">
        <f>IFERROR(__xludf.DUMMYFUNCTION("REGEXEXTRACT(raw!A73, ""&lt;\s*(.+?)\s*&gt;"")
"),"김풍 - 미치고 팔닭")</f>
        <v>김풍 - 미치고 팔닭</v>
      </c>
      <c r="B73" s="2" t="str">
        <f>IFERROR(__xludf.DUMMYFUNCTION("TRIM(INDEX(SPLIT($A73,""-""),1))
"),"김풍")</f>
        <v>김풍</v>
      </c>
      <c r="C73" s="2" t="str">
        <f>IFERROR(__xludf.DUMMYFUNCTION("TRIM(INDEX(SPLIT($A73,""-""),2))
"),"미치고 팔닭")</f>
        <v>미치고 팔닭</v>
      </c>
    </row>
    <row r="74">
      <c r="A74" s="2" t="str">
        <f>IFERROR(__xludf.DUMMYFUNCTION("REGEXEXTRACT(raw!A74, ""&lt;\s*(.+?)\s*&gt;"")
"),"박준우 - 2연타")</f>
        <v>박준우 - 2연타</v>
      </c>
      <c r="B74" s="2" t="str">
        <f>IFERROR(__xludf.DUMMYFUNCTION("TRIM(INDEX(SPLIT($A74,""-""),1))
"),"박준우")</f>
        <v>박준우</v>
      </c>
      <c r="C74" s="2" t="str">
        <f>IFERROR(__xludf.DUMMYFUNCTION("TRIM(INDEX(SPLIT($A74,""-""),2))
"),"2연타")</f>
        <v>2연타</v>
      </c>
    </row>
    <row r="75">
      <c r="A75" s="2" t="str">
        <f>IFERROR(__xludf.DUMMYFUNCTION("REGEXEXTRACT(raw!A75, ""&lt;\s*(.+?)\s*&gt;"")
"),"홍석천 - 홍런볼")</f>
        <v>홍석천 - 홍런볼</v>
      </c>
      <c r="B75" s="2" t="str">
        <f>IFERROR(__xludf.DUMMYFUNCTION("TRIM(INDEX(SPLIT($A75,""-""),1))
"),"홍석천")</f>
        <v>홍석천</v>
      </c>
      <c r="C75" s="2" t="str">
        <f>IFERROR(__xludf.DUMMYFUNCTION("TRIM(INDEX(SPLIT($A75,""-""),2))
"),"홍런볼")</f>
        <v>홍런볼</v>
      </c>
    </row>
    <row r="76">
      <c r="A76" s="2" t="str">
        <f>IFERROR(__xludf.DUMMYFUNCTION("REGEXEXTRACT(raw!A76, ""&lt;\s*(.+?)\s*&gt;"")
"),"미카엘 - 비어 쉬림프")</f>
        <v>미카엘 - 비어 쉬림프</v>
      </c>
      <c r="B76" s="2" t="str">
        <f>IFERROR(__xludf.DUMMYFUNCTION("TRIM(INDEX(SPLIT($A76,""-""),1))
"),"미카엘")</f>
        <v>미카엘</v>
      </c>
      <c r="C76" s="2" t="str">
        <f>IFERROR(__xludf.DUMMYFUNCTION("TRIM(INDEX(SPLIT($A76,""-""),2))
"),"비어 쉬림프")</f>
        <v>비어 쉬림프</v>
      </c>
    </row>
    <row r="77">
      <c r="A77" s="2" t="str">
        <f>IFERROR(__xludf.DUMMYFUNCTION("REGEXEXTRACT(raw!A77, ""&lt;\s*(.+?)\s*&gt;"")
"),"최현석 - 치튀치튀뱅뱅")</f>
        <v>최현석 - 치튀치튀뱅뱅</v>
      </c>
      <c r="B77" s="2" t="str">
        <f>IFERROR(__xludf.DUMMYFUNCTION("TRIM(INDEX(SPLIT($A77,""-""),1))
"),"최현석")</f>
        <v>최현석</v>
      </c>
      <c r="C77" s="2" t="str">
        <f>IFERROR(__xludf.DUMMYFUNCTION("TRIM(INDEX(SPLIT($A77,""-""),2))
"),"치튀치튀뱅뱅")</f>
        <v>치튀치튀뱅뱅</v>
      </c>
    </row>
    <row r="78">
      <c r="A78" s="2" t="str">
        <f>IFERROR(__xludf.DUMMYFUNCTION("REGEXEXTRACT(raw!A78, ""&lt;\s*(.+?)\s*&gt;"")
"),"이원일 - 사우나 육국수")</f>
        <v>이원일 - 사우나 육국수</v>
      </c>
      <c r="B78" s="2" t="str">
        <f>IFERROR(__xludf.DUMMYFUNCTION("TRIM(INDEX(SPLIT($A78,""-""),1))
"),"이원일")</f>
        <v>이원일</v>
      </c>
      <c r="C78" s="2" t="str">
        <f>IFERROR(__xludf.DUMMYFUNCTION("TRIM(INDEX(SPLIT($A78,""-""),2))
"),"사우나 육국수")</f>
        <v>사우나 육국수</v>
      </c>
    </row>
    <row r="79">
      <c r="A79" s="2" t="str">
        <f>IFERROR(__xludf.DUMMYFUNCTION("REGEXEXTRACT(raw!A79, ""&lt;\s*(.+?)\s*&gt;"")
"),"이연복 - 완소짬뽕")</f>
        <v>이연복 - 완소짬뽕</v>
      </c>
      <c r="B79" s="2" t="str">
        <f>IFERROR(__xludf.DUMMYFUNCTION("TRIM(INDEX(SPLIT($A79,""-""),1))
"),"이연복")</f>
        <v>이연복</v>
      </c>
      <c r="C79" s="2" t="str">
        <f>IFERROR(__xludf.DUMMYFUNCTION("TRIM(INDEX(SPLIT($A79,""-""),2))
"),"완소짬뽕")</f>
        <v>완소짬뽕</v>
      </c>
    </row>
    <row r="80">
      <c r="A80" s="2" t="str">
        <f>IFERROR(__xludf.DUMMYFUNCTION("REGEXEXTRACT(raw!A80, ""&lt;\s*(.+?)\s*&gt;"")
"),"홍석천 - 털업 샐러드")</f>
        <v>홍석천 - 털업 샐러드</v>
      </c>
      <c r="B80" s="2" t="str">
        <f>IFERROR(__xludf.DUMMYFUNCTION("TRIM(INDEX(SPLIT($A80,""-""),1))
"),"홍석천")</f>
        <v>홍석천</v>
      </c>
      <c r="C80" s="2" t="str">
        <f>IFERROR(__xludf.DUMMYFUNCTION("TRIM(INDEX(SPLIT($A80,""-""),2))
"),"털업 샐러드")</f>
        <v>털업 샐러드</v>
      </c>
    </row>
    <row r="81">
      <c r="A81" s="2" t="str">
        <f>IFERROR(__xludf.DUMMYFUNCTION("REGEXEXTRACT(raw!A81, ""&lt;\s*(.+?)\s*&gt;"")
"),"정창욱 - 하우 두 유두?")</f>
        <v>정창욱 - 하우 두 유두?</v>
      </c>
      <c r="B81" s="2" t="str">
        <f>IFERROR(__xludf.DUMMYFUNCTION("TRIM(INDEX(SPLIT($A81,""-""),1))
"),"정창욱")</f>
        <v>정창욱</v>
      </c>
      <c r="C81" s="2" t="str">
        <f>IFERROR(__xludf.DUMMYFUNCTION("TRIM(INDEX(SPLIT($A81,""-""),2))
"),"하우 두 유두?")</f>
        <v>하우 두 유두?</v>
      </c>
    </row>
    <row r="82">
      <c r="A82" s="2" t="str">
        <f>IFERROR(__xludf.DUMMYFUNCTION("REGEXEXTRACT(raw!A82, ""&lt;\s*(.+?)\s*&gt;"")
"),"김풍 - 치즈 듬풍 토스트")</f>
        <v>김풍 - 치즈 듬풍 토스트</v>
      </c>
      <c r="B82" s="2" t="str">
        <f>IFERROR(__xludf.DUMMYFUNCTION("TRIM(INDEX(SPLIT($A82,""-""),1))
"),"김풍")</f>
        <v>김풍</v>
      </c>
      <c r="C82" s="2" t="str">
        <f>IFERROR(__xludf.DUMMYFUNCTION("TRIM(INDEX(SPLIT($A82,""-""),2))
"),"치즈 듬풍 토스트")</f>
        <v>치즈 듬풍 토스트</v>
      </c>
    </row>
    <row r="83">
      <c r="A83" s="2" t="str">
        <f>IFERROR(__xludf.DUMMYFUNCTION("REGEXEXTRACT(raw!A83, ""&lt;\s*(.+?)\s*&gt;"")
"),"샘킴 - 샘 앤 치즈 그라탱")</f>
        <v>샘킴 - 샘 앤 치즈 그라탱</v>
      </c>
      <c r="B83" s="2" t="str">
        <f>IFERROR(__xludf.DUMMYFUNCTION("TRIM(INDEX(SPLIT($A83,""-""),1))
"),"샘킴")</f>
        <v>샘킴</v>
      </c>
      <c r="C83" s="2" t="str">
        <f>IFERROR(__xludf.DUMMYFUNCTION("TRIM(INDEX(SPLIT($A83,""-""),2))
"),"샘 앤 치즈 그라탱")</f>
        <v>샘 앤 치즈 그라탱</v>
      </c>
    </row>
    <row r="84">
      <c r="A84" s="2" t="str">
        <f>IFERROR(__xludf.DUMMYFUNCTION("REGEXEXTRACT(raw!A84, ""&lt;\s*(.+?)\s*&gt;"")
"),"미카엘 - 베리베리 러블리걸")</f>
        <v>미카엘 - 베리베리 러블리걸</v>
      </c>
      <c r="B84" s="2" t="str">
        <f>IFERROR(__xludf.DUMMYFUNCTION("TRIM(INDEX(SPLIT($A84,""-""),1))
"),"미카엘")</f>
        <v>미카엘</v>
      </c>
      <c r="C84" s="2" t="str">
        <f>IFERROR(__xludf.DUMMYFUNCTION("TRIM(INDEX(SPLIT($A84,""-""),2))
"),"베리베리 러블리걸")</f>
        <v>베리베리 러블리걸</v>
      </c>
    </row>
    <row r="85">
      <c r="A85" s="2" t="str">
        <f>IFERROR(__xludf.DUMMYFUNCTION("REGEXEXTRACT(raw!A85, ""&lt;\s*(.+?)\s*&gt;"")
"),"박준우 - LOL : The love of your life")</f>
        <v>박준우 - LOL : The love of your life</v>
      </c>
      <c r="B85" s="2" t="str">
        <f>IFERROR(__xludf.DUMMYFUNCTION("TRIM(INDEX(SPLIT($A85,""-""),1))
"),"박준우")</f>
        <v>박준우</v>
      </c>
      <c r="C85" s="2" t="str">
        <f>IFERROR(__xludf.DUMMYFUNCTION("TRIM(INDEX(SPLIT($A85,""-""),2))
"),"LOL : The love of your life")</f>
        <v>LOL : The love of your life</v>
      </c>
    </row>
    <row r="86">
      <c r="A86" s="2" t="str">
        <f>IFERROR(__xludf.DUMMYFUNCTION("REGEXEXTRACT(raw!A86, ""&lt;\s*(.+?)\s*&gt;"")
"),"정창욱 - 순결한 튀김")</f>
        <v>정창욱 - 순결한 튀김</v>
      </c>
      <c r="B86" s="2" t="str">
        <f>IFERROR(__xludf.DUMMYFUNCTION("TRIM(INDEX(SPLIT($A86,""-""),1))
"),"정창욱")</f>
        <v>정창욱</v>
      </c>
      <c r="C86" s="2" t="str">
        <f>IFERROR(__xludf.DUMMYFUNCTION("TRIM(INDEX(SPLIT($A86,""-""),2))
"),"순결한 튀김")</f>
        <v>순결한 튀김</v>
      </c>
    </row>
    <row r="87">
      <c r="A87" s="2" t="str">
        <f>IFERROR(__xludf.DUMMYFUNCTION("REGEXEXTRACT(raw!A87, ""&lt;\s*(.+?)\s*&gt;"")
"),"이연복 - 고기 차이나")</f>
        <v>이연복 - 고기 차이나</v>
      </c>
      <c r="B87" s="2" t="str">
        <f>IFERROR(__xludf.DUMMYFUNCTION("TRIM(INDEX(SPLIT($A87,""-""),1))
"),"이연복")</f>
        <v>이연복</v>
      </c>
      <c r="C87" s="2" t="str">
        <f>IFERROR(__xludf.DUMMYFUNCTION("TRIM(INDEX(SPLIT($A87,""-""),2))
"),"고기 차이나")</f>
        <v>고기 차이나</v>
      </c>
    </row>
    <row r="88">
      <c r="A88" s="2" t="str">
        <f>IFERROR(__xludf.DUMMYFUNCTION("REGEXEXTRACT(raw!A88, ""&lt;\s*(.+?)\s*&gt;"")
"),"김풍 - 힘을 내요 슈퍼 나베")</f>
        <v>김풍 - 힘을 내요 슈퍼 나베</v>
      </c>
      <c r="B88" s="2" t="str">
        <f>IFERROR(__xludf.DUMMYFUNCTION("TRIM(INDEX(SPLIT($A88,""-""),1))
"),"김풍")</f>
        <v>김풍</v>
      </c>
      <c r="C88" s="2" t="str">
        <f>IFERROR(__xludf.DUMMYFUNCTION("TRIM(INDEX(SPLIT($A88,""-""),2))
"),"힘을 내요 슈퍼 나베")</f>
        <v>힘을 내요 슈퍼 나베</v>
      </c>
    </row>
    <row r="89">
      <c r="A89" s="2" t="str">
        <f>IFERROR(__xludf.DUMMYFUNCTION("REGEXEXTRACT(raw!A89, ""&lt;\s*(.+?)\s*&gt;"")
"),"미카엘 - 소테미너")</f>
        <v>미카엘 - 소테미너</v>
      </c>
      <c r="B89" s="2" t="str">
        <f>IFERROR(__xludf.DUMMYFUNCTION("TRIM(INDEX(SPLIT($A89,""-""),1))
"),"미카엘")</f>
        <v>미카엘</v>
      </c>
      <c r="C89" s="2" t="str">
        <f>IFERROR(__xludf.DUMMYFUNCTION("TRIM(INDEX(SPLIT($A89,""-""),2))
"),"소테미너")</f>
        <v>소테미너</v>
      </c>
    </row>
    <row r="90">
      <c r="A90" s="2" t="str">
        <f>IFERROR(__xludf.DUMMYFUNCTION("REGEXEXTRACT(raw!A90, ""&lt;\s*(.+?)\s*&gt;"")
"),"이원일 - 초코 모찌 맛있찌")</f>
        <v>이원일 - 초코 모찌 맛있찌</v>
      </c>
      <c r="B90" s="2" t="str">
        <f>IFERROR(__xludf.DUMMYFUNCTION("TRIM(INDEX(SPLIT($A90,""-""),1))
"),"이원일")</f>
        <v>이원일</v>
      </c>
      <c r="C90" s="2" t="str">
        <f>IFERROR(__xludf.DUMMYFUNCTION("TRIM(INDEX(SPLIT($A90,""-""),2))
"),"초코 모찌 맛있찌")</f>
        <v>초코 모찌 맛있찌</v>
      </c>
    </row>
    <row r="91">
      <c r="A91" s="2" t="str">
        <f>IFERROR(__xludf.DUMMYFUNCTION("REGEXEXTRACT(raw!A91, ""&lt;\s*(.+?)\s*&gt;"")
"),"최현석 - 수플레가 머랭?")</f>
        <v>최현석 - 수플레가 머랭?</v>
      </c>
      <c r="B91" s="2" t="str">
        <f>IFERROR(__xludf.DUMMYFUNCTION("TRIM(INDEX(SPLIT($A91,""-""),1))
"),"최현석")</f>
        <v>최현석</v>
      </c>
      <c r="C91" s="2" t="str">
        <f>IFERROR(__xludf.DUMMYFUNCTION("TRIM(INDEX(SPLIT($A91,""-""),2))
"),"수플레가 머랭?")</f>
        <v>수플레가 머랭?</v>
      </c>
    </row>
    <row r="92">
      <c r="A92" s="2" t="str">
        <f>IFERROR(__xludf.DUMMYFUNCTION("REGEXEXTRACT(raw!A92, ""&lt;\s*(.+?)\s*&gt;"")
"),"박준우 - 그.레.요 (그대를 위한 레토르트 요리)")</f>
        <v>박준우 - 그.레.요 (그대를 위한 레토르트 요리)</v>
      </c>
      <c r="B92" s="2" t="str">
        <f>IFERROR(__xludf.DUMMYFUNCTION("TRIM(INDEX(SPLIT($A92,""-""),1))
"),"박준우")</f>
        <v>박준우</v>
      </c>
      <c r="C92" s="2" t="str">
        <f>IFERROR(__xludf.DUMMYFUNCTION("TRIM(INDEX(SPLIT($A92,""-""),2))
"),"그.레.요 (그대를 위한 레토르트 요리)")</f>
        <v>그.레.요 (그대를 위한 레토르트 요리)</v>
      </c>
    </row>
    <row r="93">
      <c r="A93" s="2" t="str">
        <f>IFERROR(__xludf.DUMMYFUNCTION("REGEXEXTRACT(raw!A93, ""&lt;\s*(.+?)\s*&gt;"")
"),"홍석천 - 수픈데 오믈렛")</f>
        <v>홍석천 - 수픈데 오믈렛</v>
      </c>
      <c r="B93" s="2" t="str">
        <f>IFERROR(__xludf.DUMMYFUNCTION("TRIM(INDEX(SPLIT($A93,""-""),1))
"),"홍석천")</f>
        <v>홍석천</v>
      </c>
      <c r="C93" s="2" t="str">
        <f>IFERROR(__xludf.DUMMYFUNCTION("TRIM(INDEX(SPLIT($A93,""-""),2))
"),"수픈데 오믈렛")</f>
        <v>수픈데 오믈렛</v>
      </c>
    </row>
    <row r="94">
      <c r="A94" s="2" t="str">
        <f>IFERROR(__xludf.DUMMYFUNCTION("REGEXEXTRACT(raw!A94, ""&lt;\s*(.+?)\s*&gt;"")
"),"박준우 - 빠리송로")</f>
        <v>박준우 - 빠리송로</v>
      </c>
      <c r="B94" s="2" t="str">
        <f>IFERROR(__xludf.DUMMYFUNCTION("TRIM(INDEX(SPLIT($A94,""-""),1))
"),"박준우")</f>
        <v>박준우</v>
      </c>
      <c r="C94" s="2" t="str">
        <f>IFERROR(__xludf.DUMMYFUNCTION("TRIM(INDEX(SPLIT($A94,""-""),2))
"),"빠리송로")</f>
        <v>빠리송로</v>
      </c>
    </row>
    <row r="95">
      <c r="A95" s="2" t="str">
        <f>IFERROR(__xludf.DUMMYFUNCTION("REGEXEXTRACT(raw!A95, ""&lt;\s*(.+?)\s*&gt;"")
"),"샘킴 - 머라노")</f>
        <v>샘킴 - 머라노</v>
      </c>
      <c r="B95" s="2" t="str">
        <f>IFERROR(__xludf.DUMMYFUNCTION("TRIM(INDEX(SPLIT($A95,""-""),1))
"),"샘킴")</f>
        <v>샘킴</v>
      </c>
      <c r="C95" s="2" t="str">
        <f>IFERROR(__xludf.DUMMYFUNCTION("TRIM(INDEX(SPLIT($A95,""-""),2))
"),"머라노")</f>
        <v>머라노</v>
      </c>
    </row>
    <row r="96">
      <c r="A96" s="2" t="str">
        <f>IFERROR(__xludf.DUMMYFUNCTION("REGEXEXTRACT(raw!A96, ""&lt;\s*(.+?)\s*&gt;"")
"),"미카엘 - 파프리콘")</f>
        <v>미카엘 - 파프리콘</v>
      </c>
      <c r="B96" s="2" t="str">
        <f>IFERROR(__xludf.DUMMYFUNCTION("TRIM(INDEX(SPLIT($A96,""-""),1))
"),"미카엘")</f>
        <v>미카엘</v>
      </c>
      <c r="C96" s="2" t="str">
        <f>IFERROR(__xludf.DUMMYFUNCTION("TRIM(INDEX(SPLIT($A96,""-""),2))
"),"파프리콘")</f>
        <v>파프리콘</v>
      </c>
    </row>
    <row r="97">
      <c r="A97" s="2" t="str">
        <f>IFERROR(__xludf.DUMMYFUNCTION("REGEXEXTRACT(raw!A97, ""&lt;\s*(.+?)\s*&gt;"")
"),"정창욱 - 섬섬옥수수")</f>
        <v>정창욱 - 섬섬옥수수</v>
      </c>
      <c r="B97" s="2" t="str">
        <f>IFERROR(__xludf.DUMMYFUNCTION("TRIM(INDEX(SPLIT($A97,""-""),1))
"),"정창욱")</f>
        <v>정창욱</v>
      </c>
      <c r="C97" s="2" t="str">
        <f>IFERROR(__xludf.DUMMYFUNCTION("TRIM(INDEX(SPLIT($A97,""-""),2))
"),"섬섬옥수수")</f>
        <v>섬섬옥수수</v>
      </c>
    </row>
    <row r="98">
      <c r="A98" s="2" t="str">
        <f>IFERROR(__xludf.DUMMYFUNCTION("REGEXEXTRACT(raw!A98, ""&lt;\s*(.+?)\s*&gt;"")
"),"최현석 - 스푼 파스타")</f>
        <v>최현석 - 스푼 파스타</v>
      </c>
      <c r="B98" s="2" t="str">
        <f>IFERROR(__xludf.DUMMYFUNCTION("TRIM(INDEX(SPLIT($A98,""-""),1))
"),"최현석")</f>
        <v>최현석</v>
      </c>
      <c r="C98" s="2" t="str">
        <f>IFERROR(__xludf.DUMMYFUNCTION("TRIM(INDEX(SPLIT($A98,""-""),2))
"),"스푼 파스타")</f>
        <v>스푼 파스타</v>
      </c>
    </row>
    <row r="99">
      <c r="A99" s="2" t="str">
        <f>IFERROR(__xludf.DUMMYFUNCTION("REGEXEXTRACT(raw!A99, ""&lt;\s*(.+?)\s*&gt;"")
"),"이연복 - 연복쌈")</f>
        <v>이연복 - 연복쌈</v>
      </c>
      <c r="B99" s="2" t="str">
        <f>IFERROR(__xludf.DUMMYFUNCTION("TRIM(INDEX(SPLIT($A99,""-""),1))
"),"이연복")</f>
        <v>이연복</v>
      </c>
      <c r="C99" s="2" t="str">
        <f>IFERROR(__xludf.DUMMYFUNCTION("TRIM(INDEX(SPLIT($A99,""-""),2))
"),"연복쌈")</f>
        <v>연복쌈</v>
      </c>
    </row>
    <row r="100">
      <c r="A100" s="2" t="str">
        <f>IFERROR(__xludf.DUMMYFUNCTION("REGEXEXTRACT(raw!A100, ""&lt;\s*(.+?)\s*&gt;"")
"),"김풍 - 갈갈이 풍면")</f>
        <v>김풍 - 갈갈이 풍면</v>
      </c>
      <c r="B100" s="2" t="str">
        <f>IFERROR(__xludf.DUMMYFUNCTION("TRIM(INDEX(SPLIT($A100,""-""),1))
"),"김풍")</f>
        <v>김풍</v>
      </c>
      <c r="C100" s="2" t="str">
        <f>IFERROR(__xludf.DUMMYFUNCTION("TRIM(INDEX(SPLIT($A100,""-""),2))
"),"갈갈이 풍면")</f>
        <v>갈갈이 풍면</v>
      </c>
    </row>
    <row r="101">
      <c r="A101" s="2" t="str">
        <f>IFERROR(__xludf.DUMMYFUNCTION("REGEXEXTRACT(raw!A101, ""&lt;\s*(.+?)\s*&gt;"")
"),"이원일 - 한식 브런찜")</f>
        <v>이원일 - 한식 브런찜</v>
      </c>
      <c r="B101" s="2" t="str">
        <f>IFERROR(__xludf.DUMMYFUNCTION("TRIM(INDEX(SPLIT($A101,""-""),1))
"),"이원일")</f>
        <v>이원일</v>
      </c>
      <c r="C101" s="2" t="str">
        <f>IFERROR(__xludf.DUMMYFUNCTION("TRIM(INDEX(SPLIT($A101,""-""),2))
"),"한식 브런찜")</f>
        <v>한식 브런찜</v>
      </c>
    </row>
    <row r="102">
      <c r="A102" s="2" t="str">
        <f>IFERROR(__xludf.DUMMYFUNCTION("REGEXEXTRACT(raw!A102, ""&lt;\s*(.+?)\s*&gt;"")
"),"김풍 - 연복풍 덮밥")</f>
        <v>김풍 - 연복풍 덮밥</v>
      </c>
      <c r="B102" s="2" t="str">
        <f>IFERROR(__xludf.DUMMYFUNCTION("TRIM(INDEX(SPLIT($A102,""-""),1))
"),"김풍")</f>
        <v>김풍</v>
      </c>
      <c r="C102" s="2" t="str">
        <f>IFERROR(__xludf.DUMMYFUNCTION("TRIM(INDEX(SPLIT($A102,""-""),2))
"),"연복풍 덮밥")</f>
        <v>연복풍 덮밥</v>
      </c>
    </row>
    <row r="103">
      <c r="A103" s="2" t="str">
        <f>IFERROR(__xludf.DUMMYFUNCTION("REGEXEXTRACT(raw!A103, ""&lt;\s*(.+?)\s*&gt;"")
"),"샘킴 - 윌나잇까스")</f>
        <v>샘킴 - 윌나잇까스</v>
      </c>
      <c r="B103" s="2" t="str">
        <f>IFERROR(__xludf.DUMMYFUNCTION("TRIM(INDEX(SPLIT($A103,""-""),1))
"),"샘킴")</f>
        <v>샘킴</v>
      </c>
      <c r="C103" s="2" t="str">
        <f>IFERROR(__xludf.DUMMYFUNCTION("TRIM(INDEX(SPLIT($A103,""-""),2))
"),"윌나잇까스")</f>
        <v>윌나잇까스</v>
      </c>
    </row>
    <row r="104">
      <c r="A104" s="2" t="str">
        <f>IFERROR(__xludf.DUMMYFUNCTION("REGEXEXTRACT(raw!A104, ""&lt;\s*(.+?)\s*&gt;"")
"),"이원일 - 이것이 원윌이닭")</f>
        <v>이원일 - 이것이 원윌이닭</v>
      </c>
      <c r="B104" s="2" t="str">
        <f>IFERROR(__xludf.DUMMYFUNCTION("TRIM(INDEX(SPLIT($A104,""-""),1))
"),"이원일")</f>
        <v>이원일</v>
      </c>
      <c r="C104" s="2" t="str">
        <f>IFERROR(__xludf.DUMMYFUNCTION("TRIM(INDEX(SPLIT($A104,""-""),2))
"),"이것이 원윌이닭")</f>
        <v>이것이 원윌이닭</v>
      </c>
    </row>
    <row r="105">
      <c r="A105" s="2" t="str">
        <f>IFERROR(__xludf.DUMMYFUNCTION("REGEXEXTRACT(raw!A105, ""&lt;\s*(.+?)\s*&gt;"")
"),"미카엘 - 치킨 마요랑깨")</f>
        <v>미카엘 - 치킨 마요랑깨</v>
      </c>
      <c r="B105" s="2" t="str">
        <f>IFERROR(__xludf.DUMMYFUNCTION("TRIM(INDEX(SPLIT($A105,""-""),1))
"),"미카엘")</f>
        <v>미카엘</v>
      </c>
      <c r="C105" s="2" t="str">
        <f>IFERROR(__xludf.DUMMYFUNCTION("TRIM(INDEX(SPLIT($A105,""-""),2))
"),"치킨 마요랑깨")</f>
        <v>치킨 마요랑깨</v>
      </c>
    </row>
    <row r="106">
      <c r="A106" s="2" t="str">
        <f>IFERROR(__xludf.DUMMYFUNCTION("REGEXEXTRACT(raw!A106, ""&lt;\s*(.+?)\s*&gt;"")
"),"최현석 - 감동의 더가니")</f>
        <v>최현석 - 감동의 더가니</v>
      </c>
      <c r="B106" s="2" t="str">
        <f>IFERROR(__xludf.DUMMYFUNCTION("TRIM(INDEX(SPLIT($A106,""-""),1))
"),"최현석")</f>
        <v>최현석</v>
      </c>
      <c r="C106" s="2" t="str">
        <f>IFERROR(__xludf.DUMMYFUNCTION("TRIM(INDEX(SPLIT($A106,""-""),2))
"),"감동의 더가니")</f>
        <v>감동의 더가니</v>
      </c>
    </row>
    <row r="107">
      <c r="A107" s="2" t="str">
        <f>IFERROR(__xludf.DUMMYFUNCTION("REGEXEXTRACT(raw!A107, ""&lt;\s*(.+?)\s*&gt;"")
"),"홍석천 - 치사의 사탑")</f>
        <v>홍석천 - 치사의 사탑</v>
      </c>
      <c r="B107" s="2" t="str">
        <f>IFERROR(__xludf.DUMMYFUNCTION("TRIM(INDEX(SPLIT($A107,""-""),1))
"),"홍석천")</f>
        <v>홍석천</v>
      </c>
      <c r="C107" s="2" t="str">
        <f>IFERROR(__xludf.DUMMYFUNCTION("TRIM(INDEX(SPLIT($A107,""-""),2))
"),"치사의 사탑")</f>
        <v>치사의 사탑</v>
      </c>
    </row>
    <row r="108">
      <c r="A108" s="2" t="str">
        <f>IFERROR(__xludf.DUMMYFUNCTION("REGEXEXTRACT(raw!A108, ""&lt;\s*(.+?)\s*&gt;"")
"),"박준우 - 와인퐁당")</f>
        <v>박준우 - 와인퐁당</v>
      </c>
      <c r="B108" s="2" t="str">
        <f>IFERROR(__xludf.DUMMYFUNCTION("TRIM(INDEX(SPLIT($A108,""-""),1))
"),"박준우")</f>
        <v>박준우</v>
      </c>
      <c r="C108" s="2" t="str">
        <f>IFERROR(__xludf.DUMMYFUNCTION("TRIM(INDEX(SPLIT($A108,""-""),2))
"),"와인퐁당")</f>
        <v>와인퐁당</v>
      </c>
    </row>
    <row r="109">
      <c r="A109" s="2" t="str">
        <f>IFERROR(__xludf.DUMMYFUNCTION("REGEXEXTRACT(raw!A109, ""&lt;\s*(.+?)\s*&gt;"")
"),"정창욱 - 우와한 양갈비")</f>
        <v>정창욱 - 우와한 양갈비</v>
      </c>
      <c r="B109" s="2" t="str">
        <f>IFERROR(__xludf.DUMMYFUNCTION("TRIM(INDEX(SPLIT($A109,""-""),1))
"),"정창욱")</f>
        <v>정창욱</v>
      </c>
      <c r="C109" s="2" t="str">
        <f>IFERROR(__xludf.DUMMYFUNCTION("TRIM(INDEX(SPLIT($A109,""-""),2))
"),"우와한 양갈비")</f>
        <v>우와한 양갈비</v>
      </c>
    </row>
    <row r="110">
      <c r="A110" s="2" t="str">
        <f>IFERROR(__xludf.DUMMYFUNCTION("REGEXEXTRACT(raw!A110, ""&lt;\s*(.+?)\s*&gt;"")
"),"김풍 - 이길 만두 하자냐")</f>
        <v>김풍 - 이길 만두 하자냐</v>
      </c>
      <c r="B110" s="2" t="str">
        <f>IFERROR(__xludf.DUMMYFUNCTION("TRIM(INDEX(SPLIT($A110,""-""),1))
"),"김풍")</f>
        <v>김풍</v>
      </c>
      <c r="C110" s="2" t="str">
        <f>IFERROR(__xludf.DUMMYFUNCTION("TRIM(INDEX(SPLIT($A110,""-""),2))
"),"이길 만두 하자냐")</f>
        <v>이길 만두 하자냐</v>
      </c>
    </row>
    <row r="111">
      <c r="A111" s="2" t="str">
        <f>IFERROR(__xludf.DUMMYFUNCTION("REGEXEXTRACT(raw!A111, ""&lt;\s*(.+?)\s*&gt;"")
"),"이연복 - 복꽃엔딩")</f>
        <v>이연복 - 복꽃엔딩</v>
      </c>
      <c r="B111" s="2" t="str">
        <f>IFERROR(__xludf.DUMMYFUNCTION("TRIM(INDEX(SPLIT($A111,""-""),1))
"),"이연복")</f>
        <v>이연복</v>
      </c>
      <c r="C111" s="2" t="str">
        <f>IFERROR(__xludf.DUMMYFUNCTION("TRIM(INDEX(SPLIT($A111,""-""),2))
"),"복꽃엔딩")</f>
        <v>복꽃엔딩</v>
      </c>
    </row>
    <row r="112">
      <c r="A112" s="2" t="str">
        <f>IFERROR(__xludf.DUMMYFUNCTION("REGEXEXTRACT(raw!A112, ""&lt;\s*(.+?)\s*&gt;"")
"),"맹기용 - 맹모닝")</f>
        <v>맹기용 - 맹모닝</v>
      </c>
      <c r="B112" s="2" t="str">
        <f>IFERROR(__xludf.DUMMYFUNCTION("TRIM(INDEX(SPLIT($A112,""-""),1))
"),"맹기용")</f>
        <v>맹기용</v>
      </c>
      <c r="C112" s="2" t="str">
        <f>IFERROR(__xludf.DUMMYFUNCTION("TRIM(INDEX(SPLIT($A112,""-""),2))
"),"맹모닝")</f>
        <v>맹모닝</v>
      </c>
    </row>
    <row r="113">
      <c r="A113" s="2" t="str">
        <f>IFERROR(__xludf.DUMMYFUNCTION("REGEXEXTRACT(raw!A113, ""&lt;\s*(.+?)\s*&gt;"")
"),"이원일 - LA 떡다져스")</f>
        <v>이원일 - LA 떡다져스</v>
      </c>
      <c r="B113" s="2" t="str">
        <f>IFERROR(__xludf.DUMMYFUNCTION("TRIM(INDEX(SPLIT($A113,""-""),1))
"),"이원일")</f>
        <v>이원일</v>
      </c>
      <c r="C113" s="2" t="str">
        <f>IFERROR(__xludf.DUMMYFUNCTION("TRIM(INDEX(SPLIT($A113,""-""),2))
"),"LA 떡다져스")</f>
        <v>LA 떡다져스</v>
      </c>
    </row>
    <row r="114">
      <c r="A114" s="2" t="str">
        <f>IFERROR(__xludf.DUMMYFUNCTION("REGEXEXTRACT(raw!A114, ""&lt;\s*(.+?)\s*&gt;"")
"),"최현석 - 혜.품.닭")</f>
        <v>최현석 - 혜.품.닭</v>
      </c>
      <c r="B114" s="2" t="str">
        <f>IFERROR(__xludf.DUMMYFUNCTION("TRIM(INDEX(SPLIT($A114,""-""),1))
"),"최현석")</f>
        <v>최현석</v>
      </c>
      <c r="C114" s="2" t="str">
        <f>IFERROR(__xludf.DUMMYFUNCTION("TRIM(INDEX(SPLIT($A114,""-""),2))
"),"혜.품.닭")</f>
        <v>혜.품.닭</v>
      </c>
    </row>
    <row r="115">
      <c r="A115" s="2" t="str">
        <f>IFERROR(__xludf.DUMMYFUNCTION("REGEXEXTRACT(raw!A115, ""&lt;\s*(.+?)\s*&gt;"")
"),"정창욱 - 커룽지")</f>
        <v>정창욱 - 커룽지</v>
      </c>
      <c r="B115" s="2" t="str">
        <f>IFERROR(__xludf.DUMMYFUNCTION("TRIM(INDEX(SPLIT($A115,""-""),1))
"),"정창욱")</f>
        <v>정창욱</v>
      </c>
      <c r="C115" s="2" t="str">
        <f>IFERROR(__xludf.DUMMYFUNCTION("TRIM(INDEX(SPLIT($A115,""-""),2))
"),"커룽지")</f>
        <v>커룽지</v>
      </c>
    </row>
    <row r="116">
      <c r="A116" s="2" t="str">
        <f>IFERROR(__xludf.DUMMYFUNCTION("REGEXEXTRACT(raw!A116, ""&lt;\s*(.+?)\s*&gt;"")
"),"샘킴 - 아빠손 피자")</f>
        <v>샘킴 - 아빠손 피자</v>
      </c>
      <c r="B116" s="2" t="str">
        <f>IFERROR(__xludf.DUMMYFUNCTION("TRIM(INDEX(SPLIT($A116,""-""),1))
"),"샘킴")</f>
        <v>샘킴</v>
      </c>
      <c r="C116" s="2" t="str">
        <f>IFERROR(__xludf.DUMMYFUNCTION("TRIM(INDEX(SPLIT($A116,""-""),2))
"),"아빠손 피자")</f>
        <v>아빠손 피자</v>
      </c>
    </row>
    <row r="117">
      <c r="A117" s="2" t="str">
        <f>IFERROR(__xludf.DUMMYFUNCTION("REGEXEXTRACT(raw!A117, ""&lt;\s*(.+?)\s*&gt;"")
"),"미카엘 - 따라미소")</f>
        <v>미카엘 - 따라미소</v>
      </c>
      <c r="B117" s="2" t="str">
        <f>IFERROR(__xludf.DUMMYFUNCTION("TRIM(INDEX(SPLIT($A117,""-""),1))
"),"미카엘")</f>
        <v>미카엘</v>
      </c>
      <c r="C117" s="2" t="str">
        <f>IFERROR(__xludf.DUMMYFUNCTION("TRIM(INDEX(SPLIT($A117,""-""),2))
"),"따라미소")</f>
        <v>따라미소</v>
      </c>
    </row>
    <row r="118">
      <c r="A118" s="2" t="str">
        <f>IFERROR(__xludf.DUMMYFUNCTION("REGEXEXTRACT(raw!A118, ""&lt;\s*(.+?)\s*&gt;"")
"),"김풍 - 흥.칩.풍")</f>
        <v>김풍 - 흥.칩.풍</v>
      </c>
      <c r="B118" s="2" t="str">
        <f>IFERROR(__xludf.DUMMYFUNCTION("TRIM(INDEX(SPLIT($A118,""-""),1))
"),"김풍")</f>
        <v>김풍</v>
      </c>
      <c r="C118" s="2" t="str">
        <f>IFERROR(__xludf.DUMMYFUNCTION("TRIM(INDEX(SPLIT($A118,""-""),2))
"),"흥.칩.풍")</f>
        <v>흥.칩.풍</v>
      </c>
    </row>
    <row r="119">
      <c r="A119" s="2" t="str">
        <f>IFERROR(__xludf.DUMMYFUNCTION("REGEXEXTRACT(raw!A119, ""&lt;\s*(.+?)\s*&gt;"")
"),"맹기용 - 이롤슈가")</f>
        <v>맹기용 - 이롤슈가</v>
      </c>
      <c r="B119" s="2" t="str">
        <f>IFERROR(__xludf.DUMMYFUNCTION("TRIM(INDEX(SPLIT($A119,""-""),1))
"),"맹기용")</f>
        <v>맹기용</v>
      </c>
      <c r="C119" s="2" t="str">
        <f>IFERROR(__xludf.DUMMYFUNCTION("TRIM(INDEX(SPLIT($A119,""-""),2))
"),"이롤슈가")</f>
        <v>이롤슈가</v>
      </c>
    </row>
    <row r="120">
      <c r="A120" s="2" t="str">
        <f>IFERROR(__xludf.DUMMYFUNCTION("REGEXEXTRACT(raw!A120, ""&lt;\s*(.+?)\s*&gt;"")
"),"정창욱 - 나이스 춘권")</f>
        <v>정창욱 - 나이스 춘권</v>
      </c>
      <c r="B120" s="2" t="str">
        <f>IFERROR(__xludf.DUMMYFUNCTION("TRIM(INDEX(SPLIT($A120,""-""),1))
"),"정창욱")</f>
        <v>정창욱</v>
      </c>
      <c r="C120" s="2" t="str">
        <f>IFERROR(__xludf.DUMMYFUNCTION("TRIM(INDEX(SPLIT($A120,""-""),2))
"),"나이스 춘권")</f>
        <v>나이스 춘권</v>
      </c>
    </row>
    <row r="121">
      <c r="A121" s="2" t="str">
        <f>IFERROR(__xludf.DUMMYFUNCTION("REGEXEXTRACT(raw!A121, ""&lt;\s*(.+?)\s*&gt;"")
"),"샘킴 - 오리감자 너엇~!")</f>
        <v>샘킴 - 오리감자 너엇~!</v>
      </c>
      <c r="B121" s="2" t="str">
        <f>IFERROR(__xludf.DUMMYFUNCTION("TRIM(INDEX(SPLIT($A121,""-""),1))
"),"샘킴")</f>
        <v>샘킴</v>
      </c>
      <c r="C121" s="2" t="str">
        <f>IFERROR(__xludf.DUMMYFUNCTION("TRIM(INDEX(SPLIT($A121,""-""),2))
"),"오리감자 너엇~!")</f>
        <v>오리감자 너엇~!</v>
      </c>
    </row>
    <row r="122">
      <c r="A122" s="2" t="str">
        <f>IFERROR(__xludf.DUMMYFUNCTION("REGEXEXTRACT(raw!A122, ""&lt;\s*(.+?)\s*&gt;"")
"),"홍석천- 행사의 완자님")</f>
        <v>홍석천- 행사의 완자님</v>
      </c>
      <c r="B122" s="2" t="str">
        <f>IFERROR(__xludf.DUMMYFUNCTION("TRIM(INDEX(SPLIT($A122,""-""),1))
"),"홍석천")</f>
        <v>홍석천</v>
      </c>
      <c r="C122" s="2" t="str">
        <f>IFERROR(__xludf.DUMMYFUNCTION("TRIM(INDEX(SPLIT($A122,""-""),2))
"),"행사의 완자님")</f>
        <v>행사의 완자님</v>
      </c>
    </row>
    <row r="123">
      <c r="A123" s="2" t="str">
        <f>IFERROR(__xludf.DUMMYFUNCTION("REGEXEXTRACT(raw!A123, ""&lt;\s*(.+?)\s*&gt;"")
"),"미카엘 - 막창 한 번 믿어봐~")</f>
        <v>미카엘 - 막창 한 번 믿어봐~</v>
      </c>
      <c r="B123" s="2" t="str">
        <f>IFERROR(__xludf.DUMMYFUNCTION("TRIM(INDEX(SPLIT($A123,""-""),1))
"),"미카엘")</f>
        <v>미카엘</v>
      </c>
      <c r="C123" s="2" t="str">
        <f>IFERROR(__xludf.DUMMYFUNCTION("TRIM(INDEX(SPLIT($A123,""-""),2))
"),"막창 한 번 믿어봐~")</f>
        <v>막창 한 번 믿어봐~</v>
      </c>
    </row>
    <row r="124">
      <c r="A124" s="2" t="str">
        <f>IFERROR(__xludf.DUMMYFUNCTION("REGEXEXTRACT(raw!A124, ""&lt;\s*(.+?)\s*&gt;"")
"),"최현석 - 김마삼")</f>
        <v>최현석 - 김마삼</v>
      </c>
      <c r="B124" s="2" t="str">
        <f>IFERROR(__xludf.DUMMYFUNCTION("TRIM(INDEX(SPLIT($A124,""-""),1))
"),"최현석")</f>
        <v>최현석</v>
      </c>
      <c r="C124" s="2" t="str">
        <f>IFERROR(__xludf.DUMMYFUNCTION("TRIM(INDEX(SPLIT($A124,""-""),2))
"),"김마삼")</f>
        <v>김마삼</v>
      </c>
    </row>
    <row r="125">
      <c r="A125" s="2" t="str">
        <f>IFERROR(__xludf.DUMMYFUNCTION("REGEXEXTRACT(raw!A125, ""&lt;\s*(.+?)\s*&gt;"")
"),"박준우 - 누르삼")</f>
        <v>박준우 - 누르삼</v>
      </c>
      <c r="B125" s="2" t="str">
        <f>IFERROR(__xludf.DUMMYFUNCTION("TRIM(INDEX(SPLIT($A125,""-""),1))
"),"박준우")</f>
        <v>박준우</v>
      </c>
      <c r="C125" s="2" t="str">
        <f>IFERROR(__xludf.DUMMYFUNCTION("TRIM(INDEX(SPLIT($A125,""-""),2))
"),"누르삼")</f>
        <v>누르삼</v>
      </c>
    </row>
    <row r="126">
      <c r="A126" s="2" t="str">
        <f>IFERROR(__xludf.DUMMYFUNCTION("REGEXEXTRACT(raw!A126, ""&lt;\s*(.+?)\s*&gt;"")
"),"최현석 - 만두렀써니")</f>
        <v>최현석 - 만두렀써니</v>
      </c>
      <c r="B126" s="2" t="str">
        <f>IFERROR(__xludf.DUMMYFUNCTION("TRIM(INDEX(SPLIT($A126,""-""),1))
"),"최현석")</f>
        <v>최현석</v>
      </c>
      <c r="C126" s="2" t="str">
        <f>IFERROR(__xludf.DUMMYFUNCTION("TRIM(INDEX(SPLIT($A126,""-""),2))
"),"만두렀써니")</f>
        <v>만두렀써니</v>
      </c>
    </row>
    <row r="127">
      <c r="A127" s="2" t="str">
        <f>IFERROR(__xludf.DUMMYFUNCTION("REGEXEXTRACT(raw!A127, ""&lt;\s*(.+?)\s*&gt;"")
"),"샘킴 - 오겹시대")</f>
        <v>샘킴 - 오겹시대</v>
      </c>
      <c r="B127" s="2" t="str">
        <f>IFERROR(__xludf.DUMMYFUNCTION("TRIM(INDEX(SPLIT($A127,""-""),1))
"),"샘킴")</f>
        <v>샘킴</v>
      </c>
      <c r="C127" s="2" t="str">
        <f>IFERROR(__xludf.DUMMYFUNCTION("TRIM(INDEX(SPLIT($A127,""-""),2))
"),"오겹시대")</f>
        <v>오겹시대</v>
      </c>
    </row>
    <row r="128">
      <c r="A128" s="2" t="str">
        <f>IFERROR(__xludf.DUMMYFUNCTION("REGEXEXTRACT(raw!A128, ""&lt;\s*(.+?)\s*&gt;"")
"),"박준우 - 코드네임 써니")</f>
        <v>박준우 - 코드네임 써니</v>
      </c>
      <c r="B128" s="2" t="str">
        <f>IFERROR(__xludf.DUMMYFUNCTION("TRIM(INDEX(SPLIT($A128,""-""),1))
"),"박준우")</f>
        <v>박준우</v>
      </c>
      <c r="C128" s="2" t="str">
        <f>IFERROR(__xludf.DUMMYFUNCTION("TRIM(INDEX(SPLIT($A128,""-""),2))
"),"코드네임 써니")</f>
        <v>코드네임 써니</v>
      </c>
    </row>
    <row r="129">
      <c r="A129" s="2" t="str">
        <f>IFERROR(__xludf.DUMMYFUNCTION("REGEXEXTRACT(raw!A129, ""&lt;\s*(.+?)\s*&gt;"")
"),"맹기용 - 오시지")</f>
        <v>맹기용 - 오시지</v>
      </c>
      <c r="B129" s="2" t="str">
        <f>IFERROR(__xludf.DUMMYFUNCTION("TRIM(INDEX(SPLIT($A129,""-""),1))
"),"맹기용")</f>
        <v>맹기용</v>
      </c>
      <c r="C129" s="2" t="str">
        <f>IFERROR(__xludf.DUMMYFUNCTION("TRIM(INDEX(SPLIT($A129,""-""),2))
"),"오시지")</f>
        <v>오시지</v>
      </c>
    </row>
    <row r="130">
      <c r="A130" s="2" t="str">
        <f>IFERROR(__xludf.DUMMYFUNCTION("REGEXEXTRACT(raw!A130, ""&lt;\s*(.+?)\s*&gt;"")
"),"미카엘 - 나이스 투 미튜")</f>
        <v>미카엘 - 나이스 투 미튜</v>
      </c>
      <c r="B130" s="2" t="str">
        <f>IFERROR(__xludf.DUMMYFUNCTION("TRIM(INDEX(SPLIT($A130,""-""),1))
"),"미카엘")</f>
        <v>미카엘</v>
      </c>
      <c r="C130" s="2" t="str">
        <f>IFERROR(__xludf.DUMMYFUNCTION("TRIM(INDEX(SPLIT($A130,""-""),2))
"),"나이스 투 미튜")</f>
        <v>나이스 투 미튜</v>
      </c>
    </row>
    <row r="131">
      <c r="A131" s="2" t="str">
        <f>IFERROR(__xludf.DUMMYFUNCTION("REGEXEXTRACT(raw!A131, ""&lt;\s*(.+?)\s*&gt;"")
"),"이연복 - 복침개")</f>
        <v>이연복 - 복침개</v>
      </c>
      <c r="B131" s="2" t="str">
        <f>IFERROR(__xludf.DUMMYFUNCTION("TRIM(INDEX(SPLIT($A131,""-""),1))
"),"이연복")</f>
        <v>이연복</v>
      </c>
      <c r="C131" s="2" t="str">
        <f>IFERROR(__xludf.DUMMYFUNCTION("TRIM(INDEX(SPLIT($A131,""-""),2))
"),"복침개")</f>
        <v>복침개</v>
      </c>
    </row>
    <row r="132">
      <c r="A132" s="2" t="str">
        <f>IFERROR(__xludf.DUMMYFUNCTION("REGEXEXTRACT(raw!A132, ""&lt;\s*(.+?)\s*&gt;"")
"),"김풍 - 토달토달")</f>
        <v>김풍 - 토달토달</v>
      </c>
      <c r="B132" s="2" t="str">
        <f>IFERROR(__xludf.DUMMYFUNCTION("TRIM(INDEX(SPLIT($A132,""-""),1))
"),"김풍")</f>
        <v>김풍</v>
      </c>
      <c r="C132" s="2" t="str">
        <f>IFERROR(__xludf.DUMMYFUNCTION("TRIM(INDEX(SPLIT($A132,""-""),2))
"),"토달토달")</f>
        <v>토달토달</v>
      </c>
    </row>
    <row r="133">
      <c r="A133" s="2" t="str">
        <f>IFERROR(__xludf.DUMMYFUNCTION("REGEXEXTRACT(raw!A133, ""&lt;\s*(.+?)\s*&gt;"")
"),"이원일 - 아육동")</f>
        <v>이원일 - 아육동</v>
      </c>
      <c r="B133" s="2" t="str">
        <f>IFERROR(__xludf.DUMMYFUNCTION("TRIM(INDEX(SPLIT($A133,""-""),1))
"),"이원일")</f>
        <v>이원일</v>
      </c>
      <c r="C133" s="2" t="str">
        <f>IFERROR(__xludf.DUMMYFUNCTION("TRIM(INDEX(SPLIT($A133,""-""),2))
"),"아육동")</f>
        <v>아육동</v>
      </c>
    </row>
    <row r="134">
      <c r="A134" s="2" t="str">
        <f>IFERROR(__xludf.DUMMYFUNCTION("REGEXEXTRACT(raw!A134, ""&lt;\s*(.+?)\s*&gt;"")
"),"미카엘 - 뽀빠이롤")</f>
        <v>미카엘 - 뽀빠이롤</v>
      </c>
      <c r="B134" s="2" t="str">
        <f>IFERROR(__xludf.DUMMYFUNCTION("TRIM(INDEX(SPLIT($A134,""-""),1))
"),"미카엘")</f>
        <v>미카엘</v>
      </c>
      <c r="C134" s="2" t="str">
        <f>IFERROR(__xludf.DUMMYFUNCTION("TRIM(INDEX(SPLIT($A134,""-""),2))
"),"뽀빠이롤")</f>
        <v>뽀빠이롤</v>
      </c>
    </row>
    <row r="135">
      <c r="A135" s="2" t="str">
        <f>IFERROR(__xludf.DUMMYFUNCTION("REGEXEXTRACT(raw!A135, ""&lt;\s*(.+?)\s*&gt;"")
"),"최현석 - 부드러어")</f>
        <v>최현석 - 부드러어</v>
      </c>
      <c r="B135" s="2" t="str">
        <f>IFERROR(__xludf.DUMMYFUNCTION("TRIM(INDEX(SPLIT($A135,""-""),1))
"),"최현석")</f>
        <v>최현석</v>
      </c>
      <c r="C135" s="2" t="str">
        <f>IFERROR(__xludf.DUMMYFUNCTION("TRIM(INDEX(SPLIT($A135,""-""),2))
"),"부드러어")</f>
        <v>부드러어</v>
      </c>
    </row>
    <row r="136">
      <c r="A136" s="2" t="str">
        <f>IFERROR(__xludf.DUMMYFUNCTION("REGEXEXTRACT(raw!A136, ""&lt;\s*(.+?)\s*&gt;"")
"),"김풍 - 오린기")</f>
        <v>김풍 - 오린기</v>
      </c>
      <c r="B136" s="2" t="str">
        <f>IFERROR(__xludf.DUMMYFUNCTION("TRIM(INDEX(SPLIT($A136,""-""),1))
"),"김풍")</f>
        <v>김풍</v>
      </c>
      <c r="C136" s="2" t="str">
        <f>IFERROR(__xludf.DUMMYFUNCTION("TRIM(INDEX(SPLIT($A136,""-""),2))
"),"오린기")</f>
        <v>오린기</v>
      </c>
    </row>
    <row r="137">
      <c r="A137" s="2" t="str">
        <f>IFERROR(__xludf.DUMMYFUNCTION("REGEXEXTRACT(raw!A137, ""&lt;\s*(.+?)\s*&gt;"")
"),"이원일 - 허니버터징")</f>
        <v>이원일 - 허니버터징</v>
      </c>
      <c r="B137" s="2" t="str">
        <f>IFERROR(__xludf.DUMMYFUNCTION("TRIM(INDEX(SPLIT($A137,""-""),1))
"),"이원일")</f>
        <v>이원일</v>
      </c>
      <c r="C137" s="2" t="str">
        <f>IFERROR(__xludf.DUMMYFUNCTION("TRIM(INDEX(SPLIT($A137,""-""),2))
"),"허니버터징")</f>
        <v>허니버터징</v>
      </c>
    </row>
    <row r="138">
      <c r="A138" s="2" t="str">
        <f>IFERROR(__xludf.DUMMYFUNCTION("REGEXEXTRACT(raw!A138, ""&lt;\s*(.+?)\s*&gt;"")
"),"이연복 - 납작 탕수육")</f>
        <v>이연복 - 납작 탕수육</v>
      </c>
      <c r="B138" s="2" t="str">
        <f>IFERROR(__xludf.DUMMYFUNCTION("TRIM(INDEX(SPLIT($A138,""-""),1))
"),"이연복")</f>
        <v>이연복</v>
      </c>
      <c r="C138" s="2" t="str">
        <f>IFERROR(__xludf.DUMMYFUNCTION("TRIM(INDEX(SPLIT($A138,""-""),2))
"),"납작 탕수육")</f>
        <v>납작 탕수육</v>
      </c>
    </row>
    <row r="139">
      <c r="A139" s="2" t="str">
        <f>IFERROR(__xludf.DUMMYFUNCTION("REGEXEXTRACT(raw!A139, ""&lt;\s*(.+?)\s*&gt;"")
"),"샘킴 - 샐러드 올리오")</f>
        <v>샘킴 - 샐러드 올리오</v>
      </c>
      <c r="B139" s="2" t="str">
        <f>IFERROR(__xludf.DUMMYFUNCTION("TRIM(INDEX(SPLIT($A139,""-""),1))
"),"샘킴")</f>
        <v>샘킴</v>
      </c>
      <c r="C139" s="2" t="str">
        <f>IFERROR(__xludf.DUMMYFUNCTION("TRIM(INDEX(SPLIT($A139,""-""),2))
"),"샐러드 올리오")</f>
        <v>샐러드 올리오</v>
      </c>
    </row>
    <row r="140">
      <c r="A140" s="2" t="str">
        <f>IFERROR(__xludf.DUMMYFUNCTION("REGEXEXTRACT(raw!A140, ""&lt;\s*(.+?)\s*&gt;"")
"),"정창욱 - 소고기 냉부")</f>
        <v>정창욱 - 소고기 냉부</v>
      </c>
      <c r="B140" s="2" t="str">
        <f>IFERROR(__xludf.DUMMYFUNCTION("TRIM(INDEX(SPLIT($A140,""-""),1))
"),"정창욱")</f>
        <v>정창욱</v>
      </c>
      <c r="C140" s="2" t="str">
        <f>IFERROR(__xludf.DUMMYFUNCTION("TRIM(INDEX(SPLIT($A140,""-""),2))
"),"소고기 냉부")</f>
        <v>소고기 냉부</v>
      </c>
    </row>
    <row r="141">
      <c r="A141" s="2" t="str">
        <f>IFERROR(__xludf.DUMMYFUNCTION("REGEXEXTRACT(raw!A141, ""&lt;\s*(.+?)\s*&gt;"")
"),"홍석천 - 채면차림")</f>
        <v>홍석천 - 채면차림</v>
      </c>
      <c r="B141" s="2" t="str">
        <f>IFERROR(__xludf.DUMMYFUNCTION("TRIM(INDEX(SPLIT($A141,""-""),1))
"),"홍석천")</f>
        <v>홍석천</v>
      </c>
      <c r="C141" s="2" t="str">
        <f>IFERROR(__xludf.DUMMYFUNCTION("TRIM(INDEX(SPLIT($A141,""-""),2))
"),"채면차림")</f>
        <v>채면차림</v>
      </c>
    </row>
    <row r="142">
      <c r="A142" s="2" t="str">
        <f>IFERROR(__xludf.DUMMYFUNCTION("REGEXEXTRACT(raw!A142, ""&lt;\s*(.+?)\s*&gt;"")
"),"오세득 - 보아 씨, 초면입니다")</f>
        <v>오세득 - 보아 씨, 초면입니다</v>
      </c>
      <c r="B142" s="2" t="str">
        <f>IFERROR(__xludf.DUMMYFUNCTION("TRIM(INDEX(SPLIT($A142,""-""),1))
"),"오세득")</f>
        <v>오세득</v>
      </c>
      <c r="C142" s="2" t="str">
        <f>IFERROR(__xludf.DUMMYFUNCTION("TRIM(INDEX(SPLIT($A142,""-""),2))
"),"보아 씨, 초면입니다")</f>
        <v>보아 씨, 초면입니다</v>
      </c>
    </row>
    <row r="143">
      <c r="A143" s="2" t="str">
        <f>IFERROR(__xludf.DUMMYFUNCTION("REGEXEXTRACT(raw!A143, ""&lt;\s*(.+?)\s*&gt;"")
"),"최현석 - 최.면.석")</f>
        <v>최현석 - 최.면.석</v>
      </c>
      <c r="B143" s="2" t="str">
        <f>IFERROR(__xludf.DUMMYFUNCTION("TRIM(INDEX(SPLIT($A143,""-""),1))
"),"최현석")</f>
        <v>최현석</v>
      </c>
      <c r="C143" s="2" t="str">
        <f>IFERROR(__xludf.DUMMYFUNCTION("TRIM(INDEX(SPLIT($A143,""-""),2))
"),"최.면.석")</f>
        <v>최.면.석</v>
      </c>
    </row>
    <row r="144">
      <c r="A144" s="2" t="str">
        <f>IFERROR(__xludf.DUMMYFUNCTION("REGEXEXTRACT(raw!A144, ""&lt;\s*(.+?)\s*&gt;"")
"),"박준우 - 맛있게 자시오")</f>
        <v>박준우 - 맛있게 자시오</v>
      </c>
      <c r="B144" s="2" t="str">
        <f>IFERROR(__xludf.DUMMYFUNCTION("TRIM(INDEX(SPLIT($A144,""-""),1))
"),"박준우")</f>
        <v>박준우</v>
      </c>
      <c r="C144" s="2" t="str">
        <f>IFERROR(__xludf.DUMMYFUNCTION("TRIM(INDEX(SPLIT($A144,""-""),2))
"),"맛있게 자시오")</f>
        <v>맛있게 자시오</v>
      </c>
    </row>
    <row r="145">
      <c r="A145" s="2" t="str">
        <f>IFERROR(__xludf.DUMMYFUNCTION("REGEXEXTRACT(raw!A145, ""&lt;\s*(.+?)\s*&gt;"")
"),"이원일 - 옥돔이 맛있돔")</f>
        <v>이원일 - 옥돔이 맛있돔</v>
      </c>
      <c r="B145" s="2" t="str">
        <f>IFERROR(__xludf.DUMMYFUNCTION("TRIM(INDEX(SPLIT($A145,""-""),1))
"),"이원일")</f>
        <v>이원일</v>
      </c>
      <c r="C145" s="2" t="str">
        <f>IFERROR(__xludf.DUMMYFUNCTION("TRIM(INDEX(SPLIT($A145,""-""),2))
"),"옥돔이 맛있돔")</f>
        <v>옥돔이 맛있돔</v>
      </c>
    </row>
    <row r="146">
      <c r="A146" s="2" t="str">
        <f>IFERROR(__xludf.DUMMYFUNCTION("REGEXEXTRACT(raw!A146, ""&lt;\s*(.+?)\s*&gt;"")
"),"홍석천 - 키스 버거")</f>
        <v>홍석천 - 키스 버거</v>
      </c>
      <c r="B146" s="2" t="str">
        <f>IFERROR(__xludf.DUMMYFUNCTION("TRIM(INDEX(SPLIT($A146,""-""),1))
"),"홍석천")</f>
        <v>홍석천</v>
      </c>
      <c r="C146" s="2" t="str">
        <f>IFERROR(__xludf.DUMMYFUNCTION("TRIM(INDEX(SPLIT($A146,""-""),2))
"),"키스 버거")</f>
        <v>키스 버거</v>
      </c>
    </row>
    <row r="147">
      <c r="A147" s="2" t="str">
        <f>IFERROR(__xludf.DUMMYFUNCTION("REGEXEXTRACT(raw!A147, ""&lt;\s*(.+?)\s*&gt;"")
"),"샘킴 - 소시지 달콤하시지")</f>
        <v>샘킴 - 소시지 달콤하시지</v>
      </c>
      <c r="B147" s="2" t="str">
        <f>IFERROR(__xludf.DUMMYFUNCTION("TRIM(INDEX(SPLIT($A147,""-""),1))
"),"샘킴")</f>
        <v>샘킴</v>
      </c>
      <c r="C147" s="2" t="str">
        <f>IFERROR(__xludf.DUMMYFUNCTION("TRIM(INDEX(SPLIT($A147,""-""),2))
"),"소시지 달콤하시지")</f>
        <v>소시지 달콤하시지</v>
      </c>
    </row>
    <row r="148">
      <c r="A148" s="2" t="str">
        <f>IFERROR(__xludf.DUMMYFUNCTION("REGEXEXTRACT(raw!A148, ""&lt;\s*(.+?)\s*&gt;"")
"),"미카엘 - 소고기가 살아있네~")</f>
        <v>미카엘 - 소고기가 살아있네~</v>
      </c>
      <c r="B148" s="2" t="str">
        <f>IFERROR(__xludf.DUMMYFUNCTION("TRIM(INDEX(SPLIT($A148,""-""),1))
"),"미카엘")</f>
        <v>미카엘</v>
      </c>
      <c r="C148" s="2" t="str">
        <f>IFERROR(__xludf.DUMMYFUNCTION("TRIM(INDEX(SPLIT($A148,""-""),2))
"),"소고기가 살아있네~")</f>
        <v>소고기가 살아있네~</v>
      </c>
    </row>
    <row r="149">
      <c r="A149" s="2" t="str">
        <f>IFERROR(__xludf.DUMMYFUNCTION("REGEXEXTRACT(raw!A149, ""&lt;\s*(.+?)\s*&gt;"")
"),"김풍 - 족발 먹을 곤약?")</f>
        <v>김풍 - 족발 먹을 곤약?</v>
      </c>
      <c r="B149" s="2" t="str">
        <f>IFERROR(__xludf.DUMMYFUNCTION("TRIM(INDEX(SPLIT($A149,""-""),1))
"),"김풍")</f>
        <v>김풍</v>
      </c>
      <c r="C149" s="2" t="str">
        <f>IFERROR(__xludf.DUMMYFUNCTION("TRIM(INDEX(SPLIT($A149,""-""),2))
"),"족발 먹을 곤약?")</f>
        <v>족발 먹을 곤약?</v>
      </c>
    </row>
    <row r="150">
      <c r="A150" s="2" t="str">
        <f>IFERROR(__xludf.DUMMYFUNCTION("REGEXEXTRACT(raw!A150, ""&lt;\s*(.+?)\s*&gt;"")
"),"홍석천 - 술푸자냐")</f>
        <v>홍석천 - 술푸자냐</v>
      </c>
      <c r="B150" s="2" t="str">
        <f>IFERROR(__xludf.DUMMYFUNCTION("TRIM(INDEX(SPLIT($A150,""-""),1))
"),"홍석천")</f>
        <v>홍석천</v>
      </c>
      <c r="C150" s="2" t="str">
        <f>IFERROR(__xludf.DUMMYFUNCTION("TRIM(INDEX(SPLIT($A150,""-""),2))
"),"술푸자냐")</f>
        <v>술푸자냐</v>
      </c>
    </row>
    <row r="151">
      <c r="A151" s="2" t="str">
        <f>IFERROR(__xludf.DUMMYFUNCTION("REGEXEXTRACT(raw!A151, ""&lt;\s*(.+?)\s*&gt;"")
"),"이찬오 - 새로운 샐러드와 수란잔")</f>
        <v>이찬오 - 새로운 샐러드와 수란잔</v>
      </c>
      <c r="B151" s="2" t="str">
        <f>IFERROR(__xludf.DUMMYFUNCTION("TRIM(INDEX(SPLIT($A151,""-""),1))
"),"이찬오")</f>
        <v>이찬오</v>
      </c>
      <c r="C151" s="2" t="str">
        <f>IFERROR(__xludf.DUMMYFUNCTION("TRIM(INDEX(SPLIT($A151,""-""),2))
"),"새로운 샐러드와 수란잔")</f>
        <v>새로운 샐러드와 수란잔</v>
      </c>
    </row>
    <row r="152">
      <c r="A152" s="2" t="str">
        <f>IFERROR(__xludf.DUMMYFUNCTION("REGEXEXTRACT(raw!A152, ""&lt;\s*(.+?)\s*&gt;"")
"),"샘킴 - 별미 리소토")</f>
        <v>샘킴 - 별미 리소토</v>
      </c>
      <c r="B152" s="2" t="str">
        <f>IFERROR(__xludf.DUMMYFUNCTION("TRIM(INDEX(SPLIT($A152,""-""),1))
"),"샘킴")</f>
        <v>샘킴</v>
      </c>
      <c r="C152" s="2" t="str">
        <f>IFERROR(__xludf.DUMMYFUNCTION("TRIM(INDEX(SPLIT($A152,""-""),2))
"),"별미 리소토")</f>
        <v>별미 리소토</v>
      </c>
    </row>
    <row r="153">
      <c r="A153" s="2" t="str">
        <f>IFERROR(__xludf.DUMMYFUNCTION("REGEXEXTRACT(raw!A153, ""&lt;\s*(.+?)\s*&gt;"")
"),"이원일 - 이 참외 비빔면")</f>
        <v>이원일 - 이 참외 비빔면</v>
      </c>
      <c r="B153" s="2" t="str">
        <f>IFERROR(__xludf.DUMMYFUNCTION("TRIM(INDEX(SPLIT($A153,""-""),1))
"),"이원일")</f>
        <v>이원일</v>
      </c>
      <c r="C153" s="2" t="str">
        <f>IFERROR(__xludf.DUMMYFUNCTION("TRIM(INDEX(SPLIT($A153,""-""),2))
"),"이 참외 비빔면")</f>
        <v>이 참외 비빔면</v>
      </c>
    </row>
    <row r="154">
      <c r="A154" s="2" t="str">
        <f>IFERROR(__xludf.DUMMYFUNCTION("REGEXEXTRACT(raw!A154, ""&lt;\s*(.+?)\s*&gt;"")
"),"이연복 - 넘사복")</f>
        <v>이연복 - 넘사복</v>
      </c>
      <c r="B154" s="2" t="str">
        <f>IFERROR(__xludf.DUMMYFUNCTION("TRIM(INDEX(SPLIT($A154,""-""),1))
"),"이연복")</f>
        <v>이연복</v>
      </c>
      <c r="C154" s="2" t="str">
        <f>IFERROR(__xludf.DUMMYFUNCTION("TRIM(INDEX(SPLIT($A154,""-""),2))
"),"넘사복")</f>
        <v>넘사복</v>
      </c>
    </row>
    <row r="155">
      <c r="A155" s="2" t="str">
        <f>IFERROR(__xludf.DUMMYFUNCTION("REGEXEXTRACT(raw!A155, ""&lt;\s*(.+?)\s*&gt;"")
"),"김풍 - 풍살기")</f>
        <v>김풍 - 풍살기</v>
      </c>
      <c r="B155" s="2" t="str">
        <f>IFERROR(__xludf.DUMMYFUNCTION("TRIM(INDEX(SPLIT($A155,""-""),1))
"),"김풍")</f>
        <v>김풍</v>
      </c>
      <c r="C155" s="2" t="str">
        <f>IFERROR(__xludf.DUMMYFUNCTION("TRIM(INDEX(SPLIT($A155,""-""),2))
"),"풍살기")</f>
        <v>풍살기</v>
      </c>
    </row>
    <row r="156">
      <c r="A156" s="2" t="str">
        <f>IFERROR(__xludf.DUMMYFUNCTION("REGEXEXTRACT(raw!A156, ""&lt;\s*(.+?)\s*&gt;"")
"),"미카엘 - 요거닭")</f>
        <v>미카엘 - 요거닭</v>
      </c>
      <c r="B156" s="2" t="str">
        <f>IFERROR(__xludf.DUMMYFUNCTION("TRIM(INDEX(SPLIT($A156,""-""),1))
"),"미카엘")</f>
        <v>미카엘</v>
      </c>
      <c r="C156" s="2" t="str">
        <f>IFERROR(__xludf.DUMMYFUNCTION("TRIM(INDEX(SPLIT($A156,""-""),2))
"),"요거닭")</f>
        <v>요거닭</v>
      </c>
    </row>
    <row r="157">
      <c r="A157" s="2" t="str">
        <f>IFERROR(__xludf.DUMMYFUNCTION("REGEXEXTRACT(raw!A157, ""&lt;\s*(.+?)\s*&gt;"")
"),"박준우 - 가지가지 한다")</f>
        <v>박준우 - 가지가지 한다</v>
      </c>
      <c r="B157" s="2" t="str">
        <f>IFERROR(__xludf.DUMMYFUNCTION("TRIM(INDEX(SPLIT($A157,""-""),1))
"),"박준우")</f>
        <v>박준우</v>
      </c>
      <c r="C157" s="2" t="str">
        <f>IFERROR(__xludf.DUMMYFUNCTION("TRIM(INDEX(SPLIT($A157,""-""),2))
"),"가지가지 한다")</f>
        <v>가지가지 한다</v>
      </c>
    </row>
    <row r="158">
      <c r="A158" s="2" t="str">
        <f>IFERROR(__xludf.DUMMYFUNCTION("REGEXEXTRACT(raw!A158, ""&lt;\s*(.+?)\s*&gt;"")
"),"샘킴 - 명란 한주먹")</f>
        <v>샘킴 - 명란 한주먹</v>
      </c>
      <c r="B158" s="2" t="str">
        <f>IFERROR(__xludf.DUMMYFUNCTION("TRIM(INDEX(SPLIT($A158,""-""),1))
"),"샘킴")</f>
        <v>샘킴</v>
      </c>
      <c r="C158" s="2" t="str">
        <f>IFERROR(__xludf.DUMMYFUNCTION("TRIM(INDEX(SPLIT($A158,""-""),2))
"),"명란 한주먹")</f>
        <v>명란 한주먹</v>
      </c>
    </row>
    <row r="159">
      <c r="A159" s="2" t="str">
        <f>IFERROR(__xludf.DUMMYFUNCTION("REGEXEXTRACT(raw!A159, ""&lt;\s*(.+?)\s*&gt;"")
"),"김풍 - 다 이 김")</f>
        <v>김풍 - 다 이 김</v>
      </c>
      <c r="B159" s="2" t="str">
        <f>IFERROR(__xludf.DUMMYFUNCTION("TRIM(INDEX(SPLIT($A159,""-""),1))
"),"김풍")</f>
        <v>김풍</v>
      </c>
      <c r="C159" s="2" t="str">
        <f>IFERROR(__xludf.DUMMYFUNCTION("TRIM(INDEX(SPLIT($A159,""-""),2))
"),"다 이 김")</f>
        <v>다 이 김</v>
      </c>
    </row>
    <row r="160">
      <c r="A160" s="2" t="str">
        <f>IFERROR(__xludf.DUMMYFUNCTION("REGEXEXTRACT(raw!A160, ""&lt;\s*(.+?)\s*&gt;"")
"),"정창욱 - 동파면")</f>
        <v>정창욱 - 동파면</v>
      </c>
      <c r="B160" s="2" t="str">
        <f>IFERROR(__xludf.DUMMYFUNCTION("TRIM(INDEX(SPLIT($A160,""-""),1))
"),"정창욱")</f>
        <v>정창욱</v>
      </c>
      <c r="C160" s="2" t="str">
        <f>IFERROR(__xludf.DUMMYFUNCTION("TRIM(INDEX(SPLIT($A160,""-""),2))
"),"동파면")</f>
        <v>동파면</v>
      </c>
    </row>
    <row r="161">
      <c r="A161" s="2" t="str">
        <f>IFERROR(__xludf.DUMMYFUNCTION("REGEXEXTRACT(raw!A161, ""&lt;\s*(.+?)\s*&gt;"")
"),"오세득 - 커리업")</f>
        <v>오세득 - 커리업</v>
      </c>
      <c r="B161" s="2" t="str">
        <f>IFERROR(__xludf.DUMMYFUNCTION("TRIM(INDEX(SPLIT($A161,""-""),1))
"),"오세득")</f>
        <v>오세득</v>
      </c>
      <c r="C161" s="2" t="str">
        <f>IFERROR(__xludf.DUMMYFUNCTION("TRIM(INDEX(SPLIT($A161,""-""),2))
"),"커리업")</f>
        <v>커리업</v>
      </c>
    </row>
    <row r="162">
      <c r="A162" s="2" t="str">
        <f>IFERROR(__xludf.DUMMYFUNCTION("REGEXEXTRACT(raw!A162, ""&lt;\s*(.+?)\s*&gt;"")
"),"이연복 - 복면완자")</f>
        <v>이연복 - 복면완자</v>
      </c>
      <c r="B162" s="2" t="str">
        <f>IFERROR(__xludf.DUMMYFUNCTION("TRIM(INDEX(SPLIT($A162,""-""),1))
"),"이연복")</f>
        <v>이연복</v>
      </c>
      <c r="C162" s="2" t="str">
        <f>IFERROR(__xludf.DUMMYFUNCTION("TRIM(INDEX(SPLIT($A162,""-""),2))
"),"복면완자")</f>
        <v>복면완자</v>
      </c>
    </row>
    <row r="163">
      <c r="A163" s="2" t="str">
        <f>IFERROR(__xludf.DUMMYFUNCTION("REGEXEXTRACT(raw!A163, ""&lt;\s*(.+?)\s*&gt;"")
"),"최현석 - 돈 워리 비 해피")</f>
        <v>최현석 - 돈 워리 비 해피</v>
      </c>
      <c r="B163" s="2" t="str">
        <f>IFERROR(__xludf.DUMMYFUNCTION("TRIM(INDEX(SPLIT($A163,""-""),1))
"),"최현석")</f>
        <v>최현석</v>
      </c>
      <c r="C163" s="2" t="str">
        <f>IFERROR(__xludf.DUMMYFUNCTION("TRIM(INDEX(SPLIT($A163,""-""),2))
"),"돈 워리 비 해피")</f>
        <v>돈 워리 비 해피</v>
      </c>
    </row>
    <row r="164">
      <c r="A164" s="2" t="str">
        <f>IFERROR(__xludf.DUMMYFUNCTION("REGEXEXTRACT(raw!A164, ""&lt;\s*(.+?)\s*&gt;"")
"),"홍석천 - 연어가 똠얌꽁냥")</f>
        <v>홍석천 - 연어가 똠얌꽁냥</v>
      </c>
      <c r="B164" s="2" t="str">
        <f>IFERROR(__xludf.DUMMYFUNCTION("TRIM(INDEX(SPLIT($A164,""-""),1))
"),"홍석천")</f>
        <v>홍석천</v>
      </c>
      <c r="C164" s="2" t="str">
        <f>IFERROR(__xludf.DUMMYFUNCTION("TRIM(INDEX(SPLIT($A164,""-""),2))
"),"연어가 똠얌꽁냥")</f>
        <v>연어가 똠얌꽁냥</v>
      </c>
    </row>
    <row r="165">
      <c r="A165" s="2" t="str">
        <f>IFERROR(__xludf.DUMMYFUNCTION("REGEXEXTRACT(raw!A165, ""&lt;\s*(.+?)\s*&gt;"")
"),"이원일 - 삼겹살 팟티")</f>
        <v>이원일 - 삼겹살 팟티</v>
      </c>
      <c r="B165" s="2" t="str">
        <f>IFERROR(__xludf.DUMMYFUNCTION("TRIM(INDEX(SPLIT($A165,""-""),1))
"),"이원일")</f>
        <v>이원일</v>
      </c>
      <c r="C165" s="2" t="str">
        <f>IFERROR(__xludf.DUMMYFUNCTION("TRIM(INDEX(SPLIT($A165,""-""),2))
"),"삼겹살 팟티")</f>
        <v>삼겹살 팟티</v>
      </c>
    </row>
    <row r="166">
      <c r="A166" s="2" t="str">
        <f>IFERROR(__xludf.DUMMYFUNCTION("REGEXEXTRACT(raw!A166, ""&lt;\s*(.+?)\s*&gt;"")
"),"샘킴 - 돔 샤카라카")</f>
        <v>샘킴 - 돔 샤카라카</v>
      </c>
      <c r="B166" s="2" t="str">
        <f>IFERROR(__xludf.DUMMYFUNCTION("TRIM(INDEX(SPLIT($A166,""-""),1))
"),"샘킴")</f>
        <v>샘킴</v>
      </c>
      <c r="C166" s="2" t="str">
        <f>IFERROR(__xludf.DUMMYFUNCTION("TRIM(INDEX(SPLIT($A166,""-""),2))
"),"돔 샤카라카")</f>
        <v>돔 샤카라카</v>
      </c>
    </row>
    <row r="167">
      <c r="A167" s="2" t="str">
        <f>IFERROR(__xludf.DUMMYFUNCTION("REGEXEXTRACT(raw!A167, ""&lt;\s*(.+?)\s*&gt;"")
"),"최현석 - 베스트 오브 베스튜")</f>
        <v>최현석 - 베스트 오브 베스튜</v>
      </c>
      <c r="B167" s="2" t="str">
        <f>IFERROR(__xludf.DUMMYFUNCTION("TRIM(INDEX(SPLIT($A167,""-""),1))
"),"최현석")</f>
        <v>최현석</v>
      </c>
      <c r="C167" s="2" t="str">
        <f>IFERROR(__xludf.DUMMYFUNCTION("TRIM(INDEX(SPLIT($A167,""-""),2))
"),"베스트 오브 베스튜")</f>
        <v>베스트 오브 베스튜</v>
      </c>
    </row>
    <row r="168">
      <c r="A168" s="2" t="str">
        <f>IFERROR(__xludf.DUMMYFUNCTION("REGEXEXTRACT(raw!A168, ""&lt;\s*(.+?)\s*&gt;"")
"),"이원일 - 화채 얼쑤")</f>
        <v>이원일 - 화채 얼쑤</v>
      </c>
      <c r="B168" s="2" t="str">
        <f>IFERROR(__xludf.DUMMYFUNCTION("TRIM(INDEX(SPLIT($A168,""-""),1))
"),"이원일")</f>
        <v>이원일</v>
      </c>
      <c r="C168" s="2" t="str">
        <f>IFERROR(__xludf.DUMMYFUNCTION("TRIM(INDEX(SPLIT($A168,""-""),2))
"),"화채 얼쑤")</f>
        <v>화채 얼쑤</v>
      </c>
    </row>
    <row r="169">
      <c r="A169" s="2" t="str">
        <f>IFERROR(__xludf.DUMMYFUNCTION("REGEXEXTRACT(raw!A169, ""&lt;\s*(.+?)\s*&gt;"")
"),"오세득 - 오 마이 갓토")</f>
        <v>오세득 - 오 마이 갓토</v>
      </c>
      <c r="B169" s="2" t="str">
        <f>IFERROR(__xludf.DUMMYFUNCTION("TRIM(INDEX(SPLIT($A169,""-""),1))
"),"오세득")</f>
        <v>오세득</v>
      </c>
      <c r="C169" s="2" t="str">
        <f>IFERROR(__xludf.DUMMYFUNCTION("TRIM(INDEX(SPLIT($A169,""-""),2))
"),"오 마이 갓토")</f>
        <v>오 마이 갓토</v>
      </c>
    </row>
    <row r="170">
      <c r="A170" s="2" t="str">
        <f>IFERROR(__xludf.DUMMYFUNCTION("REGEXEXTRACT(raw!A170, ""&lt;\s*(.+?)\s*&gt;"")
"),"이연복 - 갈쌈만두")</f>
        <v>이연복 - 갈쌈만두</v>
      </c>
      <c r="B170" s="2" t="str">
        <f>IFERROR(__xludf.DUMMYFUNCTION("TRIM(INDEX(SPLIT($A170,""-""),1))
"),"이연복")</f>
        <v>이연복</v>
      </c>
      <c r="C170" s="2" t="str">
        <f>IFERROR(__xludf.DUMMYFUNCTION("TRIM(INDEX(SPLIT($A170,""-""),2))
"),"갈쌈만두")</f>
        <v>갈쌈만두</v>
      </c>
    </row>
    <row r="171">
      <c r="A171" s="2" t="str">
        <f>IFERROR(__xludf.DUMMYFUNCTION("REGEXEXTRACT(raw!A171, ""&lt;\s*(.+?)\s*&gt;"")
"),"홍석천 - 판타스틱 어묵")</f>
        <v>홍석천 - 판타스틱 어묵</v>
      </c>
      <c r="B171" s="2" t="str">
        <f>IFERROR(__xludf.DUMMYFUNCTION("TRIM(INDEX(SPLIT($A171,""-""),1))
"),"홍석천")</f>
        <v>홍석천</v>
      </c>
      <c r="C171" s="2" t="str">
        <f>IFERROR(__xludf.DUMMYFUNCTION("TRIM(INDEX(SPLIT($A171,""-""),2))
"),"판타스틱 어묵")</f>
        <v>판타스틱 어묵</v>
      </c>
    </row>
    <row r="172">
      <c r="A172" s="2" t="str">
        <f>IFERROR(__xludf.DUMMYFUNCTION("REGEXEXTRACT(raw!A172, ""&lt;\s*(.+?)\s*&gt;"")
"),"김풍 - 분짜지용")</f>
        <v>김풍 - 분짜지용</v>
      </c>
      <c r="B172" s="2" t="str">
        <f>IFERROR(__xludf.DUMMYFUNCTION("TRIM(INDEX(SPLIT($A172,""-""),1))
"),"김풍")</f>
        <v>김풍</v>
      </c>
      <c r="C172" s="2" t="str">
        <f>IFERROR(__xludf.DUMMYFUNCTION("TRIM(INDEX(SPLIT($A172,""-""),2))
"),"분짜지용")</f>
        <v>분짜지용</v>
      </c>
    </row>
    <row r="173">
      <c r="A173" s="2" t="str">
        <f>IFERROR(__xludf.DUMMYFUNCTION("REGEXEXTRACT(raw!A173, ""&lt;\s*(.+?)\s*&gt;"")
"),"이찬오 - 양싸퀴진")</f>
        <v>이찬오 - 양싸퀴진</v>
      </c>
      <c r="B173" s="2" t="str">
        <f>IFERROR(__xludf.DUMMYFUNCTION("TRIM(INDEX(SPLIT($A173,""-""),1))
"),"이찬오")</f>
        <v>이찬오</v>
      </c>
      <c r="C173" s="2" t="str">
        <f>IFERROR(__xludf.DUMMYFUNCTION("TRIM(INDEX(SPLIT($A173,""-""),2))
"),"양싸퀴진")</f>
        <v>양싸퀴진</v>
      </c>
    </row>
    <row r="174">
      <c r="A174" s="2" t="str">
        <f>IFERROR(__xludf.DUMMYFUNCTION("REGEXEXTRACT(raw!A174, ""&lt;\s*(.+?)\s*&gt;"")
"),"최현석 - 텐미닛 수프")</f>
        <v>최현석 - 텐미닛 수프</v>
      </c>
      <c r="B174" s="2" t="str">
        <f>IFERROR(__xludf.DUMMYFUNCTION("TRIM(INDEX(SPLIT($A174,""-""),1))
"),"최현석")</f>
        <v>최현석</v>
      </c>
      <c r="C174" s="2" t="str">
        <f>IFERROR(__xludf.DUMMYFUNCTION("TRIM(INDEX(SPLIT($A174,""-""),2))
"),"텐미닛 수프")</f>
        <v>텐미닛 수프</v>
      </c>
    </row>
    <row r="175">
      <c r="A175" s="2" t="str">
        <f>IFERROR(__xludf.DUMMYFUNCTION("REGEXEXTRACT(raw!A175, ""&lt;\s*(.+?)\s*&gt;"")
"),"이찬오 - 10분 스테이크 맛있찬오")</f>
        <v>이찬오 - 10분 스테이크 맛있찬오</v>
      </c>
      <c r="B175" s="2" t="str">
        <f>IFERROR(__xludf.DUMMYFUNCTION("TRIM(INDEX(SPLIT($A175,""-""),1))
"),"이찬오")</f>
        <v>이찬오</v>
      </c>
      <c r="C175" s="2" t="str">
        <f>IFERROR(__xludf.DUMMYFUNCTION("TRIM(INDEX(SPLIT($A175,""-""),2))
"),"10분 스테이크 맛있찬오")</f>
        <v>10분 스테이크 맛있찬오</v>
      </c>
    </row>
    <row r="176">
      <c r="A176" s="2" t="str">
        <f>IFERROR(__xludf.DUMMYFUNCTION("REGEXEXTRACT(raw!A176, ""&lt;\s*(.+?)\s*&gt;"")
"),"샘킴 - 영광의 바지락")</f>
        <v>샘킴 - 영광의 바지락</v>
      </c>
      <c r="B176" s="2" t="str">
        <f>IFERROR(__xludf.DUMMYFUNCTION("TRIM(INDEX(SPLIT($A176,""-""),1))
"),"샘킴")</f>
        <v>샘킴</v>
      </c>
      <c r="C176" s="2" t="str">
        <f>IFERROR(__xludf.DUMMYFUNCTION("TRIM(INDEX(SPLIT($A176,""-""),2))
"),"영광의 바지락")</f>
        <v>영광의 바지락</v>
      </c>
    </row>
    <row r="177">
      <c r="A177" s="2" t="str">
        <f>IFERROR(__xludf.DUMMYFUNCTION("REGEXEXTRACT(raw!A177, ""&lt;\s*(.+?)\s*&gt;"")
"),"미카엘 - 파워 비어 롤")</f>
        <v>미카엘 - 파워 비어 롤</v>
      </c>
      <c r="B177" s="2" t="str">
        <f>IFERROR(__xludf.DUMMYFUNCTION("TRIM(INDEX(SPLIT($A177,""-""),1))
"),"미카엘")</f>
        <v>미카엘</v>
      </c>
      <c r="C177" s="2" t="str">
        <f>IFERROR(__xludf.DUMMYFUNCTION("TRIM(INDEX(SPLIT($A177,""-""),2))
"),"파워 비어 롤")</f>
        <v>파워 비어 롤</v>
      </c>
    </row>
    <row r="178">
      <c r="A178" s="2" t="str">
        <f>IFERROR(__xludf.DUMMYFUNCTION("REGEXEXTRACT(raw!A178, ""&lt;\s*(.+?)\s*&gt;"")
"),"이연복 - 새로 깐풍치킨")</f>
        <v>이연복 - 새로 깐풍치킨</v>
      </c>
      <c r="B178" s="2" t="str">
        <f>IFERROR(__xludf.DUMMYFUNCTION("TRIM(INDEX(SPLIT($A178,""-""),1))
"),"이연복")</f>
        <v>이연복</v>
      </c>
      <c r="C178" s="2" t="str">
        <f>IFERROR(__xludf.DUMMYFUNCTION("TRIM(INDEX(SPLIT($A178,""-""),2))
"),"새로 깐풍치킨")</f>
        <v>새로 깐풍치킨</v>
      </c>
    </row>
    <row r="179">
      <c r="A179" s="2" t="str">
        <f>IFERROR(__xludf.DUMMYFUNCTION("REGEXEXTRACT(raw!A179, ""&lt;\s*(.+?)\s*&gt;"")
"),"이원일 - 피자 말아또")</f>
        <v>이원일 - 피자 말아또</v>
      </c>
      <c r="B179" s="2" t="str">
        <f>IFERROR(__xludf.DUMMYFUNCTION("TRIM(INDEX(SPLIT($A179,""-""),1))
"),"이원일")</f>
        <v>이원일</v>
      </c>
      <c r="C179" s="2" t="str">
        <f>IFERROR(__xludf.DUMMYFUNCTION("TRIM(INDEX(SPLIT($A179,""-""),2))
"),"피자 말아또")</f>
        <v>피자 말아또</v>
      </c>
    </row>
    <row r="180">
      <c r="A180" s="2" t="str">
        <f>IFERROR(__xludf.DUMMYFUNCTION("REGEXEXTRACT(raw!A180, ""&lt;\s*(.+?)\s*&gt;"")
"),"김풍 - 후룩국")</f>
        <v>김풍 - 후룩국</v>
      </c>
      <c r="B180" s="2" t="str">
        <f>IFERROR(__xludf.DUMMYFUNCTION("TRIM(INDEX(SPLIT($A180,""-""),1))
"),"김풍")</f>
        <v>김풍</v>
      </c>
      <c r="C180" s="2" t="str">
        <f>IFERROR(__xludf.DUMMYFUNCTION("TRIM(INDEX(SPLIT($A180,""-""),2))
"),"후룩국")</f>
        <v>후룩국</v>
      </c>
    </row>
    <row r="181">
      <c r="A181" s="2" t="str">
        <f>IFERROR(__xludf.DUMMYFUNCTION("REGEXEXTRACT(raw!A181, ""&lt;\s*(.+?)\s*&gt;"")
"),"박준우 - 고새 한 그릇")</f>
        <v>박준우 - 고새 한 그릇</v>
      </c>
      <c r="B181" s="2" t="str">
        <f>IFERROR(__xludf.DUMMYFUNCTION("TRIM(INDEX(SPLIT($A181,""-""),1))
"),"박준우")</f>
        <v>박준우</v>
      </c>
      <c r="C181" s="2" t="str">
        <f>IFERROR(__xludf.DUMMYFUNCTION("TRIM(INDEX(SPLIT($A181,""-""),2))
"),"고새 한 그릇")</f>
        <v>고새 한 그릇</v>
      </c>
    </row>
    <row r="182">
      <c r="A182" s="2" t="str">
        <f>IFERROR(__xludf.DUMMYFUNCTION("REGEXEXTRACT(raw!A182, ""&lt;\s*(.+?)\s*&gt;"")
"),"이연복 - 야밤엔 복쌈")</f>
        <v>이연복 - 야밤엔 복쌈</v>
      </c>
      <c r="B182" s="2" t="str">
        <f>IFERROR(__xludf.DUMMYFUNCTION("TRIM(INDEX(SPLIT($A182,""-""),1))
"),"이연복")</f>
        <v>이연복</v>
      </c>
      <c r="C182" s="2" t="str">
        <f>IFERROR(__xludf.DUMMYFUNCTION("TRIM(INDEX(SPLIT($A182,""-""),2))
"),"야밤엔 복쌈")</f>
        <v>야밤엔 복쌈</v>
      </c>
    </row>
    <row r="183">
      <c r="A183" s="2" t="str">
        <f>IFERROR(__xludf.DUMMYFUNCTION("REGEXEXTRACT(raw!A183, ""&lt;\s*(.+?)\s*&gt;"")
"),"샘킴 - 나물 버물 파스타")</f>
        <v>샘킴 - 나물 버물 파스타</v>
      </c>
      <c r="B183" s="2" t="str">
        <f>IFERROR(__xludf.DUMMYFUNCTION("TRIM(INDEX(SPLIT($A183,""-""),1))
"),"샘킴")</f>
        <v>샘킴</v>
      </c>
      <c r="C183" s="2" t="str">
        <f>IFERROR(__xludf.DUMMYFUNCTION("TRIM(INDEX(SPLIT($A183,""-""),2))
"),"나물 버물 파스타")</f>
        <v>나물 버물 파스타</v>
      </c>
    </row>
    <row r="184">
      <c r="A184" s="2" t="str">
        <f>IFERROR(__xludf.DUMMYFUNCTION("REGEXEXTRACT(raw!A184, ""&lt;\s*(.+?)\s*&gt;"")
"),"미카엘 - 스윗 펌킨")</f>
        <v>미카엘 - 스윗 펌킨</v>
      </c>
      <c r="B184" s="2" t="str">
        <f>IFERROR(__xludf.DUMMYFUNCTION("TRIM(INDEX(SPLIT($A184,""-""),1))
"),"미카엘")</f>
        <v>미카엘</v>
      </c>
      <c r="C184" s="2" t="str">
        <f>IFERROR(__xludf.DUMMYFUNCTION("TRIM(INDEX(SPLIT($A184,""-""),2))
"),"스윗 펌킨")</f>
        <v>스윗 펌킨</v>
      </c>
    </row>
    <row r="185">
      <c r="A185" s="2" t="str">
        <f>IFERROR(__xludf.DUMMYFUNCTION("REGEXEXTRACT(raw!A185, ""&lt;\s*(.+?)\s*&gt;"")
"),"김풍 - 해물 달라고 졸라")</f>
        <v>김풍 - 해물 달라고 졸라</v>
      </c>
      <c r="B185" s="2" t="str">
        <f>IFERROR(__xludf.DUMMYFUNCTION("TRIM(INDEX(SPLIT($A185,""-""),1))
"),"김풍")</f>
        <v>김풍</v>
      </c>
      <c r="C185" s="2" t="str">
        <f>IFERROR(__xludf.DUMMYFUNCTION("TRIM(INDEX(SPLIT($A185,""-""),2))
"),"해물 달라고 졸라")</f>
        <v>해물 달라고 졸라</v>
      </c>
    </row>
    <row r="186">
      <c r="A186" s="2" t="str">
        <f>IFERROR(__xludf.DUMMYFUNCTION("REGEXEXTRACT(raw!A186, ""&lt;\s*(.+?)\s*&gt;"")
"),"오세득 - 낭만 시래기")</f>
        <v>오세득 - 낭만 시래기</v>
      </c>
      <c r="B186" s="2" t="str">
        <f>IFERROR(__xludf.DUMMYFUNCTION("TRIM(INDEX(SPLIT($A186,""-""),1))
"),"오세득")</f>
        <v>오세득</v>
      </c>
      <c r="C186" s="2" t="str">
        <f>IFERROR(__xludf.DUMMYFUNCTION("TRIM(INDEX(SPLIT($A186,""-""),2))
"),"낭만 시래기")</f>
        <v>낭만 시래기</v>
      </c>
    </row>
    <row r="187">
      <c r="A187" s="2" t="str">
        <f>IFERROR(__xludf.DUMMYFUNCTION("REGEXEXTRACT(raw!A187, ""&lt;\s*(.+?)\s*&gt;"")
"),"이찬오 - 낙엽 두부")</f>
        <v>이찬오 - 낙엽 두부</v>
      </c>
      <c r="B187" s="2" t="str">
        <f>IFERROR(__xludf.DUMMYFUNCTION("TRIM(INDEX(SPLIT($A187,""-""),1))
"),"이찬오")</f>
        <v>이찬오</v>
      </c>
      <c r="C187" s="2" t="str">
        <f>IFERROR(__xludf.DUMMYFUNCTION("TRIM(INDEX(SPLIT($A187,""-""),2))
"),"낙엽 두부")</f>
        <v>낙엽 두부</v>
      </c>
    </row>
    <row r="188">
      <c r="A188" s="2" t="str">
        <f>IFERROR(__xludf.DUMMYFUNCTION("REGEXEXTRACT(raw!A188, ""&lt;\s*(.+?)\s*&gt;"")
"),"홍석천 - 쑥테이크")</f>
        <v>홍석천 - 쑥테이크</v>
      </c>
      <c r="B188" s="2" t="str">
        <f>IFERROR(__xludf.DUMMYFUNCTION("TRIM(INDEX(SPLIT($A188,""-""),1))
"),"홍석천")</f>
        <v>홍석천</v>
      </c>
      <c r="C188" s="2" t="str">
        <f>IFERROR(__xludf.DUMMYFUNCTION("TRIM(INDEX(SPLIT($A188,""-""),2))
"),"쑥테이크")</f>
        <v>쑥테이크</v>
      </c>
    </row>
    <row r="189">
      <c r="A189" s="2" t="str">
        <f>IFERROR(__xludf.DUMMYFUNCTION("REGEXEXTRACT(raw!A189, ""&lt;\s*(.+?)\s*&gt;"")
"),"최현석 - 최면육회")</f>
        <v>최현석 - 최면육회</v>
      </c>
      <c r="B189" s="2" t="str">
        <f>IFERROR(__xludf.DUMMYFUNCTION("TRIM(INDEX(SPLIT($A189,""-""),1))
"),"최현석")</f>
        <v>최현석</v>
      </c>
      <c r="C189" s="2" t="str">
        <f>IFERROR(__xludf.DUMMYFUNCTION("TRIM(INDEX(SPLIT($A189,""-""),2))
"),"최면육회")</f>
        <v>최면육회</v>
      </c>
    </row>
    <row r="190">
      <c r="A190" s="2" t="str">
        <f>IFERROR(__xludf.DUMMYFUNCTION("REGEXEXTRACT(raw!A190, ""&lt;\s*(.+?)\s*&gt;"")
"),"최현석 - 터치 마이 주꾸미")</f>
        <v>최현석 - 터치 마이 주꾸미</v>
      </c>
      <c r="B190" s="2" t="str">
        <f>IFERROR(__xludf.DUMMYFUNCTION("TRIM(INDEX(SPLIT($A190,""-""),1))
"),"최현석")</f>
        <v>최현석</v>
      </c>
      <c r="C190" s="2" t="str">
        <f>IFERROR(__xludf.DUMMYFUNCTION("TRIM(INDEX(SPLIT($A190,""-""),2))
"),"터치 마이 주꾸미")</f>
        <v>터치 마이 주꾸미</v>
      </c>
    </row>
    <row r="191">
      <c r="A191" s="2" t="str">
        <f>IFERROR(__xludf.DUMMYFUNCTION("REGEXEXTRACT(raw!A191, ""&lt;\s*(.+?)\s*&gt;"")
"),"샘킴 - 리소토 먹어보라")</f>
        <v>샘킴 - 리소토 먹어보라</v>
      </c>
      <c r="B191" s="2" t="str">
        <f>IFERROR(__xludf.DUMMYFUNCTION("TRIM(INDEX(SPLIT($A191,""-""),1))
"),"샘킴")</f>
        <v>샘킴</v>
      </c>
      <c r="C191" s="2" t="str">
        <f>IFERROR(__xludf.DUMMYFUNCTION("TRIM(INDEX(SPLIT($A191,""-""),2))
"),"리소토 먹어보라")</f>
        <v>리소토 먹어보라</v>
      </c>
    </row>
    <row r="192">
      <c r="A192" s="2" t="str">
        <f>IFERROR(__xludf.DUMMYFUNCTION("REGEXEXTRACT(raw!A192, ""&lt;\s*(.+?)\s*&gt;"")
"),"이연복 - 기세등등갈비")</f>
        <v>이연복 - 기세등등갈비</v>
      </c>
      <c r="B192" s="2" t="str">
        <f>IFERROR(__xludf.DUMMYFUNCTION("TRIM(INDEX(SPLIT($A192,""-""),1))
"),"이연복")</f>
        <v>이연복</v>
      </c>
      <c r="C192" s="2" t="str">
        <f>IFERROR(__xludf.DUMMYFUNCTION("TRIM(INDEX(SPLIT($A192,""-""),2))
"),"기세등등갈비")</f>
        <v>기세등등갈비</v>
      </c>
    </row>
    <row r="193">
      <c r="A193" s="2" t="str">
        <f>IFERROR(__xludf.DUMMYFUNCTION("REGEXEXTRACT(raw!A193, ""&lt;\s*(.+?)\s*&gt;"")
"),"미카엘 - 등갈빈")</f>
        <v>미카엘 - 등갈빈</v>
      </c>
      <c r="B193" s="2" t="str">
        <f>IFERROR(__xludf.DUMMYFUNCTION("TRIM(INDEX(SPLIT($A193,""-""),1))
"),"미카엘")</f>
        <v>미카엘</v>
      </c>
      <c r="C193" s="2" t="str">
        <f>IFERROR(__xludf.DUMMYFUNCTION("TRIM(INDEX(SPLIT($A193,""-""),2))
"),"등갈빈")</f>
        <v>등갈빈</v>
      </c>
    </row>
    <row r="194">
      <c r="A194" s="2" t="str">
        <f>IFERROR(__xludf.DUMMYFUNCTION("REGEXEXTRACT(raw!A194, ""&lt;\s*(.+?)\s*&gt;"")
"),"이원일 - 짱짱면")</f>
        <v>이원일 - 짱짱면</v>
      </c>
      <c r="B194" s="2" t="str">
        <f>IFERROR(__xludf.DUMMYFUNCTION("TRIM(INDEX(SPLIT($A194,""-""),1))
"),"이원일")</f>
        <v>이원일</v>
      </c>
      <c r="C194" s="2" t="str">
        <f>IFERROR(__xludf.DUMMYFUNCTION("TRIM(INDEX(SPLIT($A194,""-""),2))
"),"짱짱면")</f>
        <v>짱짱면</v>
      </c>
    </row>
    <row r="195">
      <c r="A195" s="2" t="str">
        <f>IFERROR(__xludf.DUMMYFUNCTION("REGEXEXTRACT(raw!A195, ""&lt;\s*(.+?)\s*&gt;"")
"),"이찬오 - 리소토 위~아래 곱창")</f>
        <v>이찬오 - 리소토 위~아래 곱창</v>
      </c>
      <c r="B195" s="2" t="str">
        <f>IFERROR(__xludf.DUMMYFUNCTION("TRIM(INDEX(SPLIT($A195,""-""),1))
"),"이찬오")</f>
        <v>이찬오</v>
      </c>
      <c r="C195" s="2" t="str">
        <f>IFERROR(__xludf.DUMMYFUNCTION("TRIM(INDEX(SPLIT($A195,""-""),2))
"),"리소토 위~아래 곱창")</f>
        <v>리소토 위~아래 곱창</v>
      </c>
    </row>
    <row r="196">
      <c r="A196" s="2" t="str">
        <f>IFERROR(__xludf.DUMMYFUNCTION("REGEXEXTRACT(raw!A196, ""&lt;\s*(.+?)\s*&gt;"")
"),"김풍 - 풍기명란 토스트")</f>
        <v>김풍 - 풍기명란 토스트</v>
      </c>
      <c r="B196" s="2" t="str">
        <f>IFERROR(__xludf.DUMMYFUNCTION("TRIM(INDEX(SPLIT($A196,""-""),1))
"),"김풍")</f>
        <v>김풍</v>
      </c>
      <c r="C196" s="2" t="str">
        <f>IFERROR(__xludf.DUMMYFUNCTION("TRIM(INDEX(SPLIT($A196,""-""),2))
"),"풍기명란 토스트")</f>
        <v>풍기명란 토스트</v>
      </c>
    </row>
    <row r="197">
      <c r="A197" s="2" t="str">
        <f>IFERROR(__xludf.DUMMYFUNCTION("REGEXEXTRACT(raw!A197, ""&lt;\s*(.+?)\s*&gt;"")
"),"오세득 - 창난하니?")</f>
        <v>오세득 - 창난하니?</v>
      </c>
      <c r="B197" s="2" t="str">
        <f>IFERROR(__xludf.DUMMYFUNCTION("TRIM(INDEX(SPLIT($A197,""-""),1))
"),"오세득")</f>
        <v>오세득</v>
      </c>
      <c r="C197" s="2" t="str">
        <f>IFERROR(__xludf.DUMMYFUNCTION("TRIM(INDEX(SPLIT($A197,""-""),2))
"),"창난하니?")</f>
        <v>창난하니?</v>
      </c>
    </row>
    <row r="198">
      <c r="A198" s="2" t="str">
        <f>IFERROR(__xludf.DUMMYFUNCTION("REGEXEXTRACT(raw!A198, ""&lt;\s*(.+?)\s*&gt;"")
"),"홍석천 - 입에 불레리나")</f>
        <v>홍석천 - 입에 불레리나</v>
      </c>
      <c r="B198" s="2" t="str">
        <f>IFERROR(__xludf.DUMMYFUNCTION("TRIM(INDEX(SPLIT($A198,""-""),1))
"),"홍석천")</f>
        <v>홍석천</v>
      </c>
      <c r="C198" s="2" t="str">
        <f>IFERROR(__xludf.DUMMYFUNCTION("TRIM(INDEX(SPLIT($A198,""-""),2))
"),"입에 불레리나")</f>
        <v>입에 불레리나</v>
      </c>
    </row>
    <row r="199">
      <c r="A199" s="2" t="str">
        <f>IFERROR(__xludf.DUMMYFUNCTION("REGEXEXTRACT(raw!A199, ""&lt;\s*(.+?)\s*&gt;"")
"),"오세득 - 불새닭")</f>
        <v>오세득 - 불새닭</v>
      </c>
      <c r="B199" s="2" t="str">
        <f>IFERROR(__xludf.DUMMYFUNCTION("TRIM(INDEX(SPLIT($A199,""-""),1))
"),"오세득")</f>
        <v>오세득</v>
      </c>
      <c r="C199" s="2" t="str">
        <f>IFERROR(__xludf.DUMMYFUNCTION("TRIM(INDEX(SPLIT($A199,""-""),2))
"),"불새닭")</f>
        <v>불새닭</v>
      </c>
    </row>
    <row r="200">
      <c r="A200" s="2" t="str">
        <f>IFERROR(__xludf.DUMMYFUNCTION("REGEXEXTRACT(raw!A200, ""&lt;\s*(.+?)\s*&gt;"")
"),"최현석 - 유 캔 플라이롤")</f>
        <v>최현석 - 유 캔 플라이롤</v>
      </c>
      <c r="B200" s="2" t="str">
        <f>IFERROR(__xludf.DUMMYFUNCTION("TRIM(INDEX(SPLIT($A200,""-""),1))
"),"최현석")</f>
        <v>최현석</v>
      </c>
      <c r="C200" s="2" t="str">
        <f>IFERROR(__xludf.DUMMYFUNCTION("TRIM(INDEX(SPLIT($A200,""-""),2))
"),"유 캔 플라이롤")</f>
        <v>유 캔 플라이롤</v>
      </c>
    </row>
    <row r="201">
      <c r="A201" s="2" t="str">
        <f>IFERROR(__xludf.DUMMYFUNCTION("REGEXEXTRACT(raw!A201, ""&lt;\s*(.+?)\s*&gt;"")
"),"정호영 - 연어 타다익선")</f>
        <v>정호영 - 연어 타다익선</v>
      </c>
      <c r="B201" s="2" t="str">
        <f>IFERROR(__xludf.DUMMYFUNCTION("TRIM(INDEX(SPLIT($A201,""-""),1))
"),"정호영")</f>
        <v>정호영</v>
      </c>
      <c r="C201" s="2" t="str">
        <f>IFERROR(__xludf.DUMMYFUNCTION("TRIM(INDEX(SPLIT($A201,""-""),2))
"),"연어 타다익선")</f>
        <v>연어 타다익선</v>
      </c>
    </row>
    <row r="202">
      <c r="A202" s="2" t="str">
        <f>IFERROR(__xludf.DUMMYFUNCTION("REGEXEXTRACT(raw!A202, ""&lt;\s*(.+?)\s*&gt;"")
"),"이연복 - 햄복한 밥")</f>
        <v>이연복 - 햄복한 밥</v>
      </c>
      <c r="B202" s="2" t="str">
        <f>IFERROR(__xludf.DUMMYFUNCTION("TRIM(INDEX(SPLIT($A202,""-""),1))
"),"이연복")</f>
        <v>이연복</v>
      </c>
      <c r="C202" s="2" t="str">
        <f>IFERROR(__xludf.DUMMYFUNCTION("TRIM(INDEX(SPLIT($A202,""-""),2))
"),"햄복한 밥")</f>
        <v>햄복한 밥</v>
      </c>
    </row>
    <row r="203">
      <c r="A203" s="2" t="str">
        <f>IFERROR(__xludf.DUMMYFUNCTION("REGEXEXTRACT(raw!A203, ""&lt;\s*(.+?)\s*&gt;"")
"),"김풍 - 불량식풍")</f>
        <v>김풍 - 불량식풍</v>
      </c>
      <c r="B203" s="2" t="str">
        <f>IFERROR(__xludf.DUMMYFUNCTION("TRIM(INDEX(SPLIT($A203,""-""),1))
"),"김풍")</f>
        <v>김풍</v>
      </c>
      <c r="C203" s="2" t="str">
        <f>IFERROR(__xludf.DUMMYFUNCTION("TRIM(INDEX(SPLIT($A203,""-""),2))
"),"불량식풍")</f>
        <v>불량식풍</v>
      </c>
    </row>
    <row r="204">
      <c r="A204" s="2" t="str">
        <f>IFERROR(__xludf.DUMMYFUNCTION("REGEXEXTRACT(raw!A204, ""&lt;\s*(.+?)\s*&gt;"")
"),"샘킴 - 3점 슛테이크")</f>
        <v>샘킴 - 3점 슛테이크</v>
      </c>
      <c r="B204" s="2" t="str">
        <f>IFERROR(__xludf.DUMMYFUNCTION("TRIM(INDEX(SPLIT($A204,""-""),1))
"),"샘킴")</f>
        <v>샘킴</v>
      </c>
      <c r="C204" s="2" t="str">
        <f>IFERROR(__xludf.DUMMYFUNCTION("TRIM(INDEX(SPLIT($A204,""-""),2))
"),"3점 슛테이크")</f>
        <v>3점 슛테이크</v>
      </c>
    </row>
    <row r="205">
      <c r="A205" s="2" t="str">
        <f>IFERROR(__xludf.DUMMYFUNCTION("REGEXEXTRACT(raw!A205, ""&lt;\s*(.+?)\s*&gt;"")
"),"이찬오 - 아이스테키")</f>
        <v>이찬오 - 아이스테키</v>
      </c>
      <c r="B205" s="2" t="str">
        <f>IFERROR(__xludf.DUMMYFUNCTION("TRIM(INDEX(SPLIT($A205,""-""),1))
"),"이찬오")</f>
        <v>이찬오</v>
      </c>
      <c r="C205" s="2" t="str">
        <f>IFERROR(__xludf.DUMMYFUNCTION("TRIM(INDEX(SPLIT($A205,""-""),2))
"),"아이스테키")</f>
        <v>아이스테키</v>
      </c>
    </row>
    <row r="206">
      <c r="A206" s="2" t="str">
        <f>IFERROR(__xludf.DUMMYFUNCTION("REGEXEXTRACT(raw!A206, ""&lt;\s*(.+?)\s*&gt;"")
"),"김성주 - 가슴이 심쿵해")</f>
        <v>김성주 - 가슴이 심쿵해</v>
      </c>
      <c r="B206" s="2" t="str">
        <f>IFERROR(__xludf.DUMMYFUNCTION("TRIM(INDEX(SPLIT($A206,""-""),1))
"),"김성주")</f>
        <v>김성주</v>
      </c>
      <c r="C206" s="2" t="str">
        <f>IFERROR(__xludf.DUMMYFUNCTION("TRIM(INDEX(SPLIT($A206,""-""),2))
"),"가슴이 심쿵해")</f>
        <v>가슴이 심쿵해</v>
      </c>
    </row>
    <row r="207">
      <c r="A207" s="2" t="str">
        <f>IFERROR(__xludf.DUMMYFUNCTION("REGEXEXTRACT(raw!A207, ""&lt;\s*(.+?)\s*&gt;"")
"),"정형돈 - 돈달돈달 + 여보 밥 안 안치니?")</f>
        <v>정형돈 - 돈달돈달 + 여보 밥 안 안치니?</v>
      </c>
      <c r="B207" s="2" t="str">
        <f>IFERROR(__xludf.DUMMYFUNCTION("TRIM(INDEX(SPLIT($A207,""-""),1))
"),"정형돈")</f>
        <v>정형돈</v>
      </c>
      <c r="C207" s="2" t="str">
        <f>IFERROR(__xludf.DUMMYFUNCTION("TRIM(INDEX(SPLIT($A207,""-""),2))
"),"돈달돈달 + 여보 밥 안 안치니?")</f>
        <v>돈달돈달 + 여보 밥 안 안치니?</v>
      </c>
    </row>
    <row r="208">
      <c r="A208" s="2" t="str">
        <f>IFERROR(__xludf.DUMMYFUNCTION("REGEXEXTRACT(raw!A208, ""&lt;\s*(.+?)\s*&gt;"")
"),"이원일 - 이런 돈장")</f>
        <v>이원일 - 이런 돈장</v>
      </c>
      <c r="B208" s="2" t="str">
        <f>IFERROR(__xludf.DUMMYFUNCTION("TRIM(INDEX(SPLIT($A208,""-""),1))
"),"이원일")</f>
        <v>이원일</v>
      </c>
      <c r="C208" s="2" t="str">
        <f>IFERROR(__xludf.DUMMYFUNCTION("TRIM(INDEX(SPLIT($A208,""-""),2))
"),"이런 돈장")</f>
        <v>이런 돈장</v>
      </c>
    </row>
    <row r="209">
      <c r="A209" s="2" t="str">
        <f>IFERROR(__xludf.DUMMYFUNCTION("REGEXEXTRACT(raw!A209, ""&lt;\s*(.+?)\s*&gt;"")
"),"오세득 - 허세우")</f>
        <v>오세득 - 허세우</v>
      </c>
      <c r="B209" s="2" t="str">
        <f>IFERROR(__xludf.DUMMYFUNCTION("TRIM(INDEX(SPLIT($A209,""-""),1))
"),"오세득")</f>
        <v>오세득</v>
      </c>
      <c r="C209" s="2" t="str">
        <f>IFERROR(__xludf.DUMMYFUNCTION("TRIM(INDEX(SPLIT($A209,""-""),2))
"),"허세우")</f>
        <v>허세우</v>
      </c>
    </row>
    <row r="210">
      <c r="A210" s="2" t="str">
        <f>IFERROR(__xludf.DUMMYFUNCTION("REGEXEXTRACT(raw!A210, ""&lt;\s*(.+?)\s*&gt;"")
"),"홍석천 - 단칼국수")</f>
        <v>홍석천 - 단칼국수</v>
      </c>
      <c r="B210" s="2" t="str">
        <f>IFERROR(__xludf.DUMMYFUNCTION("TRIM(INDEX(SPLIT($A210,""-""),1))
"),"홍석천")</f>
        <v>홍석천</v>
      </c>
      <c r="C210" s="2" t="str">
        <f>IFERROR(__xludf.DUMMYFUNCTION("TRIM(INDEX(SPLIT($A210,""-""),2))
"),"단칼국수")</f>
        <v>단칼국수</v>
      </c>
    </row>
    <row r="211">
      <c r="A211" s="2" t="str">
        <f>IFERROR(__xludf.DUMMYFUNCTION("REGEXEXTRACT(raw!A211, ""&lt;\s*(.+?)\s*&gt;"")
"),"미카엘 - 맛있소면")</f>
        <v>미카엘 - 맛있소면</v>
      </c>
      <c r="B211" s="2" t="str">
        <f>IFERROR(__xludf.DUMMYFUNCTION("TRIM(INDEX(SPLIT($A211,""-""),1))
"),"미카엘")</f>
        <v>미카엘</v>
      </c>
      <c r="C211" s="2" t="str">
        <f>IFERROR(__xludf.DUMMYFUNCTION("TRIM(INDEX(SPLIT($A211,""-""),2))
"),"맛있소면")</f>
        <v>맛있소면</v>
      </c>
    </row>
    <row r="212">
      <c r="A212" s="2" t="str">
        <f>IFERROR(__xludf.DUMMYFUNCTION("REGEXEXTRACT(raw!A212, ""&lt;\s*(.+?)\s*&gt;"")
"),"최현석 - 갓김치치즈스마일")</f>
        <v>최현석 - 갓김치치즈스마일</v>
      </c>
      <c r="B212" s="2" t="str">
        <f>IFERROR(__xludf.DUMMYFUNCTION("TRIM(INDEX(SPLIT($A212,""-""),1))
"),"최현석")</f>
        <v>최현석</v>
      </c>
      <c r="C212" s="2" t="str">
        <f>IFERROR(__xludf.DUMMYFUNCTION("TRIM(INDEX(SPLIT($A212,""-""),2))
"),"갓김치치즈스마일")</f>
        <v>갓김치치즈스마일</v>
      </c>
    </row>
    <row r="213">
      <c r="A213" s="2" t="str">
        <f>IFERROR(__xludf.DUMMYFUNCTION("REGEXEXTRACT(raw!A213, ""&lt;\s*(.+?)\s*&gt;"")
"),"김풍 - 고풍격 디저트")</f>
        <v>김풍 - 고풍격 디저트</v>
      </c>
      <c r="B213" s="2" t="str">
        <f>IFERROR(__xludf.DUMMYFUNCTION("TRIM(INDEX(SPLIT($A213,""-""),1))
"),"김풍")</f>
        <v>김풍</v>
      </c>
      <c r="C213" s="2" t="str">
        <f>IFERROR(__xludf.DUMMYFUNCTION("TRIM(INDEX(SPLIT($A213,""-""),2))
"),"고풍격 디저트")</f>
        <v>고풍격 디저트</v>
      </c>
    </row>
    <row r="214">
      <c r="A214" s="2" t="str">
        <f>IFERROR(__xludf.DUMMYFUNCTION("REGEXEXTRACT(raw!A214, ""&lt;\s*(.+?)\s*&gt;"")
"),"이연복 - 배추 카르복나라")</f>
        <v>이연복 - 배추 카르복나라</v>
      </c>
      <c r="B214" s="2" t="str">
        <f>IFERROR(__xludf.DUMMYFUNCTION("TRIM(INDEX(SPLIT($A214,""-""),1))
"),"이연복")</f>
        <v>이연복</v>
      </c>
      <c r="C214" s="2" t="str">
        <f>IFERROR(__xludf.DUMMYFUNCTION("TRIM(INDEX(SPLIT($A214,""-""),2))
"),"배추 카르복나라")</f>
        <v>배추 카르복나라</v>
      </c>
    </row>
    <row r="215">
      <c r="A215" s="2" t="str">
        <f>IFERROR(__xludf.DUMMYFUNCTION("REGEXEXTRACT(raw!A215, ""&lt;\s*(.+?)\s*&gt;"")
"),"샘킴 - 샘(킴)표 탕수육")</f>
        <v>샘킴 - 샘(킴)표 탕수육</v>
      </c>
      <c r="B215" s="2" t="str">
        <f>IFERROR(__xludf.DUMMYFUNCTION("TRIM(INDEX(SPLIT($A215,""-""),1))
"),"샘킴")</f>
        <v>샘킴</v>
      </c>
      <c r="C215" s="2" t="str">
        <f>IFERROR(__xludf.DUMMYFUNCTION("TRIM(INDEX(SPLIT($A215,""-""),2))
"),"샘(킴)표 탕수육")</f>
        <v>샘(킴)표 탕수육</v>
      </c>
    </row>
    <row r="216">
      <c r="A216" s="2" t="str">
        <f>IFERROR(__xludf.DUMMYFUNCTION("REGEXEXTRACT(raw!A216, ""&lt;\s*(.+?)\s*&gt;"")
"),"이찬오 - 쓰리스타 풍코스")</f>
        <v>이찬오 - 쓰리스타 풍코스</v>
      </c>
      <c r="B216" s="2" t="str">
        <f>IFERROR(__xludf.DUMMYFUNCTION("TRIM(INDEX(SPLIT($A216,""-""),1))
"),"이찬오")</f>
        <v>이찬오</v>
      </c>
      <c r="C216" s="2" t="str">
        <f>IFERROR(__xludf.DUMMYFUNCTION("TRIM(INDEX(SPLIT($A216,""-""),2))
"),"쓰리스타 풍코스")</f>
        <v>쓰리스타 풍코스</v>
      </c>
    </row>
    <row r="217">
      <c r="A217" s="2" t="str">
        <f>IFERROR(__xludf.DUMMYFUNCTION("REGEXEXTRACT(raw!A217, ""&lt;\s*(.+?)\s*&gt;"")
"),"박준우 - 미슐랭 쓰리스타는 게뿔")</f>
        <v>박준우 - 미슐랭 쓰리스타는 게뿔</v>
      </c>
      <c r="B217" s="2" t="str">
        <f>IFERROR(__xludf.DUMMYFUNCTION("TRIM(INDEX(SPLIT($A217,""-""),1))
"),"박준우")</f>
        <v>박준우</v>
      </c>
      <c r="C217" s="2" t="str">
        <f>IFERROR(__xludf.DUMMYFUNCTION("TRIM(INDEX(SPLIT($A217,""-""),2))
"),"미슐랭 쓰리스타는 게뿔")</f>
        <v>미슐랭 쓰리스타는 게뿔</v>
      </c>
    </row>
    <row r="218">
      <c r="A218" s="2" t="str">
        <f>IFERROR(__xludf.DUMMYFUNCTION("REGEXEXTRACT(raw!A218, ""&lt;\s*(.+?)\s*&gt;"")
"),"김풍 - 로맨티스타 케이크")</f>
        <v>김풍 - 로맨티스타 케이크</v>
      </c>
      <c r="B218" s="2" t="str">
        <f>IFERROR(__xludf.DUMMYFUNCTION("TRIM(INDEX(SPLIT($A218,""-""),1))
"),"김풍")</f>
        <v>김풍</v>
      </c>
      <c r="C218" s="2" t="str">
        <f>IFERROR(__xludf.DUMMYFUNCTION("TRIM(INDEX(SPLIT($A218,""-""),2))
"),"로맨티스타 케이크")</f>
        <v>로맨티스타 케이크</v>
      </c>
    </row>
    <row r="219">
      <c r="A219" s="2" t="str">
        <f>IFERROR(__xludf.DUMMYFUNCTION("REGEXEXTRACT(raw!A219, ""&lt;\s*(.+?)\s*&gt;"")
"),"이찬오 - 마이 ♥ 케이크")</f>
        <v>이찬오 - 마이 ♥ 케이크</v>
      </c>
      <c r="B219" s="2" t="str">
        <f>IFERROR(__xludf.DUMMYFUNCTION("TRIM(INDEX(SPLIT($A219,""-""),1))
"),"이찬오")</f>
        <v>이찬오</v>
      </c>
      <c r="C219" s="2" t="str">
        <f>IFERROR(__xludf.DUMMYFUNCTION("TRIM(INDEX(SPLIT($A219,""-""),2))
"),"마이 ♥ 케이크")</f>
        <v>마이 ♥ 케이크</v>
      </c>
    </row>
    <row r="220">
      <c r="A220" s="2" t="str">
        <f>IFERROR(__xludf.DUMMYFUNCTION("REGEXEXTRACT(raw!A220, ""&lt;\s*(.+?)\s*&gt;"")
"),"샘킴 - 크림 속에 비친 파프리카")</f>
        <v>샘킴 - 크림 속에 비친 파프리카</v>
      </c>
      <c r="B220" s="2" t="str">
        <f>IFERROR(__xludf.DUMMYFUNCTION("TRIM(INDEX(SPLIT($A220,""-""),1))
"),"샘킴")</f>
        <v>샘킴</v>
      </c>
      <c r="C220" s="2" t="str">
        <f>IFERROR(__xludf.DUMMYFUNCTION("TRIM(INDEX(SPLIT($A220,""-""),2))
"),"크림 속에 비친 파프리카")</f>
        <v>크림 속에 비친 파프리카</v>
      </c>
    </row>
    <row r="221">
      <c r="A221" s="2" t="str">
        <f>IFERROR(__xludf.DUMMYFUNCTION("REGEXEXTRACT(raw!A221, ""&lt;\s*(.+?)\s*&gt;"")
"),"이원일 - 사장님 라이스 버거~")</f>
        <v>이원일 - 사장님 라이스 버거~</v>
      </c>
      <c r="B221" s="2" t="str">
        <f>IFERROR(__xludf.DUMMYFUNCTION("TRIM(INDEX(SPLIT($A221,""-""),1))
"),"이원일")</f>
        <v>이원일</v>
      </c>
      <c r="C221" s="2" t="str">
        <f>IFERROR(__xludf.DUMMYFUNCTION("TRIM(INDEX(SPLIT($A221,""-""),2))
"),"사장님 라이스 버거~")</f>
        <v>사장님 라이스 버거~</v>
      </c>
    </row>
    <row r="222">
      <c r="A222" s="2" t="str">
        <f>IFERROR(__xludf.DUMMYFUNCTION("REGEXEXTRACT(raw!A222, ""&lt;\s*(.+?)\s*&gt;"")
"),"최현석 - 이탈리안 특급 파스타")</f>
        <v>최현석 - 이탈리안 특급 파스타</v>
      </c>
      <c r="B222" s="2" t="str">
        <f>IFERROR(__xludf.DUMMYFUNCTION("TRIM(INDEX(SPLIT($A222,""-""),1))
"),"최현석")</f>
        <v>최현석</v>
      </c>
      <c r="C222" s="2" t="str">
        <f>IFERROR(__xludf.DUMMYFUNCTION("TRIM(INDEX(SPLIT($A222,""-""),2))
"),"이탈리안 특급 파스타")</f>
        <v>이탈리안 특급 파스타</v>
      </c>
    </row>
    <row r="223">
      <c r="A223" s="2" t="str">
        <f>IFERROR(__xludf.DUMMYFUNCTION("REGEXEXTRACT(raw!A223, ""&lt;\s*(.+?)\s*&gt;"")
"),"오세득 - 당근 체인지업")</f>
        <v>오세득 - 당근 체인지업</v>
      </c>
      <c r="B223" s="2" t="str">
        <f>IFERROR(__xludf.DUMMYFUNCTION("TRIM(INDEX(SPLIT($A223,""-""),1))
"),"오세득")</f>
        <v>오세득</v>
      </c>
      <c r="C223" s="2" t="str">
        <f>IFERROR(__xludf.DUMMYFUNCTION("TRIM(INDEX(SPLIT($A223,""-""),2))
"),"당근 체인지업")</f>
        <v>당근 체인지업</v>
      </c>
    </row>
    <row r="224">
      <c r="A224" s="2" t="str">
        <f>IFERROR(__xludf.DUMMYFUNCTION("REGEXEXTRACT(raw!A224, ""&lt;\s*(.+?)\s*&gt;"")
"),"홍석천 - 입이 떡~갈비")</f>
        <v>홍석천 - 입이 떡~갈비</v>
      </c>
      <c r="B224" s="2" t="str">
        <f>IFERROR(__xludf.DUMMYFUNCTION("TRIM(INDEX(SPLIT($A224,""-""),1))
"),"홍석천")</f>
        <v>홍석천</v>
      </c>
      <c r="C224" s="2" t="str">
        <f>IFERROR(__xludf.DUMMYFUNCTION("TRIM(INDEX(SPLIT($A224,""-""),2))
"),"입이 떡~갈비")</f>
        <v>입이 떡~갈비</v>
      </c>
    </row>
    <row r="225">
      <c r="A225" s="2" t="str">
        <f>IFERROR(__xludf.DUMMYFUNCTION("REGEXEXTRACT(raw!A225, ""&lt;\s*(.+?)\s*&gt;"")
"),"정호영 - 콩나물 팍팍 무쳤돔")</f>
        <v>정호영 - 콩나물 팍팍 무쳤돔</v>
      </c>
      <c r="B225" s="2" t="str">
        <f>IFERROR(__xludf.DUMMYFUNCTION("TRIM(INDEX(SPLIT($A225,""-""),1))
"),"정호영")</f>
        <v>정호영</v>
      </c>
      <c r="C225" s="2" t="str">
        <f>IFERROR(__xludf.DUMMYFUNCTION("TRIM(INDEX(SPLIT($A225,""-""),2))
"),"콩나물 팍팍 무쳤돔")</f>
        <v>콩나물 팍팍 무쳤돔</v>
      </c>
    </row>
    <row r="226">
      <c r="A226" s="2" t="str">
        <f>IFERROR(__xludf.DUMMYFUNCTION("REGEXEXTRACT(raw!A226, ""&lt;\s*(.+?)\s*&gt;"")
"),"샘킴 - 토마토 쓴다고 놀리지 말아요")</f>
        <v>샘킴 - 토마토 쓴다고 놀리지 말아요</v>
      </c>
      <c r="B226" s="2" t="str">
        <f>IFERROR(__xludf.DUMMYFUNCTION("TRIM(INDEX(SPLIT($A226,""-""),1))
"),"샘킴")</f>
        <v>샘킴</v>
      </c>
      <c r="C226" s="2" t="str">
        <f>IFERROR(__xludf.DUMMYFUNCTION("TRIM(INDEX(SPLIT($A226,""-""),2))
"),"토마토 쓴다고 놀리지 말아요")</f>
        <v>토마토 쓴다고 놀리지 말아요</v>
      </c>
    </row>
    <row r="227">
      <c r="A227" s="2" t="str">
        <f>IFERROR(__xludf.DUMMYFUNCTION("REGEXEXTRACT(raw!A227, ""&lt;\s*(.+?)\s*&gt;"")
"),"오세득 - 밖으로 나가버리곤약")</f>
        <v>오세득 - 밖으로 나가버리곤약</v>
      </c>
      <c r="B227" s="2" t="str">
        <f>IFERROR(__xludf.DUMMYFUNCTION("TRIM(INDEX(SPLIT($A227,""-""),1))
"),"오세득")</f>
        <v>오세득</v>
      </c>
      <c r="C227" s="2" t="str">
        <f>IFERROR(__xludf.DUMMYFUNCTION("TRIM(INDEX(SPLIT($A227,""-""),2))
"),"밖으로 나가버리곤약")</f>
        <v>밖으로 나가버리곤약</v>
      </c>
    </row>
    <row r="228">
      <c r="A228" s="2" t="str">
        <f>IFERROR(__xludf.DUMMYFUNCTION("REGEXEXTRACT(raw!A228, ""&lt;\s*(.+?)\s*&gt;"")
"),"미카엘 - 안심하그라탱")</f>
        <v>미카엘 - 안심하그라탱</v>
      </c>
      <c r="B228" s="2" t="str">
        <f>IFERROR(__xludf.DUMMYFUNCTION("TRIM(INDEX(SPLIT($A228,""-""),1))
"),"미카엘")</f>
        <v>미카엘</v>
      </c>
      <c r="C228" s="2" t="str">
        <f>IFERROR(__xludf.DUMMYFUNCTION("TRIM(INDEX(SPLIT($A228,""-""),2))
"),"안심하그라탱")</f>
        <v>안심하그라탱</v>
      </c>
    </row>
    <row r="229">
      <c r="A229" s="2" t="str">
        <f>IFERROR(__xludf.DUMMYFUNCTION("REGEXEXTRACT(raw!A229, ""&lt;\s*(.+?)\s*&gt;"")
"),"이찬오 - 홍시 밭의 거위")</f>
        <v>이찬오 - 홍시 밭의 거위</v>
      </c>
      <c r="B229" s="2" t="str">
        <f>IFERROR(__xludf.DUMMYFUNCTION("TRIM(INDEX(SPLIT($A229,""-""),1))
"),"이찬오")</f>
        <v>이찬오</v>
      </c>
      <c r="C229" s="2" t="str">
        <f>IFERROR(__xludf.DUMMYFUNCTION("TRIM(INDEX(SPLIT($A229,""-""),2))
"),"홍시 밭의 거위")</f>
        <v>홍시 밭의 거위</v>
      </c>
    </row>
    <row r="230">
      <c r="A230" s="2" t="str">
        <f>IFERROR(__xludf.DUMMYFUNCTION("REGEXEXTRACT(raw!A230, ""&lt;\s*(.+?)\s*&gt;"")
"),"이연복 - 장어 팔복채")</f>
        <v>이연복 - 장어 팔복채</v>
      </c>
      <c r="B230" s="2" t="str">
        <f>IFERROR(__xludf.DUMMYFUNCTION("TRIM(INDEX(SPLIT($A230,""-""),1))
"),"이연복")</f>
        <v>이연복</v>
      </c>
      <c r="C230" s="2" t="str">
        <f>IFERROR(__xludf.DUMMYFUNCTION("TRIM(INDEX(SPLIT($A230,""-""),2))
"),"장어 팔복채")</f>
        <v>장어 팔복채</v>
      </c>
    </row>
    <row r="231">
      <c r="A231" s="2" t="str">
        <f>IFERROR(__xludf.DUMMYFUNCTION("REGEXEXTRACT(raw!A231, ""&lt;\s*(.+?)\s*&gt;"")
"),"최현석 - 트러플 메이커")</f>
        <v>최현석 - 트러플 메이커</v>
      </c>
      <c r="B231" s="2" t="str">
        <f>IFERROR(__xludf.DUMMYFUNCTION("TRIM(INDEX(SPLIT($A231,""-""),1))
"),"최현석")</f>
        <v>최현석</v>
      </c>
      <c r="C231" s="2" t="str">
        <f>IFERROR(__xludf.DUMMYFUNCTION("TRIM(INDEX(SPLIT($A231,""-""),2))
"),"트러플 메이커")</f>
        <v>트러플 메이커</v>
      </c>
    </row>
    <row r="232">
      <c r="A232" s="2" t="str">
        <f>IFERROR(__xludf.DUMMYFUNCTION("REGEXEXTRACT(raw!A232, ""&lt;\s*(.+?)\s*&gt;"")
"),"김풍 - 자연풍 주의보")</f>
        <v>김풍 - 자연풍 주의보</v>
      </c>
      <c r="B232" s="2" t="str">
        <f>IFERROR(__xludf.DUMMYFUNCTION("TRIM(INDEX(SPLIT($A232,""-""),1))
"),"김풍")</f>
        <v>김풍</v>
      </c>
      <c r="C232" s="2" t="str">
        <f>IFERROR(__xludf.DUMMYFUNCTION("TRIM(INDEX(SPLIT($A232,""-""),2))
"),"자연풍 주의보")</f>
        <v>자연풍 주의보</v>
      </c>
    </row>
    <row r="233">
      <c r="A233" s="2" t="str">
        <f>IFERROR(__xludf.DUMMYFUNCTION("REGEXEXTRACT(raw!A233, ""&lt;\s*(.+?)\s*&gt;"")
"),"정호영 - 마성의 해물면")</f>
        <v>정호영 - 마성의 해물면</v>
      </c>
      <c r="B233" s="2" t="str">
        <f>IFERROR(__xludf.DUMMYFUNCTION("TRIM(INDEX(SPLIT($A233,""-""),1))
"),"정호영")</f>
        <v>정호영</v>
      </c>
      <c r="C233" s="2" t="str">
        <f>IFERROR(__xludf.DUMMYFUNCTION("TRIM(INDEX(SPLIT($A233,""-""),2))
"),"마성의 해물면")</f>
        <v>마성의 해물면</v>
      </c>
    </row>
    <row r="234">
      <c r="A234" s="2" t="str">
        <f>IFERROR(__xludf.DUMMYFUNCTION("REGEXEXTRACT(raw!A234, ""&lt;\s*(.+?)\s*&gt;"")
"),"샘킴 - 라자냐는 나자냐")</f>
        <v>샘킴 - 라자냐는 나자냐</v>
      </c>
      <c r="B234" s="2" t="str">
        <f>IFERROR(__xludf.DUMMYFUNCTION("TRIM(INDEX(SPLIT($A234,""-""),1))
"),"샘킴")</f>
        <v>샘킴</v>
      </c>
      <c r="C234" s="2" t="str">
        <f>IFERROR(__xludf.DUMMYFUNCTION("TRIM(INDEX(SPLIT($A234,""-""),2))
"),"라자냐는 나자냐")</f>
        <v>라자냐는 나자냐</v>
      </c>
    </row>
    <row r="235">
      <c r="A235" s="2" t="str">
        <f>IFERROR(__xludf.DUMMYFUNCTION("REGEXEXTRACT(raw!A235, ""&lt;\s*(.+?)\s*&gt;"")
"),"김풍 - 사랑햄")</f>
        <v>김풍 - 사랑햄</v>
      </c>
      <c r="B235" s="2" t="str">
        <f>IFERROR(__xludf.DUMMYFUNCTION("TRIM(INDEX(SPLIT($A235,""-""),1))
"),"김풍")</f>
        <v>김풍</v>
      </c>
      <c r="C235" s="2" t="str">
        <f>IFERROR(__xludf.DUMMYFUNCTION("TRIM(INDEX(SPLIT($A235,""-""),2))
"),"사랑햄")</f>
        <v>사랑햄</v>
      </c>
    </row>
    <row r="236">
      <c r="A236" s="2" t="str">
        <f>IFERROR(__xludf.DUMMYFUNCTION("REGEXEXTRACT(raw!A236, ""&lt;\s*(.+?)\s*&gt;"")
"),"이연복 - 가지 싸움에 새우등 터진다")</f>
        <v>이연복 - 가지 싸움에 새우등 터진다</v>
      </c>
      <c r="B236" s="2" t="str">
        <f>IFERROR(__xludf.DUMMYFUNCTION("TRIM(INDEX(SPLIT($A236,""-""),1))
"),"이연복")</f>
        <v>이연복</v>
      </c>
      <c r="C236" s="2" t="str">
        <f>IFERROR(__xludf.DUMMYFUNCTION("TRIM(INDEX(SPLIT($A236,""-""),2))
"),"가지 싸움에 새우등 터진다")</f>
        <v>가지 싸움에 새우등 터진다</v>
      </c>
    </row>
    <row r="237">
      <c r="A237" s="2" t="str">
        <f>IFERROR(__xludf.DUMMYFUNCTION("REGEXEXTRACT(raw!A237, ""&lt;\s*(.+?)\s*&gt;"")
"),"이찬오 - 대게 맛있는 따로 덮밥")</f>
        <v>이찬오 - 대게 맛있는 따로 덮밥</v>
      </c>
      <c r="B237" s="2" t="str">
        <f>IFERROR(__xludf.DUMMYFUNCTION("TRIM(INDEX(SPLIT($A237,""-""),1))
"),"이찬오")</f>
        <v>이찬오</v>
      </c>
      <c r="C237" s="2" t="str">
        <f>IFERROR(__xludf.DUMMYFUNCTION("TRIM(INDEX(SPLIT($A237,""-""),2))
"),"대게 맛있는 따로 덮밥")</f>
        <v>대게 맛있는 따로 덮밥</v>
      </c>
    </row>
    <row r="238">
      <c r="A238" s="2" t="str">
        <f>IFERROR(__xludf.DUMMYFUNCTION("REGEXEXTRACT(raw!A238, ""&lt;\s*(.+?)\s*&gt;"")
"),"미카엘 - 삼치렐라")</f>
        <v>미카엘 - 삼치렐라</v>
      </c>
      <c r="B238" s="2" t="str">
        <f>IFERROR(__xludf.DUMMYFUNCTION("TRIM(INDEX(SPLIT($A238,""-""),1))
"),"미카엘")</f>
        <v>미카엘</v>
      </c>
      <c r="C238" s="2" t="str">
        <f>IFERROR(__xludf.DUMMYFUNCTION("TRIM(INDEX(SPLIT($A238,""-""),2))
"),"삼치렐라")</f>
        <v>삼치렐라</v>
      </c>
    </row>
    <row r="239">
      <c r="A239" s="2" t="str">
        <f>IFERROR(__xludf.DUMMYFUNCTION("REGEXEXTRACT(raw!A239, ""&lt;\s*(.+?)\s*&gt;"")
"),"오세득 - 개천에서 용 났새우")</f>
        <v>오세득 - 개천에서 용 났새우</v>
      </c>
      <c r="B239" s="2" t="str">
        <f>IFERROR(__xludf.DUMMYFUNCTION("TRIM(INDEX(SPLIT($A239,""-""),1))
"),"오세득")</f>
        <v>오세득</v>
      </c>
      <c r="C239" s="2" t="str">
        <f>IFERROR(__xludf.DUMMYFUNCTION("TRIM(INDEX(SPLIT($A239,""-""),2))
"),"개천에서 용 났새우")</f>
        <v>개천에서 용 났새우</v>
      </c>
    </row>
    <row r="240">
      <c r="A240" s="2" t="str">
        <f>IFERROR(__xludf.DUMMYFUNCTION("REGEXEXTRACT(raw!A240, ""&lt;\s*(.+?)\s*&gt;"")
"),"최현석 - 부드럽끼")</f>
        <v>최현석 - 부드럽끼</v>
      </c>
      <c r="B240" s="2" t="str">
        <f>IFERROR(__xludf.DUMMYFUNCTION("TRIM(INDEX(SPLIT($A240,""-""),1))
"),"최현석")</f>
        <v>최현석</v>
      </c>
      <c r="C240" s="2" t="str">
        <f>IFERROR(__xludf.DUMMYFUNCTION("TRIM(INDEX(SPLIT($A240,""-""),2))
"),"부드럽끼")</f>
        <v>부드럽끼</v>
      </c>
    </row>
    <row r="241">
      <c r="A241" s="2" t="str">
        <f>IFERROR(__xludf.DUMMYFUNCTION("REGEXEXTRACT(raw!A241, ""&lt;\s*(.+?)\s*&gt;"")
"),"이원일 - 유아식망고땡!")</f>
        <v>이원일 - 유아식망고땡!</v>
      </c>
      <c r="B241" s="2" t="str">
        <f>IFERROR(__xludf.DUMMYFUNCTION("TRIM(INDEX(SPLIT($A241,""-""),1))
"),"이원일")</f>
        <v>이원일</v>
      </c>
      <c r="C241" s="2" t="str">
        <f>IFERROR(__xludf.DUMMYFUNCTION("TRIM(INDEX(SPLIT($A241,""-""),2))
"),"유아식망고땡!")</f>
        <v>유아식망고땡!</v>
      </c>
    </row>
    <row r="242">
      <c r="A242" s="2" t="str">
        <f>IFERROR(__xludf.DUMMYFUNCTION("REGEXEXTRACT(raw!A242, ""&lt;\s*(.+?)\s*&gt;"")
"),"이연복 - 요기조기 탕수")</f>
        <v>이연복 - 요기조기 탕수</v>
      </c>
      <c r="B242" s="2" t="str">
        <f>IFERROR(__xludf.DUMMYFUNCTION("TRIM(INDEX(SPLIT($A242,""-""),1))
"),"이연복")</f>
        <v>이연복</v>
      </c>
      <c r="C242" s="2" t="str">
        <f>IFERROR(__xludf.DUMMYFUNCTION("TRIM(INDEX(SPLIT($A242,""-""),2))
"),"요기조기 탕수")</f>
        <v>요기조기 탕수</v>
      </c>
    </row>
    <row r="243">
      <c r="A243" s="2" t="str">
        <f>IFERROR(__xludf.DUMMYFUNCTION("REGEXEXTRACT(raw!A243, ""&lt;\s*(.+?)\s*&gt;"")
"),"미카엘 - 뒤집었닭")</f>
        <v>미카엘 - 뒤집었닭</v>
      </c>
      <c r="B243" s="2" t="str">
        <f>IFERROR(__xludf.DUMMYFUNCTION("TRIM(INDEX(SPLIT($A243,""-""),1))
"),"미카엘")</f>
        <v>미카엘</v>
      </c>
      <c r="C243" s="2" t="str">
        <f>IFERROR(__xludf.DUMMYFUNCTION("TRIM(INDEX(SPLIT($A243,""-""),2))
"),"뒤집었닭")</f>
        <v>뒤집었닭</v>
      </c>
    </row>
    <row r="244">
      <c r="A244" s="2" t="str">
        <f>IFERROR(__xludf.DUMMYFUNCTION("REGEXEXTRACT(raw!A244, ""&lt;\s*(.+?)\s*&gt;"")
"),"홍석천 - 명란 대파주이소")</f>
        <v>홍석천 - 명란 대파주이소</v>
      </c>
      <c r="B244" s="2" t="str">
        <f>IFERROR(__xludf.DUMMYFUNCTION("TRIM(INDEX(SPLIT($A244,""-""),1))
"),"홍석천")</f>
        <v>홍석천</v>
      </c>
      <c r="C244" s="2" t="str">
        <f>IFERROR(__xludf.DUMMYFUNCTION("TRIM(INDEX(SPLIT($A244,""-""),2))
"),"명란 대파주이소")</f>
        <v>명란 대파주이소</v>
      </c>
    </row>
    <row r="245">
      <c r="A245" s="2" t="str">
        <f>IFERROR(__xludf.DUMMYFUNCTION("REGEXEXTRACT(raw!A245, ""&lt;\s*(.+?)\s*&gt;"")
"),"최현석 - 채끝과 당근")</f>
        <v>최현석 - 채끝과 당근</v>
      </c>
      <c r="B245" s="2" t="str">
        <f>IFERROR(__xludf.DUMMYFUNCTION("TRIM(INDEX(SPLIT($A245,""-""),1))
"),"최현석")</f>
        <v>최현석</v>
      </c>
      <c r="C245" s="2" t="str">
        <f>IFERROR(__xludf.DUMMYFUNCTION("TRIM(INDEX(SPLIT($A245,""-""),2))
"),"채끝과 당근")</f>
        <v>채끝과 당근</v>
      </c>
    </row>
    <row r="246">
      <c r="A246" s="2" t="str">
        <f>IFERROR(__xludf.DUMMYFUNCTION("REGEXEXTRACT(raw!A246, ""&lt;\s*(.+?)\s*&gt;"")
"),"샘킴 - 위풍닭닭")</f>
        <v>샘킴 - 위풍닭닭</v>
      </c>
      <c r="B246" s="2" t="str">
        <f>IFERROR(__xludf.DUMMYFUNCTION("TRIM(INDEX(SPLIT($A246,""-""),1))
"),"샘킴")</f>
        <v>샘킴</v>
      </c>
      <c r="C246" s="2" t="str">
        <f>IFERROR(__xludf.DUMMYFUNCTION("TRIM(INDEX(SPLIT($A246,""-""),2))
"),"위풍닭닭")</f>
        <v>위풍닭닭</v>
      </c>
    </row>
    <row r="247">
      <c r="A247" s="2" t="str">
        <f>IFERROR(__xludf.DUMMYFUNCTION("REGEXEXTRACT(raw!A247, ""&lt;\s*(.+?)\s*&gt;"")
"),"정호영 - 미트볼그레")</f>
        <v>정호영 - 미트볼그레</v>
      </c>
      <c r="B247" s="2" t="str">
        <f>IFERROR(__xludf.DUMMYFUNCTION("TRIM(INDEX(SPLIT($A247,""-""),1))
"),"정호영")</f>
        <v>정호영</v>
      </c>
      <c r="C247" s="2" t="str">
        <f>IFERROR(__xludf.DUMMYFUNCTION("TRIM(INDEX(SPLIT($A247,""-""),2))
"),"미트볼그레")</f>
        <v>미트볼그레</v>
      </c>
    </row>
    <row r="248">
      <c r="A248" s="2" t="str">
        <f>IFERROR(__xludf.DUMMYFUNCTION("REGEXEXTRACT(raw!A248, ""&lt;\s*(.+?)\s*&gt;"")
"),"김풍 - 장풍덮밥")</f>
        <v>김풍 - 장풍덮밥</v>
      </c>
      <c r="B248" s="2" t="str">
        <f>IFERROR(__xludf.DUMMYFUNCTION("TRIM(INDEX(SPLIT($A248,""-""),1))
"),"김풍")</f>
        <v>김풍</v>
      </c>
      <c r="C248" s="2" t="str">
        <f>IFERROR(__xludf.DUMMYFUNCTION("TRIM(INDEX(SPLIT($A248,""-""),2))
"),"장풍덮밥")</f>
        <v>장풍덮밥</v>
      </c>
    </row>
    <row r="249">
      <c r="A249" s="2" t="str">
        <f>IFERROR(__xludf.DUMMYFUNCTION("REGEXEXTRACT(raw!A249, ""&lt;\s*(.+?)\s*&gt;"")
"),"오세득 - 돼.새.김")</f>
        <v>오세득 - 돼.새.김</v>
      </c>
      <c r="B249" s="2" t="str">
        <f>IFERROR(__xludf.DUMMYFUNCTION("TRIM(INDEX(SPLIT($A249,""-""),1))
"),"오세득")</f>
        <v>오세득</v>
      </c>
      <c r="C249" s="2" t="str">
        <f>IFERROR(__xludf.DUMMYFUNCTION("TRIM(INDEX(SPLIT($A249,""-""),2))
"),"돼.새.김")</f>
        <v>돼.새.김</v>
      </c>
    </row>
    <row r="250">
      <c r="A250" s="2" t="str">
        <f>IFERROR(__xludf.DUMMYFUNCTION("REGEXEXTRACT(raw!A250, ""&lt;\s*(.+?)\s*&gt;"")
"),"이원일 - 아! 추로스~")</f>
        <v>이원일 - 아! 추로스~</v>
      </c>
      <c r="B250" s="2" t="str">
        <f>IFERROR(__xludf.DUMMYFUNCTION("TRIM(INDEX(SPLIT($A250,""-""),1))
"),"이원일")</f>
        <v>이원일</v>
      </c>
      <c r="C250" s="2" t="str">
        <f>IFERROR(__xludf.DUMMYFUNCTION("TRIM(INDEX(SPLIT($A250,""-""),2))
"),"아! 추로스~")</f>
        <v>아! 추로스~</v>
      </c>
    </row>
    <row r="251">
      <c r="A251" s="2" t="str">
        <f>IFERROR(__xludf.DUMMYFUNCTION("REGEXEXTRACT(raw!A251, ""&lt;\s*(.+?)\s*&gt;"")
"),"이찬오 - 퍼펙타르트")</f>
        <v>이찬오 - 퍼펙타르트</v>
      </c>
      <c r="B251" s="2" t="str">
        <f>IFERROR(__xludf.DUMMYFUNCTION("TRIM(INDEX(SPLIT($A251,""-""),1))
"),"이찬오")</f>
        <v>이찬오</v>
      </c>
      <c r="C251" s="2" t="str">
        <f>IFERROR(__xludf.DUMMYFUNCTION("TRIM(INDEX(SPLIT($A251,""-""),2))
"),"퍼펙타르트")</f>
        <v>퍼펙타르트</v>
      </c>
    </row>
    <row r="252">
      <c r="A252" s="2" t="str">
        <f>IFERROR(__xludf.DUMMYFUNCTION("REGEXEXTRACT(raw!A252, ""&lt;\s*(.+?)\s*&gt;"")
"),"이연복 - 한잔비어떡")</f>
        <v>이연복 - 한잔비어떡</v>
      </c>
      <c r="B252" s="2" t="str">
        <f>IFERROR(__xludf.DUMMYFUNCTION("TRIM(INDEX(SPLIT($A252,""-""),1))
"),"이연복")</f>
        <v>이연복</v>
      </c>
      <c r="C252" s="2" t="str">
        <f>IFERROR(__xludf.DUMMYFUNCTION("TRIM(INDEX(SPLIT($A252,""-""),2))
"),"한잔비어떡")</f>
        <v>한잔비어떡</v>
      </c>
    </row>
    <row r="253">
      <c r="A253" s="2" t="str">
        <f>IFERROR(__xludf.DUMMYFUNCTION("REGEXEXTRACT(raw!A253, ""&lt;\s*(.+?)\s*&gt;"")
"),"오세득 - 닭고치")</f>
        <v>오세득 - 닭고치</v>
      </c>
      <c r="B253" s="2" t="str">
        <f>IFERROR(__xludf.DUMMYFUNCTION("TRIM(INDEX(SPLIT($A253,""-""),1))
"),"오세득")</f>
        <v>오세득</v>
      </c>
      <c r="C253" s="2" t="str">
        <f>IFERROR(__xludf.DUMMYFUNCTION("TRIM(INDEX(SPLIT($A253,""-""),2))
"),"닭고치")</f>
        <v>닭고치</v>
      </c>
    </row>
    <row r="254">
      <c r="A254" s="2" t="str">
        <f>IFERROR(__xludf.DUMMYFUNCTION("REGEXEXTRACT(raw!A254, ""&lt;\s*(.+?)\s*&gt;"")
"),"최현석 - 긴밤지새우콩")</f>
        <v>최현석 - 긴밤지새우콩</v>
      </c>
      <c r="B254" s="2" t="str">
        <f>IFERROR(__xludf.DUMMYFUNCTION("TRIM(INDEX(SPLIT($A254,""-""),1))
"),"최현석")</f>
        <v>최현석</v>
      </c>
      <c r="C254" s="2" t="str">
        <f>IFERROR(__xludf.DUMMYFUNCTION("TRIM(INDEX(SPLIT($A254,""-""),2))
"),"긴밤지새우콩")</f>
        <v>긴밤지새우콩</v>
      </c>
    </row>
    <row r="255">
      <c r="A255" s="2" t="str">
        <f>IFERROR(__xludf.DUMMYFUNCTION("REGEXEXTRACT(raw!A255, ""&lt;\s*(.+?)\s*&gt;"")
"),"샘킴 - 살빠질톰얌")</f>
        <v>샘킴 - 살빠질톰얌</v>
      </c>
      <c r="B255" s="2" t="str">
        <f>IFERROR(__xludf.DUMMYFUNCTION("TRIM(INDEX(SPLIT($A255,""-""),1))
"),"샘킴")</f>
        <v>샘킴</v>
      </c>
      <c r="C255" s="2" t="str">
        <f>IFERROR(__xludf.DUMMYFUNCTION("TRIM(INDEX(SPLIT($A255,""-""),2))
"),"살빠질톰얌")</f>
        <v>살빠질톰얌</v>
      </c>
    </row>
    <row r="256">
      <c r="A256" s="2" t="str">
        <f>IFERROR(__xludf.DUMMYFUNCTION("REGEXEXTRACT(raw!A256, ""&lt;\s*(.+?)\s*&gt;"")
"),"미카엘 - 한잔하새우")</f>
        <v>미카엘 - 한잔하새우</v>
      </c>
      <c r="B256" s="2" t="str">
        <f>IFERROR(__xludf.DUMMYFUNCTION("TRIM(INDEX(SPLIT($A256,""-""),1))
"),"미카엘")</f>
        <v>미카엘</v>
      </c>
      <c r="C256" s="2" t="str">
        <f>IFERROR(__xludf.DUMMYFUNCTION("TRIM(INDEX(SPLIT($A256,""-""),2))
"),"한잔하새우")</f>
        <v>한잔하새우</v>
      </c>
    </row>
    <row r="257">
      <c r="A257" s="2" t="str">
        <f>IFERROR(__xludf.DUMMYFUNCTION("REGEXEXTRACT(raw!A257, ""&lt;\s*(.+?)\s*&gt;"")
"),"김풍 - 뱅뱅뱅볶음")</f>
        <v>김풍 - 뱅뱅뱅볶음</v>
      </c>
      <c r="B257" s="2" t="str">
        <f>IFERROR(__xludf.DUMMYFUNCTION("TRIM(INDEX(SPLIT($A257,""-""),1))
"),"김풍")</f>
        <v>김풍</v>
      </c>
      <c r="C257" s="2" t="str">
        <f>IFERROR(__xludf.DUMMYFUNCTION("TRIM(INDEX(SPLIT($A257,""-""),2))
"),"뱅뱅뱅볶음")</f>
        <v>뱅뱅뱅볶음</v>
      </c>
    </row>
    <row r="258">
      <c r="A258" s="2" t="str">
        <f>IFERROR(__xludf.DUMMYFUNCTION("REGEXEXTRACT(raw!A258, ""&lt;\s*(.+?)\s*&gt;"")
"),"이찬오 - 소풍가는 닭")</f>
        <v>이찬오 - 소풍가는 닭</v>
      </c>
      <c r="B258" s="2" t="str">
        <f>IFERROR(__xludf.DUMMYFUNCTION("TRIM(INDEX(SPLIT($A258,""-""),1))
"),"이찬오")</f>
        <v>이찬오</v>
      </c>
      <c r="C258" s="2" t="str">
        <f>IFERROR(__xludf.DUMMYFUNCTION("TRIM(INDEX(SPLIT($A258,""-""),2))
"),"소풍가는 닭")</f>
        <v>소풍가는 닭</v>
      </c>
    </row>
    <row r="259">
      <c r="A259" s="2" t="str">
        <f>IFERROR(__xludf.DUMMYFUNCTION("REGEXEXTRACT(raw!A259, ""&lt;\s*(.+?)\s*&gt;"")
"),"정호영 - 함박웃음치~즈")</f>
        <v>정호영 - 함박웃음치~즈</v>
      </c>
      <c r="B259" s="2" t="str">
        <f>IFERROR(__xludf.DUMMYFUNCTION("TRIM(INDEX(SPLIT($A259,""-""),1))
"),"정호영")</f>
        <v>정호영</v>
      </c>
      <c r="C259" s="2" t="str">
        <f>IFERROR(__xludf.DUMMYFUNCTION("TRIM(INDEX(SPLIT($A259,""-""),2))
"),"함박웃음치~즈")</f>
        <v>함박웃음치~즈</v>
      </c>
    </row>
    <row r="260">
      <c r="A260" s="2" t="str">
        <f>IFERROR(__xludf.DUMMYFUNCTION("REGEXEXTRACT(raw!A260, ""&lt;\s*(.+?)\s*&gt;"")
"),"이연복 - 육해공 연볶이")</f>
        <v>이연복 - 육해공 연볶이</v>
      </c>
      <c r="B260" s="2" t="str">
        <f>IFERROR(__xludf.DUMMYFUNCTION("TRIM(INDEX(SPLIT($A260,""-""),1))
"),"이연복")</f>
        <v>이연복</v>
      </c>
      <c r="C260" s="2" t="str">
        <f>IFERROR(__xludf.DUMMYFUNCTION("TRIM(INDEX(SPLIT($A260,""-""),2))
"),"육해공 연볶이")</f>
        <v>육해공 연볶이</v>
      </c>
    </row>
    <row r="261">
      <c r="A261" s="2" t="str">
        <f>IFERROR(__xludf.DUMMYFUNCTION("REGEXEXTRACT(raw!A261, ""&lt;\s*(.+?)\s*&gt;"")
"),"김풍 - 너는 힙합! 나는 햄팝!")</f>
        <v>김풍 - 너는 힙합! 나는 햄팝!</v>
      </c>
      <c r="B261" s="2" t="str">
        <f>IFERROR(__xludf.DUMMYFUNCTION("TRIM(INDEX(SPLIT($A261,""-""),1))
"),"김풍")</f>
        <v>김풍</v>
      </c>
      <c r="C261" s="2" t="str">
        <f>IFERROR(__xludf.DUMMYFUNCTION("TRIM(INDEX(SPLIT($A261,""-""),2))
"),"너는 힙합! 나는 햄팝!")</f>
        <v>너는 힙합! 나는 햄팝!</v>
      </c>
    </row>
    <row r="262">
      <c r="A262" s="2" t="str">
        <f>IFERROR(__xludf.DUMMYFUNCTION("REGEXEXTRACT(raw!A262, ""&lt;\s*(.+?)\s*&gt;"")
"),"홍석천 - 쌈삼한 리소토")</f>
        <v>홍석천 - 쌈삼한 리소토</v>
      </c>
      <c r="B262" s="2" t="str">
        <f>IFERROR(__xludf.DUMMYFUNCTION("TRIM(INDEX(SPLIT($A262,""-""),1))
"),"홍석천")</f>
        <v>홍석천</v>
      </c>
      <c r="C262" s="2" t="str">
        <f>IFERROR(__xludf.DUMMYFUNCTION("TRIM(INDEX(SPLIT($A262,""-""),2))
"),"쌈삼한 리소토")</f>
        <v>쌈삼한 리소토</v>
      </c>
    </row>
    <row r="263">
      <c r="A263" s="2" t="str">
        <f>IFERROR(__xludf.DUMMYFUNCTION("REGEXEXTRACT(raw!A263, ""&lt;\s*(.+?)\s*&gt;"")
"),"최현석 - 쌈닭 파스타")</f>
        <v>최현석 - 쌈닭 파스타</v>
      </c>
      <c r="B263" s="2" t="str">
        <f>IFERROR(__xludf.DUMMYFUNCTION("TRIM(INDEX(SPLIT($A263,""-""),1))
"),"최현석")</f>
        <v>최현석</v>
      </c>
      <c r="C263" s="2" t="str">
        <f>IFERROR(__xludf.DUMMYFUNCTION("TRIM(INDEX(SPLIT($A263,""-""),2))
"),"쌈닭 파스타")</f>
        <v>쌈닭 파스타</v>
      </c>
    </row>
    <row r="264">
      <c r="A264" s="2" t="str">
        <f>IFERROR(__xludf.DUMMYFUNCTION("REGEXEXTRACT(raw!A264, ""&lt;\s*(.+?)\s*&gt;"")
"),"샘킴 - 소울 푸드의 고참")</f>
        <v>샘킴 - 소울 푸드의 고참</v>
      </c>
      <c r="B264" s="2" t="str">
        <f>IFERROR(__xludf.DUMMYFUNCTION("TRIM(INDEX(SPLIT($A264,""-""),1))
"),"샘킴")</f>
        <v>샘킴</v>
      </c>
      <c r="C264" s="2" t="str">
        <f>IFERROR(__xludf.DUMMYFUNCTION("TRIM(INDEX(SPLIT($A264,""-""),2))
"),"소울 푸드의 고참")</f>
        <v>소울 푸드의 고참</v>
      </c>
    </row>
    <row r="265">
      <c r="A265" s="2" t="str">
        <f>IFERROR(__xludf.DUMMYFUNCTION("REGEXEXTRACT(raw!A265, ""&lt;\s*(.+?)\s*&gt;"")
"),"미카엘 - 옥수스웨그 팬케이크")</f>
        <v>미카엘 - 옥수스웨그 팬케이크</v>
      </c>
      <c r="B265" s="2" t="str">
        <f>IFERROR(__xludf.DUMMYFUNCTION("TRIM(INDEX(SPLIT($A265,""-""),1))
"),"미카엘")</f>
        <v>미카엘</v>
      </c>
      <c r="C265" s="2" t="str">
        <f>IFERROR(__xludf.DUMMYFUNCTION("TRIM(INDEX(SPLIT($A265,""-""),2))
"),"옥수스웨그 팬케이크")</f>
        <v>옥수스웨그 팬케이크</v>
      </c>
    </row>
    <row r="266">
      <c r="A266" s="2" t="str">
        <f>IFERROR(__xludf.DUMMYFUNCTION("REGEXEXTRACT(raw!A266, ""&lt;\s*(.+?)\s*&gt;"")
"),"이연복 - 등심빵빵")</f>
        <v>이연복 - 등심빵빵</v>
      </c>
      <c r="B266" s="2" t="str">
        <f>IFERROR(__xludf.DUMMYFUNCTION("TRIM(INDEX(SPLIT($A266,""-""),1))
"),"이연복")</f>
        <v>이연복</v>
      </c>
      <c r="C266" s="2" t="str">
        <f>IFERROR(__xludf.DUMMYFUNCTION("TRIM(INDEX(SPLIT($A266,""-""),2))
"),"등심빵빵")</f>
        <v>등심빵빵</v>
      </c>
    </row>
    <row r="267">
      <c r="A267" s="2" t="str">
        <f>IFERROR(__xludf.DUMMYFUNCTION("REGEXEXTRACT(raw!A267, ""&lt;\s*(.+?)\s*&gt;"")
"),"미카엘 - 달콤하게 튀겼지우")</f>
        <v>미카엘 - 달콤하게 튀겼지우</v>
      </c>
      <c r="B267" s="2" t="str">
        <f>IFERROR(__xludf.DUMMYFUNCTION("TRIM(INDEX(SPLIT($A267,""-""),1))
"),"미카엘")</f>
        <v>미카엘</v>
      </c>
      <c r="C267" s="2" t="str">
        <f>IFERROR(__xludf.DUMMYFUNCTION("TRIM(INDEX(SPLIT($A267,""-""),2))
"),"달콤하게 튀겼지우")</f>
        <v>달콤하게 튀겼지우</v>
      </c>
    </row>
    <row r="268">
      <c r="A268" s="2" t="str">
        <f>IFERROR(__xludf.DUMMYFUNCTION("REGEXEXTRACT(raw!A268, ""&lt;\s*(.+?)\s*&gt;"")
"),"최현석 - 여심전복")</f>
        <v>최현석 - 여심전복</v>
      </c>
      <c r="B268" s="2" t="str">
        <f>IFERROR(__xludf.DUMMYFUNCTION("TRIM(INDEX(SPLIT($A268,""-""),1))
"),"최현석")</f>
        <v>최현석</v>
      </c>
      <c r="C268" s="2" t="str">
        <f>IFERROR(__xludf.DUMMYFUNCTION("TRIM(INDEX(SPLIT($A268,""-""),2))
"),"여심전복")</f>
        <v>여심전복</v>
      </c>
    </row>
    <row r="269">
      <c r="A269" s="2" t="str">
        <f>IFERROR(__xludf.DUMMYFUNCTION("REGEXEXTRACT(raw!A269, ""&lt;\s*(.+?)\s*&gt;"")
"),"이찬오 - 여식공략")</f>
        <v>이찬오 - 여식공략</v>
      </c>
      <c r="B269" s="2" t="str">
        <f>IFERROR(__xludf.DUMMYFUNCTION("TRIM(INDEX(SPLIT($A269,""-""),1))
"),"이찬오")</f>
        <v>이찬오</v>
      </c>
      <c r="C269" s="2" t="str">
        <f>IFERROR(__xludf.DUMMYFUNCTION("TRIM(INDEX(SPLIT($A269,""-""),2))
"),"여식공략")</f>
        <v>여식공략</v>
      </c>
    </row>
    <row r="270">
      <c r="A270" s="2" t="str">
        <f>IFERROR(__xludf.DUMMYFUNCTION("REGEXEXTRACT(raw!A270, ""&lt;\s*(.+?)\s*&gt;"")
"),"김풍 - 최후의 소보로")</f>
        <v>김풍 - 최후의 소보로</v>
      </c>
      <c r="B270" s="2" t="str">
        <f>IFERROR(__xludf.DUMMYFUNCTION("TRIM(INDEX(SPLIT($A270,""-""),1))
"),"김풍")</f>
        <v>김풍</v>
      </c>
      <c r="C270" s="2" t="str">
        <f>IFERROR(__xludf.DUMMYFUNCTION("TRIM(INDEX(SPLIT($A270,""-""),2))
"),"최후의 소보로")</f>
        <v>최후의 소보로</v>
      </c>
    </row>
    <row r="271">
      <c r="A271" s="2" t="str">
        <f>IFERROR(__xludf.DUMMYFUNCTION("REGEXEXTRACT(raw!A271, ""&lt;\s*(.+?)\s*&gt;"")
"),"정호영 - 봉주르마끼")</f>
        <v>정호영 - 봉주르마끼</v>
      </c>
      <c r="B271" s="2" t="str">
        <f>IFERROR(__xludf.DUMMYFUNCTION("TRIM(INDEX(SPLIT($A271,""-""),1))
"),"정호영")</f>
        <v>정호영</v>
      </c>
      <c r="C271" s="2" t="str">
        <f>IFERROR(__xludf.DUMMYFUNCTION("TRIM(INDEX(SPLIT($A271,""-""),2))
"),"봉주르마끼")</f>
        <v>봉주르마끼</v>
      </c>
    </row>
    <row r="272">
      <c r="A272" s="2" t="str">
        <f>IFERROR(__xludf.DUMMYFUNCTION("REGEXEXTRACT(raw!A272, ""&lt;\s*(.+?)\s*&gt;"")
"),"샘킴 - 어무이라이스")</f>
        <v>샘킴 - 어무이라이스</v>
      </c>
      <c r="B272" s="2" t="str">
        <f>IFERROR(__xludf.DUMMYFUNCTION("TRIM(INDEX(SPLIT($A272,""-""),1))
"),"샘킴")</f>
        <v>샘킴</v>
      </c>
      <c r="C272" s="2" t="str">
        <f>IFERROR(__xludf.DUMMYFUNCTION("TRIM(INDEX(SPLIT($A272,""-""),2))
"),"어무이라이스")</f>
        <v>어무이라이스</v>
      </c>
    </row>
    <row r="273">
      <c r="A273" s="2" t="str">
        <f>IFERROR(__xludf.DUMMYFUNCTION("REGEXEXTRACT(raw!A273, ""&lt;\s*(.+?)\s*&gt;"")
"),"오세득 - 돼새찌개")</f>
        <v>오세득 - 돼새찌개</v>
      </c>
      <c r="B273" s="2" t="str">
        <f>IFERROR(__xludf.DUMMYFUNCTION("TRIM(INDEX(SPLIT($A273,""-""),1))
"),"오세득")</f>
        <v>오세득</v>
      </c>
      <c r="C273" s="2" t="str">
        <f>IFERROR(__xludf.DUMMYFUNCTION("TRIM(INDEX(SPLIT($A273,""-""),2))
"),"돼새찌개")</f>
        <v>돼새찌개</v>
      </c>
    </row>
    <row r="274">
      <c r="A274" s="2" t="str">
        <f>IFERROR(__xludf.DUMMYFUNCTION("REGEXEXTRACT(raw!A274, ""&lt;\s*(.+?)\s*&gt;"")
"),"최현석 - 못 먹어도 고! 등어")</f>
        <v>최현석 - 못 먹어도 고! 등어</v>
      </c>
      <c r="B274" s="2" t="str">
        <f>IFERROR(__xludf.DUMMYFUNCTION("TRIM(INDEX(SPLIT($A274,""-""),1))
"),"최현석")</f>
        <v>최현석</v>
      </c>
      <c r="C274" s="2" t="str">
        <f>IFERROR(__xludf.DUMMYFUNCTION("TRIM(INDEX(SPLIT($A274,""-""),2))
"),"못 먹어도 고! 등어")</f>
        <v>못 먹어도 고! 등어</v>
      </c>
    </row>
    <row r="275">
      <c r="A275" s="2" t="str">
        <f>IFERROR(__xludf.DUMMYFUNCTION("REGEXEXTRACT(raw!A275, ""&lt;\s*(.+?)\s*&gt;"")
"),"김풍 - 맛있을 고양")</f>
        <v>김풍 - 맛있을 고양</v>
      </c>
      <c r="B275" s="2" t="str">
        <f>IFERROR(__xludf.DUMMYFUNCTION("TRIM(INDEX(SPLIT($A275,""-""),1))
"),"김풍")</f>
        <v>김풍</v>
      </c>
      <c r="C275" s="2" t="str">
        <f>IFERROR(__xludf.DUMMYFUNCTION("TRIM(INDEX(SPLIT($A275,""-""),2))
"),"맛있을 고양")</f>
        <v>맛있을 고양</v>
      </c>
    </row>
    <row r="276">
      <c r="A276" s="2" t="str">
        <f>IFERROR(__xludf.DUMMYFUNCTION("REGEXEXTRACT(raw!A276, ""&lt;\s*(.+?)\s*&gt;"")
"),"미카엘 - 싹쓸이 팬")</f>
        <v>미카엘 - 싹쓸이 팬</v>
      </c>
      <c r="B276" s="2" t="str">
        <f>IFERROR(__xludf.DUMMYFUNCTION("TRIM(INDEX(SPLIT($A276,""-""),1))
"),"미카엘")</f>
        <v>미카엘</v>
      </c>
      <c r="C276" s="2" t="str">
        <f>IFERROR(__xludf.DUMMYFUNCTION("TRIM(INDEX(SPLIT($A276,""-""),2))
"),"싹쓸이 팬")</f>
        <v>싹쓸이 팬</v>
      </c>
    </row>
    <row r="277">
      <c r="A277" s="2" t="str">
        <f>IFERROR(__xludf.DUMMYFUNCTION("REGEXEXTRACT(raw!A277, ""&lt;\s*(.+?)\s*&gt;"")
"),"이찬오 - 설레기 없수")</f>
        <v>이찬오 - 설레기 없수</v>
      </c>
      <c r="B277" s="2" t="str">
        <f>IFERROR(__xludf.DUMMYFUNCTION("TRIM(INDEX(SPLIT($A277,""-""),1))
"),"이찬오")</f>
        <v>이찬오</v>
      </c>
      <c r="C277" s="2" t="str">
        <f>IFERROR(__xludf.DUMMYFUNCTION("TRIM(INDEX(SPLIT($A277,""-""),2))
"),"설레기 없수")</f>
        <v>설레기 없수</v>
      </c>
    </row>
    <row r="278">
      <c r="A278" s="2" t="str">
        <f>IFERROR(__xludf.DUMMYFUNCTION("REGEXEXTRACT(raw!A278, ""&lt;\s*(.+?)\s*&gt;"")
"),"이연복 - 쌈싸시지")</f>
        <v>이연복 - 쌈싸시지</v>
      </c>
      <c r="B278" s="2" t="str">
        <f>IFERROR(__xludf.DUMMYFUNCTION("TRIM(INDEX(SPLIT($A278,""-""),1))
"),"이연복")</f>
        <v>이연복</v>
      </c>
      <c r="C278" s="2" t="str">
        <f>IFERROR(__xludf.DUMMYFUNCTION("TRIM(INDEX(SPLIT($A278,""-""),2))
"),"쌈싸시지")</f>
        <v>쌈싸시지</v>
      </c>
    </row>
    <row r="279">
      <c r="A279" s="2" t="str">
        <f>IFERROR(__xludf.DUMMYFUNCTION("REGEXEXTRACT(raw!A279, ""&lt;\s*(.+?)\s*&gt;"")
"),"샘킴 - 살몬의 지혜")</f>
        <v>샘킴 - 살몬의 지혜</v>
      </c>
      <c r="B279" s="2" t="str">
        <f>IFERROR(__xludf.DUMMYFUNCTION("TRIM(INDEX(SPLIT($A279,""-""),1))
"),"샘킴")</f>
        <v>샘킴</v>
      </c>
      <c r="C279" s="2" t="str">
        <f>IFERROR(__xludf.DUMMYFUNCTION("TRIM(INDEX(SPLIT($A279,""-""),2))
"),"살몬의 지혜")</f>
        <v>살몬의 지혜</v>
      </c>
    </row>
    <row r="280">
      <c r="A280" s="2" t="str">
        <f>IFERROR(__xludf.DUMMYFUNCTION("REGEXEXTRACT(raw!A280, ""&lt;\s*(.+?)\s*&gt;"")
"),"이원일 - 알콜달콤")</f>
        <v>이원일 - 알콜달콤</v>
      </c>
      <c r="B280" s="2" t="str">
        <f>IFERROR(__xludf.DUMMYFUNCTION("TRIM(INDEX(SPLIT($A280,""-""),1))
"),"이원일")</f>
        <v>이원일</v>
      </c>
      <c r="C280" s="2" t="str">
        <f>IFERROR(__xludf.DUMMYFUNCTION("TRIM(INDEX(SPLIT($A280,""-""),2))
"),"알콜달콤")</f>
        <v>알콜달콤</v>
      </c>
    </row>
    <row r="281">
      <c r="A281" s="2" t="str">
        <f>IFERROR(__xludf.DUMMYFUNCTION("REGEXEXTRACT(raw!A281, ""&lt;\s*(.+?)\s*&gt;"")
"),"정호영 - 우동 노 미")</f>
        <v>정호영 - 우동 노 미</v>
      </c>
      <c r="B281" s="2" t="str">
        <f>IFERROR(__xludf.DUMMYFUNCTION("TRIM(INDEX(SPLIT($A281,""-""),1))
"),"정호영")</f>
        <v>정호영</v>
      </c>
      <c r="C281" s="2" t="str">
        <f>IFERROR(__xludf.DUMMYFUNCTION("TRIM(INDEX(SPLIT($A281,""-""),2))
"),"우동 노 미")</f>
        <v>우동 노 미</v>
      </c>
    </row>
    <row r="282">
      <c r="A282" s="2" t="str">
        <f>IFERROR(__xludf.DUMMYFUNCTION("REGEXEXTRACT(raw!A282, ""&lt;\s*(.+?)\s*&gt;"")
"),"이연복 - 천하젤면")</f>
        <v>이연복 - 천하젤면</v>
      </c>
      <c r="B282" s="2" t="str">
        <f>IFERROR(__xludf.DUMMYFUNCTION("TRIM(INDEX(SPLIT($A282,""-""),1))
"),"이연복")</f>
        <v>이연복</v>
      </c>
      <c r="C282" s="2" t="str">
        <f>IFERROR(__xludf.DUMMYFUNCTION("TRIM(INDEX(SPLIT($A282,""-""),2))
"),"천하젤면")</f>
        <v>천하젤면</v>
      </c>
    </row>
    <row r="283">
      <c r="A283" s="2" t="str">
        <f>IFERROR(__xludf.DUMMYFUNCTION("REGEXEXTRACT(raw!A283, ""&lt;\s*(.+?)\s*&gt;"")
"),"최현석 - 젤 맛있돔")</f>
        <v>최현석 - 젤 맛있돔</v>
      </c>
      <c r="B283" s="2" t="str">
        <f>IFERROR(__xludf.DUMMYFUNCTION("TRIM(INDEX(SPLIT($A283,""-""),1))
"),"최현석")</f>
        <v>최현석</v>
      </c>
      <c r="C283" s="2" t="str">
        <f>IFERROR(__xludf.DUMMYFUNCTION("TRIM(INDEX(SPLIT($A283,""-""),2))
"),"젤 맛있돔")</f>
        <v>젤 맛있돔</v>
      </c>
    </row>
    <row r="284">
      <c r="A284" s="2" t="str">
        <f>IFERROR(__xludf.DUMMYFUNCTION("REGEXEXTRACT(raw!A284, ""&lt;\s*(.+?)\s*&gt;"")
"),"홍석천 - 컵있슈")</f>
        <v>홍석천 - 컵있슈</v>
      </c>
      <c r="B284" s="2" t="str">
        <f>IFERROR(__xludf.DUMMYFUNCTION("TRIM(INDEX(SPLIT($A284,""-""),1))
"),"홍석천")</f>
        <v>홍석천</v>
      </c>
      <c r="C284" s="2" t="str">
        <f>IFERROR(__xludf.DUMMYFUNCTION("TRIM(INDEX(SPLIT($A284,""-""),2))
"),"컵있슈")</f>
        <v>컵있슈</v>
      </c>
    </row>
    <row r="285">
      <c r="A285" s="2" t="str">
        <f>IFERROR(__xludf.DUMMYFUNCTION("REGEXEXTRACT(raw!A285, ""&lt;\s*(.+?)\s*&gt;"")
"),"정호영 - 버블버블버블밥!")</f>
        <v>정호영 - 버블버블버블밥!</v>
      </c>
      <c r="B285" s="2" t="str">
        <f>IFERROR(__xludf.DUMMYFUNCTION("TRIM(INDEX(SPLIT($A285,""-""),1))
"),"정호영")</f>
        <v>정호영</v>
      </c>
      <c r="C285" s="2" t="str">
        <f>IFERROR(__xludf.DUMMYFUNCTION("TRIM(INDEX(SPLIT($A285,""-""),2))
"),"버블버블버블밥!")</f>
        <v>버블버블버블밥!</v>
      </c>
    </row>
    <row r="286">
      <c r="A286" s="2" t="str">
        <f>IFERROR(__xludf.DUMMYFUNCTION("REGEXEXTRACT(raw!A286, ""&lt;\s*(.+?)\s*&gt;"")
"),"샘킴 - 어머님이 샘이니")</f>
        <v>샘킴 - 어머님이 샘이니</v>
      </c>
      <c r="B286" s="2" t="str">
        <f>IFERROR(__xludf.DUMMYFUNCTION("TRIM(INDEX(SPLIT($A286,""-""),1))
"),"샘킴")</f>
        <v>샘킴</v>
      </c>
      <c r="C286" s="2" t="str">
        <f>IFERROR(__xludf.DUMMYFUNCTION("TRIM(INDEX(SPLIT($A286,""-""),2))
"),"어머님이 샘이니")</f>
        <v>어머님이 샘이니</v>
      </c>
    </row>
    <row r="287">
      <c r="A287" s="2" t="str">
        <f>IFERROR(__xludf.DUMMYFUNCTION("REGEXEXTRACT(raw!A287, ""&lt;\s*(.+?)\s*&gt;"")
"),"오세득 - 버섯닭")</f>
        <v>오세득 - 버섯닭</v>
      </c>
      <c r="B287" s="2" t="str">
        <f>IFERROR(__xludf.DUMMYFUNCTION("TRIM(INDEX(SPLIT($A287,""-""),1))
"),"오세득")</f>
        <v>오세득</v>
      </c>
      <c r="C287" s="2" t="str">
        <f>IFERROR(__xludf.DUMMYFUNCTION("TRIM(INDEX(SPLIT($A287,""-""),2))
"),"버섯닭")</f>
        <v>버섯닭</v>
      </c>
    </row>
    <row r="288">
      <c r="A288" s="2" t="str">
        <f>IFERROR(__xludf.DUMMYFUNCTION("REGEXEXTRACT(raw!A288, ""&lt;\s*(.+?)\s*&gt;"")
"),"김풍 - 기절초(코)풍")</f>
        <v>김풍 - 기절초(코)풍</v>
      </c>
      <c r="B288" s="2" t="str">
        <f>IFERROR(__xludf.DUMMYFUNCTION("TRIM(INDEX(SPLIT($A288,""-""),1))
"),"김풍")</f>
        <v>김풍</v>
      </c>
      <c r="C288" s="2" t="str">
        <f>IFERROR(__xludf.DUMMYFUNCTION("TRIM(INDEX(SPLIT($A288,""-""),2))
"),"기절초(코)풍")</f>
        <v>기절초(코)풍</v>
      </c>
    </row>
    <row r="289">
      <c r="A289" s="2" t="str">
        <f>IFERROR(__xludf.DUMMYFUNCTION("REGEXEXTRACT(raw!A289, ""&lt;\s*(.+?)\s*&gt;"")
"),"이찬오 - 부티 귀티 싼티")</f>
        <v>이찬오 - 부티 귀티 싼티</v>
      </c>
      <c r="B289" s="2" t="str">
        <f>IFERROR(__xludf.DUMMYFUNCTION("TRIM(INDEX(SPLIT($A289,""-""),1))
"),"이찬오")</f>
        <v>이찬오</v>
      </c>
      <c r="C289" s="2" t="str">
        <f>IFERROR(__xludf.DUMMYFUNCTION("TRIM(INDEX(SPLIT($A289,""-""),2))
"),"부티 귀티 싼티")</f>
        <v>부티 귀티 싼티</v>
      </c>
    </row>
    <row r="290">
      <c r="A290" s="2" t="str">
        <f>IFERROR(__xludf.DUMMYFUNCTION("REGEXEXTRACT(raw!A290, ""&lt;\s*(.+?)\s*&gt;"")
"),"김풍 - 만두가 머랭?")</f>
        <v>김풍 - 만두가 머랭?</v>
      </c>
      <c r="B290" s="2" t="str">
        <f>IFERROR(__xludf.DUMMYFUNCTION("TRIM(INDEX(SPLIT($A290,""-""),1))
"),"김풍")</f>
        <v>김풍</v>
      </c>
      <c r="C290" s="2" t="str">
        <f>IFERROR(__xludf.DUMMYFUNCTION("TRIM(INDEX(SPLIT($A290,""-""),2))
"),"만두가 머랭?")</f>
        <v>만두가 머랭?</v>
      </c>
    </row>
    <row r="291">
      <c r="A291" s="2" t="str">
        <f>IFERROR(__xludf.DUMMYFUNCTION("REGEXEXTRACT(raw!A291, ""&lt;\s*(.+?)\s*&gt;"")
"),"오세득 - 계이득")</f>
        <v>오세득 - 계이득</v>
      </c>
      <c r="B291" s="2" t="str">
        <f>IFERROR(__xludf.DUMMYFUNCTION("TRIM(INDEX(SPLIT($A291,""-""),1))
"),"오세득")</f>
        <v>오세득</v>
      </c>
      <c r="C291" s="2" t="str">
        <f>IFERROR(__xludf.DUMMYFUNCTION("TRIM(INDEX(SPLIT($A291,""-""),2))
"),"계이득")</f>
        <v>계이득</v>
      </c>
    </row>
    <row r="292">
      <c r="A292" s="2" t="str">
        <f>IFERROR(__xludf.DUMMYFUNCTION("REGEXEXTRACT(raw!A292, ""&lt;\s*(.+?)\s*&gt;"")
"),"이연복 - 김흥국")</f>
        <v>이연복 - 김흥국</v>
      </c>
      <c r="B292" s="2" t="str">
        <f>IFERROR(__xludf.DUMMYFUNCTION("TRIM(INDEX(SPLIT($A292,""-""),1))
"),"이연복")</f>
        <v>이연복</v>
      </c>
      <c r="C292" s="2" t="str">
        <f>IFERROR(__xludf.DUMMYFUNCTION("TRIM(INDEX(SPLIT($A292,""-""),2))
"),"김흥국")</f>
        <v>김흥국</v>
      </c>
    </row>
    <row r="293">
      <c r="A293" s="2" t="str">
        <f>IFERROR(__xludf.DUMMYFUNCTION("REGEXEXTRACT(raw!A293, ""&lt;\s*(.+?)\s*&gt;"")
"),"정호영♥안정환 - 앗싸~ 호랑나베!")</f>
        <v>정호영♥안정환 - 앗싸~ 호랑나베!</v>
      </c>
      <c r="B293" s="2" t="str">
        <f>IFERROR(__xludf.DUMMYFUNCTION("TRIM(INDEX(SPLIT($A293,""-""),1))
"),"정호영♥안정환")</f>
        <v>정호영♥안정환</v>
      </c>
      <c r="C293" s="2" t="str">
        <f>IFERROR(__xludf.DUMMYFUNCTION("TRIM(INDEX(SPLIT($A293,""-""),2))
"),"앗싸~ 호랑나베!")</f>
        <v>앗싸~ 호랑나베!</v>
      </c>
    </row>
    <row r="294">
      <c r="A294" s="2" t="str">
        <f>IFERROR(__xludf.DUMMYFUNCTION("REGEXEXTRACT(raw!A294, ""&lt;\s*(.+?)\s*&gt;"")
"),"최현석 - 오필승 파에야")</f>
        <v>최현석 - 오필승 파에야</v>
      </c>
      <c r="B294" s="2" t="str">
        <f>IFERROR(__xludf.DUMMYFUNCTION("TRIM(INDEX(SPLIT($A294,""-""),1))
"),"최현석")</f>
        <v>최현석</v>
      </c>
      <c r="C294" s="2" t="str">
        <f>IFERROR(__xludf.DUMMYFUNCTION("TRIM(INDEX(SPLIT($A294,""-""),2))
"),"오필승 파에야")</f>
        <v>오필승 파에야</v>
      </c>
    </row>
    <row r="295">
      <c r="A295" s="2" t="str">
        <f>IFERROR(__xludf.DUMMYFUNCTION("REGEXEXTRACT(raw!A295, ""&lt;\s*(.+?)\s*&gt;"")
"),"샘킴 - 레알 만두리드")</f>
        <v>샘킴 - 레알 만두리드</v>
      </c>
      <c r="B295" s="2" t="str">
        <f>IFERROR(__xludf.DUMMYFUNCTION("TRIM(INDEX(SPLIT($A295,""-""),1))
"),"샘킴")</f>
        <v>샘킴</v>
      </c>
      <c r="C295" s="2" t="str">
        <f>IFERROR(__xludf.DUMMYFUNCTION("TRIM(INDEX(SPLIT($A295,""-""),2))
"),"레알 만두리드")</f>
        <v>레알 만두리드</v>
      </c>
    </row>
    <row r="296">
      <c r="A296" s="2" t="str">
        <f>IFERROR(__xludf.DUMMYFUNCTION("REGEXEXTRACT(raw!A296, ""&lt;\s*(.+?)\s*&gt;"")
"),"미카엘 - 아따~ 조기찜 맛있다잉!")</f>
        <v>미카엘 - 아따~ 조기찜 맛있다잉!</v>
      </c>
      <c r="B296" s="2" t="str">
        <f>IFERROR(__xludf.DUMMYFUNCTION("TRIM(INDEX(SPLIT($A296,""-""),1))
"),"미카엘")</f>
        <v>미카엘</v>
      </c>
      <c r="C296" s="2" t="str">
        <f>IFERROR(__xludf.DUMMYFUNCTION("TRIM(INDEX(SPLIT($A296,""-""),2))
"),"아따~ 조기찜 맛있다잉!")</f>
        <v>아따~ 조기찜 맛있다잉!</v>
      </c>
    </row>
    <row r="297">
      <c r="A297" s="2" t="str">
        <f>IFERROR(__xludf.DUMMYFUNCTION("REGEXEXTRACT(raw!A297, ""&lt;\s*(.+?)\s*&gt;"")
"),"이찬오 - 민어는 축구선수를 좋아해")</f>
        <v>이찬오 - 민어는 축구선수를 좋아해</v>
      </c>
      <c r="B297" s="2" t="str">
        <f>IFERROR(__xludf.DUMMYFUNCTION("TRIM(INDEX(SPLIT($A297,""-""),1))
"),"이찬오")</f>
        <v>이찬오</v>
      </c>
      <c r="C297" s="2" t="str">
        <f>IFERROR(__xludf.DUMMYFUNCTION("TRIM(INDEX(SPLIT($A297,""-""),2))
"),"민어는 축구선수를 좋아해")</f>
        <v>민어는 축구선수를 좋아해</v>
      </c>
    </row>
    <row r="298">
      <c r="A298" s="2" t="str">
        <f>IFERROR(__xludf.DUMMYFUNCTION("REGEXEXTRACT(raw!A298, ""&lt;\s*(.+?)\s*&gt;"")
"),"미카엘 - 다 털었Show!")</f>
        <v>미카엘 - 다 털었Show!</v>
      </c>
      <c r="B298" s="2" t="str">
        <f>IFERROR(__xludf.DUMMYFUNCTION("TRIM(INDEX(SPLIT($A298,""-""),1))
"),"미카엘")</f>
        <v>미카엘</v>
      </c>
      <c r="C298" s="2" t="str">
        <f>IFERROR(__xludf.DUMMYFUNCTION("TRIM(INDEX(SPLIT($A298,""-""),2))
"),"다 털었Show!")</f>
        <v>다 털었Show!</v>
      </c>
    </row>
    <row r="299">
      <c r="A299" s="2" t="str">
        <f>IFERROR(__xludf.DUMMYFUNCTION("REGEXEXTRACT(raw!A299, ""&lt;\s*(.+?)\s*&gt;"")
"),"오세득 - 떡.고.치")</f>
        <v>오세득 - 떡.고.치</v>
      </c>
      <c r="B299" s="2" t="str">
        <f>IFERROR(__xludf.DUMMYFUNCTION("TRIM(INDEX(SPLIT($A299,""-""),1))
"),"오세득")</f>
        <v>오세득</v>
      </c>
      <c r="C299" s="2" t="str">
        <f>IFERROR(__xludf.DUMMYFUNCTION("TRIM(INDEX(SPLIT($A299,""-""),2))
"),"떡.고.치")</f>
        <v>떡.고.치</v>
      </c>
    </row>
    <row r="300">
      <c r="A300" s="2" t="str">
        <f>IFERROR(__xludf.DUMMYFUNCTION("REGEXEXTRACT(raw!A300, ""&lt;\s*(.+?)\s*&gt;"")
"),"최현석 - 파니니 안파니")</f>
        <v>최현석 - 파니니 안파니</v>
      </c>
      <c r="B300" s="2" t="str">
        <f>IFERROR(__xludf.DUMMYFUNCTION("TRIM(INDEX(SPLIT($A300,""-""),1))
"),"최현석")</f>
        <v>최현석</v>
      </c>
      <c r="C300" s="2" t="str">
        <f>IFERROR(__xludf.DUMMYFUNCTION("TRIM(INDEX(SPLIT($A300,""-""),2))
"),"파니니 안파니")</f>
        <v>파니니 안파니</v>
      </c>
    </row>
    <row r="301">
      <c r="A301" s="2" t="str">
        <f>IFERROR(__xludf.DUMMYFUNCTION("REGEXEXTRACT(raw!A301, ""&lt;\s*(.+?)\s*&gt;"")
"),"이찬오 - 검사외조")</f>
        <v>이찬오 - 검사외조</v>
      </c>
      <c r="B301" s="2" t="str">
        <f>IFERROR(__xludf.DUMMYFUNCTION("TRIM(INDEX(SPLIT($A301,""-""),1))
"),"이찬오")</f>
        <v>이찬오</v>
      </c>
      <c r="C301" s="2" t="str">
        <f>IFERROR(__xludf.DUMMYFUNCTION("TRIM(INDEX(SPLIT($A301,""-""),2))
"),"검사외조")</f>
        <v>검사외조</v>
      </c>
    </row>
    <row r="302">
      <c r="A302" s="2" t="str">
        <f>IFERROR(__xludf.DUMMYFUNCTION("REGEXEXTRACT(raw!A302, ""&lt;\s*(.+?)\s*&gt;"")
"),"이연복 - 샤부의 샐러드")</f>
        <v>이연복 - 샤부의 샐러드</v>
      </c>
      <c r="B302" s="2" t="str">
        <f>IFERROR(__xludf.DUMMYFUNCTION("TRIM(INDEX(SPLIT($A302,""-""),1))
"),"이연복")</f>
        <v>이연복</v>
      </c>
      <c r="C302" s="2" t="str">
        <f>IFERROR(__xludf.DUMMYFUNCTION("TRIM(INDEX(SPLIT($A302,""-""),2))
"),"샤부의 샐러드")</f>
        <v>샤부의 샐러드</v>
      </c>
    </row>
    <row r="303">
      <c r="A303" s="2" t="str">
        <f>IFERROR(__xludf.DUMMYFUNCTION("REGEXEXTRACT(raw!A303, ""&lt;\s*(.+?)\s*&gt;"")
"),"샘킴 - 연어를 찾아~ 사바")</f>
        <v>샘킴 - 연어를 찾아~ 사바</v>
      </c>
      <c r="B303" s="2" t="str">
        <f>IFERROR(__xludf.DUMMYFUNCTION("TRIM(INDEX(SPLIT($A303,""-""),1))
"),"샘킴")</f>
        <v>샘킴</v>
      </c>
      <c r="C303" s="2" t="str">
        <f>IFERROR(__xludf.DUMMYFUNCTION("TRIM(INDEX(SPLIT($A303,""-""),2))
"),"연어를 찾아~ 사바")</f>
        <v>연어를 찾아~ 사바</v>
      </c>
    </row>
    <row r="304">
      <c r="A304" s="2" t="str">
        <f>IFERROR(__xludf.DUMMYFUNCTION("REGEXEXTRACT(raw!A304, ""&lt;\s*(.+?)\s*&gt;"")
"),"홍석천 - 사와디캡 누들")</f>
        <v>홍석천 - 사와디캡 누들</v>
      </c>
      <c r="B304" s="2" t="str">
        <f>IFERROR(__xludf.DUMMYFUNCTION("TRIM(INDEX(SPLIT($A304,""-""),1))
"),"홍석천")</f>
        <v>홍석천</v>
      </c>
      <c r="C304" s="2" t="str">
        <f>IFERROR(__xludf.DUMMYFUNCTION("TRIM(INDEX(SPLIT($A304,""-""),2))
"),"사와디캡 누들")</f>
        <v>사와디캡 누들</v>
      </c>
    </row>
    <row r="305">
      <c r="A305" s="2" t="str">
        <f>IFERROR(__xludf.DUMMYFUNCTION("REGEXEXTRACT(raw!A305, ""&lt;\s*(.+?)\s*&gt;"")
"),"김풍 - 두부딥두부딥")</f>
        <v>김풍 - 두부딥두부딥</v>
      </c>
      <c r="B305" s="2" t="str">
        <f>IFERROR(__xludf.DUMMYFUNCTION("TRIM(INDEX(SPLIT($A305,""-""),1))
"),"김풍")</f>
        <v>김풍</v>
      </c>
      <c r="C305" s="2" t="str">
        <f>IFERROR(__xludf.DUMMYFUNCTION("TRIM(INDEX(SPLIT($A305,""-""),2))
"),"두부딥두부딥")</f>
        <v>두부딥두부딥</v>
      </c>
    </row>
    <row r="306">
      <c r="A306" s="2" t="str">
        <f>IFERROR(__xludf.DUMMYFUNCTION("REGEXEXTRACT(raw!A306, ""&lt;\s*(.+?)\s*&gt;"")
"),"이연복 - 효도르")</f>
        <v>이연복 - 효도르</v>
      </c>
      <c r="B306" s="2" t="str">
        <f>IFERROR(__xludf.DUMMYFUNCTION("TRIM(INDEX(SPLIT($A306,""-""),1))
"),"이연복")</f>
        <v>이연복</v>
      </c>
      <c r="C306" s="2" t="str">
        <f>IFERROR(__xludf.DUMMYFUNCTION("TRIM(INDEX(SPLIT($A306,""-""),2))
"),"효도르")</f>
        <v>효도르</v>
      </c>
    </row>
    <row r="307">
      <c r="A307" s="2" t="str">
        <f>IFERROR(__xludf.DUMMYFUNCTION("REGEXEXTRACT(raw!A307, ""&lt;\s*(.+?)\s*&gt;"")
"),"정호영 - 아브라카부라무시")</f>
        <v>정호영 - 아브라카부라무시</v>
      </c>
      <c r="B307" s="2" t="str">
        <f>IFERROR(__xludf.DUMMYFUNCTION("TRIM(INDEX(SPLIT($A307,""-""),1))
"),"정호영")</f>
        <v>정호영</v>
      </c>
      <c r="C307" s="2" t="str">
        <f>IFERROR(__xludf.DUMMYFUNCTION("TRIM(INDEX(SPLIT($A307,""-""),2))
"),"아브라카부라무시")</f>
        <v>아브라카부라무시</v>
      </c>
    </row>
    <row r="308">
      <c r="A308" s="2" t="str">
        <f>IFERROR(__xludf.DUMMYFUNCTION("REGEXEXTRACT(raw!A308, ""&lt;\s*(.+?)\s*&gt;"")
"),"샘킴 - 이 만두는 모닝?")</f>
        <v>샘킴 - 이 만두는 모닝?</v>
      </c>
      <c r="B308" s="2" t="str">
        <f>IFERROR(__xludf.DUMMYFUNCTION("TRIM(INDEX(SPLIT($A308,""-""),1))
"),"샘킴")</f>
        <v>샘킴</v>
      </c>
      <c r="C308" s="2" t="str">
        <f>IFERROR(__xludf.DUMMYFUNCTION("TRIM(INDEX(SPLIT($A308,""-""),2))
"),"이 만두는 모닝?")</f>
        <v>이 만두는 모닝?</v>
      </c>
    </row>
    <row r="309">
      <c r="A309" s="2" t="str">
        <f>IFERROR(__xludf.DUMMYFUNCTION("REGEXEXTRACT(raw!A309, ""&lt;\s*(.+?)\s*&gt;"")
"),"미카엘 - 사랑하지롤♡")</f>
        <v>미카엘 - 사랑하지롤♡</v>
      </c>
      <c r="B309" s="2" t="str">
        <f>IFERROR(__xludf.DUMMYFUNCTION("TRIM(INDEX(SPLIT($A309,""-""),1))
"),"미카엘")</f>
        <v>미카엘</v>
      </c>
      <c r="C309" s="2" t="str">
        <f>IFERROR(__xludf.DUMMYFUNCTION("TRIM(INDEX(SPLIT($A309,""-""),2))
"),"사랑하지롤♡")</f>
        <v>사랑하지롤♡</v>
      </c>
    </row>
    <row r="310">
      <c r="A310" s="2" t="str">
        <f>IFERROR(__xludf.DUMMYFUNCTION("REGEXEXTRACT(raw!A310, ""&lt;\s*(.+?)\s*&gt;"")
"),"최현석 - 샐러드 바이블")</f>
        <v>최현석 - 샐러드 바이블</v>
      </c>
      <c r="B310" s="2" t="str">
        <f>IFERROR(__xludf.DUMMYFUNCTION("TRIM(INDEX(SPLIT($A310,""-""),1))
"),"최현석")</f>
        <v>최현석</v>
      </c>
      <c r="C310" s="2" t="str">
        <f>IFERROR(__xludf.DUMMYFUNCTION("TRIM(INDEX(SPLIT($A310,""-""),2))
"),"샐러드 바이블")</f>
        <v>샐러드 바이블</v>
      </c>
    </row>
    <row r="311">
      <c r="A311" s="2" t="str">
        <f>IFERROR(__xludf.DUMMYFUNCTION("REGEXEXTRACT(raw!A311, ""&lt;\s*(.+?)\s*&gt;"")
"),"김풍 - 풍미풍미풍미 업")</f>
        <v>김풍 - 풍미풍미풍미 업</v>
      </c>
      <c r="B311" s="2" t="str">
        <f>IFERROR(__xludf.DUMMYFUNCTION("TRIM(INDEX(SPLIT($A311,""-""),1))
"),"김풍")</f>
        <v>김풍</v>
      </c>
      <c r="C311" s="2" t="str">
        <f>IFERROR(__xludf.DUMMYFUNCTION("TRIM(INDEX(SPLIT($A311,""-""),2))
"),"풍미풍미풍미 업")</f>
        <v>풍미풍미풍미 업</v>
      </c>
    </row>
    <row r="312">
      <c r="A312" s="2" t="str">
        <f>IFERROR(__xludf.DUMMYFUNCTION("REGEXEXTRACT(raw!A312, ""&lt;\s*(.+?)\s*&gt;"")
"),"오세득 - 채끝 인 더 대파")</f>
        <v>오세득 - 채끝 인 더 대파</v>
      </c>
      <c r="B312" s="2" t="str">
        <f>IFERROR(__xludf.DUMMYFUNCTION("TRIM(INDEX(SPLIT($A312,""-""),1))
"),"오세득")</f>
        <v>오세득</v>
      </c>
      <c r="C312" s="2" t="str">
        <f>IFERROR(__xludf.DUMMYFUNCTION("TRIM(INDEX(SPLIT($A312,""-""),2))
"),"채끝 인 더 대파")</f>
        <v>채끝 인 더 대파</v>
      </c>
    </row>
    <row r="313">
      <c r="A313" s="2" t="str">
        <f>IFERROR(__xludf.DUMMYFUNCTION("REGEXEXTRACT(raw!A313, ""&lt;\s*(.+?)\s*&gt;"")
"),"이찬오 - 퐁네프의 연어들")</f>
        <v>이찬오 - 퐁네프의 연어들</v>
      </c>
      <c r="B313" s="2" t="str">
        <f>IFERROR(__xludf.DUMMYFUNCTION("TRIM(INDEX(SPLIT($A313,""-""),1))
"),"이찬오")</f>
        <v>이찬오</v>
      </c>
      <c r="C313" s="2" t="str">
        <f>IFERROR(__xludf.DUMMYFUNCTION("TRIM(INDEX(SPLIT($A313,""-""),2))
"),"퐁네프의 연어들")</f>
        <v>퐁네프의 연어들</v>
      </c>
    </row>
    <row r="314">
      <c r="A314" s="2" t="str">
        <f>IFERROR(__xludf.DUMMYFUNCTION("REGEXEXTRACT(raw!A314, ""&lt;\s*(.+?)\s*&gt;"")
"),"샘킴 - 아뵤~카도")</f>
        <v>샘킴 - 아뵤~카도</v>
      </c>
      <c r="B314" s="2" t="str">
        <f>IFERROR(__xludf.DUMMYFUNCTION("TRIM(INDEX(SPLIT($A314,""-""),1))
"),"샘킴")</f>
        <v>샘킴</v>
      </c>
      <c r="C314" s="2" t="str">
        <f>IFERROR(__xludf.DUMMYFUNCTION("TRIM(INDEX(SPLIT($A314,""-""),2))
"),"아뵤~카도")</f>
        <v>아뵤~카도</v>
      </c>
    </row>
    <row r="315">
      <c r="A315" s="2" t="str">
        <f>IFERROR(__xludf.DUMMYFUNCTION("REGEXEXTRACT(raw!A315, ""&lt;\s*(.+?)\s*&gt;"")
"),"김풍 - 불량만쥬")</f>
        <v>김풍 - 불량만쥬</v>
      </c>
      <c r="B315" s="2" t="str">
        <f>IFERROR(__xludf.DUMMYFUNCTION("TRIM(INDEX(SPLIT($A315,""-""),1))
"),"김풍")</f>
        <v>김풍</v>
      </c>
      <c r="C315" s="2" t="str">
        <f>IFERROR(__xludf.DUMMYFUNCTION("TRIM(INDEX(SPLIT($A315,""-""),2))
"),"불량만쥬")</f>
        <v>불량만쥬</v>
      </c>
    </row>
    <row r="316">
      <c r="A316" s="2" t="str">
        <f>IFERROR(__xludf.DUMMYFUNCTION("REGEXEXTRACT(raw!A316, ""&lt;\s*(.+?)\s*&gt;"")
"),"이연복 - 탄복면")</f>
        <v>이연복 - 탄복면</v>
      </c>
      <c r="B316" s="2" t="str">
        <f>IFERROR(__xludf.DUMMYFUNCTION("TRIM(INDEX(SPLIT($A316,""-""),1))
"),"이연복")</f>
        <v>이연복</v>
      </c>
      <c r="C316" s="2" t="str">
        <f>IFERROR(__xludf.DUMMYFUNCTION("TRIM(INDEX(SPLIT($A316,""-""),2))
"),"탄복면")</f>
        <v>탄복면</v>
      </c>
    </row>
    <row r="317">
      <c r="A317" s="2" t="str">
        <f>IFERROR(__xludf.DUMMYFUNCTION("REGEXEXTRACT(raw!A317, ""&lt;\s*(.+?)\s*&gt;"")
"),"홍석천 - 녹아내리면")</f>
        <v>홍석천 - 녹아내리면</v>
      </c>
      <c r="B317" s="2" t="str">
        <f>IFERROR(__xludf.DUMMYFUNCTION("TRIM(INDEX(SPLIT($A317,""-""),1))
"),"홍석천")</f>
        <v>홍석천</v>
      </c>
      <c r="C317" s="2" t="str">
        <f>IFERROR(__xludf.DUMMYFUNCTION("TRIM(INDEX(SPLIT($A317,""-""),2))
"),"녹아내리면")</f>
        <v>녹아내리면</v>
      </c>
    </row>
    <row r="318">
      <c r="A318" s="2" t="str">
        <f>IFERROR(__xludf.DUMMYFUNCTION("REGEXEXTRACT(raw!A318, ""&lt;\s*(.+?)\s*&gt;"")
"),"최현석 - 포켓몽")</f>
        <v>최현석 - 포켓몽</v>
      </c>
      <c r="B318" s="2" t="str">
        <f>IFERROR(__xludf.DUMMYFUNCTION("TRIM(INDEX(SPLIT($A318,""-""),1))
"),"최현석")</f>
        <v>최현석</v>
      </c>
      <c r="C318" s="2" t="str">
        <f>IFERROR(__xludf.DUMMYFUNCTION("TRIM(INDEX(SPLIT($A318,""-""),2))
"),"포켓몽")</f>
        <v>포켓몽</v>
      </c>
    </row>
    <row r="319">
      <c r="A319" s="2" t="str">
        <f>IFERROR(__xludf.DUMMYFUNCTION("REGEXEXTRACT(raw!A319, ""&lt;\s*(.+?)\s*&gt;"")
"),"오세득 - 무적 카레레인저")</f>
        <v>오세득 - 무적 카레레인저</v>
      </c>
      <c r="B319" s="2" t="str">
        <f>IFERROR(__xludf.DUMMYFUNCTION("TRIM(INDEX(SPLIT($A319,""-""),1))
"),"오세득")</f>
        <v>오세득</v>
      </c>
      <c r="C319" s="2" t="str">
        <f>IFERROR(__xludf.DUMMYFUNCTION("TRIM(INDEX(SPLIT($A319,""-""),2))
"),"무적 카레레인저")</f>
        <v>무적 카레레인저</v>
      </c>
    </row>
    <row r="320">
      <c r="A320" s="2" t="str">
        <f>IFERROR(__xludf.DUMMYFUNCTION("REGEXEXTRACT(raw!A320, ""&lt;\s*(.+?)\s*&gt;"")
"),"미카엘 - 민들레 만들래")</f>
        <v>미카엘 - 민들레 만들래</v>
      </c>
      <c r="B320" s="2" t="str">
        <f>IFERROR(__xludf.DUMMYFUNCTION("TRIM(INDEX(SPLIT($A320,""-""),1))
"),"미카엘")</f>
        <v>미카엘</v>
      </c>
      <c r="C320" s="2" t="str">
        <f>IFERROR(__xludf.DUMMYFUNCTION("TRIM(INDEX(SPLIT($A320,""-""),2))
"),"민들레 만들래")</f>
        <v>민들레 만들래</v>
      </c>
    </row>
    <row r="321">
      <c r="A321" s="2" t="str">
        <f>IFERROR(__xludf.DUMMYFUNCTION("REGEXEXTRACT(raw!A321, ""&lt;\s*(.+?)\s*&gt;"")
"),"이찬오 - 자반 방아를 돌려라")</f>
        <v>이찬오 - 자반 방아를 돌려라</v>
      </c>
      <c r="B321" s="2" t="str">
        <f>IFERROR(__xludf.DUMMYFUNCTION("TRIM(INDEX(SPLIT($A321,""-""),1))
"),"이찬오")</f>
        <v>이찬오</v>
      </c>
      <c r="C321" s="2" t="str">
        <f>IFERROR(__xludf.DUMMYFUNCTION("TRIM(INDEX(SPLIT($A321,""-""),2))
"),"자반 방아를 돌려라")</f>
        <v>자반 방아를 돌려라</v>
      </c>
    </row>
    <row r="322">
      <c r="A322" s="2" t="str">
        <f>IFERROR(__xludf.DUMMYFUNCTION("REGEXEXTRACT(raw!A322, ""&lt;\s*(.+?)\s*&gt;"")
"),"이연복 - 다말았씨유")</f>
        <v>이연복 - 다말았씨유</v>
      </c>
      <c r="B322" s="2" t="str">
        <f>IFERROR(__xludf.DUMMYFUNCTION("TRIM(INDEX(SPLIT($A322,""-""),1))
"),"이연복")</f>
        <v>이연복</v>
      </c>
      <c r="C322" s="2" t="str">
        <f>IFERROR(__xludf.DUMMYFUNCTION("TRIM(INDEX(SPLIT($A322,""-""),2))
"),"다말았씨유")</f>
        <v>다말았씨유</v>
      </c>
    </row>
    <row r="323">
      <c r="A323" s="2" t="str">
        <f>IFERROR(__xludf.DUMMYFUNCTION("REGEXEXTRACT(raw!A323, ""&lt;\s*(.+?)\s*&gt;"")
"),"오세득 - 닭.된.겨")</f>
        <v>오세득 - 닭.된.겨</v>
      </c>
      <c r="B323" s="2" t="str">
        <f>IFERROR(__xludf.DUMMYFUNCTION("TRIM(INDEX(SPLIT($A323,""-""),1))
"),"오세득")</f>
        <v>오세득</v>
      </c>
      <c r="C323" s="2" t="str">
        <f>IFERROR(__xludf.DUMMYFUNCTION("TRIM(INDEX(SPLIT($A323,""-""),2))
"),"닭.된.겨")</f>
        <v>닭.된.겨</v>
      </c>
    </row>
    <row r="324">
      <c r="A324" s="2" t="str">
        <f>IFERROR(__xludf.DUMMYFUNCTION("REGEXEXTRACT(raw!A324, ""&lt;\s*(.+?)\s*&gt;"")
"),"김풍 - 애플리케이크")</f>
        <v>김풍 - 애플리케이크</v>
      </c>
      <c r="B324" s="2" t="str">
        <f>IFERROR(__xludf.DUMMYFUNCTION("TRIM(INDEX(SPLIT($A324,""-""),1))
"),"김풍")</f>
        <v>김풍</v>
      </c>
      <c r="C324" s="2" t="str">
        <f>IFERROR(__xludf.DUMMYFUNCTION("TRIM(INDEX(SPLIT($A324,""-""),2))
"),"애플리케이크")</f>
        <v>애플리케이크</v>
      </c>
    </row>
    <row r="325">
      <c r="A325" s="2" t="str">
        <f>IFERROR(__xludf.DUMMYFUNCTION("REGEXEXTRACT(raw!A325, ""&lt;\s*(.+?)\s*&gt;"")
"),"이찬오 - 본능족으로")</f>
        <v>이찬오 - 본능족으로</v>
      </c>
      <c r="B325" s="2" t="str">
        <f>IFERROR(__xludf.DUMMYFUNCTION("TRIM(INDEX(SPLIT($A325,""-""),1))
"),"이찬오")</f>
        <v>이찬오</v>
      </c>
      <c r="C325" s="2" t="str">
        <f>IFERROR(__xludf.DUMMYFUNCTION("TRIM(INDEX(SPLIT($A325,""-""),2))
"),"본능족으로")</f>
        <v>본능족으로</v>
      </c>
    </row>
    <row r="326">
      <c r="A326" s="2" t="str">
        <f>IFERROR(__xludf.DUMMYFUNCTION("REGEXEXTRACT(raw!A326, ""&lt;\s*(.+?)\s*&gt;"")
"),"샘킴 - 오빤 채소스타일")</f>
        <v>샘킴 - 오빤 채소스타일</v>
      </c>
      <c r="B326" s="2" t="str">
        <f>IFERROR(__xludf.DUMMYFUNCTION("TRIM(INDEX(SPLIT($A326,""-""),1))
"),"샘킴")</f>
        <v>샘킴</v>
      </c>
      <c r="C326" s="2" t="str">
        <f>IFERROR(__xludf.DUMMYFUNCTION("TRIM(INDEX(SPLIT($A326,""-""),2))
"),"오빤 채소스타일")</f>
        <v>오빤 채소스타일</v>
      </c>
    </row>
    <row r="327">
      <c r="A327" s="2" t="str">
        <f>IFERROR(__xludf.DUMMYFUNCTION("REGEXEXTRACT(raw!A327, ""&lt;\s*(.+?)\s*&gt;"")
"),"정호영 - 아임 소바")</f>
        <v>정호영 - 아임 소바</v>
      </c>
      <c r="B327" s="2" t="str">
        <f>IFERROR(__xludf.DUMMYFUNCTION("TRIM(INDEX(SPLIT($A327,""-""),1))
"),"정호영")</f>
        <v>정호영</v>
      </c>
      <c r="C327" s="2" t="str">
        <f>IFERROR(__xludf.DUMMYFUNCTION("TRIM(INDEX(SPLIT($A327,""-""),2))
"),"아임 소바")</f>
        <v>아임 소바</v>
      </c>
    </row>
    <row r="328">
      <c r="A328" s="2" t="str">
        <f>IFERROR(__xludf.DUMMYFUNCTION("REGEXEXTRACT(raw!A328, ""&lt;\s*(.+?)\s*&gt;"")
"),"최현석 - 바나나를 튀기면 반하나?")</f>
        <v>최현석 - 바나나를 튀기면 반하나?</v>
      </c>
      <c r="B328" s="2" t="str">
        <f>IFERROR(__xludf.DUMMYFUNCTION("TRIM(INDEX(SPLIT($A328,""-""),1))
"),"최현석")</f>
        <v>최현석</v>
      </c>
      <c r="C328" s="2" t="str">
        <f>IFERROR(__xludf.DUMMYFUNCTION("TRIM(INDEX(SPLIT($A328,""-""),2))
"),"바나나를 튀기면 반하나?")</f>
        <v>바나나를 튀기면 반하나?</v>
      </c>
    </row>
    <row r="329">
      <c r="A329" s="2" t="str">
        <f>IFERROR(__xludf.DUMMYFUNCTION("REGEXEXTRACT(raw!A329, ""&lt;\s*(.+?)\s*&gt;"")
"),"미카엘 - 렌틸콩그레츄레이션")</f>
        <v>미카엘 - 렌틸콩그레츄레이션</v>
      </c>
      <c r="B329" s="2" t="str">
        <f>IFERROR(__xludf.DUMMYFUNCTION("TRIM(INDEX(SPLIT($A329,""-""),1))
"),"미카엘")</f>
        <v>미카엘</v>
      </c>
      <c r="C329" s="2" t="str">
        <f>IFERROR(__xludf.DUMMYFUNCTION("TRIM(INDEX(SPLIT($A329,""-""),2))
"),"렌틸콩그레츄레이션")</f>
        <v>렌틸콩그레츄레이션</v>
      </c>
    </row>
    <row r="330">
      <c r="A330" s="2" t="str">
        <f>IFERROR(__xludf.DUMMYFUNCTION("REGEXEXTRACT(raw!A330, ""&lt;\s*(.+?)\s*&gt;"")
"),"이연복 - 오늘도전")</f>
        <v>이연복 - 오늘도전</v>
      </c>
      <c r="B330" s="2" t="str">
        <f>IFERROR(__xludf.DUMMYFUNCTION("TRIM(INDEX(SPLIT($A330,""-""),1))
"),"이연복")</f>
        <v>이연복</v>
      </c>
      <c r="C330" s="2" t="str">
        <f>IFERROR(__xludf.DUMMYFUNCTION("TRIM(INDEX(SPLIT($A330,""-""),2))
"),"오늘도전")</f>
        <v>오늘도전</v>
      </c>
    </row>
    <row r="331">
      <c r="A331" s="2" t="str">
        <f>IFERROR(__xludf.DUMMYFUNCTION("REGEXEXTRACT(raw!A331, ""&lt;\s*(.+?)\s*&gt;"")
"),"김풍 - 풍볶이 말았소면")</f>
        <v>김풍 - 풍볶이 말았소면</v>
      </c>
      <c r="B331" s="2" t="str">
        <f>IFERROR(__xludf.DUMMYFUNCTION("TRIM(INDEX(SPLIT($A331,""-""),1))
"),"김풍")</f>
        <v>김풍</v>
      </c>
      <c r="C331" s="2" t="str">
        <f>IFERROR(__xludf.DUMMYFUNCTION("TRIM(INDEX(SPLIT($A331,""-""),2))
"),"풍볶이 말았소면")</f>
        <v>풍볶이 말았소면</v>
      </c>
    </row>
    <row r="332">
      <c r="A332" s="2" t="str">
        <f>IFERROR(__xludf.DUMMYFUNCTION("REGEXEXTRACT(raw!A332, ""&lt;\s*(.+?)\s*&gt;"")
"),"오세득 - 오닭후면")</f>
        <v>오세득 - 오닭후면</v>
      </c>
      <c r="B332" s="2" t="str">
        <f>IFERROR(__xludf.DUMMYFUNCTION("TRIM(INDEX(SPLIT($A332,""-""),1))
"),"오세득")</f>
        <v>오세득</v>
      </c>
      <c r="C332" s="2" t="str">
        <f>IFERROR(__xludf.DUMMYFUNCTION("TRIM(INDEX(SPLIT($A332,""-""),2))
"),"오닭후면")</f>
        <v>오닭후면</v>
      </c>
    </row>
    <row r="333">
      <c r="A333" s="2" t="str">
        <f>IFERROR(__xludf.DUMMYFUNCTION("REGEXEXTRACT(raw!A333, ""&lt;\s*(.+?)\s*&gt;"")
"),"정호영 - 짬뽕의 순정")</f>
        <v>정호영 - 짬뽕의 순정</v>
      </c>
      <c r="B333" s="2" t="str">
        <f>IFERROR(__xludf.DUMMYFUNCTION("TRIM(INDEX(SPLIT($A333,""-""),1))
"),"정호영")</f>
        <v>정호영</v>
      </c>
      <c r="C333" s="2" t="str">
        <f>IFERROR(__xludf.DUMMYFUNCTION("TRIM(INDEX(SPLIT($A333,""-""),2))
"),"짬뽕의 순정")</f>
        <v>짬뽕의 순정</v>
      </c>
    </row>
    <row r="334">
      <c r="A334" s="2" t="str">
        <f>IFERROR(__xludf.DUMMYFUNCTION("REGEXEXTRACT(raw!A334, ""&lt;\s*(.+?)\s*&gt;"")
"),"샘킴 - 터미네미트볼")</f>
        <v>샘킴 - 터미네미트볼</v>
      </c>
      <c r="B334" s="2" t="str">
        <f>IFERROR(__xludf.DUMMYFUNCTION("TRIM(INDEX(SPLIT($A334,""-""),1))
"),"샘킴")</f>
        <v>샘킴</v>
      </c>
      <c r="C334" s="2" t="str">
        <f>IFERROR(__xludf.DUMMYFUNCTION("TRIM(INDEX(SPLIT($A334,""-""),2))
"),"터미네미트볼")</f>
        <v>터미네미트볼</v>
      </c>
    </row>
    <row r="335">
      <c r="A335" s="2" t="str">
        <f>IFERROR(__xludf.DUMMYFUNCTION("REGEXEXTRACT(raw!A335, ""&lt;\s*(.+?)\s*&gt;"")
"),"최현석 - 트랜스두부")</f>
        <v>최현석 - 트랜스두부</v>
      </c>
      <c r="B335" s="2" t="str">
        <f>IFERROR(__xludf.DUMMYFUNCTION("TRIM(INDEX(SPLIT($A335,""-""),1))
"),"최현석")</f>
        <v>최현석</v>
      </c>
      <c r="C335" s="2" t="str">
        <f>IFERROR(__xludf.DUMMYFUNCTION("TRIM(INDEX(SPLIT($A335,""-""),2))
"),"트랜스두부")</f>
        <v>트랜스두부</v>
      </c>
    </row>
    <row r="336">
      <c r="A336" s="2" t="str">
        <f>IFERROR(__xludf.DUMMYFUNCTION("REGEXEXTRACT(raw!A336, ""&lt;\s*(.+?)\s*&gt;"")
"),"이찬오 - 오트밀 맛있삼")</f>
        <v>이찬오 - 오트밀 맛있삼</v>
      </c>
      <c r="B336" s="2" t="str">
        <f>IFERROR(__xludf.DUMMYFUNCTION("TRIM(INDEX(SPLIT($A336,""-""),1))
"),"이찬오")</f>
        <v>이찬오</v>
      </c>
      <c r="C336" s="2" t="str">
        <f>IFERROR(__xludf.DUMMYFUNCTION("TRIM(INDEX(SPLIT($A336,""-""),2))
"),"오트밀 맛있삼")</f>
        <v>오트밀 맛있삼</v>
      </c>
    </row>
    <row r="337">
      <c r="A337" s="2" t="str">
        <f>IFERROR(__xludf.DUMMYFUNCTION("REGEXEXTRACT(raw!A337, ""&lt;\s*(.+?)\s*&gt;"")
"),"미카엘 - 미카옐로")</f>
        <v>미카엘 - 미카옐로</v>
      </c>
      <c r="B337" s="2" t="str">
        <f>IFERROR(__xludf.DUMMYFUNCTION("TRIM(INDEX(SPLIT($A337,""-""),1))
"),"미카엘")</f>
        <v>미카엘</v>
      </c>
      <c r="C337" s="2" t="str">
        <f>IFERROR(__xludf.DUMMYFUNCTION("TRIM(INDEX(SPLIT($A337,""-""),2))
"),"미카옐로")</f>
        <v>미카옐로</v>
      </c>
    </row>
    <row r="338">
      <c r="A338" s="2" t="str">
        <f>IFERROR(__xludf.DUMMYFUNCTION("REGEXEXTRACT(raw!A338, ""&lt;\s*(.+?)\s*&gt;"")
"),"미카엘 - 하트비트")</f>
        <v>미카엘 - 하트비트</v>
      </c>
      <c r="B338" s="2" t="str">
        <f>IFERROR(__xludf.DUMMYFUNCTION("TRIM(INDEX(SPLIT($A338,""-""),1))
"),"미카엘")</f>
        <v>미카엘</v>
      </c>
      <c r="C338" s="2" t="str">
        <f>IFERROR(__xludf.DUMMYFUNCTION("TRIM(INDEX(SPLIT($A338,""-""),2))
"),"하트비트")</f>
        <v>하트비트</v>
      </c>
    </row>
    <row r="339">
      <c r="A339" s="2" t="str">
        <f>IFERROR(__xludf.DUMMYFUNCTION("REGEXEXTRACT(raw!A339, ""&lt;\s*(.+?)\s*&gt;"")
"),"김풍 - 내장풍 냉채")</f>
        <v>김풍 - 내장풍 냉채</v>
      </c>
      <c r="B339" s="2" t="str">
        <f>IFERROR(__xludf.DUMMYFUNCTION("TRIM(INDEX(SPLIT($A339,""-""),1))
"),"김풍")</f>
        <v>김풍</v>
      </c>
      <c r="C339" s="2" t="str">
        <f>IFERROR(__xludf.DUMMYFUNCTION("TRIM(INDEX(SPLIT($A339,""-""),2))
"),"내장풍 냉채")</f>
        <v>내장풍 냉채</v>
      </c>
    </row>
    <row r="340">
      <c r="A340" s="2" t="str">
        <f>IFERROR(__xludf.DUMMYFUNCTION("REGEXEXTRACT(raw!A340, ""&lt;\s*(.+?)\s*&gt;"")
"),"최현석 - 염통이 바샤샤샤~")</f>
        <v>최현석 - 염통이 바샤샤샤~</v>
      </c>
      <c r="B340" s="2" t="str">
        <f>IFERROR(__xludf.DUMMYFUNCTION("TRIM(INDEX(SPLIT($A340,""-""),1))
"),"최현석")</f>
        <v>최현석</v>
      </c>
      <c r="C340" s="2" t="str">
        <f>IFERROR(__xludf.DUMMYFUNCTION("TRIM(INDEX(SPLIT($A340,""-""),2))
"),"염통이 바샤샤샤~")</f>
        <v>염통이 바샤샤샤~</v>
      </c>
    </row>
    <row r="341">
      <c r="A341" s="2" t="str">
        <f>IFERROR(__xludf.DUMMYFUNCTION("REGEXEXTRACT(raw!A341, ""&lt;\s*(.+?)\s*&gt;"")
"),"정호영 - 초밥 베이베")</f>
        <v>정호영 - 초밥 베이베</v>
      </c>
      <c r="B341" s="2" t="str">
        <f>IFERROR(__xludf.DUMMYFUNCTION("TRIM(INDEX(SPLIT($A341,""-""),1))
"),"정호영")</f>
        <v>정호영</v>
      </c>
      <c r="C341" s="2" t="str">
        <f>IFERROR(__xludf.DUMMYFUNCTION("TRIM(INDEX(SPLIT($A341,""-""),2))
"),"초밥 베이베")</f>
        <v>초밥 베이베</v>
      </c>
    </row>
    <row r="342">
      <c r="A342" s="2" t="str">
        <f>IFERROR(__xludf.DUMMYFUNCTION("REGEXEXTRACT(raw!A342, ""&lt;\s*(.+?)\s*&gt;"")
"),"샘킴 - 크레이지 크레페")</f>
        <v>샘킴 - 크레이지 크레페</v>
      </c>
      <c r="B342" s="2" t="str">
        <f>IFERROR(__xludf.DUMMYFUNCTION("TRIM(INDEX(SPLIT($A342,""-""),1))
"),"샘킴")</f>
        <v>샘킴</v>
      </c>
      <c r="C342" s="2" t="str">
        <f>IFERROR(__xludf.DUMMYFUNCTION("TRIM(INDEX(SPLIT($A342,""-""),2))
"),"크레이지 크레페")</f>
        <v>크레이지 크레페</v>
      </c>
    </row>
    <row r="343">
      <c r="A343" s="2" t="str">
        <f>IFERROR(__xludf.DUMMYFUNCTION("REGEXEXTRACT(raw!A343, ""&lt;\s*(.+?)\s*&gt;"")
"),"이원일 - 술이 깰랑말랑 몽블랑")</f>
        <v>이원일 - 술이 깰랑말랑 몽블랑</v>
      </c>
      <c r="B343" s="2" t="str">
        <f>IFERROR(__xludf.DUMMYFUNCTION("TRIM(INDEX(SPLIT($A343,""-""),1))
"),"이원일")</f>
        <v>이원일</v>
      </c>
      <c r="C343" s="2" t="str">
        <f>IFERROR(__xludf.DUMMYFUNCTION("TRIM(INDEX(SPLIT($A343,""-""),2))
"),"술이 깰랑말랑 몽블랑")</f>
        <v>술이 깰랑말랑 몽블랑</v>
      </c>
    </row>
    <row r="344">
      <c r="A344" s="2" t="str">
        <f>IFERROR(__xludf.DUMMYFUNCTION("REGEXEXTRACT(raw!A344, ""&lt;\s*(.+?)\s*&gt;"")
"),"이연복 - 복차오루는 쌈")</f>
        <v>이연복 - 복차오루는 쌈</v>
      </c>
      <c r="B344" s="2" t="str">
        <f>IFERROR(__xludf.DUMMYFUNCTION("TRIM(INDEX(SPLIT($A344,""-""),1))
"),"이연복")</f>
        <v>이연복</v>
      </c>
      <c r="C344" s="2" t="str">
        <f>IFERROR(__xludf.DUMMYFUNCTION("TRIM(INDEX(SPLIT($A344,""-""),2))
"),"복차오루는 쌈")</f>
        <v>복차오루는 쌈</v>
      </c>
    </row>
    <row r="345">
      <c r="A345" s="2" t="str">
        <f>IFERROR(__xludf.DUMMYFUNCTION("REGEXEXTRACT(raw!A345, ""&lt;\s*(.+?)\s*&gt;"")
"),"오세득 - 일거양두")</f>
        <v>오세득 - 일거양두</v>
      </c>
      <c r="B345" s="2" t="str">
        <f>IFERROR(__xludf.DUMMYFUNCTION("TRIM(INDEX(SPLIT($A345,""-""),1))
"),"오세득")</f>
        <v>오세득</v>
      </c>
      <c r="C345" s="2" t="str">
        <f>IFERROR(__xludf.DUMMYFUNCTION("TRIM(INDEX(SPLIT($A345,""-""),2))
"),"일거양두")</f>
        <v>일거양두</v>
      </c>
    </row>
    <row r="346">
      <c r="A346" s="2" t="str">
        <f>IFERROR(__xludf.DUMMYFUNCTION("REGEXEXTRACT(raw!A346, ""&lt;\s*(.+?)\s*&gt;"")
"),"오세득 - 나 혼자 먹게 낫토")</f>
        <v>오세득 - 나 혼자 먹게 낫토</v>
      </c>
      <c r="B346" s="2" t="str">
        <f>IFERROR(__xludf.DUMMYFUNCTION("TRIM(INDEX(SPLIT($A346,""-""),1))
"),"오세득")</f>
        <v>오세득</v>
      </c>
      <c r="C346" s="2" t="str">
        <f>IFERROR(__xludf.DUMMYFUNCTION("TRIM(INDEX(SPLIT($A346,""-""),2))
"),"나 혼자 먹게 낫토")</f>
        <v>나 혼자 먹게 낫토</v>
      </c>
    </row>
    <row r="347">
      <c r="A347" s="2" t="str">
        <f>IFERROR(__xludf.DUMMYFUNCTION("REGEXEXTRACT(raw!A347, ""&lt;\s*(.+?)\s*&gt;"")
"),"정호영 - 닭날두")</f>
        <v>정호영 - 닭날두</v>
      </c>
      <c r="B347" s="2" t="str">
        <f>IFERROR(__xludf.DUMMYFUNCTION("TRIM(INDEX(SPLIT($A347,""-""),1))
"),"정호영")</f>
        <v>정호영</v>
      </c>
      <c r="C347" s="2" t="str">
        <f>IFERROR(__xludf.DUMMYFUNCTION("TRIM(INDEX(SPLIT($A347,""-""),2))
"),"닭날두")</f>
        <v>닭날두</v>
      </c>
    </row>
    <row r="348">
      <c r="A348" s="2" t="str">
        <f>IFERROR(__xludf.DUMMYFUNCTION("REGEXEXTRACT(raw!A348, ""&lt;\s*(.+?)\s*&gt;"")
"),"홍석천 - 쉑쉑 파스타")</f>
        <v>홍석천 - 쉑쉑 파스타</v>
      </c>
      <c r="B348" s="2" t="str">
        <f>IFERROR(__xludf.DUMMYFUNCTION("TRIM(INDEX(SPLIT($A348,""-""),1))
"),"홍석천")</f>
        <v>홍석천</v>
      </c>
      <c r="C348" s="2" t="str">
        <f>IFERROR(__xludf.DUMMYFUNCTION("TRIM(INDEX(SPLIT($A348,""-""),2))
"),"쉑쉑 파스타")</f>
        <v>쉑쉑 파스타</v>
      </c>
    </row>
    <row r="349">
      <c r="A349" s="2" t="str">
        <f>IFERROR(__xludf.DUMMYFUNCTION("REGEXEXTRACT(raw!A349, ""&lt;\s*(.+?)\s*&gt;"")
"),"미카엘 - 바로빵")</f>
        <v>미카엘 - 바로빵</v>
      </c>
      <c r="B349" s="2" t="str">
        <f>IFERROR(__xludf.DUMMYFUNCTION("TRIM(INDEX(SPLIT($A349,""-""),1))
"),"미카엘")</f>
        <v>미카엘</v>
      </c>
      <c r="C349" s="2" t="str">
        <f>IFERROR(__xludf.DUMMYFUNCTION("TRIM(INDEX(SPLIT($A349,""-""),2))
"),"바로빵")</f>
        <v>바로빵</v>
      </c>
    </row>
    <row r="350">
      <c r="A350" s="2" t="str">
        <f>IFERROR(__xludf.DUMMYFUNCTION("REGEXEXTRACT(raw!A350, ""&lt;\s*(.+?)\s*&gt;"")
"),"이연복 - 카우복이")</f>
        <v>이연복 - 카우복이</v>
      </c>
      <c r="B350" s="2" t="str">
        <f>IFERROR(__xludf.DUMMYFUNCTION("TRIM(INDEX(SPLIT($A350,""-""),1))
"),"이연복")</f>
        <v>이연복</v>
      </c>
      <c r="C350" s="2" t="str">
        <f>IFERROR(__xludf.DUMMYFUNCTION("TRIM(INDEX(SPLIT($A350,""-""),2))
"),"카우복이")</f>
        <v>카우복이</v>
      </c>
    </row>
    <row r="351">
      <c r="A351" s="2" t="str">
        <f>IFERROR(__xludf.DUMMYFUNCTION("REGEXEXTRACT(raw!A351, ""&lt;\s*(.+?)\s*&gt;"")
"),"샘킴 - 오! 가닉~ 고등어")</f>
        <v>샘킴 - 오! 가닉~ 고등어</v>
      </c>
      <c r="B351" s="2" t="str">
        <f>IFERROR(__xludf.DUMMYFUNCTION("TRIM(INDEX(SPLIT($A351,""-""),1))
"),"샘킴")</f>
        <v>샘킴</v>
      </c>
      <c r="C351" s="2" t="str">
        <f>IFERROR(__xludf.DUMMYFUNCTION("TRIM(INDEX(SPLIT($A351,""-""),2))
"),"오! 가닉~ 고등어")</f>
        <v>오! 가닉~ 고등어</v>
      </c>
    </row>
    <row r="352">
      <c r="A352" s="2" t="str">
        <f>IFERROR(__xludf.DUMMYFUNCTION("REGEXEXTRACT(raw!A352, ""&lt;\s*(.+?)\s*&gt;"")
"),"이상민 - 홀롤서기")</f>
        <v>이상민 - 홀롤서기</v>
      </c>
      <c r="B352" s="2" t="str">
        <f>IFERROR(__xludf.DUMMYFUNCTION("TRIM(INDEX(SPLIT($A352,""-""),1))
"),"이상민")</f>
        <v>이상민</v>
      </c>
      <c r="C352" s="2" t="str">
        <f>IFERROR(__xludf.DUMMYFUNCTION("TRIM(INDEX(SPLIT($A352,""-""),2))
"),"홀롤서기")</f>
        <v>홀롤서기</v>
      </c>
    </row>
    <row r="353">
      <c r="A353" s="2" t="str">
        <f>IFERROR(__xludf.DUMMYFUNCTION("REGEXEXTRACT(raw!A353, ""&lt;\s*(.+?)\s*&gt;"")
"),"김풍 - 눈물회밥")</f>
        <v>김풍 - 눈물회밥</v>
      </c>
      <c r="B353" s="2" t="str">
        <f>IFERROR(__xludf.DUMMYFUNCTION("TRIM(INDEX(SPLIT($A353,""-""),1))
"),"김풍")</f>
        <v>김풍</v>
      </c>
      <c r="C353" s="2" t="str">
        <f>IFERROR(__xludf.DUMMYFUNCTION("TRIM(INDEX(SPLIT($A353,""-""),2))
"),"눈물회밥")</f>
        <v>눈물회밥</v>
      </c>
    </row>
    <row r="354">
      <c r="A354" s="2" t="str">
        <f>IFERROR(__xludf.DUMMYFUNCTION("REGEXEXTRACT(raw!A354, ""&lt;\s*(.+?)\s*&gt;"")
"),"이원일 - 후덜덜이 김밥")</f>
        <v>이원일 - 후덜덜이 김밥</v>
      </c>
      <c r="B354" s="2" t="str">
        <f>IFERROR(__xludf.DUMMYFUNCTION("TRIM(INDEX(SPLIT($A354,""-""),1))
"),"이원일")</f>
        <v>이원일</v>
      </c>
      <c r="C354" s="2" t="str">
        <f>IFERROR(__xludf.DUMMYFUNCTION("TRIM(INDEX(SPLIT($A354,""-""),2))
"),"후덜덜이 김밥")</f>
        <v>후덜덜이 김밥</v>
      </c>
    </row>
    <row r="355">
      <c r="A355" s="2" t="str">
        <f>IFERROR(__xludf.DUMMYFUNCTION("REGEXEXTRACT(raw!A355, ""&lt;\s*(.+?)\s*&gt;"")
"),"오세득 - 칼로이스")</f>
        <v>오세득 - 칼로이스</v>
      </c>
      <c r="B355" s="2" t="str">
        <f>IFERROR(__xludf.DUMMYFUNCTION("TRIM(INDEX(SPLIT($A355,""-""),1))
"),"오세득")</f>
        <v>오세득</v>
      </c>
      <c r="C355" s="2" t="str">
        <f>IFERROR(__xludf.DUMMYFUNCTION("TRIM(INDEX(SPLIT($A355,""-""),2))
"),"칼로이스")</f>
        <v>칼로이스</v>
      </c>
    </row>
    <row r="356">
      <c r="A356" s="2" t="str">
        <f>IFERROR(__xludf.DUMMYFUNCTION("REGEXEXTRACT(raw!A356, ""&lt;\s*(.+?)\s*&gt;"")
"),"이연복 - 중복냉면")</f>
        <v>이연복 - 중복냉면</v>
      </c>
      <c r="B356" s="2" t="str">
        <f>IFERROR(__xludf.DUMMYFUNCTION("TRIM(INDEX(SPLIT($A356,""-""),1))
"),"이연복")</f>
        <v>이연복</v>
      </c>
      <c r="C356" s="2" t="str">
        <f>IFERROR(__xludf.DUMMYFUNCTION("TRIM(INDEX(SPLIT($A356,""-""),2))
"),"중복냉면")</f>
        <v>중복냉면</v>
      </c>
    </row>
    <row r="357">
      <c r="A357" s="2" t="str">
        <f>IFERROR(__xludf.DUMMYFUNCTION("REGEXEXTRACT(raw!A357, ""&lt;\s*(.+?)\s*&gt;"")
"),"김풍 - 풍양냉면")</f>
        <v>김풍 - 풍양냉면</v>
      </c>
      <c r="B357" s="2" t="str">
        <f>IFERROR(__xludf.DUMMYFUNCTION("TRIM(INDEX(SPLIT($A357,""-""),1))
"),"김풍")</f>
        <v>김풍</v>
      </c>
      <c r="C357" s="2" t="str">
        <f>IFERROR(__xludf.DUMMYFUNCTION("TRIM(INDEX(SPLIT($A357,""-""),2))
"),"풍양냉면")</f>
        <v>풍양냉면</v>
      </c>
    </row>
    <row r="358">
      <c r="A358" s="2" t="str">
        <f>IFERROR(__xludf.DUMMYFUNCTION("REGEXEXTRACT(raw!A358, ""&lt;\s*(.+?)\s*&gt;"")
"),"최현석 - 고기밀라노~")</f>
        <v>최현석 - 고기밀라노~</v>
      </c>
      <c r="B358" s="2" t="str">
        <f>IFERROR(__xludf.DUMMYFUNCTION("TRIM(INDEX(SPLIT($A358,""-""),1))
"),"최현석")</f>
        <v>최현석</v>
      </c>
      <c r="C358" s="2" t="str">
        <f>IFERROR(__xludf.DUMMYFUNCTION("TRIM(INDEX(SPLIT($A358,""-""),2))
"),"고기밀라노~")</f>
        <v>고기밀라노~</v>
      </c>
    </row>
    <row r="359">
      <c r="A359" s="2" t="str">
        <f>IFERROR(__xludf.DUMMYFUNCTION("REGEXEXTRACT(raw!A359, ""&lt;\s*(.+?)\s*&gt;"")
"),"샘킴 - 볼로네제는 처음이제?")</f>
        <v>샘킴 - 볼로네제는 처음이제?</v>
      </c>
      <c r="B359" s="2" t="str">
        <f>IFERROR(__xludf.DUMMYFUNCTION("TRIM(INDEX(SPLIT($A359,""-""),1))
"),"샘킴")</f>
        <v>샘킴</v>
      </c>
      <c r="C359" s="2" t="str">
        <f>IFERROR(__xludf.DUMMYFUNCTION("TRIM(INDEX(SPLIT($A359,""-""),2))
"),"볼로네제는 처음이제?")</f>
        <v>볼로네제는 처음이제?</v>
      </c>
    </row>
    <row r="360">
      <c r="A360" s="2" t="str">
        <f>IFERROR(__xludf.DUMMYFUNCTION("REGEXEXTRACT(raw!A360, ""&lt;\s*(.+?)\s*&gt;"")
"),"미카엘 - 웃음꼬치 피었습니다")</f>
        <v>미카엘 - 웃음꼬치 피었습니다</v>
      </c>
      <c r="B360" s="2" t="str">
        <f>IFERROR(__xludf.DUMMYFUNCTION("TRIM(INDEX(SPLIT($A360,""-""),1))
"),"미카엘")</f>
        <v>미카엘</v>
      </c>
      <c r="C360" s="2" t="str">
        <f>IFERROR(__xludf.DUMMYFUNCTION("TRIM(INDEX(SPLIT($A360,""-""),2))
"),"웃음꼬치 피었습니다")</f>
        <v>웃음꼬치 피었습니다</v>
      </c>
    </row>
    <row r="361">
      <c r="A361" s="2" t="str">
        <f>IFERROR(__xludf.DUMMYFUNCTION("REGEXEXTRACT(raw!A361, ""&lt;\s*(.+?)\s*&gt;"")
"),"정호영 - 연장전")</f>
        <v>정호영 - 연장전</v>
      </c>
      <c r="B361" s="2" t="str">
        <f>IFERROR(__xludf.DUMMYFUNCTION("TRIM(INDEX(SPLIT($A361,""-""),1))
"),"정호영")</f>
        <v>정호영</v>
      </c>
      <c r="C361" s="2" t="str">
        <f>IFERROR(__xludf.DUMMYFUNCTION("TRIM(INDEX(SPLIT($A361,""-""),2))
"),"연장전")</f>
        <v>연장전</v>
      </c>
    </row>
    <row r="362">
      <c r="A362" s="2" t="str">
        <f>IFERROR(__xludf.DUMMYFUNCTION("REGEXEXTRACT(raw!A362, ""&lt;\s*(.+?)\s*&gt;"")
"),"최현석 - 발라버린닭")</f>
        <v>최현석 - 발라버린닭</v>
      </c>
      <c r="B362" s="2" t="str">
        <f>IFERROR(__xludf.DUMMYFUNCTION("TRIM(INDEX(SPLIT($A362,""-""),1))
"),"최현석")</f>
        <v>최현석</v>
      </c>
      <c r="C362" s="2" t="str">
        <f>IFERROR(__xludf.DUMMYFUNCTION("TRIM(INDEX(SPLIT($A362,""-""),2))
"),"발라버린닭")</f>
        <v>발라버린닭</v>
      </c>
    </row>
    <row r="363">
      <c r="A363" s="2" t="str">
        <f>IFERROR(__xludf.DUMMYFUNCTION("REGEXEXTRACT(raw!A363, ""&lt;\s*(.+?)\s*&gt;"")
"),"오세득 - 포크볼")</f>
        <v>오세득 - 포크볼</v>
      </c>
      <c r="B363" s="2" t="str">
        <f>IFERROR(__xludf.DUMMYFUNCTION("TRIM(INDEX(SPLIT($A363,""-""),1))
"),"오세득")</f>
        <v>오세득</v>
      </c>
      <c r="C363" s="2" t="str">
        <f>IFERROR(__xludf.DUMMYFUNCTION("TRIM(INDEX(SPLIT($A363,""-""),2))
"),"포크볼")</f>
        <v>포크볼</v>
      </c>
    </row>
    <row r="364">
      <c r="A364" s="2" t="str">
        <f>IFERROR(__xludf.DUMMYFUNCTION("REGEXEXTRACT(raw!A364, ""&lt;\s*(.+?)\s*&gt;"")
"),"홍석천 - 긴급사테! 수박주의보!")</f>
        <v>홍석천 - 긴급사테! 수박주의보!</v>
      </c>
      <c r="B364" s="2" t="str">
        <f>IFERROR(__xludf.DUMMYFUNCTION("TRIM(INDEX(SPLIT($A364,""-""),1))
"),"홍석천")</f>
        <v>홍석천</v>
      </c>
      <c r="C364" s="2" t="str">
        <f>IFERROR(__xludf.DUMMYFUNCTION("TRIM(INDEX(SPLIT($A364,""-""),2))
"),"긴급사테! 수박주의보!")</f>
        <v>긴급사테! 수박주의보!</v>
      </c>
    </row>
    <row r="365">
      <c r="A365" s="2" t="str">
        <f>IFERROR(__xludf.DUMMYFUNCTION("REGEXEXTRACT(raw!A365, ""&lt;\s*(.+?)\s*&gt;"")
"),"김풍 - 불타는 등심폭탄")</f>
        <v>김풍 - 불타는 등심폭탄</v>
      </c>
      <c r="B365" s="2" t="str">
        <f>IFERROR(__xludf.DUMMYFUNCTION("TRIM(INDEX(SPLIT($A365,""-""),1))
"),"김풍")</f>
        <v>김풍</v>
      </c>
      <c r="C365" s="2" t="str">
        <f>IFERROR(__xludf.DUMMYFUNCTION("TRIM(INDEX(SPLIT($A365,""-""),2))
"),"불타는 등심폭탄")</f>
        <v>불타는 등심폭탄</v>
      </c>
    </row>
    <row r="366">
      <c r="A366" s="2" t="str">
        <f>IFERROR(__xludf.DUMMYFUNCTION("REGEXEXTRACT(raw!A366, ""&lt;\s*(.+?)\s*&gt;"")
"),"이연복 - 조전박살")</f>
        <v>이연복 - 조전박살</v>
      </c>
      <c r="B366" s="2" t="str">
        <f>IFERROR(__xludf.DUMMYFUNCTION("TRIM(INDEX(SPLIT($A366,""-""),1))
"),"이연복")</f>
        <v>이연복</v>
      </c>
      <c r="C366" s="2" t="str">
        <f>IFERROR(__xludf.DUMMYFUNCTION("TRIM(INDEX(SPLIT($A366,""-""),2))
"),"조전박살")</f>
        <v>조전박살</v>
      </c>
    </row>
    <row r="367">
      <c r="A367" s="2" t="str">
        <f>IFERROR(__xludf.DUMMYFUNCTION("REGEXEXTRACT(raw!A367, ""&lt;\s*(.+?)\s*&gt;"")
"),"정호영 - 도미 살을 바를래")</f>
        <v>정호영 - 도미 살을 바를래</v>
      </c>
      <c r="B367" s="2" t="str">
        <f>IFERROR(__xludf.DUMMYFUNCTION("TRIM(INDEX(SPLIT($A367,""-""),1))
"),"정호영")</f>
        <v>정호영</v>
      </c>
      <c r="C367" s="2" t="str">
        <f>IFERROR(__xludf.DUMMYFUNCTION("TRIM(INDEX(SPLIT($A367,""-""),2))
"),"도미 살을 바를래")</f>
        <v>도미 살을 바를래</v>
      </c>
    </row>
    <row r="368">
      <c r="A368" s="2" t="str">
        <f>IFERROR(__xludf.DUMMYFUNCTION("REGEXEXTRACT(raw!A368, ""&lt;\s*(.+?)\s*&gt;"")
"),"샘킴 - 우아한 프랑스튜")</f>
        <v>샘킴 - 우아한 프랑스튜</v>
      </c>
      <c r="B368" s="2" t="str">
        <f>IFERROR(__xludf.DUMMYFUNCTION("TRIM(INDEX(SPLIT($A368,""-""),1))
"),"샘킴")</f>
        <v>샘킴</v>
      </c>
      <c r="C368" s="2" t="str">
        <f>IFERROR(__xludf.DUMMYFUNCTION("TRIM(INDEX(SPLIT($A368,""-""),2))
"),"우아한 프랑스튜")</f>
        <v>우아한 프랑스튜</v>
      </c>
    </row>
    <row r="369">
      <c r="A369" s="2" t="str">
        <f>IFERROR(__xludf.DUMMYFUNCTION("REGEXEXTRACT(raw!A369, ""&lt;\s*(.+?)\s*&gt;"")
"),"미카엘 - 나랑 너랑 게랑")</f>
        <v>미카엘 - 나랑 너랑 게랑</v>
      </c>
      <c r="B369" s="2" t="str">
        <f>IFERROR(__xludf.DUMMYFUNCTION("TRIM(INDEX(SPLIT($A369,""-""),1))
"),"미카엘")</f>
        <v>미카엘</v>
      </c>
      <c r="C369" s="2" t="str">
        <f>IFERROR(__xludf.DUMMYFUNCTION("TRIM(INDEX(SPLIT($A369,""-""),2))
"),"나랑 너랑 게랑")</f>
        <v>나랑 너랑 게랑</v>
      </c>
    </row>
    <row r="370">
      <c r="A370" s="2" t="str">
        <f>IFERROR(__xludf.DUMMYFUNCTION("REGEXEXTRACT(raw!A370, ""&lt;\s*(.+?)\s*&gt;"")
"),"샘킴 - 소스 하나면 돼")</f>
        <v>샘킴 - 소스 하나면 돼</v>
      </c>
      <c r="B370" s="2" t="str">
        <f>IFERROR(__xludf.DUMMYFUNCTION("TRIM(INDEX(SPLIT($A370,""-""),1))
"),"샘킴")</f>
        <v>샘킴</v>
      </c>
      <c r="C370" s="2" t="str">
        <f>IFERROR(__xludf.DUMMYFUNCTION("TRIM(INDEX(SPLIT($A370,""-""),2))
"),"소스 하나면 돼")</f>
        <v>소스 하나면 돼</v>
      </c>
    </row>
    <row r="371">
      <c r="A371" s="2" t="str">
        <f>IFERROR(__xludf.DUMMYFUNCTION("REGEXEXTRACT(raw!A371, ""&lt;\s*(.+?)\s*&gt;"")
"),"유창준 - 전병 말아요~")</f>
        <v>유창준 - 전병 말아요~</v>
      </c>
      <c r="B371" s="2" t="str">
        <f>IFERROR(__xludf.DUMMYFUNCTION("TRIM(INDEX(SPLIT($A371,""-""),1))
"),"유창준")</f>
        <v>유창준</v>
      </c>
      <c r="C371" s="2" t="str">
        <f>IFERROR(__xludf.DUMMYFUNCTION("TRIM(INDEX(SPLIT($A371,""-""),2))
"),"전병 말아요~")</f>
        <v>전병 말아요~</v>
      </c>
    </row>
    <row r="372">
      <c r="A372" s="2" t="str">
        <f>IFERROR(__xludf.DUMMYFUNCTION("REGEXEXTRACT(raw!A372, ""&lt;\s*(.+?)\s*&gt;"")
"),"최현석 - 톰얌킹")</f>
        <v>최현석 - 톰얌킹</v>
      </c>
      <c r="B372" s="2" t="str">
        <f>IFERROR(__xludf.DUMMYFUNCTION("TRIM(INDEX(SPLIT($A372,""-""),1))
"),"최현석")</f>
        <v>최현석</v>
      </c>
      <c r="C372" s="2" t="str">
        <f>IFERROR(__xludf.DUMMYFUNCTION("TRIM(INDEX(SPLIT($A372,""-""),2))
"),"톰얌킹")</f>
        <v>톰얌킹</v>
      </c>
    </row>
    <row r="373">
      <c r="A373" s="2" t="str">
        <f>IFERROR(__xludf.DUMMYFUNCTION("REGEXEXTRACT(raw!A373, ""&lt;\s*(.+?)\s*&gt;"")
"),"이원일 - 톰얌의 고수")</f>
        <v>이원일 - 톰얌의 고수</v>
      </c>
      <c r="B373" s="2" t="str">
        <f>IFERROR(__xludf.DUMMYFUNCTION("TRIM(INDEX(SPLIT($A373,""-""),1))
"),"이원일")</f>
        <v>이원일</v>
      </c>
      <c r="C373" s="2" t="str">
        <f>IFERROR(__xludf.DUMMYFUNCTION("TRIM(INDEX(SPLIT($A373,""-""),2))
"),"톰얌의 고수")</f>
        <v>톰얌의 고수</v>
      </c>
    </row>
    <row r="374">
      <c r="A374" s="2" t="str">
        <f>IFERROR(__xludf.DUMMYFUNCTION("REGEXEXTRACT(raw!A374, ""&lt;\s*(.+?)\s*&gt;"")
"),"김풍 - 바쥐락펴락")</f>
        <v>김풍 - 바쥐락펴락</v>
      </c>
      <c r="B374" s="2" t="str">
        <f>IFERROR(__xludf.DUMMYFUNCTION("TRIM(INDEX(SPLIT($A374,""-""),1))
"),"김풍")</f>
        <v>김풍</v>
      </c>
      <c r="C374" s="2" t="str">
        <f>IFERROR(__xludf.DUMMYFUNCTION("TRIM(INDEX(SPLIT($A374,""-""),2))
"),"바쥐락펴락")</f>
        <v>바쥐락펴락</v>
      </c>
    </row>
    <row r="375">
      <c r="A375" s="2" t="str">
        <f>IFERROR(__xludf.DUMMYFUNCTION("REGEXEXTRACT(raw!A375, ""&lt;\s*(.+?)\s*&gt;"")
"),"오세득 - 일탈 닭돼지락")</f>
        <v>오세득 - 일탈 닭돼지락</v>
      </c>
      <c r="B375" s="2" t="str">
        <f>IFERROR(__xludf.DUMMYFUNCTION("TRIM(INDEX(SPLIT($A375,""-""),1))
"),"오세득")</f>
        <v>오세득</v>
      </c>
      <c r="C375" s="2" t="str">
        <f>IFERROR(__xludf.DUMMYFUNCTION("TRIM(INDEX(SPLIT($A375,""-""),2))
"),"일탈 닭돼지락")</f>
        <v>일탈 닭돼지락</v>
      </c>
    </row>
    <row r="376">
      <c r="A376" s="2" t="str">
        <f>IFERROR(__xludf.DUMMYFUNCTION("REGEXEXTRACT(raw!A376, ""&lt;\s*(.+?)\s*&gt;"")
"),"미카엘 - 에그머니나")</f>
        <v>미카엘 - 에그머니나</v>
      </c>
      <c r="B376" s="2" t="str">
        <f>IFERROR(__xludf.DUMMYFUNCTION("TRIM(INDEX(SPLIT($A376,""-""),1))
"),"미카엘")</f>
        <v>미카엘</v>
      </c>
      <c r="C376" s="2" t="str">
        <f>IFERROR(__xludf.DUMMYFUNCTION("TRIM(INDEX(SPLIT($A376,""-""),2))
"),"에그머니나")</f>
        <v>에그머니나</v>
      </c>
    </row>
    <row r="377">
      <c r="A377" s="2" t="str">
        <f>IFERROR(__xludf.DUMMYFUNCTION("REGEXEXTRACT(raw!A377, ""&lt;\s*(.+?)\s*&gt;"")
"),"정호영 - 달걀의 대시")</f>
        <v>정호영 - 달걀의 대시</v>
      </c>
      <c r="B377" s="2" t="str">
        <f>IFERROR(__xludf.DUMMYFUNCTION("TRIM(INDEX(SPLIT($A377,""-""),1))
"),"정호영")</f>
        <v>정호영</v>
      </c>
      <c r="C377" s="2" t="str">
        <f>IFERROR(__xludf.DUMMYFUNCTION("TRIM(INDEX(SPLIT($A377,""-""),2))
"),"달걀의 대시")</f>
        <v>달걀의 대시</v>
      </c>
    </row>
    <row r="378">
      <c r="A378" s="2" t="str">
        <f>IFERROR(__xludf.DUMMYFUNCTION("REGEXEXTRACT(raw!A378, ""&lt;\s*(.+?)\s*&gt;"")
"),"최현석 - 데워먹고 대어 낚는 낚시요리")</f>
        <v>최현석 - 데워먹고 대어 낚는 낚시요리</v>
      </c>
      <c r="B378" s="2" t="str">
        <f>IFERROR(__xludf.DUMMYFUNCTION("TRIM(INDEX(SPLIT($A378,""-""),1))
"),"최현석")</f>
        <v>최현석</v>
      </c>
      <c r="C378" s="2" t="str">
        <f>IFERROR(__xludf.DUMMYFUNCTION("TRIM(INDEX(SPLIT($A378,""-""),2))
"),"데워먹고 대어 낚는 낚시요리")</f>
        <v>데워먹고 대어 낚는 낚시요리</v>
      </c>
    </row>
    <row r="379">
      <c r="A379" s="2" t="str">
        <f>IFERROR(__xludf.DUMMYFUNCTION("REGEXEXTRACT(raw!A379, ""&lt;\s*(.+?)\s*&gt;"")
"),"김풍 - 낚았찌개")</f>
        <v>김풍 - 낚았찌개</v>
      </c>
      <c r="B379" s="2" t="str">
        <f>IFERROR(__xludf.DUMMYFUNCTION("TRIM(INDEX(SPLIT($A379,""-""),1))
"),"김풍")</f>
        <v>김풍</v>
      </c>
      <c r="C379" s="2" t="str">
        <f>IFERROR(__xludf.DUMMYFUNCTION("TRIM(INDEX(SPLIT($A379,""-""),2))
"),"낚았찌개")</f>
        <v>낚았찌개</v>
      </c>
    </row>
    <row r="380">
      <c r="A380" s="2" t="str">
        <f>IFERROR(__xludf.DUMMYFUNCTION("REGEXEXTRACT(raw!A380, ""&lt;\s*(.+?)\s*&gt;"")
"),"샘킴 - 할아버지 최고닭!")</f>
        <v>샘킴 - 할아버지 최고닭!</v>
      </c>
      <c r="B380" s="2" t="str">
        <f>IFERROR(__xludf.DUMMYFUNCTION("TRIM(INDEX(SPLIT($A380,""-""),1))
"),"샘킴")</f>
        <v>샘킴</v>
      </c>
      <c r="C380" s="2" t="str">
        <f>IFERROR(__xludf.DUMMYFUNCTION("TRIM(INDEX(SPLIT($A380,""-""),2))
"),"할아버지 최고닭!")</f>
        <v>할아버지 최고닭!</v>
      </c>
    </row>
    <row r="381">
      <c r="A381" s="2" t="str">
        <f>IFERROR(__xludf.DUMMYFUNCTION("REGEXEXTRACT(raw!A381, ""&lt;\s*(.+?)\s*&gt;"")
"),"정호영 - 그랜드파더 젠틀롤")</f>
        <v>정호영 - 그랜드파더 젠틀롤</v>
      </c>
      <c r="B381" s="2" t="str">
        <f>IFERROR(__xludf.DUMMYFUNCTION("TRIM(INDEX(SPLIT($A381,""-""),1))
"),"정호영")</f>
        <v>정호영</v>
      </c>
      <c r="C381" s="2" t="str">
        <f>IFERROR(__xludf.DUMMYFUNCTION("TRIM(INDEX(SPLIT($A381,""-""),2))
"),"그랜드파더 젠틀롤")</f>
        <v>그랜드파더 젠틀롤</v>
      </c>
    </row>
    <row r="382">
      <c r="A382" s="2" t="str">
        <f>IFERROR(__xludf.DUMMYFUNCTION("REGEXEXTRACT(raw!A382, ""&lt;\s*(.+?)\s*&gt;"")
"),"이연복 - 제비 몰러 나간 알")</f>
        <v>이연복 - 제비 몰러 나간 알</v>
      </c>
      <c r="B382" s="2" t="str">
        <f>IFERROR(__xludf.DUMMYFUNCTION("TRIM(INDEX(SPLIT($A382,""-""),1))
"),"이연복")</f>
        <v>이연복</v>
      </c>
      <c r="C382" s="2" t="str">
        <f>IFERROR(__xludf.DUMMYFUNCTION("TRIM(INDEX(SPLIT($A382,""-""),2))
"),"제비 몰러 나간 알")</f>
        <v>제비 몰러 나간 알</v>
      </c>
    </row>
    <row r="383">
      <c r="A383" s="2" t="str">
        <f>IFERROR(__xludf.DUMMYFUNCTION("REGEXEXTRACT(raw!A383, ""&lt;\s*(.+?)\s*&gt;"")
"),"한상훈 - 타임 투 새우굿")</f>
        <v>한상훈 - 타임 투 새우굿</v>
      </c>
      <c r="B383" s="2" t="str">
        <f>IFERROR(__xludf.DUMMYFUNCTION("TRIM(INDEX(SPLIT($A383,""-""),1))
"),"한상훈")</f>
        <v>한상훈</v>
      </c>
      <c r="C383" s="2" t="str">
        <f>IFERROR(__xludf.DUMMYFUNCTION("TRIM(INDEX(SPLIT($A383,""-""),2))
"),"타임 투 새우굿")</f>
        <v>타임 투 새우굿</v>
      </c>
    </row>
    <row r="384">
      <c r="A384" s="2" t="str">
        <f>IFERROR(__xludf.DUMMYFUNCTION("REGEXEXTRACT(raw!A384, ""&lt;\s*(.+?)\s*&gt;"")
"),"미카엘 - 묵은지 뚝배기")</f>
        <v>미카엘 - 묵은지 뚝배기</v>
      </c>
      <c r="B384" s="2" t="str">
        <f>IFERROR(__xludf.DUMMYFUNCTION("TRIM(INDEX(SPLIT($A384,""-""),1))
"),"미카엘")</f>
        <v>미카엘</v>
      </c>
      <c r="C384" s="2" t="str">
        <f>IFERROR(__xludf.DUMMYFUNCTION("TRIM(INDEX(SPLIT($A384,""-""),2))
"),"묵은지 뚝배기")</f>
        <v>묵은지 뚝배기</v>
      </c>
    </row>
    <row r="385">
      <c r="A385" s="2" t="str">
        <f>IFERROR(__xludf.DUMMYFUNCTION("REGEXEXTRACT(raw!A385, ""&lt;\s*(.+?)\s*&gt;"")
"),"오세득 - 부자 나초")</f>
        <v>오세득 - 부자 나초</v>
      </c>
      <c r="B385" s="2" t="str">
        <f>IFERROR(__xludf.DUMMYFUNCTION("TRIM(INDEX(SPLIT($A385,""-""),1))
"),"오세득")</f>
        <v>오세득</v>
      </c>
      <c r="C385" s="2" t="str">
        <f>IFERROR(__xludf.DUMMYFUNCTION("TRIM(INDEX(SPLIT($A385,""-""),2))
"),"부자 나초")</f>
        <v>부자 나초</v>
      </c>
    </row>
    <row r="386">
      <c r="A386" s="2" t="str">
        <f>IFERROR(__xludf.DUMMYFUNCTION("REGEXEXTRACT(raw!A386, ""&lt;\s*(.+?)\s*&gt;"")
"),"미카엘 - 튀튀빵빵")</f>
        <v>미카엘 - 튀튀빵빵</v>
      </c>
      <c r="B386" s="2" t="str">
        <f>IFERROR(__xludf.DUMMYFUNCTION("TRIM(INDEX(SPLIT($A386,""-""),1))
"),"미카엘")</f>
        <v>미카엘</v>
      </c>
      <c r="C386" s="2" t="str">
        <f>IFERROR(__xludf.DUMMYFUNCTION("TRIM(INDEX(SPLIT($A386,""-""),2))
"),"튀튀빵빵")</f>
        <v>튀튀빵빵</v>
      </c>
    </row>
    <row r="387">
      <c r="A387" s="2" t="str">
        <f>IFERROR(__xludf.DUMMYFUNCTION("REGEXEXTRACT(raw!A387, ""&lt;\s*(.+?)\s*&gt;"")
"),"박리혜 - 두밥두밥 두부두밥♬")</f>
        <v>박리혜 - 두밥두밥 두부두밥♬</v>
      </c>
      <c r="B387" s="2" t="str">
        <f>IFERROR(__xludf.DUMMYFUNCTION("TRIM(INDEX(SPLIT($A387,""-""),1))
"),"박리혜")</f>
        <v>박리혜</v>
      </c>
      <c r="C387" s="2" t="str">
        <f>IFERROR(__xludf.DUMMYFUNCTION("TRIM(INDEX(SPLIT($A387,""-""),2))
"),"두밥두밥 두부두밥♬")</f>
        <v>두밥두밥 두부두밥♬</v>
      </c>
    </row>
    <row r="388">
      <c r="A388" s="2" t="str">
        <f>IFERROR(__xludf.DUMMYFUNCTION("REGEXEXTRACT(raw!A388, ""&lt;\s*(.+?)\s*&gt;"")
"),"샘킴 - 소주 한 잔 참치마")</f>
        <v>샘킴 - 소주 한 잔 참치마</v>
      </c>
      <c r="B388" s="2" t="str">
        <f>IFERROR(__xludf.DUMMYFUNCTION("TRIM(INDEX(SPLIT($A388,""-""),1))
"),"샘킴")</f>
        <v>샘킴</v>
      </c>
      <c r="C388" s="2" t="str">
        <f>IFERROR(__xludf.DUMMYFUNCTION("TRIM(INDEX(SPLIT($A388,""-""),2))
"),"소주 한 잔 참치마")</f>
        <v>소주 한 잔 참치마</v>
      </c>
    </row>
    <row r="389">
      <c r="A389" s="2" t="str">
        <f>IFERROR(__xludf.DUMMYFUNCTION("REGEXEXTRACT(raw!A389, ""&lt;\s*(.+?)\s*&gt;"")
"),"김풍 - 두부세요~ 나야♬")</f>
        <v>김풍 - 두부세요~ 나야♬</v>
      </c>
      <c r="B389" s="2" t="str">
        <f>IFERROR(__xludf.DUMMYFUNCTION("TRIM(INDEX(SPLIT($A389,""-""),1))
"),"김풍")</f>
        <v>김풍</v>
      </c>
      <c r="C389" s="2" t="str">
        <f>IFERROR(__xludf.DUMMYFUNCTION("TRIM(INDEX(SPLIT($A389,""-""),2))
"),"두부세요~ 나야♬")</f>
        <v>두부세요~ 나야♬</v>
      </c>
    </row>
    <row r="390">
      <c r="A390" s="2" t="str">
        <f>IFERROR(__xludf.DUMMYFUNCTION("REGEXEXTRACT(raw!A390, ""&lt;\s*(.+?)\s*&gt;"")
"),"이연복 - 가위로 오리면")</f>
        <v>이연복 - 가위로 오리면</v>
      </c>
      <c r="B390" s="2" t="str">
        <f>IFERROR(__xludf.DUMMYFUNCTION("TRIM(INDEX(SPLIT($A390,""-""),1))
"),"이연복")</f>
        <v>이연복</v>
      </c>
      <c r="C390" s="2" t="str">
        <f>IFERROR(__xludf.DUMMYFUNCTION("TRIM(INDEX(SPLIT($A390,""-""),2))
"),"가위로 오리면")</f>
        <v>가위로 오리면</v>
      </c>
    </row>
    <row r="391">
      <c r="A391" s="2" t="str">
        <f>IFERROR(__xludf.DUMMYFUNCTION("REGEXEXTRACT(raw!A391, ""&lt;\s*(.+?)\s*&gt;"")
"),"최현석 - 오늘부터 오리는♬")</f>
        <v>최현석 - 오늘부터 오리는♬</v>
      </c>
      <c r="B391" s="2" t="str">
        <f>IFERROR(__xludf.DUMMYFUNCTION("TRIM(INDEX(SPLIT($A391,""-""),1))
"),"최현석")</f>
        <v>최현석</v>
      </c>
      <c r="C391" s="2" t="str">
        <f>IFERROR(__xludf.DUMMYFUNCTION("TRIM(INDEX(SPLIT($A391,""-""),2))
"),"오늘부터 오리는♬")</f>
        <v>오늘부터 오리는♬</v>
      </c>
    </row>
    <row r="392">
      <c r="A392" s="2" t="str">
        <f>IFERROR(__xludf.DUMMYFUNCTION("REGEXEXTRACT(raw!A392, ""&lt;\s*(.+?)\s*&gt;"")
"),"오세득 - 고등어가 놀라유")</f>
        <v>오세득 - 고등어가 놀라유</v>
      </c>
      <c r="B392" s="2" t="str">
        <f>IFERROR(__xludf.DUMMYFUNCTION("TRIM(INDEX(SPLIT($A392,""-""),1))
"),"오세득")</f>
        <v>오세득</v>
      </c>
      <c r="C392" s="2" t="str">
        <f>IFERROR(__xludf.DUMMYFUNCTION("TRIM(INDEX(SPLIT($A392,""-""),2))
"),"고등어가 놀라유")</f>
        <v>고등어가 놀라유</v>
      </c>
    </row>
    <row r="393">
      <c r="A393" s="2" t="str">
        <f>IFERROR(__xludf.DUMMYFUNCTION("REGEXEXTRACT(raw!A393, ""&lt;\s*(.+?)\s*&gt;"")
"),"정호영 - 고등어 하나만 허락해주소서♬")</f>
        <v>정호영 - 고등어 하나만 허락해주소서♬</v>
      </c>
      <c r="B393" s="2" t="str">
        <f>IFERROR(__xludf.DUMMYFUNCTION("TRIM(INDEX(SPLIT($A393,""-""),1))
"),"정호영")</f>
        <v>정호영</v>
      </c>
      <c r="C393" s="2" t="str">
        <f>IFERROR(__xludf.DUMMYFUNCTION("TRIM(INDEX(SPLIT($A393,""-""),2))
"),"고등어 하나만 허락해주소서♬")</f>
        <v>고등어 하나만 허락해주소서♬</v>
      </c>
    </row>
    <row r="394">
      <c r="A394" s="2" t="str">
        <f>IFERROR(__xludf.DUMMYFUNCTION("REGEXEXTRACT(raw!A394, ""&lt;\s*(.+?)\s*&gt;"")
"),"김풍 - 블링토볼")</f>
        <v>김풍 - 블링토볼</v>
      </c>
      <c r="B394" s="2" t="str">
        <f>IFERROR(__xludf.DUMMYFUNCTION("TRIM(INDEX(SPLIT($A394,""-""),1))
"),"김풍")</f>
        <v>김풍</v>
      </c>
      <c r="C394" s="2" t="str">
        <f>IFERROR(__xludf.DUMMYFUNCTION("TRIM(INDEX(SPLIT($A394,""-""),2))
"),"블링토볼")</f>
        <v>블링토볼</v>
      </c>
    </row>
    <row r="395">
      <c r="A395" s="2" t="str">
        <f>IFERROR(__xludf.DUMMYFUNCTION("REGEXEXTRACT(raw!A395, ""&lt;\s*(.+?)\s*&gt;"")
"),"오세득 - 입맛다시징")</f>
        <v>오세득 - 입맛다시징</v>
      </c>
      <c r="B395" s="2" t="str">
        <f>IFERROR(__xludf.DUMMYFUNCTION("TRIM(INDEX(SPLIT($A395,""-""),1))
"),"오세득")</f>
        <v>오세득</v>
      </c>
      <c r="C395" s="2" t="str">
        <f>IFERROR(__xludf.DUMMYFUNCTION("TRIM(INDEX(SPLIT($A395,""-""),2))
"),"입맛다시징")</f>
        <v>입맛다시징</v>
      </c>
    </row>
    <row r="396">
      <c r="A396" s="2" t="str">
        <f>IFERROR(__xludf.DUMMYFUNCTION("REGEXEXTRACT(raw!A396, ""&lt;\s*(.+?)\s*&gt;"")
"),"이연복 - 야들야들한~♬ 고추완자")</f>
        <v>이연복 - 야들야들한~♬ 고추완자</v>
      </c>
      <c r="B396" s="2" t="str">
        <f>IFERROR(__xludf.DUMMYFUNCTION("TRIM(INDEX(SPLIT($A396,""-""),1))
"),"이연복")</f>
        <v>이연복</v>
      </c>
      <c r="C396" s="2" t="str">
        <f>IFERROR(__xludf.DUMMYFUNCTION("TRIM(INDEX(SPLIT($A396,""-""),2))
"),"야들야들한~♬ 고추완자")</f>
        <v>야들야들한~♬ 고추완자</v>
      </c>
    </row>
    <row r="397">
      <c r="A397" s="2" t="str">
        <f>IFERROR(__xludf.DUMMYFUNCTION("REGEXEXTRACT(raw!A397, ""&lt;\s*(.+?)\s*&gt;"")
"),"정호영 - 오징어 카니발♬")</f>
        <v>정호영 - 오징어 카니발♬</v>
      </c>
      <c r="B397" s="2" t="str">
        <f>IFERROR(__xludf.DUMMYFUNCTION("TRIM(INDEX(SPLIT($A397,""-""),1))
"),"정호영")</f>
        <v>정호영</v>
      </c>
      <c r="C397" s="2" t="str">
        <f>IFERROR(__xludf.DUMMYFUNCTION("TRIM(INDEX(SPLIT($A397,""-""),2))
"),"오징어 카니발♬")</f>
        <v>오징어 카니발♬</v>
      </c>
    </row>
    <row r="398">
      <c r="A398" s="2" t="str">
        <f>IFERROR(__xludf.DUMMYFUNCTION("REGEXEXTRACT(raw!A398, ""&lt;\s*(.+?)\s*&gt;"")
"),"최현석 - 짐승롤")</f>
        <v>최현석 - 짐승롤</v>
      </c>
      <c r="B398" s="2" t="str">
        <f>IFERROR(__xludf.DUMMYFUNCTION("TRIM(INDEX(SPLIT($A398,""-""),1))
"),"최현석")</f>
        <v>최현석</v>
      </c>
      <c r="C398" s="2" t="str">
        <f>IFERROR(__xludf.DUMMYFUNCTION("TRIM(INDEX(SPLIT($A398,""-""),2))
"),"짐승롤")</f>
        <v>짐승롤</v>
      </c>
    </row>
    <row r="399">
      <c r="A399" s="2" t="str">
        <f>IFERROR(__xludf.DUMMYFUNCTION("REGEXEXTRACT(raw!A399, ""&lt;\s*(.+?)\s*&gt;"")
"),"모토카와 - 스바라시멘")</f>
        <v>모토카와 - 스바라시멘</v>
      </c>
      <c r="B399" s="2" t="str">
        <f>IFERROR(__xludf.DUMMYFUNCTION("TRIM(INDEX(SPLIT($A399,""-""),1))
"),"모토카와")</f>
        <v>모토카와</v>
      </c>
      <c r="C399" s="2" t="str">
        <f>IFERROR(__xludf.DUMMYFUNCTION("TRIM(INDEX(SPLIT($A399,""-""),2))
"),"스바라시멘")</f>
        <v>스바라시멘</v>
      </c>
    </row>
    <row r="400">
      <c r="A400" s="2" t="str">
        <f>IFERROR(__xludf.DUMMYFUNCTION("REGEXEXTRACT(raw!A400, ""&lt;\s*(.+?)\s*&gt;"")
"),"샘킴 - 단결! 곰탕이지말입니다")</f>
        <v>샘킴 - 단결! 곰탕이지말입니다</v>
      </c>
      <c r="B400" s="2" t="str">
        <f>IFERROR(__xludf.DUMMYFUNCTION("TRIM(INDEX(SPLIT($A400,""-""),1))
"),"샘킴")</f>
        <v>샘킴</v>
      </c>
      <c r="C400" s="2" t="str">
        <f>IFERROR(__xludf.DUMMYFUNCTION("TRIM(INDEX(SPLIT($A400,""-""),2))
"),"단결! 곰탕이지말입니다")</f>
        <v>단결! 곰탕이지말입니다</v>
      </c>
    </row>
    <row r="401">
      <c r="A401" s="2" t="str">
        <f>IFERROR(__xludf.DUMMYFUNCTION("REGEXEXTRACT(raw!A401, ""&lt;\s*(.+?)\s*&gt;"")
"),"미카엘 - I'll be back♬")</f>
        <v>미카엘 - I'll be back♬</v>
      </c>
      <c r="B401" s="2" t="str">
        <f>IFERROR(__xludf.DUMMYFUNCTION("TRIM(INDEX(SPLIT($A401,""-""),1))
"),"미카엘")</f>
        <v>미카엘</v>
      </c>
      <c r="C401" s="2" t="str">
        <f>IFERROR(__xludf.DUMMYFUNCTION("TRIM(INDEX(SPLIT($A401,""-""),2))
"),"I'll be back♬")</f>
        <v>I'll be back♬</v>
      </c>
    </row>
    <row r="402">
      <c r="A402" s="2" t="str">
        <f>IFERROR(__xludf.DUMMYFUNCTION("REGEXEXTRACT(raw!A402, ""&lt;\s*(.+?)\s*&gt;"")
"),"이연복 - 하룻강아지 복 무서운 줄 알고 오삼")</f>
        <v>이연복 - 하룻강아지 복 무서운 줄 알고 오삼</v>
      </c>
      <c r="B402" s="2" t="str">
        <f>IFERROR(__xludf.DUMMYFUNCTION("TRIM(INDEX(SPLIT($A402,""-""),1))
"),"이연복")</f>
        <v>이연복</v>
      </c>
      <c r="C402" s="2" t="str">
        <f>IFERROR(__xludf.DUMMYFUNCTION("TRIM(INDEX(SPLIT($A402,""-""),2))
"),"하룻강아지 복 무서운 줄 알고 오삼")</f>
        <v>하룻강아지 복 무서운 줄 알고 오삼</v>
      </c>
    </row>
    <row r="403">
      <c r="A403" s="2" t="str">
        <f>IFERROR(__xludf.DUMMYFUNCTION("REGEXEXTRACT(raw!A403, ""&lt;\s*(.+?)\s*&gt;"")
"),"최형진 - 황금탕수육")</f>
        <v>최형진 - 황금탕수육</v>
      </c>
      <c r="B403" s="2" t="str">
        <f>IFERROR(__xludf.DUMMYFUNCTION("TRIM(INDEX(SPLIT($A403,""-""),1))
"),"최형진")</f>
        <v>최형진</v>
      </c>
      <c r="C403" s="2" t="str">
        <f>IFERROR(__xludf.DUMMYFUNCTION("TRIM(INDEX(SPLIT($A403,""-""),2))
"),"황금탕수육")</f>
        <v>황금탕수육</v>
      </c>
    </row>
    <row r="404">
      <c r="A404" s="2" t="str">
        <f>IFERROR(__xludf.DUMMYFUNCTION("REGEXEXTRACT(raw!A404, ""&lt;\s*(.+?)\s*&gt;"")
"),"최현석 - 청고마비")</f>
        <v>최현석 - 청고마비</v>
      </c>
      <c r="B404" s="2" t="str">
        <f>IFERROR(__xludf.DUMMYFUNCTION("TRIM(INDEX(SPLIT($A404,""-""),1))
"),"최현석")</f>
        <v>최현석</v>
      </c>
      <c r="C404" s="2" t="str">
        <f>IFERROR(__xludf.DUMMYFUNCTION("TRIM(INDEX(SPLIT($A404,""-""),2))
"),"청고마비")</f>
        <v>청고마비</v>
      </c>
    </row>
    <row r="405">
      <c r="A405" s="2" t="str">
        <f>IFERROR(__xludf.DUMMYFUNCTION("REGEXEXTRACT(raw!A405, ""&lt;\s*(.+?)\s*&gt;"")
"),"이재훈 - 나비효과")</f>
        <v>이재훈 - 나비효과</v>
      </c>
      <c r="B405" s="2" t="str">
        <f>IFERROR(__xludf.DUMMYFUNCTION("TRIM(INDEX(SPLIT($A405,""-""),1))
"),"이재훈")</f>
        <v>이재훈</v>
      </c>
      <c r="C405" s="2" t="str">
        <f>IFERROR(__xludf.DUMMYFUNCTION("TRIM(INDEX(SPLIT($A405,""-""),2))
"),"나비효과")</f>
        <v>나비효과</v>
      </c>
    </row>
    <row r="406">
      <c r="A406" s="2" t="str">
        <f>IFERROR(__xludf.DUMMYFUNCTION("REGEXEXTRACT(raw!A406, ""&lt;\s*(.+?)\s*&gt;"")
"),"샘킴 - 샘통이다")</f>
        <v>샘킴 - 샘통이다</v>
      </c>
      <c r="B406" s="2" t="str">
        <f>IFERROR(__xludf.DUMMYFUNCTION("TRIM(INDEX(SPLIT($A406,""-""),1))
"),"샘킴")</f>
        <v>샘킴</v>
      </c>
      <c r="C406" s="2" t="str">
        <f>IFERROR(__xludf.DUMMYFUNCTION("TRIM(INDEX(SPLIT($A406,""-""),2))
"),"샘통이다")</f>
        <v>샘통이다</v>
      </c>
    </row>
    <row r="407">
      <c r="A407" s="2" t="str">
        <f>IFERROR(__xludf.DUMMYFUNCTION("REGEXEXTRACT(raw!A407, ""&lt;\s*(.+?)\s*&gt;"")
"),"레이먼킴 - 낙장불입")</f>
        <v>레이먼킴 - 낙장불입</v>
      </c>
      <c r="B407" s="2" t="str">
        <f>IFERROR(__xludf.DUMMYFUNCTION("TRIM(INDEX(SPLIT($A407,""-""),1))
"),"레이먼킴")</f>
        <v>레이먼킴</v>
      </c>
      <c r="C407" s="2" t="str">
        <f>IFERROR(__xludf.DUMMYFUNCTION("TRIM(INDEX(SPLIT($A407,""-""),2))
"),"낙장불입")</f>
        <v>낙장불입</v>
      </c>
    </row>
    <row r="408">
      <c r="A408" s="2" t="str">
        <f>IFERROR(__xludf.DUMMYFUNCTION("REGEXEXTRACT(raw!A408, ""&lt;\s*(.+?)\s*&gt;"")
"),"김풍 - 깨지겠탕")</f>
        <v>김풍 - 깨지겠탕</v>
      </c>
      <c r="B408" s="2" t="str">
        <f>IFERROR(__xludf.DUMMYFUNCTION("TRIM(INDEX(SPLIT($A408,""-""),1))
"),"김풍")</f>
        <v>김풍</v>
      </c>
      <c r="C408" s="2" t="str">
        <f>IFERROR(__xludf.DUMMYFUNCTION("TRIM(INDEX(SPLIT($A408,""-""),2))
"),"깨지겠탕")</f>
        <v>깨지겠탕</v>
      </c>
    </row>
    <row r="409">
      <c r="A409" s="2" t="str">
        <f>IFERROR(__xludf.DUMMYFUNCTION("REGEXEXTRACT(raw!A409, ""&lt;\s*(.+?)\s*&gt;"")
"),"김민준 - 콩닭거렸쌈")</f>
        <v>김민준 - 콩닭거렸쌈</v>
      </c>
      <c r="B409" s="2" t="str">
        <f>IFERROR(__xludf.DUMMYFUNCTION("TRIM(INDEX(SPLIT($A409,""-""),1))
"),"김민준")</f>
        <v>김민준</v>
      </c>
      <c r="C409" s="2" t="str">
        <f>IFERROR(__xludf.DUMMYFUNCTION("TRIM(INDEX(SPLIT($A409,""-""),2))
"),"콩닭거렸쌈")</f>
        <v>콩닭거렸쌈</v>
      </c>
    </row>
    <row r="410">
      <c r="A410" s="2" t="str">
        <f>IFERROR(__xludf.DUMMYFUNCTION("REGEXEXTRACT(raw!A410, ""&lt;\s*(.+?)\s*&gt;"")
"),"최현석 - 오마이갓코스")</f>
        <v>최현석 - 오마이갓코스</v>
      </c>
      <c r="B410" s="2" t="str">
        <f>IFERROR(__xludf.DUMMYFUNCTION("TRIM(INDEX(SPLIT($A410,""-""),1))
"),"최현석")</f>
        <v>최현석</v>
      </c>
      <c r="C410" s="2" t="str">
        <f>IFERROR(__xludf.DUMMYFUNCTION("TRIM(INDEX(SPLIT($A410,""-""),2))
"),"오마이갓코스")</f>
        <v>오마이갓코스</v>
      </c>
    </row>
    <row r="411">
      <c r="A411" s="2" t="str">
        <f>IFERROR(__xludf.DUMMYFUNCTION("REGEXEXTRACT(raw!A411, ""&lt;\s*(.+?)\s*&gt;"")
"),"미카엘 - 미식풀코스")</f>
        <v>미카엘 - 미식풀코스</v>
      </c>
      <c r="B411" s="2" t="str">
        <f>IFERROR(__xludf.DUMMYFUNCTION("TRIM(INDEX(SPLIT($A411,""-""),1))
"),"미카엘")</f>
        <v>미카엘</v>
      </c>
      <c r="C411" s="2" t="str">
        <f>IFERROR(__xludf.DUMMYFUNCTION("TRIM(INDEX(SPLIT($A411,""-""),2))
"),"미식풀코스")</f>
        <v>미식풀코스</v>
      </c>
    </row>
    <row r="412">
      <c r="A412" s="2" t="str">
        <f>IFERROR(__xludf.DUMMYFUNCTION("REGEXEXTRACT(raw!A412, ""&lt;\s*(.+?)\s*&gt;"")
"),"샘킴 - 잭슨 앤 치즈스테이크")</f>
        <v>샘킴 - 잭슨 앤 치즈스테이크</v>
      </c>
      <c r="B412" s="2" t="str">
        <f>IFERROR(__xludf.DUMMYFUNCTION("TRIM(INDEX(SPLIT($A412,""-""),1))
"),"샘킴")</f>
        <v>샘킴</v>
      </c>
      <c r="C412" s="2" t="str">
        <f>IFERROR(__xludf.DUMMYFUNCTION("TRIM(INDEX(SPLIT($A412,""-""),2))
"),"잭슨 앤 치즈스테이크")</f>
        <v>잭슨 앤 치즈스테이크</v>
      </c>
    </row>
    <row r="413">
      <c r="A413" s="2" t="str">
        <f>IFERROR(__xludf.DUMMYFUNCTION("REGEXEXTRACT(raw!A413, ""&lt;\s*(.+?)\s*&gt;"")
"),"오세득 -소울을 느끼소")</f>
        <v>오세득 -소울을 느끼소</v>
      </c>
      <c r="B413" s="2" t="str">
        <f>IFERROR(__xludf.DUMMYFUNCTION("TRIM(INDEX(SPLIT($A413,""-""),1))
"),"오세득")</f>
        <v>오세득</v>
      </c>
      <c r="C413" s="2" t="str">
        <f>IFERROR(__xludf.DUMMYFUNCTION("TRIM(INDEX(SPLIT($A413,""-""),2))
"),"소울을 느끼소")</f>
        <v>소울을 느끼소</v>
      </c>
    </row>
    <row r="414">
      <c r="A414" s="2" t="str">
        <f>IFERROR(__xludf.DUMMYFUNCTION("REGEXEXTRACT(raw!A414, ""&lt;\s*(.+?)\s*&gt;"")
"),"이연복 - 만두에 대한 경례")</f>
        <v>이연복 - 만두에 대한 경례</v>
      </c>
      <c r="B414" s="2" t="str">
        <f>IFERROR(__xludf.DUMMYFUNCTION("TRIM(INDEX(SPLIT($A414,""-""),1))
"),"이연복")</f>
        <v>이연복</v>
      </c>
      <c r="C414" s="2" t="str">
        <f>IFERROR(__xludf.DUMMYFUNCTION("TRIM(INDEX(SPLIT($A414,""-""),2))
"),"만두에 대한 경례")</f>
        <v>만두에 대한 경례</v>
      </c>
    </row>
    <row r="415">
      <c r="A415" s="2" t="str">
        <f>IFERROR(__xludf.DUMMYFUNCTION("REGEXEXTRACT(raw!A415, ""&lt;\s*(.+?)\s*&gt;"")
"),"여경래 - 복 잡으러 왔단닭")</f>
        <v>여경래 - 복 잡으러 왔단닭</v>
      </c>
      <c r="B415" s="2" t="str">
        <f>IFERROR(__xludf.DUMMYFUNCTION("TRIM(INDEX(SPLIT($A415,""-""),1))
"),"여경래")</f>
        <v>여경래</v>
      </c>
      <c r="C415" s="2" t="str">
        <f>IFERROR(__xludf.DUMMYFUNCTION("TRIM(INDEX(SPLIT($A415,""-""),2))
"),"복 잡으러 왔단닭")</f>
        <v>복 잡으러 왔단닭</v>
      </c>
    </row>
    <row r="416">
      <c r="A416" s="2" t="str">
        <f>IFERROR(__xludf.DUMMYFUNCTION("REGEXEXTRACT(raw!A416, ""&lt;\s*(.+?)\s*&gt;"")
"),"김풍 - 풍절판")</f>
        <v>김풍 - 풍절판</v>
      </c>
      <c r="B416" s="2" t="str">
        <f>IFERROR(__xludf.DUMMYFUNCTION("TRIM(INDEX(SPLIT($A416,""-""),1))
"),"김풍")</f>
        <v>김풍</v>
      </c>
      <c r="C416" s="2" t="str">
        <f>IFERROR(__xludf.DUMMYFUNCTION("TRIM(INDEX(SPLIT($A416,""-""),2))
"),"풍절판")</f>
        <v>풍절판</v>
      </c>
    </row>
    <row r="417">
      <c r="A417" s="2" t="str">
        <f>IFERROR(__xludf.DUMMYFUNCTION("REGEXEXTRACT(raw!A417, ""&lt;\s*(.+?)\s*&gt;"")
"),"정호영 - 으르렁 으르렁 돼지불백♬")</f>
        <v>정호영 - 으르렁 으르렁 돼지불백♬</v>
      </c>
      <c r="B417" s="2" t="str">
        <f>IFERROR(__xludf.DUMMYFUNCTION("TRIM(INDEX(SPLIT($A417,""-""),1))
"),"정호영")</f>
        <v>정호영</v>
      </c>
      <c r="C417" s="2" t="str">
        <f>IFERROR(__xludf.DUMMYFUNCTION("TRIM(INDEX(SPLIT($A417,""-""),2))
"),"으르렁 으르렁 돼지불백♬")</f>
        <v>으르렁 으르렁 돼지불백♬</v>
      </c>
    </row>
    <row r="418">
      <c r="A418" s="2" t="str">
        <f>IFERROR(__xludf.DUMMYFUNCTION("REGEXEXTRACT(raw!A418, ""&lt;\s*(.+?)\s*&gt;"")
"),"미카엘 - 오빠 한번 믿어봐♬")</f>
        <v>미카엘 - 오빠 한번 믿어봐♬</v>
      </c>
      <c r="B418" s="2" t="str">
        <f>IFERROR(__xludf.DUMMYFUNCTION("TRIM(INDEX(SPLIT($A418,""-""),1))
"),"미카엘")</f>
        <v>미카엘</v>
      </c>
      <c r="C418" s="2" t="str">
        <f>IFERROR(__xludf.DUMMYFUNCTION("TRIM(INDEX(SPLIT($A418,""-""),2))
"),"오빠 한번 믿어봐♬")</f>
        <v>오빠 한번 믿어봐♬</v>
      </c>
    </row>
    <row r="419">
      <c r="A419" s="2" t="str">
        <f>IFERROR(__xludf.DUMMYFUNCTION("REGEXEXTRACT(raw!A419, ""&lt;\s*(.+?)\s*&gt;"")
"),"김풍 - 머랭둥둥")</f>
        <v>김풍 - 머랭둥둥</v>
      </c>
      <c r="B419" s="2" t="str">
        <f>IFERROR(__xludf.DUMMYFUNCTION("TRIM(INDEX(SPLIT($A419,""-""),1))
"),"김풍")</f>
        <v>김풍</v>
      </c>
      <c r="C419" s="2" t="str">
        <f>IFERROR(__xludf.DUMMYFUNCTION("TRIM(INDEX(SPLIT($A419,""-""),2))
"),"머랭둥둥")</f>
        <v>머랭둥둥</v>
      </c>
    </row>
    <row r="420">
      <c r="A420" s="2" t="str">
        <f>IFERROR(__xludf.DUMMYFUNCTION("REGEXEXTRACT(raw!A420, ""&lt;\s*(.+?)\s*&gt;"")
"),"최현석 - 식스센스")</f>
        <v>최현석 - 식스센스</v>
      </c>
      <c r="B420" s="2" t="str">
        <f>IFERROR(__xludf.DUMMYFUNCTION("TRIM(INDEX(SPLIT($A420,""-""),1))
"),"최현석")</f>
        <v>최현석</v>
      </c>
      <c r="C420" s="2" t="str">
        <f>IFERROR(__xludf.DUMMYFUNCTION("TRIM(INDEX(SPLIT($A420,""-""),2))
"),"식스센스")</f>
        <v>식스센스</v>
      </c>
    </row>
    <row r="421">
      <c r="A421" s="2" t="str">
        <f>IFERROR(__xludf.DUMMYFUNCTION("REGEXEXTRACT(raw!A421, ""&lt;\s*(.+?)\s*&gt;"")
"),"오세득 - 리듬채소")</f>
        <v>오세득 - 리듬채소</v>
      </c>
      <c r="B421" s="2" t="str">
        <f>IFERROR(__xludf.DUMMYFUNCTION("TRIM(INDEX(SPLIT($A421,""-""),1))
"),"오세득")</f>
        <v>오세득</v>
      </c>
      <c r="C421" s="2" t="str">
        <f>IFERROR(__xludf.DUMMYFUNCTION("TRIM(INDEX(SPLIT($A421,""-""),2))
"),"리듬채소")</f>
        <v>리듬채소</v>
      </c>
    </row>
    <row r="422">
      <c r="A422" s="2" t="str">
        <f>IFERROR(__xludf.DUMMYFUNCTION("REGEXEXTRACT(raw!A422, ""&lt;\s*(.+?)\s*&gt;"")
"),"샘킴 - 쉿테이크")</f>
        <v>샘킴 - 쉿테이크</v>
      </c>
      <c r="B422" s="2" t="str">
        <f>IFERROR(__xludf.DUMMYFUNCTION("TRIM(INDEX(SPLIT($A422,""-""),1))
"),"샘킴")</f>
        <v>샘킴</v>
      </c>
      <c r="C422" s="2" t="str">
        <f>IFERROR(__xludf.DUMMYFUNCTION("TRIM(INDEX(SPLIT($A422,""-""),2))
"),"쉿테이크")</f>
        <v>쉿테이크</v>
      </c>
    </row>
    <row r="423">
      <c r="A423" s="2" t="str">
        <f>IFERROR(__xludf.DUMMYFUNCTION("REGEXEXTRACT(raw!A423, ""&lt;\s*(.+?)\s*&gt;"")
"),"레이먼킴 - 꼭꼭 숨겼디야")</f>
        <v>레이먼킴 - 꼭꼭 숨겼디야</v>
      </c>
      <c r="B423" s="2" t="str">
        <f>IFERROR(__xludf.DUMMYFUNCTION("TRIM(INDEX(SPLIT($A423,""-""),1))
"),"레이먼킴")</f>
        <v>레이먼킴</v>
      </c>
      <c r="C423" s="2" t="str">
        <f>IFERROR(__xludf.DUMMYFUNCTION("TRIM(INDEX(SPLIT($A423,""-""),2))
"),"꼭꼭 숨겼디야")</f>
        <v>꼭꼭 숨겼디야</v>
      </c>
    </row>
    <row r="424">
      <c r="A424" s="2" t="str">
        <f>IFERROR(__xludf.DUMMYFUNCTION("REGEXEXTRACT(raw!A424, ""&lt;\s*(.+?)\s*&gt;"")
"),"이연복 - 복불복")</f>
        <v>이연복 - 복불복</v>
      </c>
      <c r="B424" s="2" t="str">
        <f>IFERROR(__xludf.DUMMYFUNCTION("TRIM(INDEX(SPLIT($A424,""-""),1))
"),"이연복")</f>
        <v>이연복</v>
      </c>
      <c r="C424" s="2" t="str">
        <f>IFERROR(__xludf.DUMMYFUNCTION("TRIM(INDEX(SPLIT($A424,""-""),2))
"),"복불복")</f>
        <v>복불복</v>
      </c>
    </row>
    <row r="425">
      <c r="A425" s="2" t="str">
        <f>IFERROR(__xludf.DUMMYFUNCTION("REGEXEXTRACT(raw!A425, ""&lt;\s*(.+?)\s*&gt;"")
"),"정호영 - 복어~싶다♬")</f>
        <v>정호영 - 복어~싶다♬</v>
      </c>
      <c r="B425" s="2" t="str">
        <f>IFERROR(__xludf.DUMMYFUNCTION("TRIM(INDEX(SPLIT($A425,""-""),1))
"),"정호영")</f>
        <v>정호영</v>
      </c>
      <c r="C425" s="2" t="str">
        <f>IFERROR(__xludf.DUMMYFUNCTION("TRIM(INDEX(SPLIT($A425,""-""),2))
"),"복어~싶다♬")</f>
        <v>복어~싶다♬</v>
      </c>
    </row>
    <row r="426">
      <c r="A426" s="2" t="str">
        <f>IFERROR(__xludf.DUMMYFUNCTION("REGEXEXTRACT(raw!A426, ""&lt;\s*(.+?)\s*&gt;"")
"),"샘킴 - 고르고 고른 파스타")</f>
        <v>샘킴 - 고르고 고른 파스타</v>
      </c>
      <c r="B426" s="2" t="str">
        <f>IFERROR(__xludf.DUMMYFUNCTION("TRIM(INDEX(SPLIT($A426,""-""),1))
"),"샘킴")</f>
        <v>샘킴</v>
      </c>
      <c r="C426" s="2" t="str">
        <f>IFERROR(__xludf.DUMMYFUNCTION("TRIM(INDEX(SPLIT($A426,""-""),2))
"),"고르고 고른 파스타")</f>
        <v>고르고 고른 파스타</v>
      </c>
    </row>
    <row r="427">
      <c r="A427" s="2" t="str">
        <f>IFERROR(__xludf.DUMMYFUNCTION("REGEXEXTRACT(raw!A427, ""&lt;\s*(.+?)\s*&gt;"")
"),"최현석 - 조선의 파스타자")</f>
        <v>최현석 - 조선의 파스타자</v>
      </c>
      <c r="B427" s="2" t="str">
        <f>IFERROR(__xludf.DUMMYFUNCTION("TRIM(INDEX(SPLIT($A427,""-""),1))
"),"최현석")</f>
        <v>최현석</v>
      </c>
      <c r="C427" s="2" t="str">
        <f>IFERROR(__xludf.DUMMYFUNCTION("TRIM(INDEX(SPLIT($A427,""-""),2))
"),"조선의 파스타자")</f>
        <v>조선의 파스타자</v>
      </c>
    </row>
    <row r="428">
      <c r="A428" s="2" t="str">
        <f>IFERROR(__xludf.DUMMYFUNCTION("REGEXEXTRACT(raw!A428, ""&lt;\s*(.+?)\s*&gt;"")
"),"미카엘 - 마이 무따아이가")</f>
        <v>미카엘 - 마이 무따아이가</v>
      </c>
      <c r="B428" s="2" t="str">
        <f>IFERROR(__xludf.DUMMYFUNCTION("TRIM(INDEX(SPLIT($A428,""-""),1))
"),"미카엘")</f>
        <v>미카엘</v>
      </c>
      <c r="C428" s="2" t="str">
        <f>IFERROR(__xludf.DUMMYFUNCTION("TRIM(INDEX(SPLIT($A428,""-""),2))
"),"마이 무따아이가")</f>
        <v>마이 무따아이가</v>
      </c>
    </row>
    <row r="429">
      <c r="A429" s="2" t="str">
        <f>IFERROR(__xludf.DUMMYFUNCTION("REGEXEXTRACT(raw!A429, ""&lt;\s*(.+?)\s*&gt;"")
"),"오세득 - 모시 돼진디?")</f>
        <v>오세득 - 모시 돼진디?</v>
      </c>
      <c r="B429" s="2" t="str">
        <f>IFERROR(__xludf.DUMMYFUNCTION("TRIM(INDEX(SPLIT($A429,""-""),1))
"),"오세득")</f>
        <v>오세득</v>
      </c>
      <c r="C429" s="2" t="str">
        <f>IFERROR(__xludf.DUMMYFUNCTION("TRIM(INDEX(SPLIT($A429,""-""),2))
"),"모시 돼진디?")</f>
        <v>모시 돼진디?</v>
      </c>
    </row>
    <row r="430">
      <c r="A430" s="2" t="str">
        <f>IFERROR(__xludf.DUMMYFUNCTION("REGEXEXTRACT(raw!A430, ""&lt;\s*(.+?)\s*&gt;"")
"),"이연복 - 풍비박산")</f>
        <v>이연복 - 풍비박산</v>
      </c>
      <c r="B430" s="2" t="str">
        <f>IFERROR(__xludf.DUMMYFUNCTION("TRIM(INDEX(SPLIT($A430,""-""),1))
"),"이연복")</f>
        <v>이연복</v>
      </c>
      <c r="C430" s="2" t="str">
        <f>IFERROR(__xludf.DUMMYFUNCTION("TRIM(INDEX(SPLIT($A430,""-""),2))
"),"풍비박산")</f>
        <v>풍비박산</v>
      </c>
    </row>
    <row r="431">
      <c r="A431" s="2" t="str">
        <f>IFERROR(__xludf.DUMMYFUNCTION("REGEXEXTRACT(raw!A431, ""&lt;\s*(.+?)\s*&gt;"")
"),"김풍 - 치즈듬풍만두")</f>
        <v>김풍 - 치즈듬풍만두</v>
      </c>
      <c r="B431" s="2" t="str">
        <f>IFERROR(__xludf.DUMMYFUNCTION("TRIM(INDEX(SPLIT($A431,""-""),1))
"),"김풍")</f>
        <v>김풍</v>
      </c>
      <c r="C431" s="2" t="str">
        <f>IFERROR(__xludf.DUMMYFUNCTION("TRIM(INDEX(SPLIT($A431,""-""),2))
"),"치즈듬풍만두")</f>
        <v>치즈듬풍만두</v>
      </c>
    </row>
    <row r="432">
      <c r="A432" s="2" t="str">
        <f>IFERROR(__xludf.DUMMYFUNCTION("REGEXEXTRACT(raw!A432, ""&lt;\s*(.+?)\s*&gt;"")
"),"이원일 - 낫띵배럴~♬")</f>
        <v>이원일 - 낫띵배럴~♬</v>
      </c>
      <c r="B432" s="2" t="str">
        <f>IFERROR(__xludf.DUMMYFUNCTION("TRIM(INDEX(SPLIT($A432,""-""),1))
"),"이원일")</f>
        <v>이원일</v>
      </c>
      <c r="C432" s="2" t="str">
        <f>IFERROR(__xludf.DUMMYFUNCTION("TRIM(INDEX(SPLIT($A432,""-""),2))
"),"낫띵배럴~♬")</f>
        <v>낫띵배럴~♬</v>
      </c>
    </row>
    <row r="433">
      <c r="A433" s="2" t="str">
        <f>IFERROR(__xludf.DUMMYFUNCTION("REGEXEXTRACT(raw!A433, ""&lt;\s*(.+?)\s*&gt;"")
"),"정호영 - 연게우동")</f>
        <v>정호영 - 연게우동</v>
      </c>
      <c r="B433" s="2" t="str">
        <f>IFERROR(__xludf.DUMMYFUNCTION("TRIM(INDEX(SPLIT($A433,""-""),1))
"),"정호영")</f>
        <v>정호영</v>
      </c>
      <c r="C433" s="2" t="str">
        <f>IFERROR(__xludf.DUMMYFUNCTION("TRIM(INDEX(SPLIT($A433,""-""),2))
"),"연게우동")</f>
        <v>연게우동</v>
      </c>
    </row>
    <row r="434">
      <c r="A434" s="2" t="str">
        <f>IFERROR(__xludf.DUMMYFUNCTION("REGEXEXTRACT(raw!A434, ""&lt;\s*(.+?)\s*&gt;"")
"),"최현석 - 아돔케어")</f>
        <v>최현석 - 아돔케어</v>
      </c>
      <c r="B434" s="2" t="str">
        <f>IFERROR(__xludf.DUMMYFUNCTION("TRIM(INDEX(SPLIT($A434,""-""),1))
"),"최현석")</f>
        <v>최현석</v>
      </c>
      <c r="C434" s="2" t="str">
        <f>IFERROR(__xludf.DUMMYFUNCTION("TRIM(INDEX(SPLIT($A434,""-""),2))
"),"아돔케어")</f>
        <v>아돔케어</v>
      </c>
    </row>
    <row r="435">
      <c r="A435" s="2" t="str">
        <f>IFERROR(__xludf.DUMMYFUNCTION("REGEXEXTRACT(raw!A435, ""&lt;\s*(.+?)\s*&gt;"")
"),"백승욱 - 아보카도롤모델")</f>
        <v>백승욱 - 아보카도롤모델</v>
      </c>
      <c r="B435" s="2" t="str">
        <f>IFERROR(__xludf.DUMMYFUNCTION("TRIM(INDEX(SPLIT($A435,""-""),1))
"),"백승욱")</f>
        <v>백승욱</v>
      </c>
      <c r="C435" s="2" t="str">
        <f>IFERROR(__xludf.DUMMYFUNCTION("TRIM(INDEX(SPLIT($A435,""-""),2))
"),"아보카도롤모델")</f>
        <v>아보카도롤모델</v>
      </c>
    </row>
    <row r="436">
      <c r="A436" s="2" t="str">
        <f>IFERROR(__xludf.DUMMYFUNCTION("REGEXEXTRACT(raw!A436, ""&lt;\s*(.+?)\s*&gt;"")
"),"미카엘 - 귯갈~")</f>
        <v>미카엘 - 귯갈~</v>
      </c>
      <c r="B436" s="2" t="str">
        <f>IFERROR(__xludf.DUMMYFUNCTION("TRIM(INDEX(SPLIT($A436,""-""),1))
"),"미카엘")</f>
        <v>미카엘</v>
      </c>
      <c r="C436" s="2" t="str">
        <f>IFERROR(__xludf.DUMMYFUNCTION("TRIM(INDEX(SPLIT($A436,""-""),2))
"),"귯갈~")</f>
        <v>귯갈~</v>
      </c>
    </row>
    <row r="437">
      <c r="A437" s="2" t="str">
        <f>IFERROR(__xludf.DUMMYFUNCTION("REGEXEXTRACT(raw!A437, ""&lt;\s*(.+?)\s*&gt;"")
"),"오세득 - 갈팡치팡")</f>
        <v>오세득 - 갈팡치팡</v>
      </c>
      <c r="B437" s="2" t="str">
        <f>IFERROR(__xludf.DUMMYFUNCTION("TRIM(INDEX(SPLIT($A437,""-""),1))
"),"오세득")</f>
        <v>오세득</v>
      </c>
      <c r="C437" s="2" t="str">
        <f>IFERROR(__xludf.DUMMYFUNCTION("TRIM(INDEX(SPLIT($A437,""-""),2))
"),"갈팡치팡")</f>
        <v>갈팡치팡</v>
      </c>
    </row>
    <row r="438">
      <c r="A438" s="2" t="str">
        <f>IFERROR(__xludf.DUMMYFUNCTION("REGEXEXTRACT(raw!A438, ""&lt;\s*(.+?)\s*&gt;"")
"),"김풍 - 똑같은 쌈을 강요하지마♬")</f>
        <v>김풍 - 똑같은 쌈을 강요하지마♬</v>
      </c>
      <c r="B438" s="2" t="str">
        <f>IFERROR(__xludf.DUMMYFUNCTION("TRIM(INDEX(SPLIT($A438,""-""),1))
"),"김풍")</f>
        <v>김풍</v>
      </c>
      <c r="C438" s="2" t="str">
        <f>IFERROR(__xludf.DUMMYFUNCTION("TRIM(INDEX(SPLIT($A438,""-""),2))
"),"똑같은 쌈을 강요하지마♬")</f>
        <v>똑같은 쌈을 강요하지마♬</v>
      </c>
    </row>
    <row r="439">
      <c r="A439" s="2" t="str">
        <f>IFERROR(__xludf.DUMMYFUNCTION("REGEXEXTRACT(raw!A439, ""&lt;\s*(.+?)\s*&gt;"")
"),"정호영 - 만두 널 사랑해~♬")</f>
        <v>정호영 - 만두 널 사랑해~♬</v>
      </c>
      <c r="B439" s="2" t="str">
        <f>IFERROR(__xludf.DUMMYFUNCTION("TRIM(INDEX(SPLIT($A439,""-""),1))
"),"정호영")</f>
        <v>정호영</v>
      </c>
      <c r="C439" s="2" t="str">
        <f>IFERROR(__xludf.DUMMYFUNCTION("TRIM(INDEX(SPLIT($A439,""-""),2))
"),"만두 널 사랑해~♬")</f>
        <v>만두 널 사랑해~♬</v>
      </c>
    </row>
    <row r="440">
      <c r="A440" s="2" t="str">
        <f>IFERROR(__xludf.DUMMYFUNCTION("REGEXEXTRACT(raw!A440, ""&lt;\s*(.+?)\s*&gt;"")
"),"이연복 - 리소토가 차이나")</f>
        <v>이연복 - 리소토가 차이나</v>
      </c>
      <c r="B440" s="2" t="str">
        <f>IFERROR(__xludf.DUMMYFUNCTION("TRIM(INDEX(SPLIT($A440,""-""),1))
"),"이연복")</f>
        <v>이연복</v>
      </c>
      <c r="C440" s="2" t="str">
        <f>IFERROR(__xludf.DUMMYFUNCTION("TRIM(INDEX(SPLIT($A440,""-""),2))
"),"리소토가 차이나")</f>
        <v>리소토가 차이나</v>
      </c>
    </row>
    <row r="441">
      <c r="A441" s="2" t="str">
        <f>IFERROR(__xludf.DUMMYFUNCTION("REGEXEXTRACT(raw!A441, ""&lt;\s*(.+?)\s*&gt;"")
"),"샘킴 - 샘차이나")</f>
        <v>샘킴 - 샘차이나</v>
      </c>
      <c r="B441" s="2" t="str">
        <f>IFERROR(__xludf.DUMMYFUNCTION("TRIM(INDEX(SPLIT($A441,""-""),1))
"),"샘킴")</f>
        <v>샘킴</v>
      </c>
      <c r="C441" s="2" t="str">
        <f>IFERROR(__xludf.DUMMYFUNCTION("TRIM(INDEX(SPLIT($A441,""-""),2))
"),"샘차이나")</f>
        <v>샘차이나</v>
      </c>
    </row>
    <row r="442">
      <c r="A442" s="2" t="str">
        <f>IFERROR(__xludf.DUMMYFUNCTION("REGEXEXTRACT(raw!A442, ""&lt;\s*(.+?)\s*&gt;"")
"),"김풍 - 풍당풍당면")</f>
        <v>김풍 - 풍당풍당면</v>
      </c>
      <c r="B442" s="2" t="str">
        <f>IFERROR(__xludf.DUMMYFUNCTION("TRIM(INDEX(SPLIT($A442,""-""),1))
"),"김풍")</f>
        <v>김풍</v>
      </c>
      <c r="C442" s="2" t="str">
        <f>IFERROR(__xludf.DUMMYFUNCTION("TRIM(INDEX(SPLIT($A442,""-""),2))
"),"풍당풍당면")</f>
        <v>풍당풍당면</v>
      </c>
    </row>
    <row r="443">
      <c r="A443" s="2" t="str">
        <f>IFERROR(__xludf.DUMMYFUNCTION("REGEXEXTRACT(raw!A443, ""&lt;\s*(.+?)\s*&gt;"")
"),"이원일 - 언더 더 씨♬")</f>
        <v>이원일 - 언더 더 씨♬</v>
      </c>
      <c r="B443" s="2" t="str">
        <f>IFERROR(__xludf.DUMMYFUNCTION("TRIM(INDEX(SPLIT($A443,""-""),1))
"),"이원일")</f>
        <v>이원일</v>
      </c>
      <c r="C443" s="2" t="str">
        <f>IFERROR(__xludf.DUMMYFUNCTION("TRIM(INDEX(SPLIT($A443,""-""),2))
"),"언더 더 씨♬")</f>
        <v>언더 더 씨♬</v>
      </c>
    </row>
    <row r="444">
      <c r="A444" s="2" t="str">
        <f>IFERROR(__xludf.DUMMYFUNCTION("REGEXEXTRACT(raw!A444, ""&lt;\s*(.+?)\s*&gt;"")
"),"미카엘 - 완도풀 파티")</f>
        <v>미카엘 - 완도풀 파티</v>
      </c>
      <c r="B444" s="2" t="str">
        <f>IFERROR(__xludf.DUMMYFUNCTION("TRIM(INDEX(SPLIT($A444,""-""),1))
"),"미카엘")</f>
        <v>미카엘</v>
      </c>
      <c r="C444" s="2" t="str">
        <f>IFERROR(__xludf.DUMMYFUNCTION("TRIM(INDEX(SPLIT($A444,""-""),2))
"),"완도풀 파티")</f>
        <v>완도풀 파티</v>
      </c>
    </row>
    <row r="445">
      <c r="A445" s="2" t="str">
        <f>IFERROR(__xludf.DUMMYFUNCTION("REGEXEXTRACT(raw!A445, ""&lt;\s*(.+?)\s*&gt;"")
"),"최현석 - 롤 is my everything♬")</f>
        <v>최현석 - 롤 is my everything♬</v>
      </c>
      <c r="B445" s="2" t="str">
        <f>IFERROR(__xludf.DUMMYFUNCTION("TRIM(INDEX(SPLIT($A445,""-""),1))
"),"최현석")</f>
        <v>최현석</v>
      </c>
      <c r="C445" s="2" t="str">
        <f>IFERROR(__xludf.DUMMYFUNCTION("TRIM(INDEX(SPLIT($A445,""-""),2))
"),"롤 is my everything♬")</f>
        <v>롤 is my everything♬</v>
      </c>
    </row>
    <row r="446">
      <c r="A446" s="2" t="str">
        <f>IFERROR(__xludf.DUMMYFUNCTION("REGEXEXTRACT(raw!A446, ""&lt;\s*(.+?)\s*&gt;"")
"),"이연복 - 완소 두부")</f>
        <v>이연복 - 완소 두부</v>
      </c>
      <c r="B446" s="2" t="str">
        <f>IFERROR(__xludf.DUMMYFUNCTION("TRIM(INDEX(SPLIT($A446,""-""),1))
"),"이연복")</f>
        <v>이연복</v>
      </c>
      <c r="C446" s="2" t="str">
        <f>IFERROR(__xludf.DUMMYFUNCTION("TRIM(INDEX(SPLIT($A446,""-""),2))
"),"완소 두부")</f>
        <v>완소 두부</v>
      </c>
    </row>
    <row r="447">
      <c r="A447" s="2" t="str">
        <f>IFERROR(__xludf.DUMMYFUNCTION("REGEXEXTRACT(raw!A447, ""&lt;\s*(.+?)\s*&gt;"")
"),"샘킴 - 1등 가자~미!")</f>
        <v>샘킴 - 1등 가자~미!</v>
      </c>
      <c r="B447" s="2" t="str">
        <f>IFERROR(__xludf.DUMMYFUNCTION("TRIM(INDEX(SPLIT($A447,""-""),1))
"),"샘킴")</f>
        <v>샘킴</v>
      </c>
      <c r="C447" s="2" t="str">
        <f>IFERROR(__xludf.DUMMYFUNCTION("TRIM(INDEX(SPLIT($A447,""-""),2))
"),"1등 가자~미!")</f>
        <v>1등 가자~미!</v>
      </c>
    </row>
    <row r="448">
      <c r="A448" s="2" t="str">
        <f>IFERROR(__xludf.DUMMYFUNCTION("REGEXEXTRACT(raw!A448, ""&lt;\s*(.+?)\s*&gt;"")
"),"오세득 - 플라이 투 더 전복")</f>
        <v>오세득 - 플라이 투 더 전복</v>
      </c>
      <c r="B448" s="2" t="str">
        <f>IFERROR(__xludf.DUMMYFUNCTION("TRIM(INDEX(SPLIT($A448,""-""),1))
"),"오세득")</f>
        <v>오세득</v>
      </c>
      <c r="C448" s="2" t="str">
        <f>IFERROR(__xludf.DUMMYFUNCTION("TRIM(INDEX(SPLIT($A448,""-""),2))
"),"플라이 투 더 전복")</f>
        <v>플라이 투 더 전복</v>
      </c>
    </row>
    <row r="449">
      <c r="A449" s="2" t="str">
        <f>IFERROR(__xludf.DUMMYFUNCTION("REGEXEXTRACT(raw!A449, ""&lt;\s*(.+?)\s*&gt;"")
"),"정호영 - 전복 미씽유♬")</f>
        <v>정호영 - 전복 미씽유♬</v>
      </c>
      <c r="B449" s="2" t="str">
        <f>IFERROR(__xludf.DUMMYFUNCTION("TRIM(INDEX(SPLIT($A449,""-""),1))
"),"정호영")</f>
        <v>정호영</v>
      </c>
      <c r="C449" s="2" t="str">
        <f>IFERROR(__xludf.DUMMYFUNCTION("TRIM(INDEX(SPLIT($A449,""-""),2))
"),"전복 미씽유♬")</f>
        <v>전복 미씽유♬</v>
      </c>
    </row>
    <row r="450">
      <c r="A450" s="2" t="str">
        <f>IFERROR(__xludf.DUMMYFUNCTION("REGEXEXTRACT(raw!A450, ""&lt;\s*(.+?)\s*&gt;"")
"),"이연복 - 복수전")</f>
        <v>이연복 - 복수전</v>
      </c>
      <c r="B450" s="2" t="str">
        <f>IFERROR(__xludf.DUMMYFUNCTION("TRIM(INDEX(SPLIT($A450,""-""),1))
"),"이연복")</f>
        <v>이연복</v>
      </c>
      <c r="C450" s="2" t="str">
        <f>IFERROR(__xludf.DUMMYFUNCTION("TRIM(INDEX(SPLIT($A450,""-""),2))
"),"복수전")</f>
        <v>복수전</v>
      </c>
    </row>
    <row r="451">
      <c r="A451" s="2" t="str">
        <f>IFERROR(__xludf.DUMMYFUNCTION("REGEXEXTRACT(raw!A451, ""&lt;\s*(.+?)\s*&gt;"")
"),"레이먼킴 - 신데렐라 피자")</f>
        <v>레이먼킴 - 신데렐라 피자</v>
      </c>
      <c r="B451" s="2" t="str">
        <f>IFERROR(__xludf.DUMMYFUNCTION("TRIM(INDEX(SPLIT($A451,""-""),1))
"),"레이먼킴")</f>
        <v>레이먼킴</v>
      </c>
      <c r="C451" s="2" t="str">
        <f>IFERROR(__xludf.DUMMYFUNCTION("TRIM(INDEX(SPLIT($A451,""-""),2))
"),"신데렐라 피자")</f>
        <v>신데렐라 피자</v>
      </c>
    </row>
    <row r="452">
      <c r="A452" s="2" t="str">
        <f>IFERROR(__xludf.DUMMYFUNCTION("REGEXEXTRACT(raw!A452, ""&lt;\s*(.+?)\s*&gt;"")
"),"샘킴 - 불량고기")</f>
        <v>샘킴 - 불량고기</v>
      </c>
      <c r="B452" s="2" t="str">
        <f>IFERROR(__xludf.DUMMYFUNCTION("TRIM(INDEX(SPLIT($A452,""-""),1))
"),"샘킴")</f>
        <v>샘킴</v>
      </c>
      <c r="C452" s="2" t="str">
        <f>IFERROR(__xludf.DUMMYFUNCTION("TRIM(INDEX(SPLIT($A452,""-""),2))
"),"불량고기")</f>
        <v>불량고기</v>
      </c>
    </row>
    <row r="453">
      <c r="A453" s="2" t="str">
        <f>IFERROR(__xludf.DUMMYFUNCTION("REGEXEXTRACT(raw!A453, ""&lt;\s*(.+?)\s*&gt;"")
"),"이재훈 - 밥피자 심쿵해♬")</f>
        <v>이재훈 - 밥피자 심쿵해♬</v>
      </c>
      <c r="B453" s="2" t="str">
        <f>IFERROR(__xludf.DUMMYFUNCTION("TRIM(INDEX(SPLIT($A453,""-""),1))
"),"이재훈")</f>
        <v>이재훈</v>
      </c>
      <c r="C453" s="2" t="str">
        <f>IFERROR(__xludf.DUMMYFUNCTION("TRIM(INDEX(SPLIT($A453,""-""),2))
"),"밥피자 심쿵해♬")</f>
        <v>밥피자 심쿵해♬</v>
      </c>
    </row>
    <row r="454">
      <c r="A454" s="2" t="str">
        <f>IFERROR(__xludf.DUMMYFUNCTION("REGEXEXTRACT(raw!A454, ""&lt;\s*(.+?)\s*&gt;"")
"),"박건영 - 뚝닭뚝닭")</f>
        <v>박건영 - 뚝닭뚝닭</v>
      </c>
      <c r="B454" s="2" t="str">
        <f>IFERROR(__xludf.DUMMYFUNCTION("TRIM(INDEX(SPLIT($A454,""-""),1))
"),"박건영")</f>
        <v>박건영</v>
      </c>
      <c r="C454" s="2" t="str">
        <f>IFERROR(__xludf.DUMMYFUNCTION("TRIM(INDEX(SPLIT($A454,""-""),2))
"),"뚝닭뚝닭")</f>
        <v>뚝닭뚝닭</v>
      </c>
    </row>
    <row r="455">
      <c r="A455" s="2" t="str">
        <f>IFERROR(__xludf.DUMMYFUNCTION("REGEXEXTRACT(raw!A455, ""&lt;\s*(.+?)\s*&gt;"")
"),"주배안 - 복된 짜장")</f>
        <v>주배안 - 복된 짜장</v>
      </c>
      <c r="B455" s="2" t="str">
        <f>IFERROR(__xludf.DUMMYFUNCTION("TRIM(INDEX(SPLIT($A455,""-""),1))
"),"주배안")</f>
        <v>주배안</v>
      </c>
      <c r="C455" s="2" t="str">
        <f>IFERROR(__xludf.DUMMYFUNCTION("TRIM(INDEX(SPLIT($A455,""-""),2))
"),"복된 짜장")</f>
        <v>복된 짜장</v>
      </c>
    </row>
    <row r="456">
      <c r="A456" s="2" t="str">
        <f>IFERROR(__xludf.DUMMYFUNCTION("REGEXEXTRACT(raw!A456, ""&lt;\s*(.+?)\s*&gt;"")
"),"김풍 - 명풍튀김")</f>
        <v>김풍 - 명풍튀김</v>
      </c>
      <c r="B456" s="2" t="str">
        <f>IFERROR(__xludf.DUMMYFUNCTION("TRIM(INDEX(SPLIT($A456,""-""),1))
"),"김풍")</f>
        <v>김풍</v>
      </c>
      <c r="C456" s="2" t="str">
        <f>IFERROR(__xludf.DUMMYFUNCTION("TRIM(INDEX(SPLIT($A456,""-""),2))
"),"명풍튀김")</f>
        <v>명풍튀김</v>
      </c>
    </row>
    <row r="457">
      <c r="A457" s="2" t="str">
        <f>IFERROR(__xludf.DUMMYFUNCTION("REGEXEXTRACT(raw!A457, ""&lt;\s*(.+?)\s*&gt;"")
"),"최현석 - 냉볶이")</f>
        <v>최현석 - 냉볶이</v>
      </c>
      <c r="B457" s="2" t="str">
        <f>IFERROR(__xludf.DUMMYFUNCTION("TRIM(INDEX(SPLIT($A457,""-""),1))
"),"최현석")</f>
        <v>최현석</v>
      </c>
      <c r="C457" s="2" t="str">
        <f>IFERROR(__xludf.DUMMYFUNCTION("TRIM(INDEX(SPLIT($A457,""-""),2))
"),"냉볶이")</f>
        <v>냉볶이</v>
      </c>
    </row>
    <row r="458">
      <c r="A458" s="2" t="str">
        <f>IFERROR(__xludf.DUMMYFUNCTION("REGEXEXTRACT(raw!A458, ""&lt;\s*(.+?)\s*&gt;"")
"),"이연복 - 부굴부굴")</f>
        <v>이연복 - 부굴부굴</v>
      </c>
      <c r="B458" s="2" t="str">
        <f>IFERROR(__xludf.DUMMYFUNCTION("TRIM(INDEX(SPLIT($A458,""-""),1))
"),"이연복")</f>
        <v>이연복</v>
      </c>
      <c r="C458" s="2" t="str">
        <f>IFERROR(__xludf.DUMMYFUNCTION("TRIM(INDEX(SPLIT($A458,""-""),2))
"),"부굴부굴")</f>
        <v>부굴부굴</v>
      </c>
    </row>
    <row r="459">
      <c r="A459" s="2" t="str">
        <f>IFERROR(__xludf.DUMMYFUNCTION("REGEXEXTRACT(raw!A459, ""&lt;\s*(.+?)\s*&gt;"")
"),"주배안 - 월드스탕")</f>
        <v>주배안 - 월드스탕</v>
      </c>
      <c r="B459" s="2" t="str">
        <f>IFERROR(__xludf.DUMMYFUNCTION("TRIM(INDEX(SPLIT($A459,""-""),1))
"),"주배안")</f>
        <v>주배안</v>
      </c>
      <c r="C459" s="2" t="str">
        <f>IFERROR(__xludf.DUMMYFUNCTION("TRIM(INDEX(SPLIT($A459,""-""),2))
"),"월드스탕")</f>
        <v>월드스탕</v>
      </c>
    </row>
    <row r="460">
      <c r="A460" s="2" t="str">
        <f>IFERROR(__xludf.DUMMYFUNCTION("REGEXEXTRACT(raw!A460, ""&lt;\s*(.+?)\s*&gt;"")
"),"샘킴 - I'm 가리비 a bad boy♬")</f>
        <v>샘킴 - I'm 가리비 a bad boy♬</v>
      </c>
      <c r="B460" s="2" t="str">
        <f>IFERROR(__xludf.DUMMYFUNCTION("TRIM(INDEX(SPLIT($A460,""-""),1))
"),"샘킴")</f>
        <v>샘킴</v>
      </c>
      <c r="C460" s="2" t="str">
        <f>IFERROR(__xludf.DUMMYFUNCTION("TRIM(INDEX(SPLIT($A460,""-""),2))
"),"I'm 가리비 a bad boy♬")</f>
        <v>I'm 가리비 a bad boy♬</v>
      </c>
    </row>
    <row r="461">
      <c r="A461" s="2" t="str">
        <f>IFERROR(__xludf.DUMMYFUNCTION("REGEXEXTRACT(raw!A461, ""&lt;\s*(.+?)\s*&gt;"")
"),"정호영 - 두부로 피하고 싶어서♬")</f>
        <v>정호영 - 두부로 피하고 싶어서♬</v>
      </c>
      <c r="B461" s="2" t="str">
        <f>IFERROR(__xludf.DUMMYFUNCTION("TRIM(INDEX(SPLIT($A461,""-""),1))
"),"정호영")</f>
        <v>정호영</v>
      </c>
      <c r="C461" s="2" t="str">
        <f>IFERROR(__xludf.DUMMYFUNCTION("TRIM(INDEX(SPLIT($A461,""-""),2))
"),"두부로 피하고 싶어서♬")</f>
        <v>두부로 피하고 싶어서♬</v>
      </c>
    </row>
    <row r="462">
      <c r="A462" s="2" t="str">
        <f>IFERROR(__xludf.DUMMYFUNCTION("REGEXEXTRACT(raw!A462, ""&lt;\s*(.+?)\s*&gt;"")
"),"이재훈 - 알렉스테이크")</f>
        <v>이재훈 - 알렉스테이크</v>
      </c>
      <c r="B462" s="2" t="str">
        <f>IFERROR(__xludf.DUMMYFUNCTION("TRIM(INDEX(SPLIT($A462,""-""),1))
"),"이재훈")</f>
        <v>이재훈</v>
      </c>
      <c r="C462" s="2" t="str">
        <f>IFERROR(__xludf.DUMMYFUNCTION("TRIM(INDEX(SPLIT($A462,""-""),2))
"),"알렉스테이크")</f>
        <v>알렉스테이크</v>
      </c>
    </row>
    <row r="463">
      <c r="A463" s="2" t="str">
        <f>IFERROR(__xludf.DUMMYFUNCTION("REGEXEXTRACT(raw!A463, ""&lt;\s*(.+?)\s*&gt;"")
"),"김풍 - 둘이서 한 덮밥")</f>
        <v>김풍 - 둘이서 한 덮밥</v>
      </c>
      <c r="B463" s="2" t="str">
        <f>IFERROR(__xludf.DUMMYFUNCTION("TRIM(INDEX(SPLIT($A463,""-""),1))
"),"김풍")</f>
        <v>김풍</v>
      </c>
      <c r="C463" s="2" t="str">
        <f>IFERROR(__xludf.DUMMYFUNCTION("TRIM(INDEX(SPLIT($A463,""-""),2))
"),"둘이서 한 덮밥")</f>
        <v>둘이서 한 덮밥</v>
      </c>
    </row>
    <row r="464">
      <c r="A464" s="2" t="str">
        <f>IFERROR(__xludf.DUMMYFUNCTION("REGEXEXTRACT(raw!A464, ""&lt;\s*(.+?)\s*&gt;"")
"),"최현석 - 파티가 오레가노")</f>
        <v>최현석 - 파티가 오레가노</v>
      </c>
      <c r="B464" s="2" t="str">
        <f>IFERROR(__xludf.DUMMYFUNCTION("TRIM(INDEX(SPLIT($A464,""-""),1))
"),"최현석")</f>
        <v>최현석</v>
      </c>
      <c r="C464" s="2" t="str">
        <f>IFERROR(__xludf.DUMMYFUNCTION("TRIM(INDEX(SPLIT($A464,""-""),2))
"),"파티가 오레가노")</f>
        <v>파티가 오레가노</v>
      </c>
    </row>
    <row r="465">
      <c r="A465" s="2" t="str">
        <f>IFERROR(__xludf.DUMMYFUNCTION("REGEXEXTRACT(raw!A465, ""&lt;\s*(.+?)\s*&gt;"")
"),"레이먼킴 - 팬타스틱")</f>
        <v>레이먼킴 - 팬타스틱</v>
      </c>
      <c r="B465" s="2" t="str">
        <f>IFERROR(__xludf.DUMMYFUNCTION("TRIM(INDEX(SPLIT($A465,""-""),1))
"),"레이먼킴")</f>
        <v>레이먼킴</v>
      </c>
      <c r="C465" s="2" t="str">
        <f>IFERROR(__xludf.DUMMYFUNCTION("TRIM(INDEX(SPLIT($A465,""-""),2))
"),"팬타스틱")</f>
        <v>팬타스틱</v>
      </c>
    </row>
    <row r="466">
      <c r="A466" s="2" t="str">
        <f>IFERROR(__xludf.DUMMYFUNCTION("REGEXEXTRACT(raw!A466, ""&lt;\s*(.+?)\s*&gt;"")
"),"최현석 - 200% 게살케이크")</f>
        <v>최현석 - 200% 게살케이크</v>
      </c>
      <c r="B466" s="2" t="str">
        <f>IFERROR(__xludf.DUMMYFUNCTION("TRIM(INDEX(SPLIT($A466,""-""),1))
"),"최현석")</f>
        <v>최현석</v>
      </c>
      <c r="C466" s="2" t="str">
        <f>IFERROR(__xludf.DUMMYFUNCTION("TRIM(INDEX(SPLIT($A466,""-""),2))
"),"200% 게살케이크")</f>
        <v>200% 게살케이크</v>
      </c>
    </row>
    <row r="467">
      <c r="A467" s="2" t="str">
        <f>IFERROR(__xludf.DUMMYFUNCTION("REGEXEXTRACT(raw!A467, ""&lt;\s*(.+?)\s*&gt;"")
"),"유현수 - 갈치 너비아니")</f>
        <v>유현수 - 갈치 너비아니</v>
      </c>
      <c r="B467" s="2" t="str">
        <f>IFERROR(__xludf.DUMMYFUNCTION("TRIM(INDEX(SPLIT($A467,""-""),1))
"),"유현수")</f>
        <v>유현수</v>
      </c>
      <c r="C467" s="2" t="str">
        <f>IFERROR(__xludf.DUMMYFUNCTION("TRIM(INDEX(SPLIT($A467,""-""),2))
"),"갈치 너비아니")</f>
        <v>갈치 너비아니</v>
      </c>
    </row>
    <row r="468">
      <c r="A468" s="2" t="str">
        <f>IFERROR(__xludf.DUMMYFUNCTION("REGEXEXTRACT(raw!A468, ""&lt;\s*(.+?)\s*&gt;"")
"),"이재훈 - 케이밥스타")</f>
        <v>이재훈 - 케이밥스타</v>
      </c>
      <c r="B468" s="2" t="str">
        <f>IFERROR(__xludf.DUMMYFUNCTION("TRIM(INDEX(SPLIT($A468,""-""),1))
"),"이재훈")</f>
        <v>이재훈</v>
      </c>
      <c r="C468" s="2" t="str">
        <f>IFERROR(__xludf.DUMMYFUNCTION("TRIM(INDEX(SPLIT($A468,""-""),2))
"),"케이밥스타")</f>
        <v>케이밥스타</v>
      </c>
    </row>
    <row r="469">
      <c r="A469" s="2" t="str">
        <f>IFERROR(__xludf.DUMMYFUNCTION("REGEXEXTRACT(raw!A469, ""&lt;\s*(.+?)\s*&gt;"")
"),"레이먼킴 - 레이면인건가♬")</f>
        <v>레이먼킴 - 레이면인건가♬</v>
      </c>
      <c r="B469" s="2" t="str">
        <f>IFERROR(__xludf.DUMMYFUNCTION("TRIM(INDEX(SPLIT($A469,""-""),1))
"),"레이먼킴")</f>
        <v>레이먼킴</v>
      </c>
      <c r="C469" s="2" t="str">
        <f>IFERROR(__xludf.DUMMYFUNCTION("TRIM(INDEX(SPLIT($A469,""-""),2))
"),"레이면인건가♬")</f>
        <v>레이면인건가♬</v>
      </c>
    </row>
    <row r="470">
      <c r="A470" s="2" t="str">
        <f>IFERROR(__xludf.DUMMYFUNCTION("REGEXEXTRACT(raw!A470, ""&lt;\s*(.+?)\s*&gt;"")
"),"김풍 - 시금치 나무에서 애벌레 쇼를♬")</f>
        <v>김풍 - 시금치 나무에서 애벌레 쇼를♬</v>
      </c>
      <c r="B470" s="2" t="str">
        <f>IFERROR(__xludf.DUMMYFUNCTION("TRIM(INDEX(SPLIT($A470,""-""),1))
"),"김풍")</f>
        <v>김풍</v>
      </c>
      <c r="C470" s="2" t="str">
        <f>IFERROR(__xludf.DUMMYFUNCTION("TRIM(INDEX(SPLIT($A470,""-""),2))
"),"시금치 나무에서 애벌레 쇼를♬")</f>
        <v>시금치 나무에서 애벌레 쇼를♬</v>
      </c>
    </row>
    <row r="471">
      <c r="A471" s="2" t="str">
        <f>IFERROR(__xludf.DUMMYFUNCTION("REGEXEXTRACT(raw!A471, ""&lt;\s*(.+?)\s*&gt;"")
"),"이연복 - 신의 물고기")</f>
        <v>이연복 - 신의 물고기</v>
      </c>
      <c r="B471" s="2" t="str">
        <f>IFERROR(__xludf.DUMMYFUNCTION("TRIM(INDEX(SPLIT($A471,""-""),1))
"),"이연복")</f>
        <v>이연복</v>
      </c>
      <c r="C471" s="2" t="str">
        <f>IFERROR(__xludf.DUMMYFUNCTION("TRIM(INDEX(SPLIT($A471,""-""),2))
"),"신의 물고기")</f>
        <v>신의 물고기</v>
      </c>
    </row>
    <row r="472">
      <c r="A472" s="2" t="str">
        <f>IFERROR(__xludf.DUMMYFUNCTION("REGEXEXTRACT(raw!A472, ""&lt;\s*(.+?)\s*&gt;"")
"),"미카엘 - 시금치~즈")</f>
        <v>미카엘 - 시금치~즈</v>
      </c>
      <c r="B472" s="2" t="str">
        <f>IFERROR(__xludf.DUMMYFUNCTION("TRIM(INDEX(SPLIT($A472,""-""),1))
"),"미카엘")</f>
        <v>미카엘</v>
      </c>
      <c r="C472" s="2" t="str">
        <f>IFERROR(__xludf.DUMMYFUNCTION("TRIM(INDEX(SPLIT($A472,""-""),2))
"),"시금치~즈")</f>
        <v>시금치~즈</v>
      </c>
    </row>
    <row r="473">
      <c r="A473" s="2" t="str">
        <f>IFERROR(__xludf.DUMMYFUNCTION("REGEXEXTRACT(raw!A473, ""&lt;\s*(.+?)\s*&gt;"")
"),"오세득 - 미소 밀푀유")</f>
        <v>오세득 - 미소 밀푀유</v>
      </c>
      <c r="B473" s="2" t="str">
        <f>IFERROR(__xludf.DUMMYFUNCTION("TRIM(INDEX(SPLIT($A473,""-""),1))
"),"오세득")</f>
        <v>오세득</v>
      </c>
      <c r="C473" s="2" t="str">
        <f>IFERROR(__xludf.DUMMYFUNCTION("TRIM(INDEX(SPLIT($A473,""-""),2))
"),"미소 밀푀유")</f>
        <v>미소 밀푀유</v>
      </c>
    </row>
    <row r="474">
      <c r="A474" s="2" t="str">
        <f>IFERROR(__xludf.DUMMYFUNCTION("REGEXEXTRACT(raw!A474, ""&lt;\s*(.+?)\s*&gt;"")
"),"최현석 - everyday I 스테이크♬")</f>
        <v>최현석 - everyday I 스테이크♬</v>
      </c>
      <c r="B474" s="2" t="str">
        <f>IFERROR(__xludf.DUMMYFUNCTION("TRIM(INDEX(SPLIT($A474,""-""),1))
"),"최현석")</f>
        <v>최현석</v>
      </c>
      <c r="C474" s="2" t="str">
        <f>IFERROR(__xludf.DUMMYFUNCTION("TRIM(INDEX(SPLIT($A474,""-""),2))
"),"everyday I 스테이크♬")</f>
        <v>everyday I 스테이크♬</v>
      </c>
    </row>
    <row r="475">
      <c r="A475" s="2" t="str">
        <f>IFERROR(__xludf.DUMMYFUNCTION("REGEXEXTRACT(raw!A475, ""&lt;\s*(.+?)\s*&gt;"")
"),"이재훈 - 숲 속의 완자님")</f>
        <v>이재훈 - 숲 속의 완자님</v>
      </c>
      <c r="B475" s="2" t="str">
        <f>IFERROR(__xludf.DUMMYFUNCTION("TRIM(INDEX(SPLIT($A475,""-""),1))
"),"이재훈")</f>
        <v>이재훈</v>
      </c>
      <c r="C475" s="2" t="str">
        <f>IFERROR(__xludf.DUMMYFUNCTION("TRIM(INDEX(SPLIT($A475,""-""),2))
"),"숲 속의 완자님")</f>
        <v>숲 속의 완자님</v>
      </c>
    </row>
    <row r="476">
      <c r="A476" s="2" t="str">
        <f>IFERROR(__xludf.DUMMYFUNCTION("REGEXEXTRACT(raw!A476, ""&lt;\s*(.+?)\s*&gt;"")
"),"미카엘 - 미식이 오믈렛")</f>
        <v>미카엘 - 미식이 오믈렛</v>
      </c>
      <c r="B476" s="2" t="str">
        <f>IFERROR(__xludf.DUMMYFUNCTION("TRIM(INDEX(SPLIT($A476,""-""),1))
"),"미카엘")</f>
        <v>미카엘</v>
      </c>
      <c r="C476" s="2" t="str">
        <f>IFERROR(__xludf.DUMMYFUNCTION("TRIM(INDEX(SPLIT($A476,""-""),2))
"),"미식이 오믈렛")</f>
        <v>미식이 오믈렛</v>
      </c>
    </row>
    <row r="477">
      <c r="A477" s="2" t="str">
        <f>IFERROR(__xludf.DUMMYFUNCTION("REGEXEXTRACT(raw!A477, ""&lt;\s*(.+?)\s*&gt;"")
"),"유현수 - 꿀먹었삼")</f>
        <v>유현수 - 꿀먹었삼</v>
      </c>
      <c r="B477" s="2" t="str">
        <f>IFERROR(__xludf.DUMMYFUNCTION("TRIM(INDEX(SPLIT($A477,""-""),1))
"),"유현수")</f>
        <v>유현수</v>
      </c>
      <c r="C477" s="2" t="str">
        <f>IFERROR(__xludf.DUMMYFUNCTION("TRIM(INDEX(SPLIT($A477,""-""),2))
"),"꿀먹었삼")</f>
        <v>꿀먹었삼</v>
      </c>
    </row>
    <row r="478">
      <c r="A478" s="2" t="str">
        <f>IFERROR(__xludf.DUMMYFUNCTION("REGEXEXTRACT(raw!A478, ""&lt;\s*(.+?)\s*&gt;"")
"),"김풍 - 에라 모르겠닭♬")</f>
        <v>김풍 - 에라 모르겠닭♬</v>
      </c>
      <c r="B478" s="2" t="str">
        <f>IFERROR(__xludf.DUMMYFUNCTION("TRIM(INDEX(SPLIT($A478,""-""),1))
"),"김풍")</f>
        <v>김풍</v>
      </c>
      <c r="C478" s="2" t="str">
        <f>IFERROR(__xludf.DUMMYFUNCTION("TRIM(INDEX(SPLIT($A478,""-""),2))
"),"에라 모르겠닭♬")</f>
        <v>에라 모르겠닭♬</v>
      </c>
    </row>
    <row r="479">
      <c r="A479" s="2" t="str">
        <f>IFERROR(__xludf.DUMMYFUNCTION("REGEXEXTRACT(raw!A479, ""&lt;\s*(.+?)\s*&gt;"")
"),"샘킴 - 쉬워서 오야코")</f>
        <v>샘킴 - 쉬워서 오야코</v>
      </c>
      <c r="B479" s="2" t="str">
        <f>IFERROR(__xludf.DUMMYFUNCTION("TRIM(INDEX(SPLIT($A479,""-""),1))
"),"샘킴")</f>
        <v>샘킴</v>
      </c>
      <c r="C479" s="2" t="str">
        <f>IFERROR(__xludf.DUMMYFUNCTION("TRIM(INDEX(SPLIT($A479,""-""),2))
"),"쉬워서 오야코")</f>
        <v>쉬워서 오야코</v>
      </c>
    </row>
    <row r="480">
      <c r="A480" s="2" t="str">
        <f>IFERROR(__xludf.DUMMYFUNCTION("REGEXEXTRACT(raw!A480, ""&lt;\s*(.+?)\s*&gt;"")
"),"이연복 - 브레드 피그")</f>
        <v>이연복 - 브레드 피그</v>
      </c>
      <c r="B480" s="2" t="str">
        <f>IFERROR(__xludf.DUMMYFUNCTION("TRIM(INDEX(SPLIT($A480,""-""),1))
"),"이연복")</f>
        <v>이연복</v>
      </c>
      <c r="C480" s="2" t="str">
        <f>IFERROR(__xludf.DUMMYFUNCTION("TRIM(INDEX(SPLIT($A480,""-""),2))
"),"브레드 피그")</f>
        <v>브레드 피그</v>
      </c>
    </row>
    <row r="481">
      <c r="A481" s="2" t="str">
        <f>IFERROR(__xludf.DUMMYFUNCTION("REGEXEXTRACT(raw!A481, ""&lt;\s*(.+?)\s*&gt;"")
"),"정호영 - 햄카츄~ 야키소바츄~♬")</f>
        <v>정호영 - 햄카츄~ 야키소바츄~♬</v>
      </c>
      <c r="B481" s="2" t="str">
        <f>IFERROR(__xludf.DUMMYFUNCTION("TRIM(INDEX(SPLIT($A481,""-""),1))
"),"정호영")</f>
        <v>정호영</v>
      </c>
      <c r="C481" s="2" t="str">
        <f>IFERROR(__xludf.DUMMYFUNCTION("TRIM(INDEX(SPLIT($A481,""-""),2))
"),"햄카츄~ 야키소바츄~♬")</f>
        <v>햄카츄~ 야키소바츄~♬</v>
      </c>
    </row>
    <row r="482">
      <c r="A482" s="2" t="str">
        <f>IFERROR(__xludf.DUMMYFUNCTION("REGEXEXTRACT(raw!A482, ""&lt;\s*(.+?)\s*&gt;"")
"),"김풍 - 비상식난")</f>
        <v>김풍 - 비상식난</v>
      </c>
      <c r="B482" s="2" t="str">
        <f>IFERROR(__xludf.DUMMYFUNCTION("TRIM(INDEX(SPLIT($A482,""-""),1))
"),"김풍")</f>
        <v>김풍</v>
      </c>
      <c r="C482" s="2" t="str">
        <f>IFERROR(__xludf.DUMMYFUNCTION("TRIM(INDEX(SPLIT($A482,""-""),2))
"),"비상식난")</f>
        <v>비상식난</v>
      </c>
    </row>
    <row r="483">
      <c r="A483" s="2" t="str">
        <f>IFERROR(__xludf.DUMMYFUNCTION("REGEXEXTRACT(raw!A483, ""&lt;\s*(.+?)\s*&gt;"")
"),"레이먼킴 - 죽지 않아~!")</f>
        <v>레이먼킴 - 죽지 않아~!</v>
      </c>
      <c r="B483" s="2" t="str">
        <f>IFERROR(__xludf.DUMMYFUNCTION("TRIM(INDEX(SPLIT($A483,""-""),1))
"),"레이먼킴")</f>
        <v>레이먼킴</v>
      </c>
      <c r="C483" s="2" t="str">
        <f>IFERROR(__xludf.DUMMYFUNCTION("TRIM(INDEX(SPLIT($A483,""-""),2))
"),"죽지 않아~!")</f>
        <v>죽지 않아~!</v>
      </c>
    </row>
    <row r="484">
      <c r="A484" s="2" t="str">
        <f>IFERROR(__xludf.DUMMYFUNCTION("REGEXEXTRACT(raw!A484, ""&lt;\s*(.+?)\s*&gt;"")
"),"이연복 - 굿럭탕")</f>
        <v>이연복 - 굿럭탕</v>
      </c>
      <c r="B484" s="2" t="str">
        <f>IFERROR(__xludf.DUMMYFUNCTION("TRIM(INDEX(SPLIT($A484,""-""),1))
"),"이연복")</f>
        <v>이연복</v>
      </c>
      <c r="C484" s="2" t="str">
        <f>IFERROR(__xludf.DUMMYFUNCTION("TRIM(INDEX(SPLIT($A484,""-""),2))
"),"굿럭탕")</f>
        <v>굿럭탕</v>
      </c>
    </row>
    <row r="485">
      <c r="A485" s="2" t="str">
        <f>IFERROR(__xludf.DUMMYFUNCTION("REGEXEXTRACT(raw!A485, ""&lt;\s*(.+?)\s*&gt;"")
"),"유현수 - 솥태미나")</f>
        <v>유현수 - 솥태미나</v>
      </c>
      <c r="B485" s="2" t="str">
        <f>IFERROR(__xludf.DUMMYFUNCTION("TRIM(INDEX(SPLIT($A485,""-""),1))
"),"유현수")</f>
        <v>유현수</v>
      </c>
      <c r="C485" s="2" t="str">
        <f>IFERROR(__xludf.DUMMYFUNCTION("TRIM(INDEX(SPLIT($A485,""-""),2))
"),"솥태미나")</f>
        <v>솥태미나</v>
      </c>
    </row>
    <row r="486">
      <c r="A486" s="2" t="str">
        <f>IFERROR(__xludf.DUMMYFUNCTION("REGEXEXTRACT(raw!A486, ""&lt;\s*(.+?)\s*&gt;"")
"),"정호영 - 사랑의 초밥")</f>
        <v>정호영 - 사랑의 초밥</v>
      </c>
      <c r="B486" s="2" t="str">
        <f>IFERROR(__xludf.DUMMYFUNCTION("TRIM(INDEX(SPLIT($A486,""-""),1))
"),"정호영")</f>
        <v>정호영</v>
      </c>
      <c r="C486" s="2" t="str">
        <f>IFERROR(__xludf.DUMMYFUNCTION("TRIM(INDEX(SPLIT($A486,""-""),2))
"),"사랑의 초밥")</f>
        <v>사랑의 초밥</v>
      </c>
    </row>
    <row r="487">
      <c r="A487" s="2" t="str">
        <f>IFERROR(__xludf.DUMMYFUNCTION("REGEXEXTRACT(raw!A487, ""&lt;\s*(.+?)\s*&gt;"")
"),"박건영 - 전복의 후예")</f>
        <v>박건영 - 전복의 후예</v>
      </c>
      <c r="B487" s="2" t="str">
        <f>IFERROR(__xludf.DUMMYFUNCTION("TRIM(INDEX(SPLIT($A487,""-""),1))
"),"박건영")</f>
        <v>박건영</v>
      </c>
      <c r="C487" s="2" t="str">
        <f>IFERROR(__xludf.DUMMYFUNCTION("TRIM(INDEX(SPLIT($A487,""-""),2))
"),"전복의 후예")</f>
        <v>전복의 후예</v>
      </c>
    </row>
    <row r="488">
      <c r="A488" s="2" t="str">
        <f>IFERROR(__xludf.DUMMYFUNCTION("REGEXEXTRACT(raw!A488, ""&lt;\s*(.+?)\s*&gt;"")
"),"최현석 - 깐초이면")</f>
        <v>최현석 - 깐초이면</v>
      </c>
      <c r="B488" s="2" t="str">
        <f>IFERROR(__xludf.DUMMYFUNCTION("TRIM(INDEX(SPLIT($A488,""-""),1))
"),"최현석")</f>
        <v>최현석</v>
      </c>
      <c r="C488" s="2" t="str">
        <f>IFERROR(__xludf.DUMMYFUNCTION("TRIM(INDEX(SPLIT($A488,""-""),2))
"),"깐초이면")</f>
        <v>깐초이면</v>
      </c>
    </row>
    <row r="489">
      <c r="A489" s="2" t="str">
        <f>IFERROR(__xludf.DUMMYFUNCTION("REGEXEXTRACT(raw!A489, ""&lt;\s*(.+?)\s*&gt;"")
"),"샘킴 - 갈크러쉬")</f>
        <v>샘킴 - 갈크러쉬</v>
      </c>
      <c r="B489" s="2" t="str">
        <f>IFERROR(__xludf.DUMMYFUNCTION("TRIM(INDEX(SPLIT($A489,""-""),1))
"),"샘킴")</f>
        <v>샘킴</v>
      </c>
      <c r="C489" s="2" t="str">
        <f>IFERROR(__xludf.DUMMYFUNCTION("TRIM(INDEX(SPLIT($A489,""-""),2))
"),"갈크러쉬")</f>
        <v>갈크러쉬</v>
      </c>
    </row>
    <row r="490">
      <c r="A490" s="2" t="str">
        <f>IFERROR(__xludf.DUMMYFUNCTION("REGEXEXTRACT(raw!A490, ""&lt;\s*(.+?)\s*&gt;"")
"),"이연복 - 고기만두 먹으러 왜 안 왔어?")</f>
        <v>이연복 - 고기만두 먹으러 왜 안 왔어?</v>
      </c>
      <c r="B490" s="2" t="str">
        <f>IFERROR(__xludf.DUMMYFUNCTION("TRIM(INDEX(SPLIT($A490,""-""),1))
"),"이연복")</f>
        <v>이연복</v>
      </c>
      <c r="C490" s="2" t="str">
        <f>IFERROR(__xludf.DUMMYFUNCTION("TRIM(INDEX(SPLIT($A490,""-""),2))
"),"고기만두 먹으러 왜 안 왔어?")</f>
        <v>고기만두 먹으러 왜 안 왔어?</v>
      </c>
    </row>
    <row r="491">
      <c r="A491" s="2" t="str">
        <f>IFERROR(__xludf.DUMMYFUNCTION("REGEXEXTRACT(raw!A491, ""&lt;\s*(.+?)\s*&gt;"")
"),"이원일 - 안심펀치 쓰리강냉이")</f>
        <v>이원일 - 안심펀치 쓰리강냉이</v>
      </c>
      <c r="B491" s="2" t="str">
        <f>IFERROR(__xludf.DUMMYFUNCTION("TRIM(INDEX(SPLIT($A491,""-""),1))
"),"이원일")</f>
        <v>이원일</v>
      </c>
      <c r="C491" s="2" t="str">
        <f>IFERROR(__xludf.DUMMYFUNCTION("TRIM(INDEX(SPLIT($A491,""-""),2))
"),"안심펀치 쓰리강냉이")</f>
        <v>안심펀치 쓰리강냉이</v>
      </c>
    </row>
    <row r="492">
      <c r="A492" s="2" t="str">
        <f>IFERROR(__xludf.DUMMYFUNCTION("REGEXEXTRACT(raw!A492, ""&lt;\s*(.+?)\s*&gt;"")
"),"김풍 - 긴풍면")</f>
        <v>김풍 - 긴풍면</v>
      </c>
      <c r="B492" s="2" t="str">
        <f>IFERROR(__xludf.DUMMYFUNCTION("TRIM(INDEX(SPLIT($A492,""-""),1))
"),"김풍")</f>
        <v>김풍</v>
      </c>
      <c r="C492" s="2" t="str">
        <f>IFERROR(__xludf.DUMMYFUNCTION("TRIM(INDEX(SPLIT($A492,""-""),2))
"),"긴풍면")</f>
        <v>긴풍면</v>
      </c>
    </row>
    <row r="493">
      <c r="A493" s="2" t="str">
        <f>IFERROR(__xludf.DUMMYFUNCTION("REGEXEXTRACT(raw!A493, ""&lt;\s*(.+?)\s*&gt;"")
"),"정호영 - 우동 튀튀♬")</f>
        <v>정호영 - 우동 튀튀♬</v>
      </c>
      <c r="B493" s="2" t="str">
        <f>IFERROR(__xludf.DUMMYFUNCTION("TRIM(INDEX(SPLIT($A493,""-""),1))
"),"정호영")</f>
        <v>정호영</v>
      </c>
      <c r="C493" s="2" t="str">
        <f>IFERROR(__xludf.DUMMYFUNCTION("TRIM(INDEX(SPLIT($A493,""-""),2))
"),"우동 튀튀♬")</f>
        <v>우동 튀튀♬</v>
      </c>
    </row>
    <row r="494">
      <c r="A494" s="2" t="str">
        <f>IFERROR(__xludf.DUMMYFUNCTION("REGEXEXTRACT(raw!A494, ""&lt;\s*(.+?)\s*&gt;"")
"),"샘킴 - 산해딘미")</f>
        <v>샘킴 - 산해딘미</v>
      </c>
      <c r="B494" s="2" t="str">
        <f>IFERROR(__xludf.DUMMYFUNCTION("TRIM(INDEX(SPLIT($A494,""-""),1))
"),"샘킴")</f>
        <v>샘킴</v>
      </c>
      <c r="C494" s="2" t="str">
        <f>IFERROR(__xludf.DUMMYFUNCTION("TRIM(INDEX(SPLIT($A494,""-""),2))
"),"산해딘미")</f>
        <v>산해딘미</v>
      </c>
    </row>
    <row r="495">
      <c r="A495" s="2" t="str">
        <f>IFERROR(__xludf.DUMMYFUNCTION("REGEXEXTRACT(raw!A495, ""&lt;\s*(.+?)\s*&gt;"")
"),"유현수 - 딘토불이 떡볶이")</f>
        <v>유현수 - 딘토불이 떡볶이</v>
      </c>
      <c r="B495" s="2" t="str">
        <f>IFERROR(__xludf.DUMMYFUNCTION("TRIM(INDEX(SPLIT($A495,""-""),1))
"),"유현수")</f>
        <v>유현수</v>
      </c>
      <c r="C495" s="2" t="str">
        <f>IFERROR(__xludf.DUMMYFUNCTION("TRIM(INDEX(SPLIT($A495,""-""),2))
"),"딘토불이 떡볶이")</f>
        <v>딘토불이 떡볶이</v>
      </c>
    </row>
    <row r="496">
      <c r="A496" s="2" t="str">
        <f>IFERROR(__xludf.DUMMYFUNCTION("REGEXEXTRACT(raw!A496, ""&lt;\s*(.+?)\s*&gt;"")
"),"최현석 - Caesar Salad with Deep fried oyster")</f>
        <v>최현석 - Caesar Salad with Deep fried oyster</v>
      </c>
      <c r="B496" s="2" t="str">
        <f>IFERROR(__xludf.DUMMYFUNCTION("TRIM(INDEX(SPLIT($A496,""-""),1))
"),"최현석")</f>
        <v>최현석</v>
      </c>
      <c r="C496" s="2" t="str">
        <f>IFERROR(__xludf.DUMMYFUNCTION("TRIM(INDEX(SPLIT($A496,""-""),2))
"),"Caesar Salad with Deep fried oyster")</f>
        <v>Caesar Salad with Deep fried oyster</v>
      </c>
    </row>
    <row r="497">
      <c r="A497" s="2" t="str">
        <f>IFERROR(__xludf.DUMMYFUNCTION("REGEXEXTRACT(raw!A497, ""&lt;\s*(.+?)\s*&gt;"")
"),"오세득 - 돈코츠 드소")</f>
        <v>오세득 - 돈코츠 드소</v>
      </c>
      <c r="B497" s="2" t="str">
        <f>IFERROR(__xludf.DUMMYFUNCTION("TRIM(INDEX(SPLIT($A497,""-""),1))
"),"오세득")</f>
        <v>오세득</v>
      </c>
      <c r="C497" s="2" t="str">
        <f>IFERROR(__xludf.DUMMYFUNCTION("TRIM(INDEX(SPLIT($A497,""-""),2))
"),"돈코츠 드소")</f>
        <v>돈코츠 드소</v>
      </c>
    </row>
    <row r="498">
      <c r="A498" s="2" t="str">
        <f>IFERROR(__xludf.DUMMYFUNCTION("REGEXEXTRACT(raw!A498, ""&lt;\s*(.+?)\s*&gt;"")
"),"이연복 - 장어튀겼쌈")</f>
        <v>이연복 - 장어튀겼쌈</v>
      </c>
      <c r="B498" s="2" t="str">
        <f>IFERROR(__xludf.DUMMYFUNCTION("TRIM(INDEX(SPLIT($A498,""-""),1))
"),"이연복")</f>
        <v>이연복</v>
      </c>
      <c r="C498" s="2" t="str">
        <f>IFERROR(__xludf.DUMMYFUNCTION("TRIM(INDEX(SPLIT($A498,""-""),2))
"),"장어튀겼쌈")</f>
        <v>장어튀겼쌈</v>
      </c>
    </row>
    <row r="499">
      <c r="A499" s="2" t="str">
        <f>IFERROR(__xludf.DUMMYFUNCTION("REGEXEXTRACT(raw!A499, ""&lt;\s*(.+?)\s*&gt;"")
"),"김풍 - 육회한 파튀")</f>
        <v>김풍 - 육회한 파튀</v>
      </c>
      <c r="B499" s="2" t="str">
        <f>IFERROR(__xludf.DUMMYFUNCTION("TRIM(INDEX(SPLIT($A499,""-""),1))
"),"김풍")</f>
        <v>김풍</v>
      </c>
      <c r="C499" s="2" t="str">
        <f>IFERROR(__xludf.DUMMYFUNCTION("TRIM(INDEX(SPLIT($A499,""-""),2))
"),"육회한 파튀")</f>
        <v>육회한 파튀</v>
      </c>
    </row>
    <row r="500">
      <c r="A500" s="2" t="str">
        <f>IFERROR(__xludf.DUMMYFUNCTION("REGEXEXTRACT(raw!A500, ""&lt;\s*(.+?)\s*&gt;"")
"),"샘킴 - 피자하면 LA야~ LA야♬")</f>
        <v>샘킴 - 피자하면 LA야~ LA야♬</v>
      </c>
      <c r="B500" s="2" t="str">
        <f>IFERROR(__xludf.DUMMYFUNCTION("TRIM(INDEX(SPLIT($A500,""-""),1))
"),"샘킴")</f>
        <v>샘킴</v>
      </c>
      <c r="C500" s="2" t="str">
        <f>IFERROR(__xludf.DUMMYFUNCTION("TRIM(INDEX(SPLIT($A500,""-""),2))
"),"피자하면 LA야~ LA야♬")</f>
        <v>피자하면 LA야~ LA야♬</v>
      </c>
    </row>
    <row r="501">
      <c r="A501" s="2" t="str">
        <f>IFERROR(__xludf.DUMMYFUNCTION("REGEXEXTRACT(raw!A501, ""&lt;\s*(.+?)\s*&gt;"")
"),"레이먼킴 - 역시 피자는 시카고야~ 시카고야♬")</f>
        <v>레이먼킴 - 역시 피자는 시카고야~ 시카고야♬</v>
      </c>
      <c r="B501" s="2" t="str">
        <f>IFERROR(__xludf.DUMMYFUNCTION("TRIM(INDEX(SPLIT($A501,""-""),1))
"),"레이먼킴")</f>
        <v>레이먼킴</v>
      </c>
      <c r="C501" s="2" t="str">
        <f>IFERROR(__xludf.DUMMYFUNCTION("TRIM(INDEX(SPLIT($A501,""-""),2))
"),"역시 피자는 시카고야~ 시카고야♬")</f>
        <v>역시 피자는 시카고야~ 시카고야♬</v>
      </c>
    </row>
    <row r="502">
      <c r="A502" s="2" t="str">
        <f>IFERROR(__xludf.DUMMYFUNCTION("REGEXEXTRACT(raw!A502, ""&lt;\s*(.+?)\s*&gt;"")
"),"최현석 - 어차피 우승은 나자냐~")</f>
        <v>최현석 - 어차피 우승은 나자냐~</v>
      </c>
      <c r="B502" s="2" t="str">
        <f>IFERROR(__xludf.DUMMYFUNCTION("TRIM(INDEX(SPLIT($A502,""-""),1))
"),"최현석")</f>
        <v>최현석</v>
      </c>
      <c r="C502" s="2" t="str">
        <f>IFERROR(__xludf.DUMMYFUNCTION("TRIM(INDEX(SPLIT($A502,""-""),2))
"),"어차피 우승은 나자냐~")</f>
        <v>어차피 우승은 나자냐~</v>
      </c>
    </row>
    <row r="503">
      <c r="A503" s="2" t="str">
        <f>IFERROR(__xludf.DUMMYFUNCTION("REGEXEXTRACT(raw!A503, ""&lt;\s*(.+?)\s*&gt;"")
"),"미카엘 - 크로켓 맛있찌")</f>
        <v>미카엘 - 크로켓 맛있찌</v>
      </c>
      <c r="B503" s="2" t="str">
        <f>IFERROR(__xludf.DUMMYFUNCTION("TRIM(INDEX(SPLIT($A503,""-""),1))
"),"미카엘")</f>
        <v>미카엘</v>
      </c>
      <c r="C503" s="2" t="str">
        <f>IFERROR(__xludf.DUMMYFUNCTION("TRIM(INDEX(SPLIT($A503,""-""),2))
"),"크로켓 맛있찌")</f>
        <v>크로켓 맛있찌</v>
      </c>
    </row>
    <row r="504">
      <c r="A504" s="2" t="str">
        <f>IFERROR(__xludf.DUMMYFUNCTION("REGEXEXTRACT(raw!A504, ""&lt;\s*(.+?)\s*&gt;"")
"),"이재훈 - 제육과의 동침")</f>
        <v>이재훈 - 제육과의 동침</v>
      </c>
      <c r="B504" s="2" t="str">
        <f>IFERROR(__xludf.DUMMYFUNCTION("TRIM(INDEX(SPLIT($A504,""-""),1))
"),"이재훈")</f>
        <v>이재훈</v>
      </c>
      <c r="C504" s="2" t="str">
        <f>IFERROR(__xludf.DUMMYFUNCTION("TRIM(INDEX(SPLIT($A504,""-""),2))
"),"제육과의 동침")</f>
        <v>제육과의 동침</v>
      </c>
    </row>
    <row r="505">
      <c r="A505" s="2" t="str">
        <f>IFERROR(__xludf.DUMMYFUNCTION("REGEXEXTRACT(raw!A505, ""&lt;\s*(.+?)\s*&gt;"")
"),"유현수 - 보쌈하새우")</f>
        <v>유현수 - 보쌈하새우</v>
      </c>
      <c r="B505" s="2" t="str">
        <f>IFERROR(__xludf.DUMMYFUNCTION("TRIM(INDEX(SPLIT($A505,""-""),1))
"),"유현수")</f>
        <v>유현수</v>
      </c>
      <c r="C505" s="2" t="str">
        <f>IFERROR(__xludf.DUMMYFUNCTION("TRIM(INDEX(SPLIT($A505,""-""),2))
"),"보쌈하새우")</f>
        <v>보쌈하새우</v>
      </c>
    </row>
    <row r="506">
      <c r="A506" s="2" t="str">
        <f>IFERROR(__xludf.DUMMYFUNCTION("REGEXEXTRACT(raw!A506, ""&lt;\s*(.+?)\s*&gt;"")
"),"이재훈- 돔비지마")</f>
        <v>이재훈- 돔비지마</v>
      </c>
      <c r="B506" s="2" t="str">
        <f>IFERROR(__xludf.DUMMYFUNCTION("TRIM(INDEX(SPLIT($A506,""-""),1))
"),"이재훈")</f>
        <v>이재훈</v>
      </c>
      <c r="C506" s="2" t="str">
        <f>IFERROR(__xludf.DUMMYFUNCTION("TRIM(INDEX(SPLIT($A506,""-""),2))
"),"돔비지마")</f>
        <v>돔비지마</v>
      </c>
    </row>
    <row r="507">
      <c r="A507" s="2" t="str">
        <f>IFERROR(__xludf.DUMMYFUNCTION("REGEXEXTRACT(raw!A507, ""&lt;\s*(.+?)\s*&gt;"")
"),"정호영-마파 돔돔돔돔♬")</f>
        <v>정호영-마파 돔돔돔돔♬</v>
      </c>
      <c r="B507" s="2" t="str">
        <f>IFERROR(__xludf.DUMMYFUNCTION("TRIM(INDEX(SPLIT($A507,""-""),1))
"),"정호영")</f>
        <v>정호영</v>
      </c>
      <c r="C507" s="2" t="str">
        <f>IFERROR(__xludf.DUMMYFUNCTION("TRIM(INDEX(SPLIT($A507,""-""),2))
"),"마파 돔돔돔돔♬")</f>
        <v>마파 돔돔돔돔♬</v>
      </c>
    </row>
    <row r="508">
      <c r="A508" s="2" t="str">
        <f>IFERROR(__xludf.DUMMYFUNCTION("REGEXEXTRACT(raw!A508, ""&lt;\s*(.+?)\s*&gt;"")
"),"이연복 - 짜장과 정열을 그대에게")</f>
        <v>이연복 - 짜장과 정열을 그대에게</v>
      </c>
      <c r="B508" s="2" t="str">
        <f>IFERROR(__xludf.DUMMYFUNCTION("TRIM(INDEX(SPLIT($A508,""-""),1))
"),"이연복")</f>
        <v>이연복</v>
      </c>
      <c r="C508" s="2" t="str">
        <f>IFERROR(__xludf.DUMMYFUNCTION("TRIM(INDEX(SPLIT($A508,""-""),2))
"),"짜장과 정열을 그대에게")</f>
        <v>짜장과 정열을 그대에게</v>
      </c>
    </row>
    <row r="509">
      <c r="A509" s="2" t="str">
        <f>IFERROR(__xludf.DUMMYFUNCTION("REGEXEXTRACT(raw!A509, ""&lt;\s*(.+?)\s*&gt;"")
"),"샘킴 - 낙지엄지척♬")</f>
        <v>샘킴 - 낙지엄지척♬</v>
      </c>
      <c r="B509" s="2" t="str">
        <f>IFERROR(__xludf.DUMMYFUNCTION("TRIM(INDEX(SPLIT($A509,""-""),1))
"),"샘킴")</f>
        <v>샘킴</v>
      </c>
      <c r="C509" s="2" t="str">
        <f>IFERROR(__xludf.DUMMYFUNCTION("TRIM(INDEX(SPLIT($A509,""-""),2))
"),"낙지엄지척♬")</f>
        <v>낙지엄지척♬</v>
      </c>
    </row>
    <row r="510">
      <c r="A510" s="2" t="str">
        <f>IFERROR(__xludf.DUMMYFUNCTION("REGEXEXTRACT(raw!A510, ""&lt;\s*(.+?)\s*&gt;"")
"),"김풍 - 무빙스타")</f>
        <v>김풍 - 무빙스타</v>
      </c>
      <c r="B510" s="2" t="str">
        <f>IFERROR(__xludf.DUMMYFUNCTION("TRIM(INDEX(SPLIT($A510,""-""),1))
"),"김풍")</f>
        <v>김풍</v>
      </c>
      <c r="C510" s="2" t="str">
        <f>IFERROR(__xludf.DUMMYFUNCTION("TRIM(INDEX(SPLIT($A510,""-""),2))
"),"무빙스타")</f>
        <v>무빙스타</v>
      </c>
    </row>
    <row r="511">
      <c r="A511" s="2" t="str">
        <f>IFERROR(__xludf.DUMMYFUNCTION("REGEXEXTRACT(raw!A511, ""&lt;\s*(.+?)\s*&gt;"")
"),"미카엘 - 퍼펙트 스튜")</f>
        <v>미카엘 - 퍼펙트 스튜</v>
      </c>
      <c r="B511" s="2" t="str">
        <f>IFERROR(__xludf.DUMMYFUNCTION("TRIM(INDEX(SPLIT($A511,""-""),1))
"),"미카엘")</f>
        <v>미카엘</v>
      </c>
      <c r="C511" s="2" t="str">
        <f>IFERROR(__xludf.DUMMYFUNCTION("TRIM(INDEX(SPLIT($A511,""-""),2))
"),"퍼펙트 스튜")</f>
        <v>퍼펙트 스튜</v>
      </c>
    </row>
    <row r="512">
      <c r="A512" s="2" t="str">
        <f>IFERROR(__xludf.DUMMYFUNCTION("REGEXEXTRACT(raw!A512, ""&lt;\s*(.+?)\s*&gt;"")
"),"유현수 - 소면이 술술")</f>
        <v>유현수 - 소면이 술술</v>
      </c>
      <c r="B512" s="2" t="str">
        <f>IFERROR(__xludf.DUMMYFUNCTION("TRIM(INDEX(SPLIT($A512,""-""),1))
"),"유현수")</f>
        <v>유현수</v>
      </c>
      <c r="C512" s="2" t="str">
        <f>IFERROR(__xludf.DUMMYFUNCTION("TRIM(INDEX(SPLIT($A512,""-""),2))
"),"소면이 술술")</f>
        <v>소면이 술술</v>
      </c>
    </row>
    <row r="513">
      <c r="A513" s="2" t="str">
        <f>IFERROR(__xludf.DUMMYFUNCTION("REGEXEXTRACT(raw!A513, ""&lt;\s*(.+?)\s*&gt;"")
"),"이원일 - 박살면")</f>
        <v>이원일 - 박살면</v>
      </c>
      <c r="B513" s="2" t="str">
        <f>IFERROR(__xludf.DUMMYFUNCTION("TRIM(INDEX(SPLIT($A513,""-""),1))
"),"이원일")</f>
        <v>이원일</v>
      </c>
      <c r="C513" s="2" t="str">
        <f>IFERROR(__xludf.DUMMYFUNCTION("TRIM(INDEX(SPLIT($A513,""-""),2))
"),"박살면")</f>
        <v>박살면</v>
      </c>
    </row>
    <row r="514">
      <c r="A514" s="2" t="str">
        <f>IFERROR(__xludf.DUMMYFUNCTION("REGEXEXTRACT(raw!A514, ""&lt;\s*(.+?)\s*&gt;"")
"),"이연복 - 아빠의 바다")</f>
        <v>이연복 - 아빠의 바다</v>
      </c>
      <c r="B514" s="2" t="str">
        <f>IFERROR(__xludf.DUMMYFUNCTION("TRIM(INDEX(SPLIT($A514,""-""),1))
"),"이연복")</f>
        <v>이연복</v>
      </c>
      <c r="C514" s="2" t="str">
        <f>IFERROR(__xludf.DUMMYFUNCTION("TRIM(INDEX(SPLIT($A514,""-""),2))
"),"아빠의 바다")</f>
        <v>아빠의 바다</v>
      </c>
    </row>
    <row r="515">
      <c r="A515" s="2" t="str">
        <f>IFERROR(__xludf.DUMMYFUNCTION("REGEXEXTRACT(raw!A515, ""&lt;\s*(.+?)\s*&gt;"")
"),"유현수 - 엄마의 바다")</f>
        <v>유현수 - 엄마의 바다</v>
      </c>
      <c r="B515" s="2" t="str">
        <f>IFERROR(__xludf.DUMMYFUNCTION("TRIM(INDEX(SPLIT($A515,""-""),1))
"),"유현수")</f>
        <v>유현수</v>
      </c>
      <c r="C515" s="2" t="str">
        <f>IFERROR(__xludf.DUMMYFUNCTION("TRIM(INDEX(SPLIT($A515,""-""),2))
"),"엄마의 바다")</f>
        <v>엄마의 바다</v>
      </c>
    </row>
    <row r="516">
      <c r="A516" s="2" t="str">
        <f>IFERROR(__xludf.DUMMYFUNCTION("REGEXEXTRACT(raw!A516, ""&lt;\s*(.+?)\s*&gt;"")
"),"샘킴 - 믿어주길 바라♬")</f>
        <v>샘킴 - 믿어주길 바라♬</v>
      </c>
      <c r="B516" s="2" t="str">
        <f>IFERROR(__xludf.DUMMYFUNCTION("TRIM(INDEX(SPLIT($A516,""-""),1))
"),"샘킴")</f>
        <v>샘킴</v>
      </c>
      <c r="C516" s="2" t="str">
        <f>IFERROR(__xludf.DUMMYFUNCTION("TRIM(INDEX(SPLIT($A516,""-""),2))
"),"믿어주길 바라♬")</f>
        <v>믿어주길 바라♬</v>
      </c>
    </row>
    <row r="517">
      <c r="A517" s="2" t="str">
        <f>IFERROR(__xludf.DUMMYFUNCTION("REGEXEXTRACT(raw!A517, ""&lt;\s*(.+?)\s*&gt;"")
"),"오세득 - 아임 쇼 맨♬")</f>
        <v>오세득 - 아임 쇼 맨♬</v>
      </c>
      <c r="B517" s="2" t="str">
        <f>IFERROR(__xludf.DUMMYFUNCTION("TRIM(INDEX(SPLIT($A517,""-""),1))
"),"오세득")</f>
        <v>오세득</v>
      </c>
      <c r="C517" s="2" t="str">
        <f>IFERROR(__xludf.DUMMYFUNCTION("TRIM(INDEX(SPLIT($A517,""-""),2))
"),"아임 쇼 맨♬")</f>
        <v>아임 쇼 맨♬</v>
      </c>
    </row>
    <row r="518">
      <c r="A518" s="2" t="str">
        <f>IFERROR(__xludf.DUMMYFUNCTION("REGEXEXTRACT(raw!A518, ""&lt;\s*(.+?)\s*&gt;"")
"),"정호영 - 골뱅이 완전히 새됐어♬")</f>
        <v>정호영 - 골뱅이 완전히 새됐어♬</v>
      </c>
      <c r="B518" s="2" t="str">
        <f>IFERROR(__xludf.DUMMYFUNCTION("TRIM(INDEX(SPLIT($A518,""-""),1))
"),"정호영")</f>
        <v>정호영</v>
      </c>
      <c r="C518" s="2" t="str">
        <f>IFERROR(__xludf.DUMMYFUNCTION("TRIM(INDEX(SPLIT($A518,""-""),2))
"),"골뱅이 완전히 새됐어♬")</f>
        <v>골뱅이 완전히 새됐어♬</v>
      </c>
    </row>
    <row r="519">
      <c r="A519" s="2" t="str">
        <f>IFERROR(__xludf.DUMMYFUNCTION("REGEXEXTRACT(raw!A519, ""&lt;\s*(.+?)\s*&gt;"")
"),"미카엘 - 골뱅이 프린세스")</f>
        <v>미카엘 - 골뱅이 프린세스</v>
      </c>
      <c r="B519" s="2" t="str">
        <f>IFERROR(__xludf.DUMMYFUNCTION("TRIM(INDEX(SPLIT($A519,""-""),1))
"),"미카엘")</f>
        <v>미카엘</v>
      </c>
      <c r="C519" s="2" t="str">
        <f>IFERROR(__xludf.DUMMYFUNCTION("TRIM(INDEX(SPLIT($A519,""-""),2))
"),"골뱅이 프린세스")</f>
        <v>골뱅이 프린세스</v>
      </c>
    </row>
    <row r="520">
      <c r="A520" s="2" t="str">
        <f>IFERROR(__xludf.DUMMYFUNCTION("REGEXEXTRACT(raw!A520, ""&lt;\s*(.+?)\s*&gt;"")
"),"김풍 - 맵단세트")</f>
        <v>김풍 - 맵단세트</v>
      </c>
      <c r="B520" s="2" t="str">
        <f>IFERROR(__xludf.DUMMYFUNCTION("TRIM(INDEX(SPLIT($A520,""-""),1))
"),"김풍")</f>
        <v>김풍</v>
      </c>
      <c r="C520" s="2" t="str">
        <f>IFERROR(__xludf.DUMMYFUNCTION("TRIM(INDEX(SPLIT($A520,""-""),2))
"),"맵단세트")</f>
        <v>맵단세트</v>
      </c>
    </row>
    <row r="521">
      <c r="A521" s="2" t="str">
        <f>IFERROR(__xludf.DUMMYFUNCTION("REGEXEXTRACT(raw!A521, ""&lt;\s*(.+?)\s*&gt;"")
"),"레이먼킴 - 니가 젓소")</f>
        <v>레이먼킴 - 니가 젓소</v>
      </c>
      <c r="B521" s="2" t="str">
        <f>IFERROR(__xludf.DUMMYFUNCTION("TRIM(INDEX(SPLIT($A521,""-""),1))
"),"레이먼킴")</f>
        <v>레이먼킴</v>
      </c>
      <c r="C521" s="2" t="str">
        <f>IFERROR(__xludf.DUMMYFUNCTION("TRIM(INDEX(SPLIT($A521,""-""),2))
"),"니가 젓소")</f>
        <v>니가 젓소</v>
      </c>
    </row>
    <row r="522">
      <c r="A522" s="2" t="str">
        <f>IFERROR(__xludf.DUMMYFUNCTION("REGEXEXTRACT(raw!A522, ""&lt;\s*(.+?)\s*&gt;"")
"),"김풍 - 오늘 밤 안주는 나야 나♬")</f>
        <v>김풍 - 오늘 밤 안주는 나야 나♬</v>
      </c>
      <c r="B522" s="2" t="str">
        <f>IFERROR(__xludf.DUMMYFUNCTION("TRIM(INDEX(SPLIT($A522,""-""),1))
"),"김풍")</f>
        <v>김풍</v>
      </c>
      <c r="C522" s="2" t="str">
        <f>IFERROR(__xludf.DUMMYFUNCTION("TRIM(INDEX(SPLIT($A522,""-""),2))
"),"오늘 밤 안주는 나야 나♬")</f>
        <v>오늘 밤 안주는 나야 나♬</v>
      </c>
    </row>
    <row r="523">
      <c r="A523" s="2" t="str">
        <f>IFERROR(__xludf.DUMMYFUNCTION("REGEXEXTRACT(raw!A523, ""&lt;\s*(.+?)\s*&gt;"")
"),"김민준 - 안심하고 드세요")</f>
        <v>김민준 - 안심하고 드세요</v>
      </c>
      <c r="B523" s="2" t="str">
        <f>IFERROR(__xludf.DUMMYFUNCTION("TRIM(INDEX(SPLIT($A523,""-""),1))
"),"김민준")</f>
        <v>김민준</v>
      </c>
      <c r="C523" s="2" t="str">
        <f>IFERROR(__xludf.DUMMYFUNCTION("TRIM(INDEX(SPLIT($A523,""-""),2))
"),"안심하고 드세요")</f>
        <v>안심하고 드세요</v>
      </c>
    </row>
    <row r="524">
      <c r="A524" s="2" t="str">
        <f>IFERROR(__xludf.DUMMYFUNCTION("REGEXEXTRACT(raw!A524, ""&lt;\s*(.+?)\s*&gt;"")
"),"이연복 - 울면 안 돼♬")</f>
        <v>이연복 - 울면 안 돼♬</v>
      </c>
      <c r="B524" s="2" t="str">
        <f>IFERROR(__xludf.DUMMYFUNCTION("TRIM(INDEX(SPLIT($A524,""-""),1))
"),"이연복")</f>
        <v>이연복</v>
      </c>
      <c r="C524" s="2" t="str">
        <f>IFERROR(__xludf.DUMMYFUNCTION("TRIM(INDEX(SPLIT($A524,""-""),2))
"),"울면 안 돼♬")</f>
        <v>울면 안 돼♬</v>
      </c>
    </row>
    <row r="525">
      <c r="A525" s="2" t="str">
        <f>IFERROR(__xludf.DUMMYFUNCTION("REGEXEXTRACT(raw!A525, ""&lt;\s*(.+?)\s*&gt;"")
"),"미카엘 - 수프 원샷")</f>
        <v>미카엘 - 수프 원샷</v>
      </c>
      <c r="B525" s="2" t="str">
        <f>IFERROR(__xludf.DUMMYFUNCTION("TRIM(INDEX(SPLIT($A525,""-""),1))
"),"미카엘")</f>
        <v>미카엘</v>
      </c>
      <c r="C525" s="2" t="str">
        <f>IFERROR(__xludf.DUMMYFUNCTION("TRIM(INDEX(SPLIT($A525,""-""),2))
"),"수프 원샷")</f>
        <v>수프 원샷</v>
      </c>
    </row>
    <row r="526">
      <c r="A526" s="2" t="str">
        <f>IFERROR(__xludf.DUMMYFUNCTION("REGEXEXTRACT(raw!A526, ""&lt;\s*(.+?)\s*&gt;"")
"),"유현수 - 에너지닭")</f>
        <v>유현수 - 에너지닭</v>
      </c>
      <c r="B526" s="2" t="str">
        <f>IFERROR(__xludf.DUMMYFUNCTION("TRIM(INDEX(SPLIT($A526,""-""),1))
"),"유현수")</f>
        <v>유현수</v>
      </c>
      <c r="C526" s="2" t="str">
        <f>IFERROR(__xludf.DUMMYFUNCTION("TRIM(INDEX(SPLIT($A526,""-""),2))
"),"에너지닭")</f>
        <v>에너지닭</v>
      </c>
    </row>
    <row r="527">
      <c r="A527" s="2" t="str">
        <f>IFERROR(__xludf.DUMMYFUNCTION("REGEXEXTRACT(raw!A527, ""&lt;\s*(.+?)\s*&gt;"")
"),"레이먼킴 - 오삼포테이토")</f>
        <v>레이먼킴 - 오삼포테이토</v>
      </c>
      <c r="B527" s="2" t="str">
        <f>IFERROR(__xludf.DUMMYFUNCTION("TRIM(INDEX(SPLIT($A527,""-""),1))
"),"레이먼킴")</f>
        <v>레이먼킴</v>
      </c>
      <c r="C527" s="2" t="str">
        <f>IFERROR(__xludf.DUMMYFUNCTION("TRIM(INDEX(SPLIT($A527,""-""),2))
"),"오삼포테이토")</f>
        <v>오삼포테이토</v>
      </c>
    </row>
    <row r="528">
      <c r="A528" s="2" t="str">
        <f>IFERROR(__xludf.DUMMYFUNCTION("REGEXEXTRACT(raw!A528, ""&lt;\s*(.+?)\s*&gt;"")
"),"샘킴 - shake it♬ 버거")</f>
        <v>샘킴 - shake it♬ 버거</v>
      </c>
      <c r="B528" s="2" t="str">
        <f>IFERROR(__xludf.DUMMYFUNCTION("TRIM(INDEX(SPLIT($A528,""-""),1))
"),"샘킴")</f>
        <v>샘킴</v>
      </c>
      <c r="C528" s="2" t="str">
        <f>IFERROR(__xludf.DUMMYFUNCTION("TRIM(INDEX(SPLIT($A528,""-""),2))
"),"shake it♬ 버거")</f>
        <v>shake it♬ 버거</v>
      </c>
    </row>
    <row r="529">
      <c r="A529" s="2" t="str">
        <f>IFERROR(__xludf.DUMMYFUNCTION("REGEXEXTRACT(raw!A529, ""&lt;\s*(.+?)\s*&gt;"")
"),"이재훈 - 무~보이♬")</f>
        <v>이재훈 - 무~보이♬</v>
      </c>
      <c r="B529" s="2" t="str">
        <f>IFERROR(__xludf.DUMMYFUNCTION("TRIM(INDEX(SPLIT($A529,""-""),1))
"),"이재훈")</f>
        <v>이재훈</v>
      </c>
      <c r="C529" s="2" t="str">
        <f>IFERROR(__xludf.DUMMYFUNCTION("TRIM(INDEX(SPLIT($A529,""-""),2))
"),"무~보이♬")</f>
        <v>무~보이♬</v>
      </c>
    </row>
    <row r="530">
      <c r="A530" s="2" t="str">
        <f>IFERROR(__xludf.DUMMYFUNCTION("REGEXEXTRACT(raw!A530, ""&lt;\s*(.+?)\s*&gt;"")
"),"이연복 - 미스동파육")</f>
        <v>이연복 - 미스동파육</v>
      </c>
      <c r="B530" s="2" t="str">
        <f>IFERROR(__xludf.DUMMYFUNCTION("TRIM(INDEX(SPLIT($A530,""-""),1))
"),"이연복")</f>
        <v>이연복</v>
      </c>
      <c r="C530" s="2" t="str">
        <f>IFERROR(__xludf.DUMMYFUNCTION("TRIM(INDEX(SPLIT($A530,""-""),2))
"),"미스동파육")</f>
        <v>미스동파육</v>
      </c>
    </row>
    <row r="531">
      <c r="A531" s="2" t="str">
        <f>IFERROR(__xludf.DUMMYFUNCTION("REGEXEXTRACT(raw!A531, ""&lt;\s*(.+?)\s*&gt;"")
"),"레이먼킴 - 미트코리아 진")</f>
        <v>레이먼킴 - 미트코리아 진</v>
      </c>
      <c r="B531" s="2" t="str">
        <f>IFERROR(__xludf.DUMMYFUNCTION("TRIM(INDEX(SPLIT($A531,""-""),1))
"),"레이먼킴")</f>
        <v>레이먼킴</v>
      </c>
      <c r="C531" s="2" t="str">
        <f>IFERROR(__xludf.DUMMYFUNCTION("TRIM(INDEX(SPLIT($A531,""-""),2))
"),"미트코리아 진")</f>
        <v>미트코리아 진</v>
      </c>
    </row>
    <row r="532">
      <c r="A532" s="2" t="str">
        <f>IFERROR(__xludf.DUMMYFUNCTION("REGEXEXTRACT(raw!A532, ""&lt;\s*(.+?)\s*&gt;"")
"),"샘킴 - 가지에 빠져빠져♬")</f>
        <v>샘킴 - 가지에 빠져빠져♬</v>
      </c>
      <c r="B532" s="2" t="str">
        <f>IFERROR(__xludf.DUMMYFUNCTION("TRIM(INDEX(SPLIT($A532,""-""),1))
"),"샘킴")</f>
        <v>샘킴</v>
      </c>
      <c r="C532" s="2" t="str">
        <f>IFERROR(__xludf.DUMMYFUNCTION("TRIM(INDEX(SPLIT($A532,""-""),2))
"),"가지에 빠져빠져♬")</f>
        <v>가지에 빠져빠져♬</v>
      </c>
    </row>
    <row r="533">
      <c r="A533" s="2" t="str">
        <f>IFERROR(__xludf.DUMMYFUNCTION("REGEXEXTRACT(raw!A533, ""&lt;\s*(.+?)\s*&gt;"")
"),"정호영 - 난 이제 더 이상 찌개가 아니에요♬")</f>
        <v>정호영 - 난 이제 더 이상 찌개가 아니에요♬</v>
      </c>
      <c r="B533" s="2" t="str">
        <f>IFERROR(__xludf.DUMMYFUNCTION("TRIM(INDEX(SPLIT($A533,""-""),1))
"),"정호영")</f>
        <v>정호영</v>
      </c>
      <c r="C533" s="2" t="str">
        <f>IFERROR(__xludf.DUMMYFUNCTION("TRIM(INDEX(SPLIT($A533,""-""),2))
"),"난 이제 더 이상 찌개가 아니에요♬")</f>
        <v>난 이제 더 이상 찌개가 아니에요♬</v>
      </c>
    </row>
    <row r="534">
      <c r="A534" s="2" t="str">
        <f>IFERROR(__xludf.DUMMYFUNCTION("REGEXEXTRACT(raw!A534, ""&lt;\s*(.+?)\s*&gt;"")
"),"미카엘 - 미식이볼 맛있당께")</f>
        <v>미카엘 - 미식이볼 맛있당께</v>
      </c>
      <c r="B534" s="2" t="str">
        <f>IFERROR(__xludf.DUMMYFUNCTION("TRIM(INDEX(SPLIT($A534,""-""),1))
"),"미카엘")</f>
        <v>미카엘</v>
      </c>
      <c r="C534" s="2" t="str">
        <f>IFERROR(__xludf.DUMMYFUNCTION("TRIM(INDEX(SPLIT($A534,""-""),2))
"),"미식이볼 맛있당께")</f>
        <v>미식이볼 맛있당께</v>
      </c>
    </row>
    <row r="535">
      <c r="A535" s="2" t="str">
        <f>IFERROR(__xludf.DUMMYFUNCTION("REGEXEXTRACT(raw!A535, ""&lt;\s*(.+?)\s*&gt;"")
"),"이원일 - 이런 안주 파쌈?")</f>
        <v>이원일 - 이런 안주 파쌈?</v>
      </c>
      <c r="B535" s="2" t="str">
        <f>IFERROR(__xludf.DUMMYFUNCTION("TRIM(INDEX(SPLIT($A535,""-""),1))
"),"이원일")</f>
        <v>이원일</v>
      </c>
      <c r="C535" s="2" t="str">
        <f>IFERROR(__xludf.DUMMYFUNCTION("TRIM(INDEX(SPLIT($A535,""-""),2))
"),"이런 안주 파쌈?")</f>
        <v>이런 안주 파쌈?</v>
      </c>
    </row>
    <row r="536">
      <c r="A536" s="2" t="str">
        <f>IFERROR(__xludf.DUMMYFUNCTION("REGEXEXTRACT(raw!A536, ""&lt;\s*(.+?)\s*&gt;"")
"),"김풍 - 국밥 맞고등?")</f>
        <v>김풍 - 국밥 맞고등?</v>
      </c>
      <c r="B536" s="2" t="str">
        <f>IFERROR(__xludf.DUMMYFUNCTION("TRIM(INDEX(SPLIT($A536,""-""),1))
"),"김풍")</f>
        <v>김풍</v>
      </c>
      <c r="C536" s="2" t="str">
        <f>IFERROR(__xludf.DUMMYFUNCTION("TRIM(INDEX(SPLIT($A536,""-""),2))
"),"국밥 맞고등?")</f>
        <v>국밥 맞고등?</v>
      </c>
    </row>
    <row r="537">
      <c r="A537" s="2" t="str">
        <f>IFERROR(__xludf.DUMMYFUNCTION("REGEXEXTRACT(raw!A537, ""&lt;\s*(.+?)\s*&gt;"")
"),"유현수 - 소박한 국밥")</f>
        <v>유현수 - 소박한 국밥</v>
      </c>
      <c r="B537" s="2" t="str">
        <f>IFERROR(__xludf.DUMMYFUNCTION("TRIM(INDEX(SPLIT($A537,""-""),1))
"),"유현수")</f>
        <v>유현수</v>
      </c>
      <c r="C537" s="2" t="str">
        <f>IFERROR(__xludf.DUMMYFUNCTION("TRIM(INDEX(SPLIT($A537,""-""),2))
"),"소박한 국밥")</f>
        <v>소박한 국밥</v>
      </c>
    </row>
    <row r="538">
      <c r="A538" s="2" t="str">
        <f>IFERROR(__xludf.DUMMYFUNCTION("REGEXEXTRACT(raw!A538, ""&lt;\s*(.+?)\s*&gt;"")
"),"미카엘 - 숙모닝")</f>
        <v>미카엘 - 숙모닝</v>
      </c>
      <c r="B538" s="2" t="str">
        <f>IFERROR(__xludf.DUMMYFUNCTION("TRIM(INDEX(SPLIT($A538,""-""),1))
"),"미카엘")</f>
        <v>미카엘</v>
      </c>
      <c r="C538" s="2" t="str">
        <f>IFERROR(__xludf.DUMMYFUNCTION("TRIM(INDEX(SPLIT($A538,""-""),2))
"),"숙모닝")</f>
        <v>숙모닝</v>
      </c>
    </row>
    <row r="539">
      <c r="A539" s="2" t="str">
        <f>IFERROR(__xludf.DUMMYFUNCTION("REGEXEXTRACT(raw!A539, ""&lt;\s*(.+?)\s*&gt;"")
"),"이재훈 - 숙나잇")</f>
        <v>이재훈 - 숙나잇</v>
      </c>
      <c r="B539" s="2" t="str">
        <f>IFERROR(__xludf.DUMMYFUNCTION("TRIM(INDEX(SPLIT($A539,""-""),1))
"),"이재훈")</f>
        <v>이재훈</v>
      </c>
      <c r="C539" s="2" t="str">
        <f>IFERROR(__xludf.DUMMYFUNCTION("TRIM(INDEX(SPLIT($A539,""-""),2))
"),"숙나잇")</f>
        <v>숙나잇</v>
      </c>
    </row>
    <row r="540">
      <c r="A540" s="2" t="str">
        <f>IFERROR(__xludf.DUMMYFUNCTION("REGEXEXTRACT(raw!A540, ""&lt;\s*(.+?)\s*&gt;"")
"),"이연복 - 이길 만두 하지? 당근!")</f>
        <v>이연복 - 이길 만두 하지? 당근!</v>
      </c>
      <c r="B540" s="2" t="str">
        <f>IFERROR(__xludf.DUMMYFUNCTION("TRIM(INDEX(SPLIT($A540,""-""),1))
"),"이연복")</f>
        <v>이연복</v>
      </c>
      <c r="C540" s="2" t="str">
        <f>IFERROR(__xludf.DUMMYFUNCTION("TRIM(INDEX(SPLIT($A540,""-""),2))
"),"이길 만두 하지? 당근!")</f>
        <v>이길 만두 하지? 당근!</v>
      </c>
    </row>
    <row r="541">
      <c r="A541" s="2" t="str">
        <f>IFERROR(__xludf.DUMMYFUNCTION("REGEXEXTRACT(raw!A541, ""&lt;\s*(.+?)\s*&gt;"")
"),"김풍 - 오늘 나~ 이길 거 맞지♬")</f>
        <v>김풍 - 오늘 나~ 이길 거 맞지♬</v>
      </c>
      <c r="B541" s="2" t="str">
        <f>IFERROR(__xludf.DUMMYFUNCTION("TRIM(INDEX(SPLIT($A541,""-""),1))
"),"김풍")</f>
        <v>김풍</v>
      </c>
      <c r="C541" s="2" t="str">
        <f>IFERROR(__xludf.DUMMYFUNCTION("TRIM(INDEX(SPLIT($A541,""-""),2))
"),"오늘 나~ 이길 거 맞지♬")</f>
        <v>오늘 나~ 이길 거 맞지♬</v>
      </c>
    </row>
    <row r="542">
      <c r="A542" s="2" t="str">
        <f>IFERROR(__xludf.DUMMYFUNCTION("REGEXEXTRACT(raw!A542, ""&lt;\s*(.+?)\s*&gt;"")
"),"샘킴 - 해산물이 맛있셧업♬")</f>
        <v>샘킴 - 해산물이 맛있셧업♬</v>
      </c>
      <c r="B542" s="2" t="str">
        <f>IFERROR(__xludf.DUMMYFUNCTION("TRIM(INDEX(SPLIT($A542,""-""),1))
"),"샘킴")</f>
        <v>샘킴</v>
      </c>
      <c r="C542" s="2" t="str">
        <f>IFERROR(__xludf.DUMMYFUNCTION("TRIM(INDEX(SPLIT($A542,""-""),2))
"),"해산물이 맛있셧업♬")</f>
        <v>해산물이 맛있셧업♬</v>
      </c>
    </row>
    <row r="543">
      <c r="A543" s="2" t="str">
        <f>IFERROR(__xludf.DUMMYFUNCTION("REGEXEXTRACT(raw!A543, ""&lt;\s*(.+?)\s*&gt;"")
"),"이원일 - 잉글리쉿")</f>
        <v>이원일 - 잉글리쉿</v>
      </c>
      <c r="B543" s="2" t="str">
        <f>IFERROR(__xludf.DUMMYFUNCTION("TRIM(INDEX(SPLIT($A543,""-""),1))
"),"이원일")</f>
        <v>이원일</v>
      </c>
      <c r="C543" s="2" t="str">
        <f>IFERROR(__xludf.DUMMYFUNCTION("TRIM(INDEX(SPLIT($A543,""-""),2))
"),"잉글리쉿")</f>
        <v>잉글리쉿</v>
      </c>
    </row>
    <row r="544">
      <c r="A544" s="2" t="str">
        <f>IFERROR(__xludf.DUMMYFUNCTION("REGEXEXTRACT(raw!A544, ""&lt;\s*(.+?)\s*&gt;"")
"),"유현수 - 지천명 반상")</f>
        <v>유현수 - 지천명 반상</v>
      </c>
      <c r="B544" s="2" t="str">
        <f>IFERROR(__xludf.DUMMYFUNCTION("TRIM(INDEX(SPLIT($A544,""-""),1))
"),"유현수")</f>
        <v>유현수</v>
      </c>
      <c r="C544" s="2" t="str">
        <f>IFERROR(__xludf.DUMMYFUNCTION("TRIM(INDEX(SPLIT($A544,""-""),2))
"),"지천명 반상")</f>
        <v>지천명 반상</v>
      </c>
    </row>
    <row r="545">
      <c r="A545" s="2" t="str">
        <f>IFERROR(__xludf.DUMMYFUNCTION("REGEXEXTRACT(raw!A545, ""&lt;\s*(.+?)\s*&gt;"")
"),"정호영 - 따르릉~ 내가 니 문어야♬")</f>
        <v>정호영 - 따르릉~ 내가 니 문어야♬</v>
      </c>
      <c r="B545" s="2" t="str">
        <f>IFERROR(__xludf.DUMMYFUNCTION("TRIM(INDEX(SPLIT($A545,""-""),1))
"),"정호영")</f>
        <v>정호영</v>
      </c>
      <c r="C545" s="2" t="str">
        <f>IFERROR(__xludf.DUMMYFUNCTION("TRIM(INDEX(SPLIT($A545,""-""),2))
"),"따르릉~ 내가 니 문어야♬")</f>
        <v>따르릉~ 내가 니 문어야♬</v>
      </c>
    </row>
    <row r="546">
      <c r="A546" s="2" t="str">
        <f>IFERROR(__xludf.DUMMYFUNCTION("REGEXEXTRACT(raw!A546, ""&lt;\s*(.+?)\s*&gt;"")
"),"미카엘 - M.S.G")</f>
        <v>미카엘 - M.S.G</v>
      </c>
      <c r="B546" s="2" t="str">
        <f>IFERROR(__xludf.DUMMYFUNCTION("TRIM(INDEX(SPLIT($A546,""-""),1))
"),"미카엘")</f>
        <v>미카엘</v>
      </c>
      <c r="C546" s="2" t="str">
        <f>IFERROR(__xludf.DUMMYFUNCTION("TRIM(INDEX(SPLIT($A546,""-""),2))
"),"M.S.G")</f>
        <v>M.S.G</v>
      </c>
    </row>
    <row r="547">
      <c r="A547" s="2" t="str">
        <f>IFERROR(__xludf.DUMMYFUNCTION("REGEXEXTRACT(raw!A547, ""&lt;\s*(.+?)\s*&gt;"")
"),"샘킴 - 샘희태닭")</f>
        <v>샘킴 - 샘희태닭</v>
      </c>
      <c r="B547" s="2" t="str">
        <f>IFERROR(__xludf.DUMMYFUNCTION("TRIM(INDEX(SPLIT($A547,""-""),1))
"),"샘킴")</f>
        <v>샘킴</v>
      </c>
      <c r="C547" s="2" t="str">
        <f>IFERROR(__xludf.DUMMYFUNCTION("TRIM(INDEX(SPLIT($A547,""-""),2))
"),"샘희태닭")</f>
        <v>샘희태닭</v>
      </c>
    </row>
    <row r="548">
      <c r="A548" s="2" t="str">
        <f>IFERROR(__xludf.DUMMYFUNCTION("REGEXEXTRACT(raw!A548, ""&lt;\s*(.+?)\s*&gt;"")
"),"이연복 - 복면라왕")</f>
        <v>이연복 - 복면라왕</v>
      </c>
      <c r="B548" s="2" t="str">
        <f>IFERROR(__xludf.DUMMYFUNCTION("TRIM(INDEX(SPLIT($A548,""-""),1))
"),"이연복")</f>
        <v>이연복</v>
      </c>
      <c r="C548" s="2" t="str">
        <f>IFERROR(__xludf.DUMMYFUNCTION("TRIM(INDEX(SPLIT($A548,""-""),2))
"),"복면라왕")</f>
        <v>복면라왕</v>
      </c>
    </row>
    <row r="549">
      <c r="A549" s="2" t="str">
        <f>IFERROR(__xludf.DUMMYFUNCTION("REGEXEXTRACT(raw!A549, ""&lt;\s*(.+?)\s*&gt;"")
"),"이재훈 - 렛츠고 짬짜면")</f>
        <v>이재훈 - 렛츠고 짬짜면</v>
      </c>
      <c r="B549" s="2" t="str">
        <f>IFERROR(__xludf.DUMMYFUNCTION("TRIM(INDEX(SPLIT($A549,""-""),1))
"),"이재훈")</f>
        <v>이재훈</v>
      </c>
      <c r="C549" s="2" t="str">
        <f>IFERROR(__xludf.DUMMYFUNCTION("TRIM(INDEX(SPLIT($A549,""-""),2))
"),"렛츠고 짬짜면")</f>
        <v>렛츠고 짬짜면</v>
      </c>
    </row>
    <row r="550">
      <c r="A550" s="2" t="str">
        <f>IFERROR(__xludf.DUMMYFUNCTION("REGEXEXTRACT(raw!A550, ""&lt;\s*(.+?)\s*&gt;"")
"),"유현수 - 떡이라자냐")</f>
        <v>유현수 - 떡이라자냐</v>
      </c>
      <c r="B550" s="2" t="str">
        <f>IFERROR(__xludf.DUMMYFUNCTION("TRIM(INDEX(SPLIT($A550,""-""),1))
"),"유현수")</f>
        <v>유현수</v>
      </c>
      <c r="C550" s="2" t="str">
        <f>IFERROR(__xludf.DUMMYFUNCTION("TRIM(INDEX(SPLIT($A550,""-""),2))
"),"떡이라자냐")</f>
        <v>떡이라자냐</v>
      </c>
    </row>
    <row r="551">
      <c r="A551" s="2" t="str">
        <f>IFERROR(__xludf.DUMMYFUNCTION("REGEXEXTRACT(raw!A551, ""&lt;\s*(.+?)\s*&gt;"")
"),"오세득 - 육떡진 롤")</f>
        <v>오세득 - 육떡진 롤</v>
      </c>
      <c r="B551" s="2" t="str">
        <f>IFERROR(__xludf.DUMMYFUNCTION("TRIM(INDEX(SPLIT($A551,""-""),1))
"),"오세득")</f>
        <v>오세득</v>
      </c>
      <c r="C551" s="2" t="str">
        <f>IFERROR(__xludf.DUMMYFUNCTION("TRIM(INDEX(SPLIT($A551,""-""),2))
"),"육떡진 롤")</f>
        <v>육떡진 롤</v>
      </c>
    </row>
    <row r="552">
      <c r="A552" s="2" t="str">
        <f>IFERROR(__xludf.DUMMYFUNCTION("REGEXEXTRACT(raw!A552, ""&lt;\s*(.+?)\s*&gt;"")
"),"김풍 - 조동아리 샌드")</f>
        <v>김풍 - 조동아리 샌드</v>
      </c>
      <c r="B552" s="2" t="str">
        <f>IFERROR(__xludf.DUMMYFUNCTION("TRIM(INDEX(SPLIT($A552,""-""),1))
"),"김풍")</f>
        <v>김풍</v>
      </c>
      <c r="C552" s="2" t="str">
        <f>IFERROR(__xludf.DUMMYFUNCTION("TRIM(INDEX(SPLIT($A552,""-""),2))
"),"조동아리 샌드")</f>
        <v>조동아리 샌드</v>
      </c>
    </row>
    <row r="553">
      <c r="A553" s="2" t="str">
        <f>IFERROR(__xludf.DUMMYFUNCTION("REGEXEXTRACT(raw!A553, ""&lt;\s*(.+?)\s*&gt;"")
"),"정호영 - 김치브레이커♬")</f>
        <v>정호영 - 김치브레이커♬</v>
      </c>
      <c r="B553" s="2" t="str">
        <f>IFERROR(__xludf.DUMMYFUNCTION("TRIM(INDEX(SPLIT($A553,""-""),1))
"),"정호영")</f>
        <v>정호영</v>
      </c>
      <c r="C553" s="2" t="str">
        <f>IFERROR(__xludf.DUMMYFUNCTION("TRIM(INDEX(SPLIT($A553,""-""),2))
"),"김치브레이커♬")</f>
        <v>김치브레이커♬</v>
      </c>
    </row>
    <row r="554">
      <c r="A554" s="2" t="str">
        <f>IFERROR(__xludf.DUMMYFUNCTION("REGEXEXTRACT(raw!A554, ""&lt;\s*(.+?)\s*&gt;"")
"),"이연복 - 복면닭호")</f>
        <v>이연복 - 복면닭호</v>
      </c>
      <c r="B554" s="2" t="str">
        <f>IFERROR(__xludf.DUMMYFUNCTION("TRIM(INDEX(SPLIT($A554,""-""),1))
"),"이연복")</f>
        <v>이연복</v>
      </c>
      <c r="C554" s="2" t="str">
        <f>IFERROR(__xludf.DUMMYFUNCTION("TRIM(INDEX(SPLIT($A554,""-""),2))
"),"복면닭호")</f>
        <v>복면닭호</v>
      </c>
    </row>
    <row r="555">
      <c r="A555" s="2" t="str">
        <f>IFERROR(__xludf.DUMMYFUNCTION("REGEXEXTRACT(raw!A555, ""&lt;\s*(.+?)\s*&gt;"")
"),"샘킴 - 면들에게 물어봐♬")</f>
        <v>샘킴 - 면들에게 물어봐♬</v>
      </c>
      <c r="B555" s="2" t="str">
        <f>IFERROR(__xludf.DUMMYFUNCTION("TRIM(INDEX(SPLIT($A555,""-""),1))
"),"샘킴")</f>
        <v>샘킴</v>
      </c>
      <c r="C555" s="2" t="str">
        <f>IFERROR(__xludf.DUMMYFUNCTION("TRIM(INDEX(SPLIT($A555,""-""),2))
"),"면들에게 물어봐♬")</f>
        <v>면들에게 물어봐♬</v>
      </c>
    </row>
    <row r="556">
      <c r="A556" s="2" t="str">
        <f>IFERROR(__xludf.DUMMYFUNCTION("REGEXEXTRACT(raw!A556, ""&lt;\s*(.+?)\s*&gt;"")
"),"유현수 - 외할머니의 집으로~ 이경규가 간닭!")</f>
        <v>유현수 - 외할머니의 집으로~ 이경규가 간닭!</v>
      </c>
      <c r="B556" s="2" t="str">
        <f>IFERROR(__xludf.DUMMYFUNCTION("TRIM(INDEX(SPLIT($A556,""-""),1))
"),"유현수")</f>
        <v>유현수</v>
      </c>
      <c r="C556" s="2" t="str">
        <f>IFERROR(__xludf.DUMMYFUNCTION("TRIM(INDEX(SPLIT($A556,""-""),2))
"),"외할머니의 집으로~ 이경규가 간닭!")</f>
        <v>외할머니의 집으로~ 이경규가 간닭!</v>
      </c>
    </row>
    <row r="557">
      <c r="A557" s="2" t="str">
        <f>IFERROR(__xludf.DUMMYFUNCTION("REGEXEXTRACT(raw!A557, ""&lt;\s*(.+?)\s*&gt;"")
"),"이재훈 - 꼬꼬탕")</f>
        <v>이재훈 - 꼬꼬탕</v>
      </c>
      <c r="B557" s="2" t="str">
        <f>IFERROR(__xludf.DUMMYFUNCTION("TRIM(INDEX(SPLIT($A557,""-""),1))
"),"이재훈")</f>
        <v>이재훈</v>
      </c>
      <c r="C557" s="2" t="str">
        <f>IFERROR(__xludf.DUMMYFUNCTION("TRIM(INDEX(SPLIT($A557,""-""),2))
"),"꼬꼬탕")</f>
        <v>꼬꼬탕</v>
      </c>
    </row>
    <row r="558">
      <c r="A558" s="2" t="str">
        <f>IFERROR(__xludf.DUMMYFUNCTION("REGEXEXTRACT(raw!A558, ""&lt;\s*(.+?)\s*&gt;"")
"),"김풍 - 이건 닭도 아니고 빵도 아니여")</f>
        <v>김풍 - 이건 닭도 아니고 빵도 아니여</v>
      </c>
      <c r="B558" s="2" t="str">
        <f>IFERROR(__xludf.DUMMYFUNCTION("TRIM(INDEX(SPLIT($A558,""-""),1))
"),"김풍")</f>
        <v>김풍</v>
      </c>
      <c r="C558" s="2" t="str">
        <f>IFERROR(__xludf.DUMMYFUNCTION("TRIM(INDEX(SPLIT($A558,""-""),2))
"),"이건 닭도 아니고 빵도 아니여")</f>
        <v>이건 닭도 아니고 빵도 아니여</v>
      </c>
    </row>
    <row r="559">
      <c r="A559" s="2" t="str">
        <f>IFERROR(__xludf.DUMMYFUNCTION("REGEXEXTRACT(raw!A559, ""&lt;\s*(.+?)\s*&gt;"")
"),"오세득 - 공갈협빵")</f>
        <v>오세득 - 공갈협빵</v>
      </c>
      <c r="B559" s="2" t="str">
        <f>IFERROR(__xludf.DUMMYFUNCTION("TRIM(INDEX(SPLIT($A559,""-""),1))
"),"오세득")</f>
        <v>오세득</v>
      </c>
      <c r="C559" s="2" t="str">
        <f>IFERROR(__xludf.DUMMYFUNCTION("TRIM(INDEX(SPLIT($A559,""-""),2))
"),"공갈협빵")</f>
        <v>공갈협빵</v>
      </c>
    </row>
    <row r="560">
      <c r="A560" s="2" t="str">
        <f>IFERROR(__xludf.DUMMYFUNCTION("REGEXEXTRACT(raw!A560, ""&lt;\s*(.+?)\s*&gt;"")
"),"정호영 - 어젯밤 시킨 닭")</f>
        <v>정호영 - 어젯밤 시킨 닭</v>
      </c>
      <c r="B560" s="2" t="str">
        <f>IFERROR(__xludf.DUMMYFUNCTION("TRIM(INDEX(SPLIT($A560,""-""),1))
"),"정호영")</f>
        <v>정호영</v>
      </c>
      <c r="C560" s="2" t="str">
        <f>IFERROR(__xludf.DUMMYFUNCTION("TRIM(INDEX(SPLIT($A560,""-""),2))
"),"어젯밤 시킨 닭")</f>
        <v>어젯밤 시킨 닭</v>
      </c>
    </row>
    <row r="561">
      <c r="A561" s="2" t="str">
        <f>IFERROR(__xludf.DUMMYFUNCTION("REGEXEXTRACT(raw!A561, ""&lt;\s*(.+?)\s*&gt;"")
"),"레이먼킴 - 1닭 2일")</f>
        <v>레이먼킴 - 1닭 2일</v>
      </c>
      <c r="B561" s="2" t="str">
        <f>IFERROR(__xludf.DUMMYFUNCTION("TRIM(INDEX(SPLIT($A561,""-""),1))
"),"레이먼킴")</f>
        <v>레이먼킴</v>
      </c>
      <c r="C561" s="2" t="str">
        <f>IFERROR(__xludf.DUMMYFUNCTION("TRIM(INDEX(SPLIT($A561,""-""),2))
"),"1닭 2일")</f>
        <v>1닭 2일</v>
      </c>
    </row>
    <row r="562">
      <c r="A562" s="2" t="str">
        <f>IFERROR(__xludf.DUMMYFUNCTION("REGEXEXTRACT(raw!A562, ""&lt;\s*(.+?)\s*&gt;"")
"),"미카엘 - 소미양~ 스테이크양")</f>
        <v>미카엘 - 소미양~ 스테이크양</v>
      </c>
      <c r="B562" s="2" t="str">
        <f>IFERROR(__xludf.DUMMYFUNCTION("TRIM(INDEX(SPLIT($A562,""-""),1))
"),"미카엘")</f>
        <v>미카엘</v>
      </c>
      <c r="C562" s="2" t="str">
        <f>IFERROR(__xludf.DUMMYFUNCTION("TRIM(INDEX(SPLIT($A562,""-""),2))
"),"소미양~ 스테이크양")</f>
        <v>소미양~ 스테이크양</v>
      </c>
    </row>
    <row r="563">
      <c r="A563" s="2" t="str">
        <f>IFERROR(__xludf.DUMMYFUNCTION("REGEXEXTRACT(raw!A563, ""&lt;\s*(.+?)\s*&gt;"")
"),"이재훈 - 케사디양")</f>
        <v>이재훈 - 케사디양</v>
      </c>
      <c r="B563" s="2" t="str">
        <f>IFERROR(__xludf.DUMMYFUNCTION("TRIM(INDEX(SPLIT($A563,""-""),1))
"),"이재훈")</f>
        <v>이재훈</v>
      </c>
      <c r="C563" s="2" t="str">
        <f>IFERROR(__xludf.DUMMYFUNCTION("TRIM(INDEX(SPLIT($A563,""-""),2))
"),"케사디양")</f>
        <v>케사디양</v>
      </c>
    </row>
    <row r="564">
      <c r="A564" s="2" t="str">
        <f>IFERROR(__xludf.DUMMYFUNCTION("REGEXEXTRACT(raw!A564, ""&lt;\s*(.+?)\s*&gt;"")
"),"김풍 - 오늘 밤 상남자는 나야 나♬")</f>
        <v>김풍 - 오늘 밤 상남자는 나야 나♬</v>
      </c>
      <c r="B564" s="2" t="str">
        <f>IFERROR(__xludf.DUMMYFUNCTION("TRIM(INDEX(SPLIT($A564,""-""),1))
"),"김풍")</f>
        <v>김풍</v>
      </c>
      <c r="C564" s="2" t="str">
        <f>IFERROR(__xludf.DUMMYFUNCTION("TRIM(INDEX(SPLIT($A564,""-""),2))
"),"오늘 밤 상남자는 나야 나♬")</f>
        <v>오늘 밤 상남자는 나야 나♬</v>
      </c>
    </row>
    <row r="565">
      <c r="A565" s="2" t="str">
        <f>IFERROR(__xludf.DUMMYFUNCTION("REGEXEXTRACT(raw!A565, ""&lt;\s*(.+?)\s*&gt;"")
"),"레이먼킴 - 마초세트")</f>
        <v>레이먼킴 - 마초세트</v>
      </c>
      <c r="B565" s="2" t="str">
        <f>IFERROR(__xludf.DUMMYFUNCTION("TRIM(INDEX(SPLIT($A565,""-""),1))
"),"레이먼킴")</f>
        <v>레이먼킴</v>
      </c>
      <c r="C565" s="2" t="str">
        <f>IFERROR(__xludf.DUMMYFUNCTION("TRIM(INDEX(SPLIT($A565,""-""),2))
"),"마초세트")</f>
        <v>마초세트</v>
      </c>
    </row>
    <row r="566">
      <c r="A566" s="2" t="str">
        <f>IFERROR(__xludf.DUMMYFUNCTION("REGEXEXTRACT(raw!A566, ""&lt;\s*(.+?)\s*&gt;"")
"),"이연복 - 참돔이시여")</f>
        <v>이연복 - 참돔이시여</v>
      </c>
      <c r="B566" s="2" t="str">
        <f>IFERROR(__xludf.DUMMYFUNCTION("TRIM(INDEX(SPLIT($A566,""-""),1))
"),"이연복")</f>
        <v>이연복</v>
      </c>
      <c r="C566" s="2" t="str">
        <f>IFERROR(__xludf.DUMMYFUNCTION("TRIM(INDEX(SPLIT($A566,""-""),2))
"),"참돔이시여")</f>
        <v>참돔이시여</v>
      </c>
    </row>
    <row r="567">
      <c r="A567" s="2" t="str">
        <f>IFERROR(__xludf.DUMMYFUNCTION("REGEXEXTRACT(raw!A567, ""&lt;\s*(.+?)\s*&gt;"")
"),"샘킴 - 잘 구운 참돔 하나")</f>
        <v>샘킴 - 잘 구운 참돔 하나</v>
      </c>
      <c r="B567" s="2" t="str">
        <f>IFERROR(__xludf.DUMMYFUNCTION("TRIM(INDEX(SPLIT($A567,""-""),1))
"),"샘킴")</f>
        <v>샘킴</v>
      </c>
      <c r="C567" s="2" t="str">
        <f>IFERROR(__xludf.DUMMYFUNCTION("TRIM(INDEX(SPLIT($A567,""-""),2))
"),"잘 구운 참돔 하나")</f>
        <v>잘 구운 참돔 하나</v>
      </c>
    </row>
    <row r="568">
      <c r="A568" s="2" t="str">
        <f>IFERROR(__xludf.DUMMYFUNCTION("REGEXEXTRACT(raw!A568, ""&lt;\s*(.+?)\s*&gt;"")
"),"유현수 - 월하조어탕수")</f>
        <v>유현수 - 월하조어탕수</v>
      </c>
      <c r="B568" s="2" t="str">
        <f>IFERROR(__xludf.DUMMYFUNCTION("TRIM(INDEX(SPLIT($A568,""-""),1))
"),"유현수")</f>
        <v>유현수</v>
      </c>
      <c r="C568" s="2" t="str">
        <f>IFERROR(__xludf.DUMMYFUNCTION("TRIM(INDEX(SPLIT($A568,""-""),2))
"),"월하조어탕수")</f>
        <v>월하조어탕수</v>
      </c>
    </row>
    <row r="569">
      <c r="A569" s="2" t="str">
        <f>IFERROR(__xludf.DUMMYFUNCTION("REGEXEXTRACT(raw!A569, ""&lt;\s*(.+?)\s*&gt;"")
"),"정호영 - 면 때무늬야♬")</f>
        <v>정호영 - 면 때무늬야♬</v>
      </c>
      <c r="B569" s="2" t="str">
        <f>IFERROR(__xludf.DUMMYFUNCTION("TRIM(INDEX(SPLIT($A569,""-""),1))
"),"정호영")</f>
        <v>정호영</v>
      </c>
      <c r="C569" s="2" t="str">
        <f>IFERROR(__xludf.DUMMYFUNCTION("TRIM(INDEX(SPLIT($A569,""-""),2))
"),"면 때무늬야♬")</f>
        <v>면 때무늬야♬</v>
      </c>
    </row>
    <row r="570">
      <c r="A570" s="2" t="str">
        <f>IFERROR(__xludf.DUMMYFUNCTION("REGEXEXTRACT(raw!A570, ""&lt;\s*(.+?)\s*&gt;"")
"),"유현수 - 깜짝놀랄게닭")</f>
        <v>유현수 - 깜짝놀랄게닭</v>
      </c>
      <c r="B570" s="2" t="str">
        <f>IFERROR(__xludf.DUMMYFUNCTION("TRIM(INDEX(SPLIT($A570,""-""),1))
"),"유현수")</f>
        <v>유현수</v>
      </c>
      <c r="C570" s="2" t="str">
        <f>IFERROR(__xludf.DUMMYFUNCTION("TRIM(INDEX(SPLIT($A570,""-""),2))
"),"깜짝놀랄게닭")</f>
        <v>깜짝놀랄게닭</v>
      </c>
    </row>
    <row r="571">
      <c r="A571" s="2" t="str">
        <f>IFERROR(__xludf.DUMMYFUNCTION("REGEXEXTRACT(raw!A571, ""&lt;\s*(.+?)\s*&gt;"")
"),"레이먼킴 - 거북전")</f>
        <v>레이먼킴 - 거북전</v>
      </c>
      <c r="B571" s="2" t="str">
        <f>IFERROR(__xludf.DUMMYFUNCTION("TRIM(INDEX(SPLIT($A571,""-""),1))
"),"레이먼킴")</f>
        <v>레이먼킴</v>
      </c>
      <c r="C571" s="2" t="str">
        <f>IFERROR(__xludf.DUMMYFUNCTION("TRIM(INDEX(SPLIT($A571,""-""),2))
"),"거북전")</f>
        <v>거북전</v>
      </c>
    </row>
    <row r="572">
      <c r="A572" s="2" t="str">
        <f>IFERROR(__xludf.DUMMYFUNCTION("REGEXEXTRACT(raw!A572, ""&lt;\s*(.+?)\s*&gt;"")
"),"김풍 - 대세는 낙.돼.새")</f>
        <v>김풍 - 대세는 낙.돼.새</v>
      </c>
      <c r="B572" s="2" t="str">
        <f>IFERROR(__xludf.DUMMYFUNCTION("TRIM(INDEX(SPLIT($A572,""-""),1))
"),"김풍")</f>
        <v>김풍</v>
      </c>
      <c r="C572" s="2" t="str">
        <f>IFERROR(__xludf.DUMMYFUNCTION("TRIM(INDEX(SPLIT($A572,""-""),2))
"),"대세는 낙.돼.새")</f>
        <v>대세는 낙.돼.새</v>
      </c>
    </row>
    <row r="573">
      <c r="A573" s="2" t="str">
        <f>IFERROR(__xludf.DUMMYFUNCTION("REGEXEXTRACT(raw!A573, ""&lt;\s*(.+?)\s*&gt;"")
"),"정호영 - 오코노미~야키를 사랑해♬")</f>
        <v>정호영 - 오코노미~야키를 사랑해♬</v>
      </c>
      <c r="B573" s="2" t="str">
        <f>IFERROR(__xludf.DUMMYFUNCTION("TRIM(INDEX(SPLIT($A573,""-""),1))
"),"정호영")</f>
        <v>정호영</v>
      </c>
      <c r="C573" s="2" t="str">
        <f>IFERROR(__xludf.DUMMYFUNCTION("TRIM(INDEX(SPLIT($A573,""-""),2))
"),"오코노미~야키를 사랑해♬")</f>
        <v>오코노미~야키를 사랑해♬</v>
      </c>
    </row>
    <row r="574">
      <c r="A574" s="2" t="str">
        <f>IFERROR(__xludf.DUMMYFUNCTION("REGEXEXTRACT(raw!A574, ""&lt;\s*(.+?)\s*&gt;"")
"),"샘킴 - 이겨도 돼지?")</f>
        <v>샘킴 - 이겨도 돼지?</v>
      </c>
      <c r="B574" s="2" t="str">
        <f>IFERROR(__xludf.DUMMYFUNCTION("TRIM(INDEX(SPLIT($A574,""-""),1))
"),"샘킴")</f>
        <v>샘킴</v>
      </c>
      <c r="C574" s="2" t="str">
        <f>IFERROR(__xludf.DUMMYFUNCTION("TRIM(INDEX(SPLIT($A574,""-""),2))
"),"이겨도 돼지?")</f>
        <v>이겨도 돼지?</v>
      </c>
    </row>
    <row r="575">
      <c r="A575" s="2" t="str">
        <f>IFERROR(__xludf.DUMMYFUNCTION("REGEXEXTRACT(raw!A575, ""&lt;\s*(.+?)\s*&gt;"")
"),"이재훈 - 오~ 쌈젤리제♬")</f>
        <v>이재훈 - 오~ 쌈젤리제♬</v>
      </c>
      <c r="B575" s="2" t="str">
        <f>IFERROR(__xludf.DUMMYFUNCTION("TRIM(INDEX(SPLIT($A575,""-""),1))
"),"이재훈")</f>
        <v>이재훈</v>
      </c>
      <c r="C575" s="2" t="str">
        <f>IFERROR(__xludf.DUMMYFUNCTION("TRIM(INDEX(SPLIT($A575,""-""),2))
"),"오~ 쌈젤리제♬")</f>
        <v>오~ 쌈젤리제♬</v>
      </c>
    </row>
    <row r="576">
      <c r="A576" s="2" t="str">
        <f>IFERROR(__xludf.DUMMYFUNCTION("REGEXEXTRACT(raw!A576, ""&lt;\s*(.+?)\s*&gt;"")
"),"이연복 - 명백한 짬뽕")</f>
        <v>이연복 - 명백한 짬뽕</v>
      </c>
      <c r="B576" s="2" t="str">
        <f>IFERROR(__xludf.DUMMYFUNCTION("TRIM(INDEX(SPLIT($A576,""-""),1))
"),"이연복")</f>
        <v>이연복</v>
      </c>
      <c r="C576" s="2" t="str">
        <f>IFERROR(__xludf.DUMMYFUNCTION("TRIM(INDEX(SPLIT($A576,""-""),2))
"),"명백한 짬뽕")</f>
        <v>명백한 짬뽕</v>
      </c>
    </row>
    <row r="577">
      <c r="A577" s="2" t="str">
        <f>IFERROR(__xludf.DUMMYFUNCTION("REGEXEXTRACT(raw!A577, ""&lt;\s*(.+?)\s*&gt;"")
"),"미카엘 - 명카엘")</f>
        <v>미카엘 - 명카엘</v>
      </c>
      <c r="B577" s="2" t="str">
        <f>IFERROR(__xludf.DUMMYFUNCTION("TRIM(INDEX(SPLIT($A577,""-""),1))
"),"미카엘")</f>
        <v>미카엘</v>
      </c>
      <c r="C577" s="2" t="str">
        <f>IFERROR(__xludf.DUMMYFUNCTION("TRIM(INDEX(SPLIT($A577,""-""),2))
"),"명카엘")</f>
        <v>명카엘</v>
      </c>
    </row>
    <row r="578">
      <c r="A578" s="2" t="str">
        <f>IFERROR(__xludf.DUMMYFUNCTION("REGEXEXTRACT(raw!A578, ""&lt;\s*(.+?)\s*&gt;"")
"),"이연복 - 복정식")</f>
        <v>이연복 - 복정식</v>
      </c>
      <c r="B578" s="2" t="str">
        <f>IFERROR(__xludf.DUMMYFUNCTION("TRIM(INDEX(SPLIT($A578,""-""),1))
"),"이연복")</f>
        <v>이연복</v>
      </c>
      <c r="C578" s="2" t="str">
        <f>IFERROR(__xludf.DUMMYFUNCTION("TRIM(INDEX(SPLIT($A578,""-""),2))
"),"복정식")</f>
        <v>복정식</v>
      </c>
    </row>
    <row r="579">
      <c r="A579" s="2" t="str">
        <f>IFERROR(__xludf.DUMMYFUNCTION("REGEXEXTRACT(raw!A579, ""&lt;\s*(.+?)\s*&gt;"")
"),"레이먼킴 - 덕윤백반")</f>
        <v>레이먼킴 - 덕윤백반</v>
      </c>
      <c r="B579" s="2" t="str">
        <f>IFERROR(__xludf.DUMMYFUNCTION("TRIM(INDEX(SPLIT($A579,""-""),1))
"),"레이먼킴")</f>
        <v>레이먼킴</v>
      </c>
      <c r="C579" s="2" t="str">
        <f>IFERROR(__xludf.DUMMYFUNCTION("TRIM(INDEX(SPLIT($A579,""-""),2))
"),"덕윤백반")</f>
        <v>덕윤백반</v>
      </c>
    </row>
    <row r="580">
      <c r="A580" s="2" t="str">
        <f>IFERROR(__xludf.DUMMYFUNCTION("REGEXEXTRACT(raw!A580, ""&lt;\s*(.+?)\s*&gt;"")
"),"유현수 - 할매 라면")</f>
        <v>유현수 - 할매 라면</v>
      </c>
      <c r="B580" s="2" t="str">
        <f>IFERROR(__xludf.DUMMYFUNCTION("TRIM(INDEX(SPLIT($A580,""-""),1))
"),"유현수")</f>
        <v>유현수</v>
      </c>
      <c r="C580" s="2" t="str">
        <f>IFERROR(__xludf.DUMMYFUNCTION("TRIM(INDEX(SPLIT($A580,""-""),2))
"),"할매 라면")</f>
        <v>할매 라면</v>
      </c>
    </row>
    <row r="581">
      <c r="A581" s="2" t="str">
        <f>IFERROR(__xludf.DUMMYFUNCTION("REGEXEXTRACT(raw!A581, ""&lt;\s*(.+?)\s*&gt;"")
"),"정호영 - 중국식 냉면냉면냉면♬")</f>
        <v>정호영 - 중국식 냉면냉면냉면♬</v>
      </c>
      <c r="B581" s="2" t="str">
        <f>IFERROR(__xludf.DUMMYFUNCTION("TRIM(INDEX(SPLIT($A581,""-""),1))
"),"정호영")</f>
        <v>정호영</v>
      </c>
      <c r="C581" s="2" t="str">
        <f>IFERROR(__xludf.DUMMYFUNCTION("TRIM(INDEX(SPLIT($A581,""-""),2))
"),"중국식 냉면냉면냉면♬")</f>
        <v>중국식 냉면냉면냉면♬</v>
      </c>
    </row>
    <row r="582">
      <c r="A582" s="2" t="str">
        <f>IFERROR(__xludf.DUMMYFUNCTION("REGEXEXTRACT(raw!A582, ""&lt;\s*(.+?)\s*&gt;"")
"),"샘킴 - 피치 못할 타르트")</f>
        <v>샘킴 - 피치 못할 타르트</v>
      </c>
      <c r="B582" s="2" t="str">
        <f>IFERROR(__xludf.DUMMYFUNCTION("TRIM(INDEX(SPLIT($A582,""-""),1))
"),"샘킴")</f>
        <v>샘킴</v>
      </c>
      <c r="C582" s="2" t="str">
        <f>IFERROR(__xludf.DUMMYFUNCTION("TRIM(INDEX(SPLIT($A582,""-""),2))
"),"피치 못할 타르트")</f>
        <v>피치 못할 타르트</v>
      </c>
    </row>
    <row r="583">
      <c r="A583" s="2" t="str">
        <f>IFERROR(__xludf.DUMMYFUNCTION("REGEXEXTRACT(raw!A583, ""&lt;\s*(.+?)\s*&gt;"")
"),"이원일 - 최애 컵케이크")</f>
        <v>이원일 - 최애 컵케이크</v>
      </c>
      <c r="B583" s="2" t="str">
        <f>IFERROR(__xludf.DUMMYFUNCTION("TRIM(INDEX(SPLIT($A583,""-""),1))
"),"이원일")</f>
        <v>이원일</v>
      </c>
      <c r="C583" s="2" t="str">
        <f>IFERROR(__xludf.DUMMYFUNCTION("TRIM(INDEX(SPLIT($A583,""-""),2))
"),"최애 컵케이크")</f>
        <v>최애 컵케이크</v>
      </c>
    </row>
    <row r="584">
      <c r="A584" s="2" t="str">
        <f>IFERROR(__xludf.DUMMYFUNCTION("REGEXEXTRACT(raw!A584, ""&lt;\s*(.+?)\s*&gt;"")
"),"김풍 - 쓰촨으로 갈 찬스")</f>
        <v>김풍 - 쓰촨으로 갈 찬스</v>
      </c>
      <c r="B584" s="2" t="str">
        <f>IFERROR(__xludf.DUMMYFUNCTION("TRIM(INDEX(SPLIT($A584,""-""),1))
"),"김풍")</f>
        <v>김풍</v>
      </c>
      <c r="C584" s="2" t="str">
        <f>IFERROR(__xludf.DUMMYFUNCTION("TRIM(INDEX(SPLIT($A584,""-""),2))
"),"쓰촨으로 갈 찬스")</f>
        <v>쓰촨으로 갈 찬스</v>
      </c>
    </row>
    <row r="585">
      <c r="A585" s="2" t="str">
        <f>IFERROR(__xludf.DUMMYFUNCTION("REGEXEXTRACT(raw!A585, ""&lt;\s*(.+?)\s*&gt;"")
"),"이재훈 - 어디에스파냐?")</f>
        <v>이재훈 - 어디에스파냐?</v>
      </c>
      <c r="B585" s="2" t="str">
        <f>IFERROR(__xludf.DUMMYFUNCTION("TRIM(INDEX(SPLIT($A585,""-""),1))
"),"이재훈")</f>
        <v>이재훈</v>
      </c>
      <c r="C585" s="2" t="str">
        <f>IFERROR(__xludf.DUMMYFUNCTION("TRIM(INDEX(SPLIT($A585,""-""),2))
"),"어디에스파냐?")</f>
        <v>어디에스파냐?</v>
      </c>
    </row>
    <row r="586">
      <c r="A586" s="2" t="str">
        <f>IFERROR(__xludf.DUMMYFUNCTION("REGEXEXTRACT(raw!A586, ""&lt;\s*(.+?)\s*&gt;"")
"),"레이먼킴 - 햄버거 떠머거")</f>
        <v>레이먼킴 - 햄버거 떠머거</v>
      </c>
      <c r="B586" s="2" t="str">
        <f>IFERROR(__xludf.DUMMYFUNCTION("TRIM(INDEX(SPLIT($A586,""-""),1))
"),"레이먼킴")</f>
        <v>레이먼킴</v>
      </c>
      <c r="C586" s="2" t="str">
        <f>IFERROR(__xludf.DUMMYFUNCTION("TRIM(INDEX(SPLIT($A586,""-""),2))
"),"햄버거 떠머거")</f>
        <v>햄버거 떠머거</v>
      </c>
    </row>
    <row r="587">
      <c r="A587" s="2" t="str">
        <f>IFERROR(__xludf.DUMMYFUNCTION("REGEXEXTRACT(raw!A587, ""&lt;\s*(.+?)\s*&gt;"")
"),"김풍 - 오븐 백반 피자")</f>
        <v>김풍 - 오븐 백반 피자</v>
      </c>
      <c r="B587" s="2" t="str">
        <f>IFERROR(__xludf.DUMMYFUNCTION("TRIM(INDEX(SPLIT($A587,""-""),1))
"),"김풍")</f>
        <v>김풍</v>
      </c>
      <c r="C587" s="2" t="str">
        <f>IFERROR(__xludf.DUMMYFUNCTION("TRIM(INDEX(SPLIT($A587,""-""),2))
"),"오븐 백반 피자")</f>
        <v>오븐 백반 피자</v>
      </c>
    </row>
    <row r="588">
      <c r="A588" s="2" t="str">
        <f>IFERROR(__xludf.DUMMYFUNCTION("REGEXEXTRACT(raw!A588, ""&lt;\s*(.+?)\s*&gt;"")
"),"샘킴 - 브런치 도둑님")</f>
        <v>샘킴 - 브런치 도둑님</v>
      </c>
      <c r="B588" s="2" t="str">
        <f>IFERROR(__xludf.DUMMYFUNCTION("TRIM(INDEX(SPLIT($A588,""-""),1))
"),"샘킴")</f>
        <v>샘킴</v>
      </c>
      <c r="C588" s="2" t="str">
        <f>IFERROR(__xludf.DUMMYFUNCTION("TRIM(INDEX(SPLIT($A588,""-""),2))
"),"브런치 도둑님")</f>
        <v>브런치 도둑님</v>
      </c>
    </row>
    <row r="589">
      <c r="A589" s="2" t="str">
        <f>IFERROR(__xludf.DUMMYFUNCTION("REGEXEXTRACT(raw!A589, ""&lt;\s*(.+?)\s*&gt;"")
"),"미카엘 - 불런치")</f>
        <v>미카엘 - 불런치</v>
      </c>
      <c r="B589" s="2" t="str">
        <f>IFERROR(__xludf.DUMMYFUNCTION("TRIM(INDEX(SPLIT($A589,""-""),1))
"),"미카엘")</f>
        <v>미카엘</v>
      </c>
      <c r="C589" s="2" t="str">
        <f>IFERROR(__xludf.DUMMYFUNCTION("TRIM(INDEX(SPLIT($A589,""-""),2))
"),"불런치")</f>
        <v>불런치</v>
      </c>
    </row>
    <row r="590">
      <c r="A590" s="2" t="str">
        <f>IFERROR(__xludf.DUMMYFUNCTION("REGEXEXTRACT(raw!A590, ""&lt;\s*(.+?)\s*&gt;"")
"),"이연복 - 귀한 만찬")</f>
        <v>이연복 - 귀한 만찬</v>
      </c>
      <c r="B590" s="2" t="str">
        <f>IFERROR(__xludf.DUMMYFUNCTION("TRIM(INDEX(SPLIT($A590,""-""),1))
"),"이연복")</f>
        <v>이연복</v>
      </c>
      <c r="C590" s="2" t="str">
        <f>IFERROR(__xludf.DUMMYFUNCTION("TRIM(INDEX(SPLIT($A590,""-""),2))
"),"귀한 만찬")</f>
        <v>귀한 만찬</v>
      </c>
    </row>
    <row r="591">
      <c r="A591" s="2" t="str">
        <f>IFERROR(__xludf.DUMMYFUNCTION("REGEXEXTRACT(raw!A591, ""&lt;\s*(.+?)\s*&gt;"")
"),"정호영 - 데리만족")</f>
        <v>정호영 - 데리만족</v>
      </c>
      <c r="B591" s="2" t="str">
        <f>IFERROR(__xludf.DUMMYFUNCTION("TRIM(INDEX(SPLIT($A591,""-""),1))
"),"정호영")</f>
        <v>정호영</v>
      </c>
      <c r="C591" s="2" t="str">
        <f>IFERROR(__xludf.DUMMYFUNCTION("TRIM(INDEX(SPLIT($A591,""-""),2))
"),"데리만족")</f>
        <v>데리만족</v>
      </c>
    </row>
    <row r="592">
      <c r="A592" s="2" t="str">
        <f>IFERROR(__xludf.DUMMYFUNCTION("REGEXEXTRACT(raw!A592, ""&lt;\s*(.+?)\s*&gt;"")
"),"유현수 - 장금이 브런치")</f>
        <v>유현수 - 장금이 브런치</v>
      </c>
      <c r="B592" s="2" t="str">
        <f>IFERROR(__xludf.DUMMYFUNCTION("TRIM(INDEX(SPLIT($A592,""-""),1))
"),"유현수")</f>
        <v>유현수</v>
      </c>
      <c r="C592" s="2" t="str">
        <f>IFERROR(__xludf.DUMMYFUNCTION("TRIM(INDEX(SPLIT($A592,""-""),2))
"),"장금이 브런치")</f>
        <v>장금이 브런치</v>
      </c>
    </row>
    <row r="593">
      <c r="A593" s="2" t="str">
        <f>IFERROR(__xludf.DUMMYFUNCTION("REGEXEXTRACT(raw!A593, ""&lt;\s*(.+?)\s*&gt;"")
"),"오세득 - 거침없이 불고기")</f>
        <v>오세득 - 거침없이 불고기</v>
      </c>
      <c r="B593" s="2" t="str">
        <f>IFERROR(__xludf.DUMMYFUNCTION("TRIM(INDEX(SPLIT($A593,""-""),1))
"),"오세득")</f>
        <v>오세득</v>
      </c>
      <c r="C593" s="2" t="str">
        <f>IFERROR(__xludf.DUMMYFUNCTION("TRIM(INDEX(SPLIT($A593,""-""),2))
"),"거침없이 불고기")</f>
        <v>거침없이 불고기</v>
      </c>
    </row>
    <row r="594">
      <c r="A594" s="2" t="str">
        <f>IFERROR(__xludf.DUMMYFUNCTION("REGEXEXTRACT(raw!A594, ""&lt;\s*(.+?)\s*&gt;"")
"),"레이먼킴 - 젓갈볶음밥을 잘 만드는 남자♬")</f>
        <v>레이먼킴 - 젓갈볶음밥을 잘 만드는 남자♬</v>
      </c>
      <c r="B594" s="2" t="str">
        <f>IFERROR(__xludf.DUMMYFUNCTION("TRIM(INDEX(SPLIT($A594,""-""),1))
"),"레이먼킴")</f>
        <v>레이먼킴</v>
      </c>
      <c r="C594" s="2" t="str">
        <f>IFERROR(__xludf.DUMMYFUNCTION("TRIM(INDEX(SPLIT($A594,""-""),2))
"),"젓갈볶음밥을 잘 만드는 남자♬")</f>
        <v>젓갈볶음밥을 잘 만드는 남자♬</v>
      </c>
    </row>
    <row r="595">
      <c r="A595" s="2" t="str">
        <f>IFERROR(__xludf.DUMMYFUNCTION("REGEXEXTRACT(raw!A595, ""&lt;\s*(.+?)\s*&gt;"")
"),"정호영 - 갈치 많이 먹어도 배 안 나오는 남자♬")</f>
        <v>정호영 - 갈치 많이 먹어도 배 안 나오는 남자♬</v>
      </c>
      <c r="B595" s="2" t="str">
        <f>IFERROR(__xludf.DUMMYFUNCTION("TRIM(INDEX(SPLIT($A595,""-""),1))
"),"정호영")</f>
        <v>정호영</v>
      </c>
      <c r="C595" s="2" t="str">
        <f>IFERROR(__xludf.DUMMYFUNCTION("TRIM(INDEX(SPLIT($A595,""-""),2))
"),"갈치 많이 먹어도 배 안 나오는 남자♬")</f>
        <v>갈치 많이 먹어도 배 안 나오는 남자♬</v>
      </c>
    </row>
    <row r="596">
      <c r="A596" s="2" t="str">
        <f>IFERROR(__xludf.DUMMYFUNCTION("REGEXEXTRACT(raw!A596, ""&lt;\s*(.+?)\s*&gt;"")
"),"유현수 - 바람은 널 살치게 하네♬")</f>
        <v>유현수 - 바람은 널 살치게 하네♬</v>
      </c>
      <c r="B596" s="2" t="str">
        <f>IFERROR(__xludf.DUMMYFUNCTION("TRIM(INDEX(SPLIT($A596,""-""),1))
"),"유현수")</f>
        <v>유현수</v>
      </c>
      <c r="C596" s="2" t="str">
        <f>IFERROR(__xludf.DUMMYFUNCTION("TRIM(INDEX(SPLIT($A596,""-""),2))
"),"바람은 널 살치게 하네♬")</f>
        <v>바람은 널 살치게 하네♬</v>
      </c>
    </row>
    <row r="597">
      <c r="A597" s="2" t="str">
        <f>IFERROR(__xludf.DUMMYFUNCTION("REGEXEXTRACT(raw!A597, ""&lt;\s*(.+?)\s*&gt;"")
"),"오세득 - 난 돼지고기가 좋더라♬")</f>
        <v>오세득 - 난 돼지고기가 좋더라♬</v>
      </c>
      <c r="B597" s="2" t="str">
        <f>IFERROR(__xludf.DUMMYFUNCTION("TRIM(INDEX(SPLIT($A597,""-""),1))
"),"오세득")</f>
        <v>오세득</v>
      </c>
      <c r="C597" s="2" t="str">
        <f>IFERROR(__xludf.DUMMYFUNCTION("TRIM(INDEX(SPLIT($A597,""-""),2))
"),"난 돼지고기가 좋더라♬")</f>
        <v>난 돼지고기가 좋더라♬</v>
      </c>
    </row>
    <row r="598">
      <c r="A598" s="2" t="str">
        <f>IFERROR(__xludf.DUMMYFUNCTION("REGEXEXTRACT(raw!A598, ""&lt;\s*(.+?)\s*&gt;"")
"),"샘킴 - 채소를 말아요♬")</f>
        <v>샘킴 - 채소를 말아요♬</v>
      </c>
      <c r="B598" s="2" t="str">
        <f>IFERROR(__xludf.DUMMYFUNCTION("TRIM(INDEX(SPLIT($A598,""-""),1))
"),"샘킴")</f>
        <v>샘킴</v>
      </c>
      <c r="C598" s="2" t="str">
        <f>IFERROR(__xludf.DUMMYFUNCTION("TRIM(INDEX(SPLIT($A598,""-""),2))
"),"채소를 말아요♬")</f>
        <v>채소를 말아요♬</v>
      </c>
    </row>
    <row r="599">
      <c r="A599" s="2" t="str">
        <f>IFERROR(__xludf.DUMMYFUNCTION("REGEXEXTRACT(raw!A599, ""&lt;\s*(.+?)\s*&gt;"")
"),"미카엘 - 채소퀸")</f>
        <v>미카엘 - 채소퀸</v>
      </c>
      <c r="B599" s="2" t="str">
        <f>IFERROR(__xludf.DUMMYFUNCTION("TRIM(INDEX(SPLIT($A599,""-""),1))
"),"미카엘")</f>
        <v>미카엘</v>
      </c>
      <c r="C599" s="2" t="str">
        <f>IFERROR(__xludf.DUMMYFUNCTION("TRIM(INDEX(SPLIT($A599,""-""),2))
"),"채소퀸")</f>
        <v>채소퀸</v>
      </c>
    </row>
    <row r="600">
      <c r="A600" s="2" t="str">
        <f>IFERROR(__xludf.DUMMYFUNCTION("REGEXEXTRACT(raw!A600, ""&lt;\s*(.+?)\s*&gt;"")
"),"이연복 - 완선이는 이걸 먹고 웃지")</f>
        <v>이연복 - 완선이는 이걸 먹고 웃지</v>
      </c>
      <c r="B600" s="2" t="str">
        <f>IFERROR(__xludf.DUMMYFUNCTION("TRIM(INDEX(SPLIT($A600,""-""),1))
"),"이연복")</f>
        <v>이연복</v>
      </c>
      <c r="C600" s="2" t="str">
        <f>IFERROR(__xludf.DUMMYFUNCTION("TRIM(INDEX(SPLIT($A600,""-""),2))
"),"완선이는 이걸 먹고 웃지")</f>
        <v>완선이는 이걸 먹고 웃지</v>
      </c>
    </row>
    <row r="601">
      <c r="A601" s="2" t="str">
        <f>IFERROR(__xludf.DUMMYFUNCTION("REGEXEXTRACT(raw!A601, ""&lt;\s*(.+?)\s*&gt;"")
"),"김풍 - 김완섬")</f>
        <v>김풍 - 김완섬</v>
      </c>
      <c r="B601" s="2" t="str">
        <f>IFERROR(__xludf.DUMMYFUNCTION("TRIM(INDEX(SPLIT($A601,""-""),1))
"),"김풍")</f>
        <v>김풍</v>
      </c>
      <c r="C601" s="2" t="str">
        <f>IFERROR(__xludf.DUMMYFUNCTION("TRIM(INDEX(SPLIT($A601,""-""),2))
"),"김완섬")</f>
        <v>김완섬</v>
      </c>
    </row>
    <row r="602">
      <c r="A602" s="2" t="str">
        <f>IFERROR(__xludf.DUMMYFUNCTION("REGEXEXTRACT(raw!A602, ""&lt;\s*(.+?)\s*&gt;"")
"),"정호영 - 낙낙낙낙 낙지호롱♬")</f>
        <v>정호영 - 낙낙낙낙 낙지호롱♬</v>
      </c>
      <c r="B602" s="2" t="str">
        <f>IFERROR(__xludf.DUMMYFUNCTION("TRIM(INDEX(SPLIT($A602,""-""),1))
"),"정호영")</f>
        <v>정호영</v>
      </c>
      <c r="C602" s="2" t="str">
        <f>IFERROR(__xludf.DUMMYFUNCTION("TRIM(INDEX(SPLIT($A602,""-""),2))
"),"낙낙낙낙 낙지호롱♬")</f>
        <v>낙낙낙낙 낙지호롱♬</v>
      </c>
    </row>
    <row r="603">
      <c r="A603" s="2" t="str">
        <f>IFERROR(__xludf.DUMMYFUNCTION("REGEXEXTRACT(raw!A603, ""&lt;\s*(.+?)\s*&gt;"")
"),"미카엘 - 유러피안 낙지")</f>
        <v>미카엘 - 유러피안 낙지</v>
      </c>
      <c r="B603" s="2" t="str">
        <f>IFERROR(__xludf.DUMMYFUNCTION("TRIM(INDEX(SPLIT($A603,""-""),1))
"),"미카엘")</f>
        <v>미카엘</v>
      </c>
      <c r="C603" s="2" t="str">
        <f>IFERROR(__xludf.DUMMYFUNCTION("TRIM(INDEX(SPLIT($A603,""-""),2))
"),"유러피안 낙지")</f>
        <v>유러피안 낙지</v>
      </c>
    </row>
    <row r="604">
      <c r="A604" s="2" t="str">
        <f>IFERROR(__xludf.DUMMYFUNCTION("REGEXEXTRACT(raw!A604, ""&lt;\s*(.+?)\s*&gt;"")
"),"이연복 - 복사부일체")</f>
        <v>이연복 - 복사부일체</v>
      </c>
      <c r="B604" s="2" t="str">
        <f>IFERROR(__xludf.DUMMYFUNCTION("TRIM(INDEX(SPLIT($A604,""-""),1))
"),"이연복")</f>
        <v>이연복</v>
      </c>
      <c r="C604" s="2" t="str">
        <f>IFERROR(__xludf.DUMMYFUNCTION("TRIM(INDEX(SPLIT($A604,""-""),2))
"),"복사부일체")</f>
        <v>복사부일체</v>
      </c>
    </row>
    <row r="605">
      <c r="A605" s="2" t="str">
        <f>IFERROR(__xludf.DUMMYFUNCTION("REGEXEXTRACT(raw!A605, ""&lt;\s*(.+?)\s*&gt;"")
"),"샘킴 - 넌 학생이고 난 샘이야")</f>
        <v>샘킴 - 넌 학생이고 난 샘이야</v>
      </c>
      <c r="B605" s="2" t="str">
        <f>IFERROR(__xludf.DUMMYFUNCTION("TRIM(INDEX(SPLIT($A605,""-""),1))
"),"샘킴")</f>
        <v>샘킴</v>
      </c>
      <c r="C605" s="2" t="str">
        <f>IFERROR(__xludf.DUMMYFUNCTION("TRIM(INDEX(SPLIT($A605,""-""),2))
"),"넌 학생이고 난 샘이야")</f>
        <v>넌 학생이고 난 샘이야</v>
      </c>
    </row>
    <row r="606">
      <c r="A606" s="2" t="str">
        <f>IFERROR(__xludf.DUMMYFUNCTION("REGEXEXTRACT(raw!A606, ""&lt;\s*(.+?)\s*&gt;"")
"),"레이먼킴 - 조기 이즈 베리 임폴턴트")</f>
        <v>레이먼킴 - 조기 이즈 베리 임폴턴트</v>
      </c>
      <c r="B606" s="2" t="str">
        <f>IFERROR(__xludf.DUMMYFUNCTION("TRIM(INDEX(SPLIT($A606,""-""),1))
"),"레이먼킴")</f>
        <v>레이먼킴</v>
      </c>
      <c r="C606" s="2" t="str">
        <f>IFERROR(__xludf.DUMMYFUNCTION("TRIM(INDEX(SPLIT($A606,""-""),2))
"),"조기 이즈 베리 임폴턴트")</f>
        <v>조기 이즈 베리 임폴턴트</v>
      </c>
    </row>
    <row r="607">
      <c r="A607" s="2" t="str">
        <f>IFERROR(__xludf.DUMMYFUNCTION("REGEXEXTRACT(raw!A607, ""&lt;\s*(.+?)\s*&gt;"")
"),"오세득 - 돈테크만")</f>
        <v>오세득 - 돈테크만</v>
      </c>
      <c r="B607" s="2" t="str">
        <f>IFERROR(__xludf.DUMMYFUNCTION("TRIM(INDEX(SPLIT($A607,""-""),1))
"),"오세득")</f>
        <v>오세득</v>
      </c>
      <c r="C607" s="2" t="str">
        <f>IFERROR(__xludf.DUMMYFUNCTION("TRIM(INDEX(SPLIT($A607,""-""),2))
"),"돈테크만")</f>
        <v>돈테크만</v>
      </c>
    </row>
    <row r="608">
      <c r="A608" s="2" t="str">
        <f>IFERROR(__xludf.DUMMYFUNCTION("REGEXEXTRACT(raw!A608, ""&lt;\s*(.+?)\s*&gt;"")
"),"김풍 - 출발! 짜글이 여행")</f>
        <v>김풍 - 출발! 짜글이 여행</v>
      </c>
      <c r="B608" s="2" t="str">
        <f>IFERROR(__xludf.DUMMYFUNCTION("TRIM(INDEX(SPLIT($A608,""-""),1))
"),"김풍")</f>
        <v>김풍</v>
      </c>
      <c r="C608" s="2" t="str">
        <f>IFERROR(__xludf.DUMMYFUNCTION("TRIM(INDEX(SPLIT($A608,""-""),2))
"),"출발! 짜글이 여행")</f>
        <v>출발! 짜글이 여행</v>
      </c>
    </row>
    <row r="609">
      <c r="A609" s="2" t="str">
        <f>IFERROR(__xludf.DUMMYFUNCTION("REGEXEXTRACT(raw!A609, ""&lt;\s*(.+?)\s*&gt;"")
"),"유현수 - 명불허전 그뤠잇!")</f>
        <v>유현수 - 명불허전 그뤠잇!</v>
      </c>
      <c r="B609" s="2" t="str">
        <f>IFERROR(__xludf.DUMMYFUNCTION("TRIM(INDEX(SPLIT($A609,""-""),1))
"),"유현수")</f>
        <v>유현수</v>
      </c>
      <c r="C609" s="2" t="str">
        <f>IFERROR(__xludf.DUMMYFUNCTION("TRIM(INDEX(SPLIT($A609,""-""),2))
"),"명불허전 그뤠잇!")</f>
        <v>명불허전 그뤠잇!</v>
      </c>
    </row>
    <row r="610">
      <c r="A610" s="2" t="str">
        <f>IFERROR(__xludf.DUMMYFUNCTION("REGEXEXTRACT(raw!A610, ""&lt;\s*(.+?)\s*&gt;"")
"),"레이먼킴 - HOT한 갈비찜")</f>
        <v>레이먼킴 - HOT한 갈비찜</v>
      </c>
      <c r="B610" s="2" t="str">
        <f>IFERROR(__xludf.DUMMYFUNCTION("TRIM(INDEX(SPLIT($A610,""-""),1))
"),"레이먼킴")</f>
        <v>레이먼킴</v>
      </c>
      <c r="C610" s="2" t="str">
        <f>IFERROR(__xludf.DUMMYFUNCTION("TRIM(INDEX(SPLIT($A610,""-""),2))
"),"HOT한 갈비찜")</f>
        <v>HOT한 갈비찜</v>
      </c>
    </row>
    <row r="611">
      <c r="A611" s="2" t="str">
        <f>IFERROR(__xludf.DUMMYFUNCTION("REGEXEXTRACT(raw!A611, ""&lt;\s*(.+?)\s*&gt;"")
"),"김풍 - 입덕볶이")</f>
        <v>김풍 - 입덕볶이</v>
      </c>
      <c r="B611" s="2" t="str">
        <f>IFERROR(__xludf.DUMMYFUNCTION("TRIM(INDEX(SPLIT($A611,""-""),1))
"),"김풍")</f>
        <v>김풍</v>
      </c>
      <c r="C611" s="2" t="str">
        <f>IFERROR(__xludf.DUMMYFUNCTION("TRIM(INDEX(SPLIT($A611,""-""),2))
"),"입덕볶이")</f>
        <v>입덕볶이</v>
      </c>
    </row>
    <row r="612">
      <c r="A612" s="2" t="str">
        <f>IFERROR(__xludf.DUMMYFUNCTION("REGEXEXTRACT(raw!A612, ""&lt;\s*(.+?)\s*&gt;"")
"),"정호영 - 소생소사")</f>
        <v>정호영 - 소생소사</v>
      </c>
      <c r="B612" s="2" t="str">
        <f>IFERROR(__xludf.DUMMYFUNCTION("TRIM(INDEX(SPLIT($A612,""-""),1))
"),"정호영")</f>
        <v>정호영</v>
      </c>
      <c r="C612" s="2" t="str">
        <f>IFERROR(__xludf.DUMMYFUNCTION("TRIM(INDEX(SPLIT($A612,""-""),2))
"),"소생소사")</f>
        <v>소생소사</v>
      </c>
    </row>
    <row r="613">
      <c r="A613" s="2" t="str">
        <f>IFERROR(__xludf.DUMMYFUNCTION("REGEXEXTRACT(raw!A613, ""&lt;\s*(.+?)\s*&gt;"")
"),"오세득 - 닭스키스")</f>
        <v>오세득 - 닭스키스</v>
      </c>
      <c r="B613" s="2" t="str">
        <f>IFERROR(__xludf.DUMMYFUNCTION("TRIM(INDEX(SPLIT($A613,""-""),1))
"),"오세득")</f>
        <v>오세득</v>
      </c>
      <c r="C613" s="2" t="str">
        <f>IFERROR(__xludf.DUMMYFUNCTION("TRIM(INDEX(SPLIT($A613,""-""),2))
"),"닭스키스")</f>
        <v>닭스키스</v>
      </c>
    </row>
    <row r="614">
      <c r="A614" s="2" t="str">
        <f>IFERROR(__xludf.DUMMYFUNCTION("REGEXEXTRACT(raw!A614, ""&lt;\s*(.+?)\s*&gt;"")
"),"샘킴 - 삼겹살~ 왜 내 맘을 흔드는 건데♬")</f>
        <v>샘킴 - 삼겹살~ 왜 내 맘을 흔드는 건데♬</v>
      </c>
      <c r="B614" s="2" t="str">
        <f>IFERROR(__xludf.DUMMYFUNCTION("TRIM(INDEX(SPLIT($A614,""-""),1))
"),"샘킴")</f>
        <v>샘킴</v>
      </c>
      <c r="C614" s="2" t="str">
        <f>IFERROR(__xludf.DUMMYFUNCTION("TRIM(INDEX(SPLIT($A614,""-""),2))
"),"삼겹살~ 왜 내 맘을 흔드는 건데♬")</f>
        <v>삼겹살~ 왜 내 맘을 흔드는 건데♬</v>
      </c>
    </row>
    <row r="615">
      <c r="A615" s="2" t="str">
        <f>IFERROR(__xludf.DUMMYFUNCTION("REGEXEXTRACT(raw!A615, ""&lt;\s*(.+?)\s*&gt;"")
"),"이재훈 - 삼겹살DNA")</f>
        <v>이재훈 - 삼겹살DNA</v>
      </c>
      <c r="B615" s="2" t="str">
        <f>IFERROR(__xludf.DUMMYFUNCTION("TRIM(INDEX(SPLIT($A615,""-""),1))
"),"이재훈")</f>
        <v>이재훈</v>
      </c>
      <c r="C615" s="2" t="str">
        <f>IFERROR(__xludf.DUMMYFUNCTION("TRIM(INDEX(SPLIT($A615,""-""),2))
"),"삼겹살DNA")</f>
        <v>삼겹살DNA</v>
      </c>
    </row>
    <row r="616">
      <c r="A616" s="2" t="str">
        <f>IFERROR(__xludf.DUMMYFUNCTION("REGEXEXTRACT(raw!A616, ""&lt;\s*(.+?)\s*&gt;"")
"),"이연복 - 골풍기")</f>
        <v>이연복 - 골풍기</v>
      </c>
      <c r="B616" s="2" t="str">
        <f>IFERROR(__xludf.DUMMYFUNCTION("TRIM(INDEX(SPLIT($A616,""-""),1))
"),"이연복")</f>
        <v>이연복</v>
      </c>
      <c r="C616" s="2" t="str">
        <f>IFERROR(__xludf.DUMMYFUNCTION("TRIM(INDEX(SPLIT($A616,""-""),2))
"),"골풍기")</f>
        <v>골풍기</v>
      </c>
    </row>
    <row r="617">
      <c r="A617" s="2" t="str">
        <f>IFERROR(__xludf.DUMMYFUNCTION("REGEXEXTRACT(raw!A617, ""&lt;\s*(.+?)\s*&gt;"")
"),"유현수 -김치 곱빼기")</f>
        <v>유현수 -김치 곱빼기</v>
      </c>
      <c r="B617" s="2" t="str">
        <f>IFERROR(__xludf.DUMMYFUNCTION("TRIM(INDEX(SPLIT($A617,""-""),1))
"),"유현수")</f>
        <v>유현수</v>
      </c>
      <c r="C617" s="2" t="str">
        <f>IFERROR(__xludf.DUMMYFUNCTION("TRIM(INDEX(SPLIT($A617,""-""),2))
"),"김치 곱빼기")</f>
        <v>김치 곱빼기</v>
      </c>
    </row>
    <row r="618">
      <c r="A618" s="2" t="str">
        <f>IFERROR(__xludf.DUMMYFUNCTION("REGEXEXTRACT(raw!A618, ""&lt;\s*(.+?)\s*&gt;"")
"),"레이먼킴 - 레이먼킴치")</f>
        <v>레이먼킴 - 레이먼킴치</v>
      </c>
      <c r="B618" s="2" t="str">
        <f>IFERROR(__xludf.DUMMYFUNCTION("TRIM(INDEX(SPLIT($A618,""-""),1))
"),"레이먼킴")</f>
        <v>레이먼킴</v>
      </c>
      <c r="C618" s="2" t="str">
        <f>IFERROR(__xludf.DUMMYFUNCTION("TRIM(INDEX(SPLIT($A618,""-""),2))
"),"레이먼킴치")</f>
        <v>레이먼킴치</v>
      </c>
    </row>
    <row r="619">
      <c r="A619" s="2" t="str">
        <f>IFERROR(__xludf.DUMMYFUNCTION("REGEXEXTRACT(raw!A619, ""&lt;\s*(.+?)\s*&gt;"")
"),"유현수 -김치 곱빼기")</f>
        <v>유현수 -김치 곱빼기</v>
      </c>
      <c r="B619" s="2" t="str">
        <f>IFERROR(__xludf.DUMMYFUNCTION("TRIM(INDEX(SPLIT($A619,""-""),1))
"),"유현수")</f>
        <v>유현수</v>
      </c>
      <c r="C619" s="2" t="str">
        <f>IFERROR(__xludf.DUMMYFUNCTION("TRIM(INDEX(SPLIT($A619,""-""),2))
"),"김치 곱빼기")</f>
        <v>김치 곱빼기</v>
      </c>
    </row>
    <row r="620">
      <c r="A620" s="2" t="str">
        <f>IFERROR(__xludf.DUMMYFUNCTION("REGEXEXTRACT(raw!A620, ""&lt;\s*(.+?)\s*&gt;"")
"),"이연복 - 복스테이크")</f>
        <v>이연복 - 복스테이크</v>
      </c>
      <c r="B620" s="2" t="str">
        <f>IFERROR(__xludf.DUMMYFUNCTION("TRIM(INDEX(SPLIT($A620,""-""),1))
"),"이연복")</f>
        <v>이연복</v>
      </c>
      <c r="C620" s="2" t="str">
        <f>IFERROR(__xludf.DUMMYFUNCTION("TRIM(INDEX(SPLIT($A620,""-""),2))
"),"복스테이크")</f>
        <v>복스테이크</v>
      </c>
    </row>
    <row r="621">
      <c r="A621" s="2" t="str">
        <f>IFERROR(__xludf.DUMMYFUNCTION("REGEXEXTRACT(raw!A621, ""&lt;\s*(.+?)\s*&gt;"")
"),"미카엘 - 펌킨 치킨")</f>
        <v>미카엘 - 펌킨 치킨</v>
      </c>
      <c r="B621" s="2" t="str">
        <f>IFERROR(__xludf.DUMMYFUNCTION("TRIM(INDEX(SPLIT($A621,""-""),1))
"),"미카엘")</f>
        <v>미카엘</v>
      </c>
      <c r="C621" s="2" t="str">
        <f>IFERROR(__xludf.DUMMYFUNCTION("TRIM(INDEX(SPLIT($A621,""-""),2))
"),"펌킨 치킨")</f>
        <v>펌킨 치킨</v>
      </c>
    </row>
    <row r="622">
      <c r="A622" s="2" t="str">
        <f>IFERROR(__xludf.DUMMYFUNCTION("REGEXEXTRACT(raw!A622, ""&lt;\s*(.+?)\s*&gt;"")
"),"김풍 - 칼로리 듬풍 샌드위치")</f>
        <v>김풍 - 칼로리 듬풍 샌드위치</v>
      </c>
      <c r="B622" s="2" t="str">
        <f>IFERROR(__xludf.DUMMYFUNCTION("TRIM(INDEX(SPLIT($A622,""-""),1))
"),"김풍")</f>
        <v>김풍</v>
      </c>
      <c r="C622" s="2" t="str">
        <f>IFERROR(__xludf.DUMMYFUNCTION("TRIM(INDEX(SPLIT($A622,""-""),2))
"),"칼로리 듬풍 샌드위치")</f>
        <v>칼로리 듬풍 샌드위치</v>
      </c>
    </row>
    <row r="623">
      <c r="A623" s="2" t="str">
        <f>IFERROR(__xludf.DUMMYFUNCTION("REGEXEXTRACT(raw!A623, ""&lt;\s*(.+?)\s*&gt;"")
"),"이원일 - 슈퍼헤비급 플래터")</f>
        <v>이원일 - 슈퍼헤비급 플래터</v>
      </c>
      <c r="B623" s="2" t="str">
        <f>IFERROR(__xludf.DUMMYFUNCTION("TRIM(INDEX(SPLIT($A623,""-""),1))
"),"이원일")</f>
        <v>이원일</v>
      </c>
      <c r="C623" s="2" t="str">
        <f>IFERROR(__xludf.DUMMYFUNCTION("TRIM(INDEX(SPLIT($A623,""-""),2))
"),"슈퍼헤비급 플래터")</f>
        <v>슈퍼헤비급 플래터</v>
      </c>
    </row>
    <row r="624">
      <c r="A624" s="2" t="str">
        <f>IFERROR(__xludf.DUMMYFUNCTION("REGEXEXTRACT(raw!A624, ""&lt;\s*(.+?)\s*&gt;"")
"),"샘킴 - 아모르팟타이♬")</f>
        <v>샘킴 - 아모르팟타이♬</v>
      </c>
      <c r="B624" s="2" t="str">
        <f>IFERROR(__xludf.DUMMYFUNCTION("TRIM(INDEX(SPLIT($A624,""-""),1))
"),"샘킴")</f>
        <v>샘킴</v>
      </c>
      <c r="C624" s="2" t="str">
        <f>IFERROR(__xludf.DUMMYFUNCTION("TRIM(INDEX(SPLIT($A624,""-""),2))
"),"아모르팟타이♬")</f>
        <v>아모르팟타이♬</v>
      </c>
    </row>
    <row r="625">
      <c r="A625" s="2" t="str">
        <f>IFERROR(__xludf.DUMMYFUNCTION("REGEXEXTRACT(raw!A625, ""&lt;\s*(.+?)\s*&gt;"")
"),"정호영 - 카츠우동♬")</f>
        <v>정호영 - 카츠우동♬</v>
      </c>
      <c r="B625" s="2" t="str">
        <f>IFERROR(__xludf.DUMMYFUNCTION("TRIM(INDEX(SPLIT($A625,""-""),1))
"),"정호영")</f>
        <v>정호영</v>
      </c>
      <c r="C625" s="2" t="str">
        <f>IFERROR(__xludf.DUMMYFUNCTION("TRIM(INDEX(SPLIT($A625,""-""),2))
"),"카츠우동♬")</f>
        <v>카츠우동♬</v>
      </c>
    </row>
    <row r="626">
      <c r="A626" s="2" t="str">
        <f>IFERROR(__xludf.DUMMYFUNCTION("REGEXEXTRACT(raw!A626, ""&lt;\s*(.+?)\s*&gt;"")
"),"김성주 - 연복풍 탕수육")</f>
        <v>김성주 - 연복풍 탕수육</v>
      </c>
      <c r="B626" s="2" t="str">
        <f>IFERROR(__xludf.DUMMYFUNCTION("TRIM(INDEX(SPLIT($A626,""-""),1))
"),"김성주")</f>
        <v>김성주</v>
      </c>
      <c r="C626" s="2" t="str">
        <f>IFERROR(__xludf.DUMMYFUNCTION("TRIM(INDEX(SPLIT($A626,""-""),2))
"),"연복풍 탕수육")</f>
        <v>연복풍 탕수육</v>
      </c>
    </row>
    <row r="627">
      <c r="A627" s="2" t="str">
        <f>IFERROR(__xludf.DUMMYFUNCTION("REGEXEXTRACT(raw!A627, ""&lt;\s*(.+?)\s*&gt;"")
"),"안정환 - 테리우스테이크")</f>
        <v>안정환 - 테리우스테이크</v>
      </c>
      <c r="B627" s="2" t="str">
        <f>IFERROR(__xludf.DUMMYFUNCTION("TRIM(INDEX(SPLIT($A627,""-""),1))
"),"안정환")</f>
        <v>안정환</v>
      </c>
      <c r="C627" s="2" t="str">
        <f>IFERROR(__xludf.DUMMYFUNCTION("TRIM(INDEX(SPLIT($A627,""-""),2))
"),"테리우스테이크")</f>
        <v>테리우스테이크</v>
      </c>
    </row>
    <row r="628">
      <c r="A628" s="2" t="str">
        <f>IFERROR(__xludf.DUMMYFUNCTION("REGEXEXTRACT(raw!A628, ""&lt;\s*(.+?)\s*&gt;"")
"),"이연복&amp;레이먼킴 - 레복만두")</f>
        <v>이연복&amp;레이먼킴 - 레복만두</v>
      </c>
      <c r="B628" s="2" t="str">
        <f>IFERROR(__xludf.DUMMYFUNCTION("TRIM(INDEX(SPLIT($A628,""-""),1))
"),"이연복&amp;레이먼킴")</f>
        <v>이연복&amp;레이먼킴</v>
      </c>
      <c r="C628" s="2" t="str">
        <f>IFERROR(__xludf.DUMMYFUNCTION("TRIM(INDEX(SPLIT($A628,""-""),2))
"),"레복만두")</f>
        <v>레복만두</v>
      </c>
    </row>
    <row r="629">
      <c r="A629" s="2" t="str">
        <f>IFERROR(__xludf.DUMMYFUNCTION("REGEXEXTRACT(raw!A629, ""&lt;\s*(.+?)\s*&gt;"")
"),"정호영&amp;유현수 - 야관문 장어")</f>
        <v>정호영&amp;유현수 - 야관문 장어</v>
      </c>
      <c r="B629" s="2" t="str">
        <f>IFERROR(__xludf.DUMMYFUNCTION("TRIM(INDEX(SPLIT($A629,""-""),1))
"),"정호영&amp;유현수")</f>
        <v>정호영&amp;유현수</v>
      </c>
      <c r="C629" s="2" t="str">
        <f>IFERROR(__xludf.DUMMYFUNCTION("TRIM(INDEX(SPLIT($A629,""-""),2))
"),"야관문 장어")</f>
        <v>야관문 장어</v>
      </c>
    </row>
    <row r="630">
      <c r="A630" s="2" t="str">
        <f>IFERROR(__xludf.DUMMYFUNCTION("REGEXEXTRACT(raw!A630, ""&lt;\s*(.+?)\s*&gt;"")
"),"미카엘&amp;샘킴 - 봉골레 안 먹고 가시나♬")</f>
        <v>미카엘&amp;샘킴 - 봉골레 안 먹고 가시나♬</v>
      </c>
      <c r="B630" s="2" t="str">
        <f>IFERROR(__xludf.DUMMYFUNCTION("TRIM(INDEX(SPLIT($A630,""-""),1))
"),"미카엘&amp;샘킴")</f>
        <v>미카엘&amp;샘킴</v>
      </c>
      <c r="C630" s="2" t="str">
        <f>IFERROR(__xludf.DUMMYFUNCTION("TRIM(INDEX(SPLIT($A630,""-""),2))
"),"봉골레 안 먹고 가시나♬")</f>
        <v>봉골레 안 먹고 가시나♬</v>
      </c>
    </row>
    <row r="631">
      <c r="A631" s="2" t="str">
        <f>IFERROR(__xludf.DUMMYFUNCTION("REGEXEXTRACT(raw!A631, ""&lt;\s*(.+?)\s*&gt;"")
"),"유현수&amp;정호영 - 제비~ 복 먹으러 나간다")</f>
        <v>유현수&amp;정호영 - 제비~ 복 먹으러 나간다</v>
      </c>
      <c r="B631" s="2" t="str">
        <f>IFERROR(__xludf.DUMMYFUNCTION("TRIM(INDEX(SPLIT($A631,""-""),1))
"),"유현수&amp;정호영")</f>
        <v>유현수&amp;정호영</v>
      </c>
      <c r="C631" s="2" t="str">
        <f>IFERROR(__xludf.DUMMYFUNCTION("TRIM(INDEX(SPLIT($A631,""-""),2))
"),"제비~ 복 먹으러 나간다")</f>
        <v>제비~ 복 먹으러 나간다</v>
      </c>
    </row>
    <row r="632">
      <c r="A632" s="2" t="str">
        <f>IFERROR(__xludf.DUMMYFUNCTION("REGEXEXTRACT(raw!A632, ""&lt;\s*(.+?)\s*&gt;"")
"),"박나래 - 마성의 분짜조")</f>
        <v>박나래 - 마성의 분짜조</v>
      </c>
      <c r="B632" s="2" t="str">
        <f>IFERROR(__xludf.DUMMYFUNCTION("TRIM(INDEX(SPLIT($A632,""-""),1))
"),"박나래")</f>
        <v>박나래</v>
      </c>
      <c r="C632" s="2" t="str">
        <f>IFERROR(__xludf.DUMMYFUNCTION("TRIM(INDEX(SPLIT($A632,""-""),2))
"),"마성의 분짜조")</f>
        <v>마성의 분짜조</v>
      </c>
    </row>
    <row r="633">
      <c r="A633" s="2" t="str">
        <f>IFERROR(__xludf.DUMMYFUNCTION("REGEXEXTRACT(raw!A633, ""&lt;\s*(.+?)\s*&gt;"")
"),"이국주 - 칼제비전")</f>
        <v>이국주 - 칼제비전</v>
      </c>
      <c r="B633" s="2" t="str">
        <f>IFERROR(__xludf.DUMMYFUNCTION("TRIM(INDEX(SPLIT($A633,""-""),1))
"),"이국주")</f>
        <v>이국주</v>
      </c>
      <c r="C633" s="2" t="str">
        <f>IFERROR(__xludf.DUMMYFUNCTION("TRIM(INDEX(SPLIT($A633,""-""),2))
"),"칼제비전")</f>
        <v>칼제비전</v>
      </c>
    </row>
    <row r="634">
      <c r="A634" s="2" t="str">
        <f>IFERROR(__xludf.DUMMYFUNCTION("REGEXEXTRACT(raw!A634, ""&lt;\s*(.+?)\s*&gt;"")
"),"미카엘&amp;샘킴 - 아모르 패티")</f>
        <v>미카엘&amp;샘킴 - 아모르 패티</v>
      </c>
      <c r="B634" s="2" t="str">
        <f>IFERROR(__xludf.DUMMYFUNCTION("TRIM(INDEX(SPLIT($A634,""-""),1))
"),"미카엘&amp;샘킴")</f>
        <v>미카엘&amp;샘킴</v>
      </c>
      <c r="C634" s="2" t="str">
        <f>IFERROR(__xludf.DUMMYFUNCTION("TRIM(INDEX(SPLIT($A634,""-""),2))
"),"아모르 패티")</f>
        <v>아모르 패티</v>
      </c>
    </row>
    <row r="635">
      <c r="A635" s="2" t="str">
        <f>IFERROR(__xludf.DUMMYFUNCTION("REGEXEXTRACT(raw!A635, ""&lt;\s*(.+?)\s*&gt;"")
"),"오세득&amp;김풍 - 뜯고 씹고 호로록")</f>
        <v>오세득&amp;김풍 - 뜯고 씹고 호로록</v>
      </c>
      <c r="B635" s="2" t="str">
        <f>IFERROR(__xludf.DUMMYFUNCTION("TRIM(INDEX(SPLIT($A635,""-""),1))
"),"오세득&amp;김풍")</f>
        <v>오세득&amp;김풍</v>
      </c>
      <c r="C635" s="2" t="str">
        <f>IFERROR(__xludf.DUMMYFUNCTION("TRIM(INDEX(SPLIT($A635,""-""),2))
"),"뜯고 씹고 호로록")</f>
        <v>뜯고 씹고 호로록</v>
      </c>
    </row>
    <row r="636">
      <c r="A636" s="2" t="str">
        <f>IFERROR(__xludf.DUMMYFUNCTION("REGEXEXTRACT(raw!A636, ""&lt;\s*(.+?)\s*&gt;"")
"),"유현수 - 역전만루홍런")</f>
        <v>유현수 - 역전만루홍런</v>
      </c>
      <c r="B636" s="2" t="str">
        <f>IFERROR(__xludf.DUMMYFUNCTION("TRIM(INDEX(SPLIT($A636,""-""),1))
"),"유현수")</f>
        <v>유현수</v>
      </c>
      <c r="C636" s="2" t="str">
        <f>IFERROR(__xludf.DUMMYFUNCTION("TRIM(INDEX(SPLIT($A636,""-""),2))
"),"역전만루홍런")</f>
        <v>역전만루홍런</v>
      </c>
    </row>
    <row r="637">
      <c r="A637" s="2" t="str">
        <f>IFERROR(__xludf.DUMMYFUNCTION("REGEXEXTRACT(raw!A637, ""&lt;\s*(.+?)\s*&gt;"")
"),"김풍 - 샌디에이고 짜그리스")</f>
        <v>김풍 - 샌디에이고 짜그리스</v>
      </c>
      <c r="B637" s="2" t="str">
        <f>IFERROR(__xludf.DUMMYFUNCTION("TRIM(INDEX(SPLIT($A637,""-""),1))
"),"김풍")</f>
        <v>김풍</v>
      </c>
      <c r="C637" s="2" t="str">
        <f>IFERROR(__xludf.DUMMYFUNCTION("TRIM(INDEX(SPLIT($A637,""-""),2))
"),"샌디에이고 짜그리스")</f>
        <v>샌디에이고 짜그리스</v>
      </c>
    </row>
    <row r="638">
      <c r="A638" s="2" t="str">
        <f>IFERROR(__xludf.DUMMYFUNCTION("REGEXEXTRACT(raw!A638, ""&lt;\s*(.+?)\s*&gt;"")
"),"레이먼킴 - 월드시리즈 간닭!")</f>
        <v>레이먼킴 - 월드시리즈 간닭!</v>
      </c>
      <c r="B638" s="2" t="str">
        <f>IFERROR(__xludf.DUMMYFUNCTION("TRIM(INDEX(SPLIT($A638,""-""),1))
"),"레이먼킴")</f>
        <v>레이먼킴</v>
      </c>
      <c r="C638" s="2" t="str">
        <f>IFERROR(__xludf.DUMMYFUNCTION("TRIM(INDEX(SPLIT($A638,""-""),2))
"),"월드시리즈 간닭!")</f>
        <v>월드시리즈 간닭!</v>
      </c>
    </row>
    <row r="639">
      <c r="A639" s="2" t="str">
        <f>IFERROR(__xludf.DUMMYFUNCTION("REGEXEXTRACT(raw!A639, ""&lt;\s*(.+?)\s*&gt;"")
"),"샘킴 - 홍~치킨!")</f>
        <v>샘킴 - 홍~치킨!</v>
      </c>
      <c r="B639" s="2" t="str">
        <f>IFERROR(__xludf.DUMMYFUNCTION("TRIM(INDEX(SPLIT($A639,""-""),1))
"),"샘킴")</f>
        <v>샘킴</v>
      </c>
      <c r="C639" s="2" t="str">
        <f>IFERROR(__xludf.DUMMYFUNCTION("TRIM(INDEX(SPLIT($A639,""-""),2))
"),"홍~치킨!")</f>
        <v>홍~치킨!</v>
      </c>
    </row>
    <row r="640">
      <c r="A640" s="2" t="str">
        <f>IFERROR(__xludf.DUMMYFUNCTION("REGEXEXTRACT(raw!A640, ""&lt;\s*(.+?)\s*&gt;"")
"),"정호영 - 사바사바♬")</f>
        <v>정호영 - 사바사바♬</v>
      </c>
      <c r="B640" s="2" t="str">
        <f>IFERROR(__xludf.DUMMYFUNCTION("TRIM(INDEX(SPLIT($A640,""-""),1))
"),"정호영")</f>
        <v>정호영</v>
      </c>
      <c r="C640" s="2" t="str">
        <f>IFERROR(__xludf.DUMMYFUNCTION("TRIM(INDEX(SPLIT($A640,""-""),2))
"),"사바사바♬")</f>
        <v>사바사바♬</v>
      </c>
    </row>
    <row r="641">
      <c r="A641" s="2" t="str">
        <f>IFERROR(__xludf.DUMMYFUNCTION("REGEXEXTRACT(raw!A641, ""&lt;\s*(.+?)\s*&gt;"")
"),"오세득 - 마무리고등어")</f>
        <v>오세득 - 마무리고등어</v>
      </c>
      <c r="B641" s="2" t="str">
        <f>IFERROR(__xludf.DUMMYFUNCTION("TRIM(INDEX(SPLIT($A641,""-""),1))
"),"오세득")</f>
        <v>오세득</v>
      </c>
      <c r="C641" s="2" t="str">
        <f>IFERROR(__xludf.DUMMYFUNCTION("TRIM(INDEX(SPLIT($A641,""-""),2))
"),"마무리고등어")</f>
        <v>마무리고등어</v>
      </c>
    </row>
    <row r="642">
      <c r="A642" s="2" t="str">
        <f>IFERROR(__xludf.DUMMYFUNCTION("REGEXEXTRACT(raw!A642, ""&lt;\s*(.+?)\s*&gt;"")
"),"고든램지 - 퀵! 차돌박이 볶음 말이")</f>
        <v>고든램지 - 퀵! 차돌박이 볶음 말이</v>
      </c>
      <c r="B642" s="2" t="str">
        <f>IFERROR(__xludf.DUMMYFUNCTION("TRIM(INDEX(SPLIT($A642,""-""),1))
"),"고든램지")</f>
        <v>고든램지</v>
      </c>
      <c r="C642" s="2" t="str">
        <f>IFERROR(__xludf.DUMMYFUNCTION("TRIM(INDEX(SPLIT($A642,""-""),2))
"),"퀵! 차돌박이 볶음 말이")</f>
        <v>퀵! 차돌박이 볶음 말이</v>
      </c>
    </row>
    <row r="643">
      <c r="A643" s="2" t="str">
        <f>IFERROR(__xludf.DUMMYFUNCTION("REGEXEXTRACT(raw!A643, ""&lt;\s*(.+?)\s*&gt;"")
"),"이연복 - 파이널복스")</f>
        <v>이연복 - 파이널복스</v>
      </c>
      <c r="B643" s="2" t="str">
        <f>IFERROR(__xludf.DUMMYFUNCTION("TRIM(INDEX(SPLIT($A643,""-""),1))
"),"이연복")</f>
        <v>이연복</v>
      </c>
      <c r="C643" s="2" t="str">
        <f>IFERROR(__xludf.DUMMYFUNCTION("TRIM(INDEX(SPLIT($A643,""-""),2))
"),"파이널복스")</f>
        <v>파이널복스</v>
      </c>
    </row>
    <row r="644">
      <c r="A644" s="2" t="str">
        <f>IFERROR(__xludf.DUMMYFUNCTION("REGEXEXTRACT(raw!A644, ""&lt;\s*(.+?)\s*&gt;"")
"),"김승수 - 승수를 올릴 어향가지")</f>
        <v>김승수 - 승수를 올릴 어향가지</v>
      </c>
      <c r="B644" s="2" t="str">
        <f>IFERROR(__xludf.DUMMYFUNCTION("TRIM(INDEX(SPLIT($A644,""-""),1))
"),"김승수")</f>
        <v>김승수</v>
      </c>
      <c r="C644" s="2" t="str">
        <f>IFERROR(__xludf.DUMMYFUNCTION("TRIM(INDEX(SPLIT($A644,""-""),2))
"),"승수를 올릴 어향가지")</f>
        <v>승수를 올릴 어향가지</v>
      </c>
    </row>
    <row r="645">
      <c r="A645" s="2" t="str">
        <f>IFERROR(__xludf.DUMMYFUNCTION("REGEXEXTRACT(raw!A645, ""&lt;\s*(.+?)\s*&gt;"")
"),"이태곤 - 이태공 스테이크")</f>
        <v>이태곤 - 이태공 스테이크</v>
      </c>
      <c r="B645" s="2" t="str">
        <f>IFERROR(__xludf.DUMMYFUNCTION("TRIM(INDEX(SPLIT($A645,""-""),1))
"),"이태곤")</f>
        <v>이태곤</v>
      </c>
      <c r="C645" s="2" t="str">
        <f>IFERROR(__xludf.DUMMYFUNCTION("TRIM(INDEX(SPLIT($A645,""-""),2))
"),"이태공 스테이크")</f>
        <v>이태공 스테이크</v>
      </c>
    </row>
    <row r="646">
      <c r="A646" s="2" t="str">
        <f>IFERROR(__xludf.DUMMYFUNCTION("REGEXEXTRACT(raw!A646, ""&lt;\s*(.+?)\s*&gt;"")
"),"샘킴 - 승수나르도 파스타리오")</f>
        <v>샘킴 - 승수나르도 파스타리오</v>
      </c>
      <c r="B646" s="2" t="str">
        <f>IFERROR(__xludf.DUMMYFUNCTION("TRIM(INDEX(SPLIT($A646,""-""),1))
"),"샘킴")</f>
        <v>샘킴</v>
      </c>
      <c r="C646" s="2" t="str">
        <f>IFERROR(__xludf.DUMMYFUNCTION("TRIM(INDEX(SPLIT($A646,""-""),2))
"),"승수나르도 파스타리오")</f>
        <v>승수나르도 파스타리오</v>
      </c>
    </row>
    <row r="647">
      <c r="A647" s="2" t="str">
        <f>IFERROR(__xludf.DUMMYFUNCTION("REGEXEXTRACT(raw!A647, ""&lt;\s*(.+?)\s*&gt;"")
"),"김풍 - 파스타랑깨")</f>
        <v>김풍 - 파스타랑깨</v>
      </c>
      <c r="B647" s="2" t="str">
        <f>IFERROR(__xludf.DUMMYFUNCTION("TRIM(INDEX(SPLIT($A647,""-""),1))
"),"김풍")</f>
        <v>김풍</v>
      </c>
      <c r="C647" s="2" t="str">
        <f>IFERROR(__xludf.DUMMYFUNCTION("TRIM(INDEX(SPLIT($A647,""-""),2))
"),"파스타랑깨")</f>
        <v>파스타랑깨</v>
      </c>
    </row>
    <row r="648">
      <c r="A648" s="2" t="str">
        <f>IFERROR(__xludf.DUMMYFUNCTION("REGEXEXTRACT(raw!A648, ""&lt;\s*(.+?)\s*&gt;"")
"),"이연복 - 벵에돔이시여")</f>
        <v>이연복 - 벵에돔이시여</v>
      </c>
      <c r="B648" s="2" t="str">
        <f>IFERROR(__xludf.DUMMYFUNCTION("TRIM(INDEX(SPLIT($A648,""-""),1))
"),"이연복")</f>
        <v>이연복</v>
      </c>
      <c r="C648" s="2" t="str">
        <f>IFERROR(__xludf.DUMMYFUNCTION("TRIM(INDEX(SPLIT($A648,""-""),2))
"),"벵에돔이시여")</f>
        <v>벵에돔이시여</v>
      </c>
    </row>
    <row r="649">
      <c r="A649" s="2" t="str">
        <f>IFERROR(__xludf.DUMMYFUNCTION("REGEXEXTRACT(raw!A649, ""&lt;\s*(.+?)\s*&gt;"")
"),"레이먼킴 - 레이먼킹돔")</f>
        <v>레이먼킴 - 레이먼킹돔</v>
      </c>
      <c r="B649" s="2" t="str">
        <f>IFERROR(__xludf.DUMMYFUNCTION("TRIM(INDEX(SPLIT($A649,""-""),1))
"),"레이먼킴")</f>
        <v>레이먼킴</v>
      </c>
      <c r="C649" s="2" t="str">
        <f>IFERROR(__xludf.DUMMYFUNCTION("TRIM(INDEX(SPLIT($A649,""-""),2))
"),"레이먼킹돔")</f>
        <v>레이먼킹돔</v>
      </c>
    </row>
    <row r="650">
      <c r="A650" s="2" t="str">
        <f>IFERROR(__xludf.DUMMYFUNCTION("REGEXEXTRACT(raw!A650, ""&lt;\s*(.+?)\s*&gt;"")
"),"정호영 - 이건 태곤스타일♬")</f>
        <v>정호영 - 이건 태곤스타일♬</v>
      </c>
      <c r="B650" s="2" t="str">
        <f>IFERROR(__xludf.DUMMYFUNCTION("TRIM(INDEX(SPLIT($A650,""-""),1))
"),"정호영")</f>
        <v>정호영</v>
      </c>
      <c r="C650" s="2" t="str">
        <f>IFERROR(__xludf.DUMMYFUNCTION("TRIM(INDEX(SPLIT($A650,""-""),2))
"),"이건 태곤스타일♬")</f>
        <v>이건 태곤스타일♬</v>
      </c>
    </row>
    <row r="651">
      <c r="A651" s="2" t="str">
        <f>IFERROR(__xludf.DUMMYFUNCTION("REGEXEXTRACT(raw!A651, ""&lt;\s*(.+?)\s*&gt;"")
"),"유현수 - 무소유")</f>
        <v>유현수 - 무소유</v>
      </c>
      <c r="B651" s="2" t="str">
        <f>IFERROR(__xludf.DUMMYFUNCTION("TRIM(INDEX(SPLIT($A651,""-""),1))
"),"유현수")</f>
        <v>유현수</v>
      </c>
      <c r="C651" s="2" t="str">
        <f>IFERROR(__xludf.DUMMYFUNCTION("TRIM(INDEX(SPLIT($A651,""-""),2))
"),"무소유")</f>
        <v>무소유</v>
      </c>
    </row>
    <row r="652">
      <c r="A652" s="2" t="str">
        <f>IFERROR(__xludf.DUMMYFUNCTION("REGEXEXTRACT(raw!A652, ""&lt;\s*(.+?)\s*&gt;"")
"),"이연복 - 홍시 연볶이")</f>
        <v>이연복 - 홍시 연볶이</v>
      </c>
      <c r="B652" s="2" t="str">
        <f>IFERROR(__xludf.DUMMYFUNCTION("TRIM(INDEX(SPLIT($A652,""-""),1))
"),"이연복")</f>
        <v>이연복</v>
      </c>
      <c r="C652" s="2" t="str">
        <f>IFERROR(__xludf.DUMMYFUNCTION("TRIM(INDEX(SPLIT($A652,""-""),2))
"),"홍시 연볶이")</f>
        <v>홍시 연볶이</v>
      </c>
    </row>
    <row r="653">
      <c r="A653" s="2" t="str">
        <f>IFERROR(__xludf.DUMMYFUNCTION("REGEXEXTRACT(raw!A653, ""&lt;\s*(.+?)\s*&gt;"")
"),"정호영 - 완벽한 라볶이에 대한 사랑")</f>
        <v>정호영 - 완벽한 라볶이에 대한 사랑</v>
      </c>
      <c r="B653" s="2" t="str">
        <f>IFERROR(__xludf.DUMMYFUNCTION("TRIM(INDEX(SPLIT($A653,""-""),1))
"),"정호영")</f>
        <v>정호영</v>
      </c>
      <c r="C653" s="2" t="str">
        <f>IFERROR(__xludf.DUMMYFUNCTION("TRIM(INDEX(SPLIT($A653,""-""),2))
"),"완벽한 라볶이에 대한 사랑")</f>
        <v>완벽한 라볶이에 대한 사랑</v>
      </c>
    </row>
    <row r="654">
      <c r="A654" s="2" t="str">
        <f>IFERROR(__xludf.DUMMYFUNCTION("REGEXEXTRACT(raw!A654, ""&lt;\s*(.+?)\s*&gt;"")
"),"유현수 - 승소 파스타")</f>
        <v>유현수 - 승소 파스타</v>
      </c>
      <c r="B654" s="2" t="str">
        <f>IFERROR(__xludf.DUMMYFUNCTION("TRIM(INDEX(SPLIT($A654,""-""),1))
"),"유현수")</f>
        <v>유현수</v>
      </c>
      <c r="C654" s="2" t="str">
        <f>IFERROR(__xludf.DUMMYFUNCTION("TRIM(INDEX(SPLIT($A654,""-""),2))
"),"승소 파스타")</f>
        <v>승소 파스타</v>
      </c>
    </row>
    <row r="655">
      <c r="A655" s="2" t="str">
        <f>IFERROR(__xludf.DUMMYFUNCTION("REGEXEXTRACT(raw!A655, ""&lt;\s*(.+?)\s*&gt;"")
"),"샘킴 - 머쉬 치윤디~!")</f>
        <v>샘킴 - 머쉬 치윤디~!</v>
      </c>
      <c r="B655" s="2" t="str">
        <f>IFERROR(__xludf.DUMMYFUNCTION("TRIM(INDEX(SPLIT($A655,""-""),1))
"),"샘킴")</f>
        <v>샘킴</v>
      </c>
      <c r="C655" s="2" t="str">
        <f>IFERROR(__xludf.DUMMYFUNCTION("TRIM(INDEX(SPLIT($A655,""-""),2))
"),"머쉬 치윤디~!")</f>
        <v>머쉬 치윤디~!</v>
      </c>
    </row>
    <row r="656">
      <c r="A656" s="2" t="str">
        <f>IFERROR(__xludf.DUMMYFUNCTION("REGEXEXTRACT(raw!A656, ""&lt;\s*(.+?)\s*&gt;"")
"),"김풍 - 풍카소")</f>
        <v>김풍 - 풍카소</v>
      </c>
      <c r="B656" s="2" t="str">
        <f>IFERROR(__xludf.DUMMYFUNCTION("TRIM(INDEX(SPLIT($A656,""-""),1))
"),"김풍")</f>
        <v>김풍</v>
      </c>
      <c r="C656" s="2" t="str">
        <f>IFERROR(__xludf.DUMMYFUNCTION("TRIM(INDEX(SPLIT($A656,""-""),2))
"),"풍카소")</f>
        <v>풍카소</v>
      </c>
    </row>
    <row r="657">
      <c r="A657" s="2" t="str">
        <f>IFERROR(__xludf.DUMMYFUNCTION("REGEXEXTRACT(raw!A657, ""&lt;\s*(.+?)\s*&gt;"")
"),"오세득 - 브런치의 유혹")</f>
        <v>오세득 - 브런치의 유혹</v>
      </c>
      <c r="B657" s="2" t="str">
        <f>IFERROR(__xludf.DUMMYFUNCTION("TRIM(INDEX(SPLIT($A657,""-""),1))
"),"오세득")</f>
        <v>오세득</v>
      </c>
      <c r="C657" s="2" t="str">
        <f>IFERROR(__xludf.DUMMYFUNCTION("TRIM(INDEX(SPLIT($A657,""-""),2))
"),"브런치의 유혹")</f>
        <v>브런치의 유혹</v>
      </c>
    </row>
    <row r="658">
      <c r="A658" s="2" t="str">
        <f>IFERROR(__xludf.DUMMYFUNCTION("REGEXEXTRACT(raw!A658, ""&lt;\s*(.+?)\s*&gt;"")
"),"레이먼킴 - 감자로 유혹하자냐")</f>
        <v>레이먼킴 - 감자로 유혹하자냐</v>
      </c>
      <c r="B658" s="2" t="str">
        <f>IFERROR(__xludf.DUMMYFUNCTION("TRIM(INDEX(SPLIT($A658,""-""),1))
"),"레이먼킴")</f>
        <v>레이먼킴</v>
      </c>
      <c r="C658" s="2" t="str">
        <f>IFERROR(__xludf.DUMMYFUNCTION("TRIM(INDEX(SPLIT($A658,""-""),2))
"),"감자로 유혹하자냐")</f>
        <v>감자로 유혹하자냐</v>
      </c>
    </row>
    <row r="659">
      <c r="A659" s="2" t="str">
        <f>IFERROR(__xludf.DUMMYFUNCTION("REGEXEXTRACT(raw!A659, ""&lt;\s*(.+?)\s*&gt;"")
"),"미카엘 - 호감이야")</f>
        <v>미카엘 - 호감이야</v>
      </c>
      <c r="B659" s="2" t="str">
        <f>IFERROR(__xludf.DUMMYFUNCTION("TRIM(INDEX(SPLIT($A659,""-""),1))
"),"미카엘")</f>
        <v>미카엘</v>
      </c>
      <c r="C659" s="2" t="str">
        <f>IFERROR(__xludf.DUMMYFUNCTION("TRIM(INDEX(SPLIT($A659,""-""),2))
"),"호감이야")</f>
        <v>호감이야</v>
      </c>
    </row>
    <row r="660">
      <c r="A660" s="2" t="str">
        <f>IFERROR(__xludf.DUMMYFUNCTION("REGEXEXTRACT(raw!A660, ""&lt;\s*(.+?)\s*&gt;"")
"),"김풍 - 1파 2일")</f>
        <v>김풍 - 1파 2일</v>
      </c>
      <c r="B660" s="2" t="str">
        <f>IFERROR(__xludf.DUMMYFUNCTION("TRIM(INDEX(SPLIT($A660,""-""),1))
"),"김풍")</f>
        <v>김풍</v>
      </c>
      <c r="C660" s="2" t="str">
        <f>IFERROR(__xludf.DUMMYFUNCTION("TRIM(INDEX(SPLIT($A660,""-""),2))
"),"1파 2일")</f>
        <v>1파 2일</v>
      </c>
    </row>
    <row r="661">
      <c r="A661" s="2" t="str">
        <f>IFERROR(__xludf.DUMMYFUNCTION("REGEXEXTRACT(raw!A661, ""&lt;\s*(.+?)\s*&gt;"")
"),"이연복 - 스테이콘")</f>
        <v>이연복 - 스테이콘</v>
      </c>
      <c r="B661" s="2" t="str">
        <f>IFERROR(__xludf.DUMMYFUNCTION("TRIM(INDEX(SPLIT($A661,""-""),1))
"),"이연복")</f>
        <v>이연복</v>
      </c>
      <c r="C661" s="2" t="str">
        <f>IFERROR(__xludf.DUMMYFUNCTION("TRIM(INDEX(SPLIT($A661,""-""),2))
"),"스테이콘")</f>
        <v>스테이콘</v>
      </c>
    </row>
    <row r="662">
      <c r="A662" s="2" t="str">
        <f>IFERROR(__xludf.DUMMYFUNCTION("REGEXEXTRACT(raw!A662, ""&lt;\s*(.+?)\s*&gt;"")
"),"유현수 - 골뱅이 에스카르고")</f>
        <v>유현수 - 골뱅이 에스카르고</v>
      </c>
      <c r="B662" s="2" t="str">
        <f>IFERROR(__xludf.DUMMYFUNCTION("TRIM(INDEX(SPLIT($A662,""-""),1))
"),"유현수")</f>
        <v>유현수</v>
      </c>
      <c r="C662" s="2" t="str">
        <f>IFERROR(__xludf.DUMMYFUNCTION("TRIM(INDEX(SPLIT($A662,""-""),2))
"),"골뱅이 에스카르고")</f>
        <v>골뱅이 에스카르고</v>
      </c>
    </row>
    <row r="663">
      <c r="A663" s="2" t="str">
        <f>IFERROR(__xludf.DUMMYFUNCTION("REGEXEXTRACT(raw!A663, ""&lt;\s*(.+?)\s*&gt;"")
"),"오세득 - 혼술 빠라삐")</f>
        <v>오세득 - 혼술 빠라삐</v>
      </c>
      <c r="B663" s="2" t="str">
        <f>IFERROR(__xludf.DUMMYFUNCTION("TRIM(INDEX(SPLIT($A663,""-""),1))
"),"오세득")</f>
        <v>오세득</v>
      </c>
      <c r="C663" s="2" t="str">
        <f>IFERROR(__xludf.DUMMYFUNCTION("TRIM(INDEX(SPLIT($A663,""-""),2))
"),"혼술 빠라삐")</f>
        <v>혼술 빠라삐</v>
      </c>
    </row>
    <row r="664">
      <c r="A664" s="2" t="str">
        <f>IFERROR(__xludf.DUMMYFUNCTION("REGEXEXTRACT(raw!A664, ""&lt;\s*(.+?)\s*&gt;"")
"),"레이먼킴 - 레이먼 스테이크")</f>
        <v>레이먼킴 - 레이먼 스테이크</v>
      </c>
      <c r="B664" s="2" t="str">
        <f>IFERROR(__xludf.DUMMYFUNCTION("TRIM(INDEX(SPLIT($A664,""-""),1))
"),"레이먼킴")</f>
        <v>레이먼킴</v>
      </c>
      <c r="C664" s="2" t="str">
        <f>IFERROR(__xludf.DUMMYFUNCTION("TRIM(INDEX(SPLIT($A664,""-""),2))
"),"레이먼 스테이크")</f>
        <v>레이먼 스테이크</v>
      </c>
    </row>
    <row r="665">
      <c r="A665" s="2" t="str">
        <f>IFERROR(__xludf.DUMMYFUNCTION("REGEXEXTRACT(raw!A665, ""&lt;\s*(.+?)\s*&gt;"")
"),"정지선 - 안질리나 딤섬")</f>
        <v>정지선 - 안질리나 딤섬</v>
      </c>
      <c r="B665" s="2" t="str">
        <f>IFERROR(__xludf.DUMMYFUNCTION("TRIM(INDEX(SPLIT($A665,""-""),1))
"),"정지선")</f>
        <v>정지선</v>
      </c>
      <c r="C665" s="2" t="str">
        <f>IFERROR(__xludf.DUMMYFUNCTION("TRIM(INDEX(SPLIT($A665,""-""),2))
"),"안질리나 딤섬")</f>
        <v>안질리나 딤섬</v>
      </c>
    </row>
    <row r="666">
      <c r="A666" s="2" t="str">
        <f>IFERROR(__xludf.DUMMYFUNCTION("REGEXEXTRACT(raw!A666, ""&lt;\s*(.+?)\s*&gt;"")
"),"샘킴 - 샨티샨티~ 카레 라자냐♬")</f>
        <v>샘킴 - 샨티샨티~ 카레 라자냐♬</v>
      </c>
      <c r="B666" s="2" t="str">
        <f>IFERROR(__xludf.DUMMYFUNCTION("TRIM(INDEX(SPLIT($A666,""-""),1))
"),"샘킴")</f>
        <v>샘킴</v>
      </c>
      <c r="C666" s="2" t="str">
        <f>IFERROR(__xludf.DUMMYFUNCTION("TRIM(INDEX(SPLIT($A666,""-""),2))
"),"샨티샨티~ 카레 라자냐♬")</f>
        <v>샨티샨티~ 카레 라자냐♬</v>
      </c>
    </row>
    <row r="667">
      <c r="A667" s="2" t="str">
        <f>IFERROR(__xludf.DUMMYFUNCTION("REGEXEXTRACT(raw!A667, ""&lt;\s*(.+?)\s*&gt;"")
"),"정호영 - 카레맛~ 궁금해 혀니♬")</f>
        <v>정호영 - 카레맛~ 궁금해 혀니♬</v>
      </c>
      <c r="B667" s="2" t="str">
        <f>IFERROR(__xludf.DUMMYFUNCTION("TRIM(INDEX(SPLIT($A667,""-""),1))
"),"정호영")</f>
        <v>정호영</v>
      </c>
      <c r="C667" s="2" t="str">
        <f>IFERROR(__xludf.DUMMYFUNCTION("TRIM(INDEX(SPLIT($A667,""-""),2))
"),"카레맛~ 궁금해 혀니♬")</f>
        <v>카레맛~ 궁금해 혀니♬</v>
      </c>
    </row>
    <row r="668">
      <c r="A668" s="2" t="str">
        <f>IFERROR(__xludf.DUMMYFUNCTION("REGEXEXTRACT(raw!A668, ""&lt;\s*(.+?)\s*&gt;"")
"),"김풍 - 너마늘 위한 치킨")</f>
        <v>김풍 - 너마늘 위한 치킨</v>
      </c>
      <c r="B668" s="2" t="str">
        <f>IFERROR(__xludf.DUMMYFUNCTION("TRIM(INDEX(SPLIT($A668,""-""),1))
"),"김풍")</f>
        <v>김풍</v>
      </c>
      <c r="C668" s="2" t="str">
        <f>IFERROR(__xludf.DUMMYFUNCTION("TRIM(INDEX(SPLIT($A668,""-""),2))
"),"너마늘 위한 치킨")</f>
        <v>너마늘 위한 치킨</v>
      </c>
    </row>
    <row r="669">
      <c r="A669" s="2" t="str">
        <f>IFERROR(__xludf.DUMMYFUNCTION("REGEXEXTRACT(raw!A669, ""&lt;\s*(.+?)\s*&gt;"")
"),"정호영 - Touch 닭 body~♬")</f>
        <v>정호영 - Touch 닭 body~♬</v>
      </c>
      <c r="B669" s="2" t="str">
        <f>IFERROR(__xludf.DUMMYFUNCTION("TRIM(INDEX(SPLIT($A669,""-""),1))
"),"정호영")</f>
        <v>정호영</v>
      </c>
      <c r="C669" s="2" t="str">
        <f>IFERROR(__xludf.DUMMYFUNCTION("TRIM(INDEX(SPLIT($A669,""-""),2))
"),"Touch 닭 body~♬")</f>
        <v>Touch 닭 body~♬</v>
      </c>
    </row>
    <row r="670">
      <c r="A670" s="2" t="str">
        <f>IFERROR(__xludf.DUMMYFUNCTION("REGEXEXTRACT(raw!A670, ""&lt;\s*(.+?)\s*&gt;"")
"),"유현수 - 입맛 잡어")</f>
        <v>유현수 - 입맛 잡어</v>
      </c>
      <c r="B670" s="2" t="str">
        <f>IFERROR(__xludf.DUMMYFUNCTION("TRIM(INDEX(SPLIT($A670,""-""),1))
"),"유현수")</f>
        <v>유현수</v>
      </c>
      <c r="C670" s="2" t="str">
        <f>IFERROR(__xludf.DUMMYFUNCTION("TRIM(INDEX(SPLIT($A670,""-""),2))
"),"입맛 잡어")</f>
        <v>입맛 잡어</v>
      </c>
    </row>
    <row r="671">
      <c r="A671" s="2" t="str">
        <f>IFERROR(__xludf.DUMMYFUNCTION("REGEXEXTRACT(raw!A671, ""&lt;\s*(.+?)\s*&gt;"")
"),"정지선 -돔레이더")</f>
        <v>정지선 -돔레이더</v>
      </c>
      <c r="B671" s="2" t="str">
        <f>IFERROR(__xludf.DUMMYFUNCTION("TRIM(INDEX(SPLIT($A671,""-""),1))
"),"정지선")</f>
        <v>정지선</v>
      </c>
      <c r="C671" s="2" t="str">
        <f>IFERROR(__xludf.DUMMYFUNCTION("TRIM(INDEX(SPLIT($A671,""-""),2))
"),"돔레이더")</f>
        <v>돔레이더</v>
      </c>
    </row>
    <row r="672">
      <c r="A672" s="2" t="str">
        <f>IFERROR(__xludf.DUMMYFUNCTION("REGEXEXTRACT(raw!A672, ""&lt;\s*(.+?)\s*&gt;"")
"),"이연복 - 울금 캐비지")</f>
        <v>이연복 - 울금 캐비지</v>
      </c>
      <c r="B672" s="2" t="str">
        <f>IFERROR(__xludf.DUMMYFUNCTION("TRIM(INDEX(SPLIT($A672,""-""),1))
"),"이연복")</f>
        <v>이연복</v>
      </c>
      <c r="C672" s="2" t="str">
        <f>IFERROR(__xludf.DUMMYFUNCTION("TRIM(INDEX(SPLIT($A672,""-""),2))
"),"울금 캐비지")</f>
        <v>울금 캐비지</v>
      </c>
    </row>
    <row r="673">
      <c r="A673" s="2" t="str">
        <f>IFERROR(__xludf.DUMMYFUNCTION("REGEXEXTRACT(raw!A673, ""&lt;\s*(.+?)\s*&gt;"")
"),"미카엘 - 시나몬 아로니아 비스킷")</f>
        <v>미카엘 - 시나몬 아로니아 비스킷</v>
      </c>
      <c r="B673" s="2" t="str">
        <f>IFERROR(__xludf.DUMMYFUNCTION("TRIM(INDEX(SPLIT($A673,""-""),1))
"),"미카엘")</f>
        <v>미카엘</v>
      </c>
      <c r="C673" s="2" t="str">
        <f>IFERROR(__xludf.DUMMYFUNCTION("TRIM(INDEX(SPLIT($A673,""-""),2))
"),"시나몬 아로니아 비스킷")</f>
        <v>시나몬 아로니아 비스킷</v>
      </c>
    </row>
    <row r="674">
      <c r="A674" s="2" t="str">
        <f>IFERROR(__xludf.DUMMYFUNCTION("REGEXEXTRACT(raw!A674, ""&lt;\s*(.+?)\s*&gt;"")
"),"샘킴 - 고기말이~ 히트다 히트!")</f>
        <v>샘킴 - 고기말이~ 히트다 히트!</v>
      </c>
      <c r="B674" s="2" t="str">
        <f>IFERROR(__xludf.DUMMYFUNCTION("TRIM(INDEX(SPLIT($A674,""-""),1))
"),"샘킴")</f>
        <v>샘킴</v>
      </c>
      <c r="C674" s="2" t="str">
        <f>IFERROR(__xludf.DUMMYFUNCTION("TRIM(INDEX(SPLIT($A674,""-""),2))
"),"고기말이~ 히트다 히트!")</f>
        <v>고기말이~ 히트다 히트!</v>
      </c>
    </row>
    <row r="675">
      <c r="A675" s="2" t="str">
        <f>IFERROR(__xludf.DUMMYFUNCTION("REGEXEXTRACT(raw!A675, ""&lt;\s*(.+?)\s*&gt;"")
"),"레이먼킴 - 버거킴")</f>
        <v>레이먼킴 - 버거킴</v>
      </c>
      <c r="B675" s="2" t="str">
        <f>IFERROR(__xludf.DUMMYFUNCTION("TRIM(INDEX(SPLIT($A675,""-""),1))
"),"레이먼킴")</f>
        <v>레이먼킴</v>
      </c>
      <c r="C675" s="2" t="str">
        <f>IFERROR(__xludf.DUMMYFUNCTION("TRIM(INDEX(SPLIT($A675,""-""),2))
"),"버거킴")</f>
        <v>버거킴</v>
      </c>
    </row>
    <row r="676">
      <c r="A676" s="2" t="str">
        <f>IFERROR(__xludf.DUMMYFUNCTION("REGEXEXTRACT(raw!A676, ""&lt;\s*(.+?)\s*&gt;"")
"),"샘킴 - 어서 와~ 이런 바칼라는 처음이지?")</f>
        <v>샘킴 - 어서 와~ 이런 바칼라는 처음이지?</v>
      </c>
      <c r="B676" s="2" t="str">
        <f>IFERROR(__xludf.DUMMYFUNCTION("TRIM(INDEX(SPLIT($A676,""-""),1))
"),"샘킴")</f>
        <v>샘킴</v>
      </c>
      <c r="C676" s="2" t="str">
        <f>IFERROR(__xludf.DUMMYFUNCTION("TRIM(INDEX(SPLIT($A676,""-""),2))
"),"어서 와~ 이런 바칼라는 처음이지?")</f>
        <v>어서 와~ 이런 바칼라는 처음이지?</v>
      </c>
    </row>
    <row r="677">
      <c r="A677" s="2" t="str">
        <f>IFERROR(__xludf.DUMMYFUNCTION("REGEXEXTRACT(raw!A677, ""&lt;\s*(.+?)\s*&gt;"")
"),"토니정 - 알파고")</f>
        <v>토니정 - 알파고</v>
      </c>
      <c r="B677" s="2" t="str">
        <f>IFERROR(__xludf.DUMMYFUNCTION("TRIM(INDEX(SPLIT($A677,""-""),1))
"),"토니정")</f>
        <v>토니정</v>
      </c>
      <c r="C677" s="2" t="str">
        <f>IFERROR(__xludf.DUMMYFUNCTION("TRIM(INDEX(SPLIT($A677,""-""),2))
"),"알파고")</f>
        <v>알파고</v>
      </c>
    </row>
    <row r="678">
      <c r="A678" s="2" t="str">
        <f>IFERROR(__xludf.DUMMYFUNCTION("REGEXEXTRACT(raw!A678, ""&lt;\s*(.+?)\s*&gt;"")
"),"이연복 - 알짜배기 두부")</f>
        <v>이연복 - 알짜배기 두부</v>
      </c>
      <c r="B678" s="2" t="str">
        <f>IFERROR(__xludf.DUMMYFUNCTION("TRIM(INDEX(SPLIT($A678,""-""),1))
"),"이연복")</f>
        <v>이연복</v>
      </c>
      <c r="C678" s="2" t="str">
        <f>IFERROR(__xludf.DUMMYFUNCTION("TRIM(INDEX(SPLIT($A678,""-""),2))
"),"알짜배기 두부")</f>
        <v>알짜배기 두부</v>
      </c>
    </row>
    <row r="679">
      <c r="A679" s="2" t="str">
        <f>IFERROR(__xludf.DUMMYFUNCTION("REGEXEXTRACT(raw!A679, ""&lt;\s*(.+?)\s*&gt;"")
"),"유현수 - 두부 맛있또")</f>
        <v>유현수 - 두부 맛있또</v>
      </c>
      <c r="B679" s="2" t="str">
        <f>IFERROR(__xludf.DUMMYFUNCTION("TRIM(INDEX(SPLIT($A679,""-""),1))
"),"유현수")</f>
        <v>유현수</v>
      </c>
      <c r="C679" s="2" t="str">
        <f>IFERROR(__xludf.DUMMYFUNCTION("TRIM(INDEX(SPLIT($A679,""-""),2))
"),"두부 맛있또")</f>
        <v>두부 맛있또</v>
      </c>
    </row>
    <row r="680">
      <c r="A680" s="2" t="str">
        <f>IFERROR(__xludf.DUMMYFUNCTION("REGEXEXTRACT(raw!A680, ""&lt;\s*(.+?)\s*&gt;"")
"),"미카엘 - 생오취리")</f>
        <v>미카엘 - 생오취리</v>
      </c>
      <c r="B680" s="2" t="str">
        <f>IFERROR(__xludf.DUMMYFUNCTION("TRIM(INDEX(SPLIT($A680,""-""),1))
"),"미카엘")</f>
        <v>미카엘</v>
      </c>
      <c r="C680" s="2" t="str">
        <f>IFERROR(__xludf.DUMMYFUNCTION("TRIM(INDEX(SPLIT($A680,""-""),2))
"),"생오취리")</f>
        <v>생오취리</v>
      </c>
    </row>
    <row r="681">
      <c r="A681" s="2" t="str">
        <f>IFERROR(__xludf.DUMMYFUNCTION("REGEXEXTRACT(raw!A681, ""&lt;\s*(.+?)\s*&gt;"")
"),"오세득 - 맛있는 소고기렌당")</f>
        <v>오세득 - 맛있는 소고기렌당</v>
      </c>
      <c r="B681" s="2" t="str">
        <f>IFERROR(__xludf.DUMMYFUNCTION("TRIM(INDEX(SPLIT($A681,""-""),1))
"),"오세득")</f>
        <v>오세득</v>
      </c>
      <c r="C681" s="2" t="str">
        <f>IFERROR(__xludf.DUMMYFUNCTION("TRIM(INDEX(SPLIT($A681,""-""),2))
"),"맛있는 소고기렌당")</f>
        <v>맛있는 소고기렌당</v>
      </c>
    </row>
    <row r="682">
      <c r="A682" s="2" t="str">
        <f>IFERROR(__xludf.DUMMYFUNCTION("REGEXEXTRACT(raw!A682, ""&lt;\s*(.+?)\s*&gt;"")
"),"김풍 - 가나 가즈아~")</f>
        <v>김풍 - 가나 가즈아~</v>
      </c>
      <c r="B682" s="2" t="str">
        <f>IFERROR(__xludf.DUMMYFUNCTION("TRIM(INDEX(SPLIT($A682,""-""),1))
"),"김풍")</f>
        <v>김풍</v>
      </c>
      <c r="C682" s="2" t="str">
        <f>IFERROR(__xludf.DUMMYFUNCTION("TRIM(INDEX(SPLIT($A682,""-""),2))
"),"가나 가즈아~")</f>
        <v>가나 가즈아~</v>
      </c>
    </row>
    <row r="683">
      <c r="A683" s="2" t="str">
        <f>IFERROR(__xludf.DUMMYFUNCTION("REGEXEXTRACT(raw!A683, ""&lt;\s*(.+?)\s*&gt;"")
"),"레이먼킴 - 나이스! 라이스~")</f>
        <v>레이먼킴 - 나이스! 라이스~</v>
      </c>
      <c r="B683" s="2" t="str">
        <f>IFERROR(__xludf.DUMMYFUNCTION("TRIM(INDEX(SPLIT($A683,""-""),1))
"),"레이먼킴")</f>
        <v>레이먼킴</v>
      </c>
      <c r="C683" s="2" t="str">
        <f>IFERROR(__xludf.DUMMYFUNCTION("TRIM(INDEX(SPLIT($A683,""-""),2))
"),"나이스! 라이스~")</f>
        <v>나이스! 라이스~</v>
      </c>
    </row>
    <row r="684">
      <c r="A684" s="2" t="str">
        <f>IFERROR(__xludf.DUMMYFUNCTION("REGEXEXTRACT(raw!A684, ""&lt;\s*(.+?)\s*&gt;"")
"),"레이먼킴 - 죽빙")</f>
        <v>레이먼킴 - 죽빙</v>
      </c>
      <c r="B684" s="2" t="str">
        <f>IFERROR(__xludf.DUMMYFUNCTION("TRIM(INDEX(SPLIT($A684,""-""),1))
"),"레이먼킴")</f>
        <v>레이먼킴</v>
      </c>
      <c r="C684" s="2" t="str">
        <f>IFERROR(__xludf.DUMMYFUNCTION("TRIM(INDEX(SPLIT($A684,""-""),2))
"),"죽빙")</f>
        <v>죽빙</v>
      </c>
    </row>
    <row r="685">
      <c r="A685" s="2" t="str">
        <f>IFERROR(__xludf.DUMMYFUNCTION("REGEXEXTRACT(raw!A685, ""&lt;\s*(.+?)\s*&gt;"")
"),"오세득 - 수비드 레이서")</f>
        <v>오세득 - 수비드 레이서</v>
      </c>
      <c r="B685" s="2" t="str">
        <f>IFERROR(__xludf.DUMMYFUNCTION("TRIM(INDEX(SPLIT($A685,""-""),1))
"),"오세득")</f>
        <v>오세득</v>
      </c>
      <c r="C685" s="2" t="str">
        <f>IFERROR(__xludf.DUMMYFUNCTION("TRIM(INDEX(SPLIT($A685,""-""),2))
"),"수비드 레이서")</f>
        <v>수비드 레이서</v>
      </c>
    </row>
    <row r="686">
      <c r="A686" s="2" t="str">
        <f>IFERROR(__xludf.DUMMYFUNCTION("REGEXEXTRACT(raw!A686, ""&lt;\s*(.+?)\s*&gt;"")
"),"토니정 - 베리베리 맛있게")</f>
        <v>토니정 - 베리베리 맛있게</v>
      </c>
      <c r="B686" s="2" t="str">
        <f>IFERROR(__xludf.DUMMYFUNCTION("TRIM(INDEX(SPLIT($A686,""-""),1))
"),"토니정")</f>
        <v>토니정</v>
      </c>
      <c r="C686" s="2" t="str">
        <f>IFERROR(__xludf.DUMMYFUNCTION("TRIM(INDEX(SPLIT($A686,""-""),2))
"),"베리베리 맛있게")</f>
        <v>베리베리 맛있게</v>
      </c>
    </row>
    <row r="687">
      <c r="A687" s="2" t="str">
        <f>IFERROR(__xludf.DUMMYFUNCTION("REGEXEXTRACT(raw!A687, ""&lt;\s*(.+?)\s*&gt;"")
"),"토니유 - 골든 크랩")</f>
        <v>토니유 - 골든 크랩</v>
      </c>
      <c r="B687" s="2" t="str">
        <f>IFERROR(__xludf.DUMMYFUNCTION("TRIM(INDEX(SPLIT($A687,""-""),1))
"),"토니유")</f>
        <v>토니유</v>
      </c>
      <c r="C687" s="2" t="str">
        <f>IFERROR(__xludf.DUMMYFUNCTION("TRIM(INDEX(SPLIT($A687,""-""),2))
"),"골든 크랩")</f>
        <v>골든 크랩</v>
      </c>
    </row>
    <row r="688">
      <c r="A688" s="2" t="str">
        <f>IFERROR(__xludf.DUMMYFUNCTION("REGEXEXTRACT(raw!A688, ""&lt;\s*(.+?)\s*&gt;"")
"),"샘킴 - 샘표 한상")</f>
        <v>샘킴 - 샘표 한상</v>
      </c>
      <c r="B688" s="2" t="str">
        <f>IFERROR(__xludf.DUMMYFUNCTION("TRIM(INDEX(SPLIT($A688,""-""),1))
"),"샘킴")</f>
        <v>샘킴</v>
      </c>
      <c r="C688" s="2" t="str">
        <f>IFERROR(__xludf.DUMMYFUNCTION("TRIM(INDEX(SPLIT($A688,""-""),2))
"),"샘표 한상")</f>
        <v>샘표 한상</v>
      </c>
    </row>
    <row r="689">
      <c r="A689" s="2" t="str">
        <f>IFERROR(__xludf.DUMMYFUNCTION("REGEXEXTRACT(raw!A689, ""&lt;\s*(.+?)\s*&gt;"")
"),"정호영 - 맘스텔라")</f>
        <v>정호영 - 맘스텔라</v>
      </c>
      <c r="B689" s="2" t="str">
        <f>IFERROR(__xludf.DUMMYFUNCTION("TRIM(INDEX(SPLIT($A689,""-""),1))
"),"정호영")</f>
        <v>정호영</v>
      </c>
      <c r="C689" s="2" t="str">
        <f>IFERROR(__xludf.DUMMYFUNCTION("TRIM(INDEX(SPLIT($A689,""-""),2))
"),"맘스텔라")</f>
        <v>맘스텔라</v>
      </c>
    </row>
    <row r="690">
      <c r="A690" s="2" t="str">
        <f>IFERROR(__xludf.DUMMYFUNCTION("REGEXEXTRACT(raw!A690, ""&lt;\s*(.+?)\s*&gt;"")
"),"김풍 - 허니버터치")</f>
        <v>김풍 - 허니버터치</v>
      </c>
      <c r="B690" s="2" t="str">
        <f>IFERROR(__xludf.DUMMYFUNCTION("TRIM(INDEX(SPLIT($A690,""-""),1))
"),"김풍")</f>
        <v>김풍</v>
      </c>
      <c r="C690" s="2" t="str">
        <f>IFERROR(__xludf.DUMMYFUNCTION("TRIM(INDEX(SPLIT($A690,""-""),2))
"),"허니버터치")</f>
        <v>허니버터치</v>
      </c>
    </row>
    <row r="691">
      <c r="A691" s="2" t="str">
        <f>IFERROR(__xludf.DUMMYFUNCTION("REGEXEXTRACT(raw!A691, ""&lt;\s*(.+?)\s*&gt;"")
"),"정지선 - 차이나는 비빔면")</f>
        <v>정지선 - 차이나는 비빔면</v>
      </c>
      <c r="B691" s="2" t="str">
        <f>IFERROR(__xludf.DUMMYFUNCTION("TRIM(INDEX(SPLIT($A691,""-""),1))
"),"정지선")</f>
        <v>정지선</v>
      </c>
      <c r="C691" s="2" t="str">
        <f>IFERROR(__xludf.DUMMYFUNCTION("TRIM(INDEX(SPLIT($A691,""-""),2))
"),"차이나는 비빔면")</f>
        <v>차이나는 비빔면</v>
      </c>
    </row>
    <row r="692">
      <c r="A692" s="2" t="str">
        <f>IFERROR(__xludf.DUMMYFUNCTION("REGEXEXTRACT(raw!A692, ""&lt;\s*(.+?)\s*&gt;"")
"),"샘킴 - 참치 언더파~")</f>
        <v>샘킴 - 참치 언더파~</v>
      </c>
      <c r="B692" s="2" t="str">
        <f>IFERROR(__xludf.DUMMYFUNCTION("TRIM(INDEX(SPLIT($A692,""-""),1))
"),"샘킴")</f>
        <v>샘킴</v>
      </c>
      <c r="C692" s="2" t="str">
        <f>IFERROR(__xludf.DUMMYFUNCTION("TRIM(INDEX(SPLIT($A692,""-""),2))
"),"참치 언더파~")</f>
        <v>참치 언더파~</v>
      </c>
    </row>
    <row r="693">
      <c r="A693" s="2" t="str">
        <f>IFERROR(__xludf.DUMMYFUNCTION("REGEXEXTRACT(raw!A693, ""&lt;\s*(.+?)\s*&gt;"")
"),"치로 - 스피드 스퀴드")</f>
        <v>치로 - 스피드 스퀴드</v>
      </c>
      <c r="B693" s="2" t="str">
        <f>IFERROR(__xludf.DUMMYFUNCTION("TRIM(INDEX(SPLIT($A693,""-""),1))
"),"치로")</f>
        <v>치로</v>
      </c>
      <c r="C693" s="2" t="str">
        <f>IFERROR(__xludf.DUMMYFUNCTION("TRIM(INDEX(SPLIT($A693,""-""),2))
"),"스피드 스퀴드")</f>
        <v>스피드 스퀴드</v>
      </c>
    </row>
    <row r="694">
      <c r="A694" s="2" t="str">
        <f>IFERROR(__xludf.DUMMYFUNCTION("REGEXEXTRACT(raw!A694, ""&lt;\s*(.+?)\s*&gt;"")
"),"레이먼킴 - 월드클래스 삼합")</f>
        <v>레이먼킴 - 월드클래스 삼합</v>
      </c>
      <c r="B694" s="2" t="str">
        <f>IFERROR(__xludf.DUMMYFUNCTION("TRIM(INDEX(SPLIT($A694,""-""),1))
"),"레이먼킴")</f>
        <v>레이먼킴</v>
      </c>
      <c r="C694" s="2" t="str">
        <f>IFERROR(__xludf.DUMMYFUNCTION("TRIM(INDEX(SPLIT($A694,""-""),2))
"),"월드클래스 삼합")</f>
        <v>월드클래스 삼합</v>
      </c>
    </row>
    <row r="695">
      <c r="A695" s="2" t="str">
        <f>IFERROR(__xludf.DUMMYFUNCTION("REGEXEXTRACT(raw!A695, ""&lt;\s*(.+?)\s*&gt;"")
"),"루퍼트 - 세리볼 나이스샷")</f>
        <v>루퍼트 - 세리볼 나이스샷</v>
      </c>
      <c r="B695" s="2" t="str">
        <f>IFERROR(__xludf.DUMMYFUNCTION("TRIM(INDEX(SPLIT($A695,""-""),1))
"),"루퍼트")</f>
        <v>루퍼트</v>
      </c>
      <c r="C695" s="2" t="str">
        <f>IFERROR(__xludf.DUMMYFUNCTION("TRIM(INDEX(SPLIT($A695,""-""),2))
"),"세리볼 나이스샷")</f>
        <v>세리볼 나이스샷</v>
      </c>
    </row>
    <row r="696">
      <c r="A696" s="2" t="str">
        <f>IFERROR(__xludf.DUMMYFUNCTION("REGEXEXTRACT(raw!A696, ""&lt;\s*(.+?)\s*&gt;"")
"),"이연복&amp;김풍 - 연복풍 완자")</f>
        <v>이연복&amp;김풍 - 연복풍 완자</v>
      </c>
      <c r="B696" s="2" t="str">
        <f>IFERROR(__xludf.DUMMYFUNCTION("TRIM(INDEX(SPLIT($A696,""-""),1))
"),"이연복&amp;김풍")</f>
        <v>이연복&amp;김풍</v>
      </c>
      <c r="C696" s="2" t="str">
        <f>IFERROR(__xludf.DUMMYFUNCTION("TRIM(INDEX(SPLIT($A696,""-""),2))
"),"연복풍 완자")</f>
        <v>연복풍 완자</v>
      </c>
    </row>
    <row r="697">
      <c r="A697" s="2" t="str">
        <f>IFERROR(__xludf.DUMMYFUNCTION("REGEXEXTRACT(raw!A697, ""&lt;\s*(.+?)\s*&gt;"")
"),"모토카와&amp;정호영 - 추바라시")</f>
        <v>모토카와&amp;정호영 - 추바라시</v>
      </c>
      <c r="B697" s="2" t="str">
        <f>IFERROR(__xludf.DUMMYFUNCTION("TRIM(INDEX(SPLIT($A697,""-""),1))
"),"모토카와&amp;정호영")</f>
        <v>모토카와&amp;정호영</v>
      </c>
      <c r="C697" s="2" t="str">
        <f>IFERROR(__xludf.DUMMYFUNCTION("TRIM(INDEX(SPLIT($A697,""-""),2))
"),"추바라시")</f>
        <v>추바라시</v>
      </c>
    </row>
    <row r="698">
      <c r="A698" s="2" t="str">
        <f>IFERROR(__xludf.DUMMYFUNCTION("REGEXEXTRACT(raw!A698, ""&lt;\s*(.+?)\s*&gt;"")
"),"유현수 - 추추테일러")</f>
        <v>유현수 - 추추테일러</v>
      </c>
      <c r="B698" s="2" t="str">
        <f>IFERROR(__xludf.DUMMYFUNCTION("TRIM(INDEX(SPLIT($A698,""-""),1))
"),"유현수")</f>
        <v>유현수</v>
      </c>
      <c r="C698" s="2" t="str">
        <f>IFERROR(__xludf.DUMMYFUNCTION("TRIM(INDEX(SPLIT($A698,""-""),2))
"),"추추테일러")</f>
        <v>추추테일러</v>
      </c>
    </row>
    <row r="699">
      <c r="A699" s="2" t="str">
        <f>IFERROR(__xludf.DUMMYFUNCTION("REGEXEXTRACT(raw!A699, ""&lt;\s*(.+?)\s*&gt;"")
"),"벤자민 - K.F.C.(Korean Fried Chicken)")</f>
        <v>벤자민 - K.F.C.(Korean Fried Chicken)</v>
      </c>
      <c r="B699" s="2" t="str">
        <f>IFERROR(__xludf.DUMMYFUNCTION("TRIM(INDEX(SPLIT($A699,""-""),1))
"),"벤자민")</f>
        <v>벤자민</v>
      </c>
      <c r="C699" s="2" t="str">
        <f>IFERROR(__xludf.DUMMYFUNCTION("TRIM(INDEX(SPLIT($A699,""-""),2))
"),"K.F.C.(Korean Fried Chicken)")</f>
        <v>K.F.C.(Korean Fried Chicken)</v>
      </c>
    </row>
    <row r="700">
      <c r="A700" s="2" t="str">
        <f>IFERROR(__xludf.DUMMYFUNCTION("REGEXEXTRACT(raw!A700, ""&lt;\s*(.+?)\s*&gt;"")
"),"레이먼킴 - 투가스")</f>
        <v>레이먼킴 - 투가스</v>
      </c>
      <c r="B700" s="2" t="str">
        <f>IFERROR(__xludf.DUMMYFUNCTION("TRIM(INDEX(SPLIT($A700,""-""),1))
"),"레이먼킴")</f>
        <v>레이먼킴</v>
      </c>
      <c r="C700" s="2" t="str">
        <f>IFERROR(__xludf.DUMMYFUNCTION("TRIM(INDEX(SPLIT($A700,""-""),2))
"),"투가스")</f>
        <v>투가스</v>
      </c>
    </row>
    <row r="701">
      <c r="A701" s="2" t="str">
        <f>IFERROR(__xludf.DUMMYFUNCTION("REGEXEXTRACT(raw!A701, ""&lt;\s*(.+?)\s*&gt;"")
"),"정호영 - 프리하새우")</f>
        <v>정호영 - 프리하새우</v>
      </c>
      <c r="B701" s="2" t="str">
        <f>IFERROR(__xludf.DUMMYFUNCTION("TRIM(INDEX(SPLIT($A701,""-""),1))
"),"정호영")</f>
        <v>정호영</v>
      </c>
      <c r="C701" s="2" t="str">
        <f>IFERROR(__xludf.DUMMYFUNCTION("TRIM(INDEX(SPLIT($A701,""-""),2))
"),"프리하새우")</f>
        <v>프리하새우</v>
      </c>
    </row>
    <row r="702">
      <c r="A702" s="2" t="str">
        <f>IFERROR(__xludf.DUMMYFUNCTION("REGEXEXTRACT(raw!A702, ""&lt;\s*(.+?)\s*&gt;"")
"),"유현수 - 폼나는 조식")</f>
        <v>유현수 - 폼나는 조식</v>
      </c>
      <c r="B702" s="2" t="str">
        <f>IFERROR(__xludf.DUMMYFUNCTION("TRIM(INDEX(SPLIT($A702,""-""),1))
"),"유현수")</f>
        <v>유현수</v>
      </c>
      <c r="C702" s="2" t="str">
        <f>IFERROR(__xludf.DUMMYFUNCTION("TRIM(INDEX(SPLIT($A702,""-""),2))
"),"폼나는 조식")</f>
        <v>폼나는 조식</v>
      </c>
    </row>
    <row r="703">
      <c r="A703" s="2" t="str">
        <f>IFERROR(__xludf.DUMMYFUNCTION("REGEXEXTRACT(raw!A703, ""&lt;\s*(.+?)\s*&gt;"")
"),"오세득 - 수플레가 모닝?")</f>
        <v>오세득 - 수플레가 모닝?</v>
      </c>
      <c r="B703" s="2" t="str">
        <f>IFERROR(__xludf.DUMMYFUNCTION("TRIM(INDEX(SPLIT($A703,""-""),1))
"),"오세득")</f>
        <v>오세득</v>
      </c>
      <c r="C703" s="2" t="str">
        <f>IFERROR(__xludf.DUMMYFUNCTION("TRIM(INDEX(SPLIT($A703,""-""),2))
"),"수플레가 모닝?")</f>
        <v>수플레가 모닝?</v>
      </c>
    </row>
    <row r="704">
      <c r="A704" s="2" t="str">
        <f>IFERROR(__xludf.DUMMYFUNCTION("REGEXEXTRACT(raw!A704, ""&lt;\s*(.+?)\s*&gt;"")
"),"김풍 - 나도 어디서 꿀리진 않魚")</f>
        <v>김풍 - 나도 어디서 꿀리진 않魚</v>
      </c>
      <c r="B704" s="2" t="str">
        <f>IFERROR(__xludf.DUMMYFUNCTION("TRIM(INDEX(SPLIT($A704,""-""),1))
"),"김풍")</f>
        <v>김풍</v>
      </c>
      <c r="C704" s="2" t="str">
        <f>IFERROR(__xludf.DUMMYFUNCTION("TRIM(INDEX(SPLIT($A704,""-""),2))
"),"나도 어디서 꿀리진 않魚")</f>
        <v>나도 어디서 꿀리진 않魚</v>
      </c>
    </row>
    <row r="705">
      <c r="A705" s="2" t="str">
        <f>IFERROR(__xludf.DUMMYFUNCTION("REGEXEXTRACT(raw!A705, ""&lt;\s*(.+?)\s*&gt;"")
"),"샘킴 - 치즈 쇼타임~마!")</f>
        <v>샘킴 - 치즈 쇼타임~마!</v>
      </c>
      <c r="B705" s="2" t="str">
        <f>IFERROR(__xludf.DUMMYFUNCTION("TRIM(INDEX(SPLIT($A705,""-""),1))
"),"샘킴")</f>
        <v>샘킴</v>
      </c>
      <c r="C705" s="2" t="str">
        <f>IFERROR(__xludf.DUMMYFUNCTION("TRIM(INDEX(SPLIT($A705,""-""),2))
"),"치즈 쇼타임~마!")</f>
        <v>치즈 쇼타임~마!</v>
      </c>
    </row>
    <row r="706">
      <c r="A706" s="2" t="str">
        <f>IFERROR(__xludf.DUMMYFUNCTION("REGEXEXTRACT(raw!A706, ""&lt;\s*(.+?)\s*&gt;"")
"),"이연복 - 곤짜장")</f>
        <v>이연복 - 곤짜장</v>
      </c>
      <c r="B706" s="2" t="str">
        <f>IFERROR(__xludf.DUMMYFUNCTION("TRIM(INDEX(SPLIT($A706,""-""),1))
"),"이연복")</f>
        <v>이연복</v>
      </c>
      <c r="C706" s="2" t="str">
        <f>IFERROR(__xludf.DUMMYFUNCTION("TRIM(INDEX(SPLIT($A706,""-""),2))
"),"곤짜장")</f>
        <v>곤짜장</v>
      </c>
    </row>
    <row r="707">
      <c r="A707" s="2" t="str">
        <f>IFERROR(__xludf.DUMMYFUNCTION("REGEXEXTRACT(raw!A707, ""&lt;\s*(.+?)\s*&gt;"")
"),"미카엘 - 치킨 치즈 스마일")</f>
        <v>미카엘 - 치킨 치즈 스마일</v>
      </c>
      <c r="B707" s="2" t="str">
        <f>IFERROR(__xludf.DUMMYFUNCTION("TRIM(INDEX(SPLIT($A707,""-""),1))
"),"미카엘")</f>
        <v>미카엘</v>
      </c>
      <c r="C707" s="2" t="str">
        <f>IFERROR(__xludf.DUMMYFUNCTION("TRIM(INDEX(SPLIT($A707,""-""),2))
"),"치킨 치즈 스마일")</f>
        <v>치킨 치즈 스마일</v>
      </c>
    </row>
    <row r="708">
      <c r="A708" s="2" t="str">
        <f>IFERROR(__xludf.DUMMYFUNCTION("REGEXEXTRACT(raw!A708, ""&lt;\s*(.+?)\s*&gt;"")
"),"이연복 - 연볶면")</f>
        <v>이연복 - 연볶면</v>
      </c>
      <c r="B708" s="2" t="str">
        <f>IFERROR(__xludf.DUMMYFUNCTION("TRIM(INDEX(SPLIT($A708,""-""),1))
"),"이연복")</f>
        <v>이연복</v>
      </c>
      <c r="C708" s="2" t="str">
        <f>IFERROR(__xludf.DUMMYFUNCTION("TRIM(INDEX(SPLIT($A708,""-""),2))
"),"연볶면")</f>
        <v>연볶면</v>
      </c>
    </row>
    <row r="709">
      <c r="A709" s="2" t="str">
        <f>IFERROR(__xludf.DUMMYFUNCTION("REGEXEXTRACT(raw!A709, ""&lt;\s*(.+?)\s*&gt;"")
"),"정지선 - 볶출어람")</f>
        <v>정지선 - 볶출어람</v>
      </c>
      <c r="B709" s="2" t="str">
        <f>IFERROR(__xludf.DUMMYFUNCTION("TRIM(INDEX(SPLIT($A709,""-""),1))
"),"정지선")</f>
        <v>정지선</v>
      </c>
      <c r="C709" s="2" t="str">
        <f>IFERROR(__xludf.DUMMYFUNCTION("TRIM(INDEX(SPLIT($A709,""-""),2))
"),"볶출어람")</f>
        <v>볶출어람</v>
      </c>
    </row>
    <row r="710">
      <c r="A710" s="2" t="str">
        <f>IFERROR(__xludf.DUMMYFUNCTION("REGEXEXTRACT(raw!A710, ""&lt;\s*(.+?)\s*&gt;"")
"),"정호영 - 안심하고 튀겼새우")</f>
        <v>정호영 - 안심하고 튀겼새우</v>
      </c>
      <c r="B710" s="2" t="str">
        <f>IFERROR(__xludf.DUMMYFUNCTION("TRIM(INDEX(SPLIT($A710,""-""),1))
"),"정호영")</f>
        <v>정호영</v>
      </c>
      <c r="C710" s="2" t="str">
        <f>IFERROR(__xludf.DUMMYFUNCTION("TRIM(INDEX(SPLIT($A710,""-""),2))
"),"안심하고 튀겼새우")</f>
        <v>안심하고 튀겼새우</v>
      </c>
    </row>
    <row r="711">
      <c r="A711" s="2" t="str">
        <f>IFERROR(__xludf.DUMMYFUNCTION("REGEXEXTRACT(raw!A711, ""&lt;\s*(.+?)\s*&gt;"")
"),"김풍 - 두고보샤")</f>
        <v>김풍 - 두고보샤</v>
      </c>
      <c r="B711" s="2" t="str">
        <f>IFERROR(__xludf.DUMMYFUNCTION("TRIM(INDEX(SPLIT($A711,""-""),1))
"),"김풍")</f>
        <v>김풍</v>
      </c>
      <c r="C711" s="2" t="str">
        <f>IFERROR(__xludf.DUMMYFUNCTION("TRIM(INDEX(SPLIT($A711,""-""),2))
"),"두고보샤")</f>
        <v>두고보샤</v>
      </c>
    </row>
    <row r="712">
      <c r="A712" s="2" t="str">
        <f>IFERROR(__xludf.DUMMYFUNCTION("REGEXEXTRACT(raw!A712, ""&lt;\s*(.+?)\s*&gt;"")
"),"유현수 - 파스타가 캐비아")</f>
        <v>유현수 - 파스타가 캐비아</v>
      </c>
      <c r="B712" s="2" t="str">
        <f>IFERROR(__xludf.DUMMYFUNCTION("TRIM(INDEX(SPLIT($A712,""-""),1))
"),"유현수")</f>
        <v>유현수</v>
      </c>
      <c r="C712" s="2" t="str">
        <f>IFERROR(__xludf.DUMMYFUNCTION("TRIM(INDEX(SPLIT($A712,""-""),2))
"),"파스타가 캐비아")</f>
        <v>파스타가 캐비아</v>
      </c>
    </row>
    <row r="713">
      <c r="A713" s="2" t="str">
        <f>IFERROR(__xludf.DUMMYFUNCTION("REGEXEXTRACT(raw!A713, ""&lt;\s*(.+?)\s*&gt;"")
"),"샘킴 - 돈 코스")</f>
        <v>샘킴 - 돈 코스</v>
      </c>
      <c r="B713" s="2" t="str">
        <f>IFERROR(__xludf.DUMMYFUNCTION("TRIM(INDEX(SPLIT($A713,""-""),1))
"),"샘킴")</f>
        <v>샘킴</v>
      </c>
      <c r="C713" s="2" t="str">
        <f>IFERROR(__xludf.DUMMYFUNCTION("TRIM(INDEX(SPLIT($A713,""-""),2))
"),"돈 코스")</f>
        <v>돈 코스</v>
      </c>
    </row>
    <row r="714">
      <c r="A714" s="2" t="str">
        <f>IFERROR(__xludf.DUMMYFUNCTION("REGEXEXTRACT(raw!A714, ""&lt;\s*(.+?)\s*&gt;"")
"),"오세득 - 타조가 조타")</f>
        <v>오세득 - 타조가 조타</v>
      </c>
      <c r="B714" s="2" t="str">
        <f>IFERROR(__xludf.DUMMYFUNCTION("TRIM(INDEX(SPLIT($A714,""-""),1))
"),"오세득")</f>
        <v>오세득</v>
      </c>
      <c r="C714" s="2" t="str">
        <f>IFERROR(__xludf.DUMMYFUNCTION("TRIM(INDEX(SPLIT($A714,""-""),2))
"),"타조가 조타")</f>
        <v>타조가 조타</v>
      </c>
    </row>
    <row r="715">
      <c r="A715" s="2" t="str">
        <f>IFERROR(__xludf.DUMMYFUNCTION("REGEXEXTRACT(raw!A715, ""&lt;\s*(.+?)\s*&gt;"")
"),"레이먼킴 - 돈스테이크")</f>
        <v>레이먼킴 - 돈스테이크</v>
      </c>
      <c r="B715" s="2" t="str">
        <f>IFERROR(__xludf.DUMMYFUNCTION("TRIM(INDEX(SPLIT($A715,""-""),1))
"),"레이먼킴")</f>
        <v>레이먼킴</v>
      </c>
      <c r="C715" s="2" t="str">
        <f>IFERROR(__xludf.DUMMYFUNCTION("TRIM(INDEX(SPLIT($A715,""-""),2))
"),"돈스테이크")</f>
        <v>돈스테이크</v>
      </c>
    </row>
    <row r="716">
      <c r="A716" s="2" t="str">
        <f>IFERROR(__xludf.DUMMYFUNCTION("REGEXEXTRACT(raw!A716, ""&lt;\s*(.+?)\s*&gt;"")
"),"김풍 - 비먹부먹")</f>
        <v>김풍 - 비먹부먹</v>
      </c>
      <c r="B716" s="2" t="str">
        <f>IFERROR(__xludf.DUMMYFUNCTION("TRIM(INDEX(SPLIT($A716,""-""),1))
"),"김풍")</f>
        <v>김풍</v>
      </c>
      <c r="C716" s="2" t="str">
        <f>IFERROR(__xludf.DUMMYFUNCTION("TRIM(INDEX(SPLIT($A716,""-""),2))
"),"비먹부먹")</f>
        <v>비먹부먹</v>
      </c>
    </row>
    <row r="717">
      <c r="A717" s="2" t="str">
        <f>IFERROR(__xludf.DUMMYFUNCTION("REGEXEXTRACT(raw!A717, ""&lt;\s*(.+?)\s*&gt;"")
"),"오세득 - 팟타이가 맛있돔")</f>
        <v>오세득 - 팟타이가 맛있돔</v>
      </c>
      <c r="B717" s="2" t="str">
        <f>IFERROR(__xludf.DUMMYFUNCTION("TRIM(INDEX(SPLIT($A717,""-""),1))
"),"오세득")</f>
        <v>오세득</v>
      </c>
      <c r="C717" s="2" t="str">
        <f>IFERROR(__xludf.DUMMYFUNCTION("TRIM(INDEX(SPLIT($A717,""-""),2))
"),"팟타이가 맛있돔")</f>
        <v>팟타이가 맛있돔</v>
      </c>
    </row>
    <row r="718">
      <c r="A718" s="2" t="str">
        <f>IFERROR(__xludf.DUMMYFUNCTION("REGEXEXTRACT(raw!A718, ""&lt;\s*(.+?)\s*&gt;"")
"),"샘킴 - 고기의 품격")</f>
        <v>샘킴 - 고기의 품격</v>
      </c>
      <c r="B718" s="2" t="str">
        <f>IFERROR(__xludf.DUMMYFUNCTION("TRIM(INDEX(SPLIT($A718,""-""),1))
"),"샘킴")</f>
        <v>샘킴</v>
      </c>
      <c r="C718" s="2" t="str">
        <f>IFERROR(__xludf.DUMMYFUNCTION("TRIM(INDEX(SPLIT($A718,""-""),2))
"),"고기의 품격")</f>
        <v>고기의 품격</v>
      </c>
    </row>
    <row r="719">
      <c r="A719" s="2" t="str">
        <f>IFERROR(__xludf.DUMMYFUNCTION("REGEXEXTRACT(raw!A719, ""&lt;\s*(.+?)\s*&gt;"")
"),"미카엘 - 파이팅롤")</f>
        <v>미카엘 - 파이팅롤</v>
      </c>
      <c r="B719" s="2" t="str">
        <f>IFERROR(__xludf.DUMMYFUNCTION("TRIM(INDEX(SPLIT($A719,""-""),1))
"),"미카엘")</f>
        <v>미카엘</v>
      </c>
      <c r="C719" s="2" t="str">
        <f>IFERROR(__xludf.DUMMYFUNCTION("TRIM(INDEX(SPLIT($A719,""-""),2))
"),"파이팅롤")</f>
        <v>파이팅롤</v>
      </c>
    </row>
    <row r="720">
      <c r="A720" s="2" t="str">
        <f>IFERROR(__xludf.DUMMYFUNCTION("REGEXEXTRACT(raw!A720, ""&lt;\s*(.+?)\s*&gt;"")
"),"레이먼킴 - 푸딩이 최고당")</f>
        <v>레이먼킴 - 푸딩이 최고당</v>
      </c>
      <c r="B720" s="2" t="str">
        <f>IFERROR(__xludf.DUMMYFUNCTION("TRIM(INDEX(SPLIT($A720,""-""),1))
"),"레이먼킴")</f>
        <v>레이먼킴</v>
      </c>
      <c r="C720" s="2" t="str">
        <f>IFERROR(__xludf.DUMMYFUNCTION("TRIM(INDEX(SPLIT($A720,""-""),2))
"),"푸딩이 최고당")</f>
        <v>푸딩이 최고당</v>
      </c>
    </row>
    <row r="721">
      <c r="A721" s="2" t="str">
        <f>IFERROR(__xludf.DUMMYFUNCTION("REGEXEXTRACT(raw!A721, ""&lt;\s*(.+?)\s*&gt;"")
"),"토니정 - 티라미수코리아")</f>
        <v>토니정 - 티라미수코리아</v>
      </c>
      <c r="B721" s="2" t="str">
        <f>IFERROR(__xludf.DUMMYFUNCTION("TRIM(INDEX(SPLIT($A721,""-""),1))
"),"토니정")</f>
        <v>토니정</v>
      </c>
      <c r="C721" s="2" t="str">
        <f>IFERROR(__xludf.DUMMYFUNCTION("TRIM(INDEX(SPLIT($A721,""-""),2))
"),"티라미수코리아")</f>
        <v>티라미수코리아</v>
      </c>
    </row>
    <row r="722">
      <c r="A722" s="2" t="str">
        <f>IFERROR(__xludf.DUMMYFUNCTION("REGEXEXTRACT(raw!A722, ""&lt;\s*(.+?)\s*&gt;"")
"),"이연복 - 나이스~튜")</f>
        <v>이연복 - 나이스~튜</v>
      </c>
      <c r="B722" s="2" t="str">
        <f>IFERROR(__xludf.DUMMYFUNCTION("TRIM(INDEX(SPLIT($A722,""-""),1))
"),"이연복")</f>
        <v>이연복</v>
      </c>
      <c r="C722" s="2" t="str">
        <f>IFERROR(__xludf.DUMMYFUNCTION("TRIM(INDEX(SPLIT($A722,""-""),2))
"),"나이스~튜")</f>
        <v>나이스~튜</v>
      </c>
    </row>
    <row r="723">
      <c r="A723" s="2" t="str">
        <f>IFERROR(__xludf.DUMMYFUNCTION("REGEXEXTRACT(raw!A723, ""&lt;\s*(.+?)\s*&gt;"")
"),"유현수 - 라돌체비타")</f>
        <v>유현수 - 라돌체비타</v>
      </c>
      <c r="B723" s="2" t="str">
        <f>IFERROR(__xludf.DUMMYFUNCTION("TRIM(INDEX(SPLIT($A723,""-""),1))
"),"유현수")</f>
        <v>유현수</v>
      </c>
      <c r="C723" s="2" t="str">
        <f>IFERROR(__xludf.DUMMYFUNCTION("TRIM(INDEX(SPLIT($A723,""-""),2))
"),"라돌체비타")</f>
        <v>라돌체비타</v>
      </c>
    </row>
    <row r="724">
      <c r="A724" s="2" t="str">
        <f>IFERROR(__xludf.DUMMYFUNCTION("REGEXEXTRACT(raw!A724, ""&lt;\s*(.+?)\s*&gt;"")
"),"레이먼킴 - 술 당길 만두 하지")</f>
        <v>레이먼킴 - 술 당길 만두 하지</v>
      </c>
      <c r="B724" s="2" t="str">
        <f>IFERROR(__xludf.DUMMYFUNCTION("TRIM(INDEX(SPLIT($A724,""-""),1))
"),"레이먼킴")</f>
        <v>레이먼킴</v>
      </c>
      <c r="C724" s="2" t="str">
        <f>IFERROR(__xludf.DUMMYFUNCTION("TRIM(INDEX(SPLIT($A724,""-""),2))
"),"술 당길 만두 하지")</f>
        <v>술 당길 만두 하지</v>
      </c>
    </row>
    <row r="725">
      <c r="A725" s="2" t="str">
        <f>IFERROR(__xludf.DUMMYFUNCTION("REGEXEXTRACT(raw!A725, ""&lt;\s*(.+?)\s*&gt;"")
"),"미카엘 - 불금 가즈아!")</f>
        <v>미카엘 - 불금 가즈아!</v>
      </c>
      <c r="B725" s="2" t="str">
        <f>IFERROR(__xludf.DUMMYFUNCTION("TRIM(INDEX(SPLIT($A725,""-""),1))
"),"미카엘")</f>
        <v>미카엘</v>
      </c>
      <c r="C725" s="2" t="str">
        <f>IFERROR(__xludf.DUMMYFUNCTION("TRIM(INDEX(SPLIT($A725,""-""),2))
"),"불금 가즈아!")</f>
        <v>불금 가즈아!</v>
      </c>
    </row>
    <row r="726">
      <c r="A726" s="2" t="str">
        <f>IFERROR(__xludf.DUMMYFUNCTION("REGEXEXTRACT(raw!A726, ""&lt;\s*(.+?)\s*&gt;"")
"),"김풍 - 냉쌈온쌈")</f>
        <v>김풍 - 냉쌈온쌈</v>
      </c>
      <c r="B726" s="2" t="str">
        <f>IFERROR(__xludf.DUMMYFUNCTION("TRIM(INDEX(SPLIT($A726,""-""),1))
"),"김풍")</f>
        <v>김풍</v>
      </c>
      <c r="C726" s="2" t="str">
        <f>IFERROR(__xludf.DUMMYFUNCTION("TRIM(INDEX(SPLIT($A726,""-""),2))
"),"냉쌈온쌈")</f>
        <v>냉쌈온쌈</v>
      </c>
    </row>
    <row r="727">
      <c r="A727" s="2" t="str">
        <f>IFERROR(__xludf.DUMMYFUNCTION("REGEXEXTRACT(raw!A727, ""&lt;\s*(.+?)\s*&gt;"")
"),"유현수 - 오윤기 쌈밥")</f>
        <v>유현수 - 오윤기 쌈밥</v>
      </c>
      <c r="B727" s="2" t="str">
        <f>IFERROR(__xludf.DUMMYFUNCTION("TRIM(INDEX(SPLIT($A727,""-""),1))
"),"유현수")</f>
        <v>유현수</v>
      </c>
      <c r="C727" s="2" t="str">
        <f>IFERROR(__xludf.DUMMYFUNCTION("TRIM(INDEX(SPLIT($A727,""-""),2))
"),"오윤기 쌈밥")</f>
        <v>오윤기 쌈밥</v>
      </c>
    </row>
    <row r="728">
      <c r="A728" s="2" t="str">
        <f>IFERROR(__xludf.DUMMYFUNCTION("REGEXEXTRACT(raw!A728, ""&lt;\s*(.+?)\s*&gt;"")
"),"이연복 - 복칼로리 피자")</f>
        <v>이연복 - 복칼로리 피자</v>
      </c>
      <c r="B728" s="2" t="str">
        <f>IFERROR(__xludf.DUMMYFUNCTION("TRIM(INDEX(SPLIT($A728,""-""),1))
"),"이연복")</f>
        <v>이연복</v>
      </c>
      <c r="C728" s="2" t="str">
        <f>IFERROR(__xludf.DUMMYFUNCTION("TRIM(INDEX(SPLIT($A728,""-""),2))
"),"복칼로리 피자")</f>
        <v>복칼로리 피자</v>
      </c>
    </row>
    <row r="729">
      <c r="A729" s="2" t="str">
        <f>IFERROR(__xludf.DUMMYFUNCTION("REGEXEXTRACT(raw!A729, ""&lt;\s*(.+?)\s*&gt;"")
"),"오세득 - 도리아랑")</f>
        <v>오세득 - 도리아랑</v>
      </c>
      <c r="B729" s="2" t="str">
        <f>IFERROR(__xludf.DUMMYFUNCTION("TRIM(INDEX(SPLIT($A729,""-""),1))
"),"오세득")</f>
        <v>오세득</v>
      </c>
      <c r="C729" s="2" t="str">
        <f>IFERROR(__xludf.DUMMYFUNCTION("TRIM(INDEX(SPLIT($A729,""-""),2))
"),"도리아랑")</f>
        <v>도리아랑</v>
      </c>
    </row>
    <row r="730">
      <c r="A730" s="2" t="str">
        <f>IFERROR(__xludf.DUMMYFUNCTION("REGEXEXTRACT(raw!A730, ""&lt;\s*(.+?)\s*&gt;"")
"),"샘킴 - 전주행")</f>
        <v>샘킴 - 전주행</v>
      </c>
      <c r="B730" s="2" t="str">
        <f>IFERROR(__xludf.DUMMYFUNCTION("TRIM(INDEX(SPLIT($A730,""-""),1))
"),"샘킴")</f>
        <v>샘킴</v>
      </c>
      <c r="C730" s="2" t="str">
        <f>IFERROR(__xludf.DUMMYFUNCTION("TRIM(INDEX(SPLIT($A730,""-""),2))
"),"전주행")</f>
        <v>전주행</v>
      </c>
    </row>
    <row r="731">
      <c r="A731" s="2" t="str">
        <f>IFERROR(__xludf.DUMMYFUNCTION("REGEXEXTRACT(raw!A731, ""&lt;\s*(.+?)\s*&gt;"")
"),"정호영 - 집밥 정선생")</f>
        <v>정호영 - 집밥 정선생</v>
      </c>
      <c r="B731" s="2" t="str">
        <f>IFERROR(__xludf.DUMMYFUNCTION("TRIM(INDEX(SPLIT($A731,""-""),1))
"),"정호영")</f>
        <v>정호영</v>
      </c>
      <c r="C731" s="2" t="str">
        <f>IFERROR(__xludf.DUMMYFUNCTION("TRIM(INDEX(SPLIT($A731,""-""),2))
"),"집밥 정선생")</f>
        <v>집밥 정선생</v>
      </c>
    </row>
    <row r="732">
      <c r="A732" s="2" t="str">
        <f>IFERROR(__xludf.DUMMYFUNCTION("REGEXEXTRACT(raw!A732, ""&lt;\s*(.+?)\s*&gt;"")
"),"샘킴 - 이츠 대파타임")</f>
        <v>샘킴 - 이츠 대파타임</v>
      </c>
      <c r="B732" s="2" t="str">
        <f>IFERROR(__xludf.DUMMYFUNCTION("TRIM(INDEX(SPLIT($A732,""-""),1))
"),"샘킴")</f>
        <v>샘킴</v>
      </c>
      <c r="C732" s="2" t="str">
        <f>IFERROR(__xludf.DUMMYFUNCTION("TRIM(INDEX(SPLIT($A732,""-""),2))
"),"이츠 대파타임")</f>
        <v>이츠 대파타임</v>
      </c>
    </row>
    <row r="733">
      <c r="A733" s="2" t="str">
        <f>IFERROR(__xludf.DUMMYFUNCTION("REGEXEXTRACT(raw!A733, ""&lt;\s*(.+?)\s*&gt;"")
"),"유현수 - 갓다니엘 정식")</f>
        <v>유현수 - 갓다니엘 정식</v>
      </c>
      <c r="B733" s="2" t="str">
        <f>IFERROR(__xludf.DUMMYFUNCTION("TRIM(INDEX(SPLIT($A733,""-""),1))
"),"유현수")</f>
        <v>유현수</v>
      </c>
      <c r="C733" s="2" t="str">
        <f>IFERROR(__xludf.DUMMYFUNCTION("TRIM(INDEX(SPLIT($A733,""-""),2))
"),"갓다니엘 정식")</f>
        <v>갓다니엘 정식</v>
      </c>
    </row>
    <row r="734">
      <c r="A734" s="2" t="str">
        <f>IFERROR(__xludf.DUMMYFUNCTION("REGEXEXTRACT(raw!A734, ""&lt;\s*(.+?)\s*&gt;"")
"),"레이먼킴 - 레옹 정식")</f>
        <v>레이먼킴 - 레옹 정식</v>
      </c>
      <c r="B734" s="2" t="str">
        <f>IFERROR(__xludf.DUMMYFUNCTION("TRIM(INDEX(SPLIT($A734,""-""),1))
"),"레이먼킴")</f>
        <v>레이먼킴</v>
      </c>
      <c r="C734" s="2" t="str">
        <f>IFERROR(__xludf.DUMMYFUNCTION("TRIM(INDEX(SPLIT($A734,""-""),2))
"),"레옹 정식")</f>
        <v>레옹 정식</v>
      </c>
    </row>
    <row r="735">
      <c r="A735" s="2" t="str">
        <f>IFERROR(__xludf.DUMMYFUNCTION("REGEXEXTRACT(raw!A735, ""&lt;\s*(.+?)\s*&gt;"")
"),"김풍 - 카르옹나라")</f>
        <v>김풍 - 카르옹나라</v>
      </c>
      <c r="B735" s="2" t="str">
        <f>IFERROR(__xludf.DUMMYFUNCTION("TRIM(INDEX(SPLIT($A735,""-""),1))
"),"김풍")</f>
        <v>김풍</v>
      </c>
      <c r="C735" s="2" t="str">
        <f>IFERROR(__xludf.DUMMYFUNCTION("TRIM(INDEX(SPLIT($A735,""-""),2))
"),"카르옹나라")</f>
        <v>카르옹나라</v>
      </c>
    </row>
    <row r="736">
      <c r="A736" s="2" t="str">
        <f>IFERROR(__xludf.DUMMYFUNCTION("REGEXEXTRACT(raw!A736, ""&lt;\s*(.+?)\s*&gt;"")
"),"정호영 - 게 섞어라")</f>
        <v>정호영 - 게 섞어라</v>
      </c>
      <c r="B736" s="2" t="str">
        <f>IFERROR(__xludf.DUMMYFUNCTION("TRIM(INDEX(SPLIT($A736,""-""),1))
"),"정호영")</f>
        <v>정호영</v>
      </c>
      <c r="C736" s="2" t="str">
        <f>IFERROR(__xludf.DUMMYFUNCTION("TRIM(INDEX(SPLIT($A736,""-""),2))
"),"게 섞어라")</f>
        <v>게 섞어라</v>
      </c>
    </row>
    <row r="737">
      <c r="A737" s="2" t="str">
        <f>IFERROR(__xludf.DUMMYFUNCTION("REGEXEXTRACT(raw!A737, ""&lt;\s*(.+?)\s*&gt;"")
"),"김형석 - 꽃게를 든 남자")</f>
        <v>김형석 - 꽃게를 든 남자</v>
      </c>
      <c r="B737" s="2" t="str">
        <f>IFERROR(__xludf.DUMMYFUNCTION("TRIM(INDEX(SPLIT($A737,""-""),1))
"),"김형석")</f>
        <v>김형석</v>
      </c>
      <c r="C737" s="2" t="str">
        <f>IFERROR(__xludf.DUMMYFUNCTION("TRIM(INDEX(SPLIT($A737,""-""),2))
"),"꽃게를 든 남자")</f>
        <v>꽃게를 든 남자</v>
      </c>
    </row>
    <row r="738">
      <c r="A738" s="2" t="str">
        <f>IFERROR(__xludf.DUMMYFUNCTION("REGEXEXTRACT(raw!A738, ""&lt;\s*(.+?)\s*&gt;"")
"),"이연복 - 꽃게길만 걷자")</f>
        <v>이연복 - 꽃게길만 걷자</v>
      </c>
      <c r="B738" s="2" t="str">
        <f>IFERROR(__xludf.DUMMYFUNCTION("TRIM(INDEX(SPLIT($A738,""-""),1))
"),"이연복")</f>
        <v>이연복</v>
      </c>
      <c r="C738" s="2" t="str">
        <f>IFERROR(__xludf.DUMMYFUNCTION("TRIM(INDEX(SPLIT($A738,""-""),2))
"),"꽃게길만 걷자")</f>
        <v>꽃게길만 걷자</v>
      </c>
    </row>
    <row r="739">
      <c r="A739" s="2" t="str">
        <f>IFERROR(__xludf.DUMMYFUNCTION("REGEXEXTRACT(raw!A739, ""&lt;\s*(.+?)\s*&gt;"")
"),"오세득 - 구구닭")</f>
        <v>오세득 - 구구닭</v>
      </c>
      <c r="B739" s="2" t="str">
        <f>IFERROR(__xludf.DUMMYFUNCTION("TRIM(INDEX(SPLIT($A739,""-""),1))
"),"오세득")</f>
        <v>오세득</v>
      </c>
      <c r="C739" s="2" t="str">
        <f>IFERROR(__xludf.DUMMYFUNCTION("TRIM(INDEX(SPLIT($A739,""-""),2))
"),"구구닭")</f>
        <v>구구닭</v>
      </c>
    </row>
    <row r="740">
      <c r="A740" s="2" t="str">
        <f>IFERROR(__xludf.DUMMYFUNCTION("REGEXEXTRACT(raw!A740, ""&lt;\s*(.+?)\s*&gt;"")
"),"레이먼킴 - 최용수테이크")</f>
        <v>레이먼킴 - 최용수테이크</v>
      </c>
      <c r="B740" s="2" t="str">
        <f>IFERROR(__xludf.DUMMYFUNCTION("TRIM(INDEX(SPLIT($A740,""-""),1))
"),"레이먼킴")</f>
        <v>레이먼킴</v>
      </c>
      <c r="C740" s="2" t="str">
        <f>IFERROR(__xludf.DUMMYFUNCTION("TRIM(INDEX(SPLIT($A740,""-""),2))
"),"최용수테이크")</f>
        <v>최용수테이크</v>
      </c>
    </row>
    <row r="741">
      <c r="A741" s="2" t="str">
        <f>IFERROR(__xludf.DUMMYFUNCTION("REGEXEXTRACT(raw!A741, ""&lt;\s*(.+?)\s*&gt;"")
"),"김형석 - 테린우스")</f>
        <v>김형석 - 테린우스</v>
      </c>
      <c r="B741" s="2" t="str">
        <f>IFERROR(__xludf.DUMMYFUNCTION("TRIM(INDEX(SPLIT($A741,""-""),1))
"),"김형석")</f>
        <v>김형석</v>
      </c>
      <c r="C741" s="2" t="str">
        <f>IFERROR(__xludf.DUMMYFUNCTION("TRIM(INDEX(SPLIT($A741,""-""),2))
"),"테린우스")</f>
        <v>테린우스</v>
      </c>
    </row>
    <row r="742">
      <c r="A742" s="2" t="str">
        <f>IFERROR(__xludf.DUMMYFUNCTION("REGEXEXTRACT(raw!A742, ""&lt;\s*(.+?)\s*&gt;"")
"),"샘킴 - 독수리 세트")</f>
        <v>샘킴 - 독수리 세트</v>
      </c>
      <c r="B742" s="2" t="str">
        <f>IFERROR(__xludf.DUMMYFUNCTION("TRIM(INDEX(SPLIT($A742,""-""),1))
"),"샘킴")</f>
        <v>샘킴</v>
      </c>
      <c r="C742" s="2" t="str">
        <f>IFERROR(__xludf.DUMMYFUNCTION("TRIM(INDEX(SPLIT($A742,""-""),2))
"),"독수리 세트")</f>
        <v>독수리 세트</v>
      </c>
    </row>
    <row r="743">
      <c r="A743" s="2" t="str">
        <f>IFERROR(__xludf.DUMMYFUNCTION("REGEXEXTRACT(raw!A743, ""&lt;\s*(.+?)\s*&gt;"")
"),"오세득 - 오복쟁반")</f>
        <v>오세득 - 오복쟁반</v>
      </c>
      <c r="B743" s="2" t="str">
        <f>IFERROR(__xludf.DUMMYFUNCTION("TRIM(INDEX(SPLIT($A743,""-""),1))
"),"오세득")</f>
        <v>오세득</v>
      </c>
      <c r="C743" s="2" t="str">
        <f>IFERROR(__xludf.DUMMYFUNCTION("TRIM(INDEX(SPLIT($A743,""-""),2))
"),"오복쟁반")</f>
        <v>오복쟁반</v>
      </c>
    </row>
    <row r="744">
      <c r="A744" s="2" t="str">
        <f>IFERROR(__xludf.DUMMYFUNCTION("REGEXEXTRACT(raw!A744, ""&lt;\s*(.+?)\s*&gt;"")
"),"이연복 - 불닭 카리스마")</f>
        <v>이연복 - 불닭 카리스마</v>
      </c>
      <c r="B744" s="2" t="str">
        <f>IFERROR(__xludf.DUMMYFUNCTION("TRIM(INDEX(SPLIT($A744,""-""),1))
"),"이연복")</f>
        <v>이연복</v>
      </c>
      <c r="C744" s="2" t="str">
        <f>IFERROR(__xludf.DUMMYFUNCTION("TRIM(INDEX(SPLIT($A744,""-""),2))
"),"불닭 카리스마")</f>
        <v>불닭 카리스마</v>
      </c>
    </row>
    <row r="745">
      <c r="A745" s="2" t="str">
        <f>IFERROR(__xludf.DUMMYFUNCTION("REGEXEXTRACT(raw!A745, ""&lt;\s*(.+?)\s*&gt;"")
"),"정호영 - 오~ 야식 코리아♬")</f>
        <v>정호영 - 오~ 야식 코리아♬</v>
      </c>
      <c r="B745" s="2" t="str">
        <f>IFERROR(__xludf.DUMMYFUNCTION("TRIM(INDEX(SPLIT($A745,""-""),1))
"),"정호영")</f>
        <v>정호영</v>
      </c>
      <c r="C745" s="2" t="str">
        <f>IFERROR(__xludf.DUMMYFUNCTION("TRIM(INDEX(SPLIT($A745,""-""),2))
"),"오~ 야식 코리아♬")</f>
        <v>오~ 야식 코리아♬</v>
      </c>
    </row>
    <row r="746">
      <c r="A746" s="2" t="str">
        <f>IFERROR(__xludf.DUMMYFUNCTION("REGEXEXTRACT(raw!A746, ""&lt;\s*(.+?)\s*&gt;"")
"),"김풍 - 입에 불나게")</f>
        <v>김풍 - 입에 불나게</v>
      </c>
      <c r="B746" s="2" t="str">
        <f>IFERROR(__xludf.DUMMYFUNCTION("TRIM(INDEX(SPLIT($A746,""-""),1))
"),"김풍")</f>
        <v>김풍</v>
      </c>
      <c r="C746" s="2" t="str">
        <f>IFERROR(__xludf.DUMMYFUNCTION("TRIM(INDEX(SPLIT($A746,""-""),2))
"),"입에 불나게")</f>
        <v>입에 불나게</v>
      </c>
    </row>
    <row r="747">
      <c r="A747" s="2" t="str">
        <f>IFERROR(__xludf.DUMMYFUNCTION("REGEXEXTRACT(raw!A747, ""&lt;\s*(.+?)\s*&gt;"")
"),"유현수 - 청양냉면")</f>
        <v>유현수 - 청양냉면</v>
      </c>
      <c r="B747" s="2" t="str">
        <f>IFERROR(__xludf.DUMMYFUNCTION("TRIM(INDEX(SPLIT($A747,""-""),1))
"),"유현수")</f>
        <v>유현수</v>
      </c>
      <c r="C747" s="2" t="str">
        <f>IFERROR(__xludf.DUMMYFUNCTION("TRIM(INDEX(SPLIT($A747,""-""),2))
"),"청양냉면")</f>
        <v>청양냉면</v>
      </c>
    </row>
    <row r="748">
      <c r="A748" s="2" t="str">
        <f>IFERROR(__xludf.DUMMYFUNCTION("REGEXEXTRACT(raw!A748, ""&lt;\s*(.+?)\s*&gt;"")
"),"이연복 - 대박나새우")</f>
        <v>이연복 - 대박나새우</v>
      </c>
      <c r="B748" s="2" t="str">
        <f>IFERROR(__xludf.DUMMYFUNCTION("TRIM(INDEX(SPLIT($A748,""-""),1))
"),"이연복")</f>
        <v>이연복</v>
      </c>
      <c r="C748" s="2" t="str">
        <f>IFERROR(__xludf.DUMMYFUNCTION("TRIM(INDEX(SPLIT($A748,""-""),2))
"),"대박나새우")</f>
        <v>대박나새우</v>
      </c>
    </row>
    <row r="749">
      <c r="A749" s="2" t="str">
        <f>IFERROR(__xludf.DUMMYFUNCTION("REGEXEXTRACT(raw!A749, ""&lt;\s*(.+?)\s*&gt;"")
"),"최석이 - 우리집에 와규~")</f>
        <v>최석이 - 우리집에 와규~</v>
      </c>
      <c r="B749" s="2" t="str">
        <f>IFERROR(__xludf.DUMMYFUNCTION("TRIM(INDEX(SPLIT($A749,""-""),1))
"),"최석이")</f>
        <v>최석이</v>
      </c>
      <c r="C749" s="2" t="str">
        <f>IFERROR(__xludf.DUMMYFUNCTION("TRIM(INDEX(SPLIT($A749,""-""),2))
"),"우리집에 와규~")</f>
        <v>우리집에 와규~</v>
      </c>
    </row>
    <row r="750">
      <c r="A750" s="2" t="str">
        <f>IFERROR(__xludf.DUMMYFUNCTION("REGEXEXTRACT(raw!A750, ""&lt;\s*(.+?)\s*&gt;"")
"),"오세득 - 최고양")</f>
        <v>오세득 - 최고양</v>
      </c>
      <c r="B750" s="2" t="str">
        <f>IFERROR(__xludf.DUMMYFUNCTION("TRIM(INDEX(SPLIT($A750,""-""),1))
"),"오세득")</f>
        <v>오세득</v>
      </c>
      <c r="C750" s="2" t="str">
        <f>IFERROR(__xludf.DUMMYFUNCTION("TRIM(INDEX(SPLIT($A750,""-""),2))
"),"최고양")</f>
        <v>최고양</v>
      </c>
    </row>
    <row r="751">
      <c r="A751" s="2" t="str">
        <f>IFERROR(__xludf.DUMMYFUNCTION("REGEXEXTRACT(raw!A751, ""&lt;\s*(.+?)\s*&gt;"")
"),"김풍 - 오케이 마초샌드")</f>
        <v>김풍 - 오케이 마초샌드</v>
      </c>
      <c r="B751" s="2" t="str">
        <f>IFERROR(__xludf.DUMMYFUNCTION("TRIM(INDEX(SPLIT($A751,""-""),1))
"),"김풍")</f>
        <v>김풍</v>
      </c>
      <c r="C751" s="2" t="str">
        <f>IFERROR(__xludf.DUMMYFUNCTION("TRIM(INDEX(SPLIT($A751,""-""),2))
"),"오케이 마초샌드")</f>
        <v>오케이 마초샌드</v>
      </c>
    </row>
    <row r="752">
      <c r="A752" s="2" t="str">
        <f>IFERROR(__xludf.DUMMYFUNCTION("REGEXEXTRACT(raw!A752, ""&lt;\s*(.+?)\s*&gt;"")
"),"샘킴 - 타코 판타지아♬")</f>
        <v>샘킴 - 타코 판타지아♬</v>
      </c>
      <c r="B752" s="2" t="str">
        <f>IFERROR(__xludf.DUMMYFUNCTION("TRIM(INDEX(SPLIT($A752,""-""),1))
"),"샘킴")</f>
        <v>샘킴</v>
      </c>
      <c r="C752" s="2" t="str">
        <f>IFERROR(__xludf.DUMMYFUNCTION("TRIM(INDEX(SPLIT($A752,""-""),2))
"),"타코 판타지아♬")</f>
        <v>타코 판타지아♬</v>
      </c>
    </row>
    <row r="753">
      <c r="A753" s="2" t="str">
        <f>IFERROR(__xludf.DUMMYFUNCTION("REGEXEXTRACT(raw!A753, ""&lt;\s*(.+?)\s*&gt;"")
"),"미카엘 - 살몬 판타지아♬")</f>
        <v>미카엘 - 살몬 판타지아♬</v>
      </c>
      <c r="B753" s="2" t="str">
        <f>IFERROR(__xludf.DUMMYFUNCTION("TRIM(INDEX(SPLIT($A753,""-""),1))
"),"미카엘")</f>
        <v>미카엘</v>
      </c>
      <c r="C753" s="2" t="str">
        <f>IFERROR(__xludf.DUMMYFUNCTION("TRIM(INDEX(SPLIT($A753,""-""),2))
"),"살몬 판타지아♬")</f>
        <v>살몬 판타지아♬</v>
      </c>
    </row>
    <row r="754">
      <c r="A754" s="2" t="str">
        <f>IFERROR(__xludf.DUMMYFUNCTION("REGEXEXTRACT(raw!A754, ""&lt;\s*(.+?)\s*&gt;"")
"),"레이먼킴 - 캡틴 아메리카")</f>
        <v>레이먼킴 - 캡틴 아메리카</v>
      </c>
      <c r="B754" s="2" t="str">
        <f>IFERROR(__xludf.DUMMYFUNCTION("TRIM(INDEX(SPLIT($A754,""-""),1))
"),"레이먼킴")</f>
        <v>레이먼킴</v>
      </c>
      <c r="C754" s="2" t="str">
        <f>IFERROR(__xludf.DUMMYFUNCTION("TRIM(INDEX(SPLIT($A754,""-""),2))
"),"캡틴 아메리카")</f>
        <v>캡틴 아메리카</v>
      </c>
    </row>
    <row r="755">
      <c r="A755" s="2" t="str">
        <f>IFERROR(__xludf.DUMMYFUNCTION("REGEXEXTRACT(raw!A755, ""&lt;\s*(.+?)\s*&gt;"")
"),"유현수 - 부산행")</f>
        <v>유현수 - 부산행</v>
      </c>
      <c r="B755" s="2" t="str">
        <f>IFERROR(__xludf.DUMMYFUNCTION("TRIM(INDEX(SPLIT($A755,""-""),1))
"),"유현수")</f>
        <v>유현수</v>
      </c>
      <c r="C755" s="2" t="str">
        <f>IFERROR(__xludf.DUMMYFUNCTION("TRIM(INDEX(SPLIT($A755,""-""),2))
"),"부산행")</f>
        <v>부산행</v>
      </c>
    </row>
    <row r="756">
      <c r="A756" s="2" t="str">
        <f>IFERROR(__xludf.DUMMYFUNCTION("REGEXEXTRACT(raw!A756, ""&lt;\s*(.+?)\s*&gt;"")
"),"김풍 - 풍식 두비두밥♬")</f>
        <v>김풍 - 풍식 두비두밥♬</v>
      </c>
      <c r="B756" s="2" t="str">
        <f>IFERROR(__xludf.DUMMYFUNCTION("TRIM(INDEX(SPLIT($A756,""-""),1))
"),"김풍")</f>
        <v>김풍</v>
      </c>
      <c r="C756" s="2" t="str">
        <f>IFERROR(__xludf.DUMMYFUNCTION("TRIM(INDEX(SPLIT($A756,""-""),2))
"),"풍식 두비두밥♬")</f>
        <v>풍식 두비두밥♬</v>
      </c>
    </row>
    <row r="757">
      <c r="A757" s="2" t="str">
        <f>IFERROR(__xludf.DUMMYFUNCTION("REGEXEXTRACT(raw!A757, ""&lt;\s*(.+?)\s*&gt;"")
"),"정호영 - 한현민 Go! 현민 Go!")</f>
        <v>정호영 - 한현민 Go! 현민 Go!</v>
      </c>
      <c r="B757" s="2" t="str">
        <f>IFERROR(__xludf.DUMMYFUNCTION("TRIM(INDEX(SPLIT($A757,""-""),1))
"),"정호영")</f>
        <v>정호영</v>
      </c>
      <c r="C757" s="2" t="str">
        <f>IFERROR(__xludf.DUMMYFUNCTION("TRIM(INDEX(SPLIT($A757,""-""),2))
"),"한현민 Go! 현민 Go!")</f>
        <v>한현민 Go! 현민 Go!</v>
      </c>
    </row>
    <row r="758">
      <c r="A758" s="2" t="str">
        <f>IFERROR(__xludf.DUMMYFUNCTION("REGEXEXTRACT(raw!A758, ""&lt;\s*(.+?)\s*&gt;"")
"),"유현수 - 한국인의 밥상")</f>
        <v>유현수 - 한국인의 밥상</v>
      </c>
      <c r="B758" s="2" t="str">
        <f>IFERROR(__xludf.DUMMYFUNCTION("TRIM(INDEX(SPLIT($A758,""-""),1))
"),"유현수")</f>
        <v>유현수</v>
      </c>
      <c r="C758" s="2" t="str">
        <f>IFERROR(__xludf.DUMMYFUNCTION("TRIM(INDEX(SPLIT($A758,""-""),2))
"),"한국인의 밥상")</f>
        <v>한국인의 밥상</v>
      </c>
    </row>
    <row r="759">
      <c r="A759" s="2" t="str">
        <f>IFERROR(__xludf.DUMMYFUNCTION("REGEXEXTRACT(raw!A759, ""&lt;\s*(.+?)\s*&gt;"")
"),"미카엘 - 아재볼")</f>
        <v>미카엘 - 아재볼</v>
      </c>
      <c r="B759" s="2" t="str">
        <f>IFERROR(__xludf.DUMMYFUNCTION("TRIM(INDEX(SPLIT($A759,""-""),1))
"),"미카엘")</f>
        <v>미카엘</v>
      </c>
      <c r="C759" s="2" t="str">
        <f>IFERROR(__xludf.DUMMYFUNCTION("TRIM(INDEX(SPLIT($A759,""-""),2))
"),"아재볼")</f>
        <v>아재볼</v>
      </c>
    </row>
    <row r="760">
      <c r="A760" s="2" t="str">
        <f>IFERROR(__xludf.DUMMYFUNCTION("REGEXEXTRACT(raw!A760, ""&lt;\s*(.+?)\s*&gt;"")
"),"샘킴 - 원 펀치 쓰리 코스")</f>
        <v>샘킴 - 원 펀치 쓰리 코스</v>
      </c>
      <c r="B760" s="2" t="str">
        <f>IFERROR(__xludf.DUMMYFUNCTION("TRIM(INDEX(SPLIT($A760,""-""),1))
"),"샘킴")</f>
        <v>샘킴</v>
      </c>
      <c r="C760" s="2" t="str">
        <f>IFERROR(__xludf.DUMMYFUNCTION("TRIM(INDEX(SPLIT($A760,""-""),2))
"),"원 펀치 쓰리 코스")</f>
        <v>원 펀치 쓰리 코스</v>
      </c>
    </row>
    <row r="761">
      <c r="A761" s="2" t="str">
        <f>IFERROR(__xludf.DUMMYFUNCTION("REGEXEXTRACT(raw!A761, ""&lt;\s*(.+?)\s*&gt;"")
"),"오세득 - 아임 파인다이닝, 앤드 유?")</f>
        <v>오세득 - 아임 파인다이닝, 앤드 유?</v>
      </c>
      <c r="B761" s="2" t="str">
        <f>IFERROR(__xludf.DUMMYFUNCTION("TRIM(INDEX(SPLIT($A761,""-""),1))
"),"오세득")</f>
        <v>오세득</v>
      </c>
      <c r="C761" s="2" t="str">
        <f>IFERROR(__xludf.DUMMYFUNCTION("TRIM(INDEX(SPLIT($A761,""-""),2))
"),"아임 파인다이닝, 앤드 유?")</f>
        <v>아임 파인다이닝, 앤드 유?</v>
      </c>
    </row>
    <row r="762">
      <c r="A762" s="2" t="str">
        <f>IFERROR(__xludf.DUMMYFUNCTION("REGEXEXTRACT(raw!A762, ""&lt;\s*(.+?)\s*&gt;"")
"),"이연복 - 으라차차찜")</f>
        <v>이연복 - 으라차차찜</v>
      </c>
      <c r="B762" s="2" t="str">
        <f>IFERROR(__xludf.DUMMYFUNCTION("TRIM(INDEX(SPLIT($A762,""-""),1))
"),"이연복")</f>
        <v>이연복</v>
      </c>
      <c r="C762" s="2" t="str">
        <f>IFERROR(__xludf.DUMMYFUNCTION("TRIM(INDEX(SPLIT($A762,""-""),2))
"),"으라차차찜")</f>
        <v>으라차차찜</v>
      </c>
    </row>
    <row r="763">
      <c r="A763" s="2" t="str">
        <f>IFERROR(__xludf.DUMMYFUNCTION("REGEXEXTRACT(raw!A763, ""&lt;\s*(.+?)\s*&gt;"")
"),"레이먼킴 - 맛있스리라~")</f>
        <v>레이먼킴 - 맛있스리라~</v>
      </c>
      <c r="B763" s="2" t="str">
        <f>IFERROR(__xludf.DUMMYFUNCTION("TRIM(INDEX(SPLIT($A763,""-""),1))
"),"레이먼킴")</f>
        <v>레이먼킴</v>
      </c>
      <c r="C763" s="2" t="str">
        <f>IFERROR(__xludf.DUMMYFUNCTION("TRIM(INDEX(SPLIT($A763,""-""),2))
"),"맛있스리라~")</f>
        <v>맛있스리라~</v>
      </c>
    </row>
    <row r="764">
      <c r="A764" s="2" t="str">
        <f>IFERROR(__xludf.DUMMYFUNCTION("REGEXEXTRACT(raw!A764, ""&lt;\s*(.+?)\s*&gt;"")
"),"샘킴- 요~으리의 고수")</f>
        <v>샘킴- 요~으리의 고수</v>
      </c>
      <c r="B764" s="2" t="str">
        <f>IFERROR(__xludf.DUMMYFUNCTION("TRIM(INDEX(SPLIT($A764,""-""),1))
"),"샘킴")</f>
        <v>샘킴</v>
      </c>
      <c r="C764" s="2" t="str">
        <f>IFERROR(__xludf.DUMMYFUNCTION("TRIM(INDEX(SPLIT($A764,""-""),2))
"),"요~으리의 고수")</f>
        <v>요~으리의 고수</v>
      </c>
    </row>
    <row r="765">
      <c r="A765" s="2" t="str">
        <f>IFERROR(__xludf.DUMMYFUNCTION("REGEXEXTRACT(raw!A765, ""&lt;\s*(.+?)\s*&gt;"")
"),"유현수 - 으리으리한 항아~으리!")</f>
        <v>유현수 - 으리으리한 항아~으리!</v>
      </c>
      <c r="B765" s="2" t="str">
        <f>IFERROR(__xludf.DUMMYFUNCTION("TRIM(INDEX(SPLIT($A765,""-""),1))
"),"유현수")</f>
        <v>유현수</v>
      </c>
      <c r="C765" s="2" t="str">
        <f>IFERROR(__xludf.DUMMYFUNCTION("TRIM(INDEX(SPLIT($A765,""-""),2))
"),"으리으리한 항아~으리!")</f>
        <v>으리으리한 항아~으리!</v>
      </c>
    </row>
    <row r="766">
      <c r="A766" s="2" t="str">
        <f>IFERROR(__xludf.DUMMYFUNCTION("REGEXEXTRACT(raw!A766, ""&lt;\s*(.+?)\s*&gt;"")
"),"김풍 - 사나이 가는 길에 기죽지 마라♬")</f>
        <v>김풍 - 사나이 가는 길에 기죽지 마라♬</v>
      </c>
      <c r="B766" s="2" t="str">
        <f>IFERROR(__xludf.DUMMYFUNCTION("TRIM(INDEX(SPLIT($A766,""-""),1))
"),"김풍")</f>
        <v>김풍</v>
      </c>
      <c r="C766" s="2" t="str">
        <f>IFERROR(__xludf.DUMMYFUNCTION("TRIM(INDEX(SPLIT($A766,""-""),2))
"),"사나이 가는 길에 기죽지 마라♬")</f>
        <v>사나이 가는 길에 기죽지 마라♬</v>
      </c>
    </row>
    <row r="767">
      <c r="A767" s="2" t="str">
        <f>IFERROR(__xludf.DUMMYFUNCTION("REGEXEXTRACT(raw!A767, ""&lt;\s*(.+?)\s*&gt;"")
"),"정호영 - 불짬뽕 드새우")</f>
        <v>정호영 - 불짬뽕 드새우</v>
      </c>
      <c r="B767" s="2" t="str">
        <f>IFERROR(__xludf.DUMMYFUNCTION("TRIM(INDEX(SPLIT($A767,""-""),1))
"),"정호영")</f>
        <v>정호영</v>
      </c>
      <c r="C767" s="2" t="str">
        <f>IFERROR(__xludf.DUMMYFUNCTION("TRIM(INDEX(SPLIT($A767,""-""),2))
"),"불짬뽕 드새우")</f>
        <v>불짬뽕 드새우</v>
      </c>
    </row>
    <row r="768">
      <c r="A768" s="2" t="str">
        <f>IFERROR(__xludf.DUMMYFUNCTION("REGEXEXTRACT(raw!A768, ""&lt;\s*(.+?)\s*&gt;"")
"),"레이먼킴 - 원조 테리우스테이크")</f>
        <v>레이먼킴 - 원조 테리우스테이크</v>
      </c>
      <c r="B768" s="2" t="str">
        <f>IFERROR(__xludf.DUMMYFUNCTION("TRIM(INDEX(SPLIT($A768,""-""),1))
"),"레이먼킴")</f>
        <v>레이먼킴</v>
      </c>
      <c r="C768" s="2" t="str">
        <f>IFERROR(__xludf.DUMMYFUNCTION("TRIM(INDEX(SPLIT($A768,""-""),2))
"),"원조 테리우스테이크")</f>
        <v>원조 테리우스테이크</v>
      </c>
    </row>
    <row r="769">
      <c r="A769" s="2" t="str">
        <f>IFERROR(__xludf.DUMMYFUNCTION("REGEXEXTRACT(raw!A769, ""&lt;\s*(.+?)\s*&gt;"")
"),"미카엘 - 다이어트는 잊그라")</f>
        <v>미카엘 - 다이어트는 잊그라</v>
      </c>
      <c r="B769" s="2" t="str">
        <f>IFERROR(__xludf.DUMMYFUNCTION("TRIM(INDEX(SPLIT($A769,""-""),1))
"),"미카엘")</f>
        <v>미카엘</v>
      </c>
      <c r="C769" s="2" t="str">
        <f>IFERROR(__xludf.DUMMYFUNCTION("TRIM(INDEX(SPLIT($A769,""-""),2))
"),"다이어트는 잊그라")</f>
        <v>다이어트는 잊그라</v>
      </c>
    </row>
    <row r="770">
      <c r="A770" s="2" t="str">
        <f>IFERROR(__xludf.DUMMYFUNCTION("REGEXEXTRACT(raw!A770, ""&lt;\s*(.+?)\s*&gt;"")
"),"이연복 - 복덩이")</f>
        <v>이연복 - 복덩이</v>
      </c>
      <c r="B770" s="2" t="str">
        <f>IFERROR(__xludf.DUMMYFUNCTION("TRIM(INDEX(SPLIT($A770,""-""),1))
"),"이연복")</f>
        <v>이연복</v>
      </c>
      <c r="C770" s="2" t="str">
        <f>IFERROR(__xludf.DUMMYFUNCTION("TRIM(INDEX(SPLIT($A770,""-""),2))
"),"복덩이")</f>
        <v>복덩이</v>
      </c>
    </row>
    <row r="771">
      <c r="A771" s="2" t="str">
        <f>IFERROR(__xludf.DUMMYFUNCTION("REGEXEXTRACT(raw!A771, ""&lt;\s*(.+?)\s*&gt;"")
"),"오세득 - 한방탕")</f>
        <v>오세득 - 한방탕</v>
      </c>
      <c r="B771" s="2" t="str">
        <f>IFERROR(__xludf.DUMMYFUNCTION("TRIM(INDEX(SPLIT($A771,""-""),1))
"),"오세득")</f>
        <v>오세득</v>
      </c>
      <c r="C771" s="2" t="str">
        <f>IFERROR(__xludf.DUMMYFUNCTION("TRIM(INDEX(SPLIT($A771,""-""),2))
"),"한방탕")</f>
        <v>한방탕</v>
      </c>
    </row>
    <row r="772">
      <c r="A772" s="2" t="str">
        <f>IFERROR(__xludf.DUMMYFUNCTION("REGEXEXTRACT(raw!A772, ""&lt;\s*(.+?)\s*&gt;"")
"),"오세득 - 낫토 먹고 crab! crab! crab! crab!")</f>
        <v>오세득 - 낫토 먹고 crab! crab! crab! crab!</v>
      </c>
      <c r="B772" s="2" t="str">
        <f>IFERROR(__xludf.DUMMYFUNCTION("TRIM(INDEX(SPLIT($A772,""-""),1))
"),"오세득")</f>
        <v>오세득</v>
      </c>
      <c r="C772" s="2" t="str">
        <f>IFERROR(__xludf.DUMMYFUNCTION("TRIM(INDEX(SPLIT($A772,""-""),2))
"),"낫토 먹고 crab! crab! crab! crab!")</f>
        <v>낫토 먹고 crab! crab! crab! crab!</v>
      </c>
    </row>
    <row r="773">
      <c r="A773" s="2" t="str">
        <f>IFERROR(__xludf.DUMMYFUNCTION("REGEXEXTRACT(raw!A773, ""&lt;\s*(.+?)\s*&gt;"")
"),"김풍 - I'm so sorry 보말 love you♬")</f>
        <v>김풍 - I'm so sorry 보말 love you♬</v>
      </c>
      <c r="B773" s="2" t="str">
        <f>IFERROR(__xludf.DUMMYFUNCTION("TRIM(INDEX(SPLIT($A773,""-""),1))
"),"김풍")</f>
        <v>김풍</v>
      </c>
      <c r="C773" s="2" t="str">
        <f>IFERROR(__xludf.DUMMYFUNCTION("TRIM(INDEX(SPLIT($A773,""-""),2))
"),"I'm so sorry 보말 love you♬")</f>
        <v>I'm so sorry 보말 love you♬</v>
      </c>
    </row>
    <row r="774">
      <c r="A774" s="2" t="str">
        <f>IFERROR(__xludf.DUMMYFUNCTION("REGEXEXTRACT(raw!A774, ""&lt;\s*(.+?)\s*&gt;"")
"),"김풍 - I'm so sorry 보말 love you♬")</f>
        <v>김풍 - I'm so sorry 보말 love you♬</v>
      </c>
      <c r="B774" s="2" t="str">
        <f>IFERROR(__xludf.DUMMYFUNCTION("TRIM(INDEX(SPLIT($A774,""-""),1))
"),"김풍")</f>
        <v>김풍</v>
      </c>
      <c r="C774" s="2" t="str">
        <f>IFERROR(__xludf.DUMMYFUNCTION("TRIM(INDEX(SPLIT($A774,""-""),2))
"),"I'm so sorry 보말 love you♬")</f>
        <v>I'm so sorry 보말 love you♬</v>
      </c>
    </row>
    <row r="775">
      <c r="A775" s="2" t="str">
        <f>IFERROR(__xludf.DUMMYFUNCTION("REGEXEXTRACT(raw!A775, ""&lt;\s*(.+?)\s*&gt;"")
"),"레이먼킴 - 승리의 먹빵")</f>
        <v>레이먼킴 - 승리의 먹빵</v>
      </c>
      <c r="B775" s="2" t="str">
        <f>IFERROR(__xludf.DUMMYFUNCTION("TRIM(INDEX(SPLIT($A775,""-""),1))
"),"레이먼킴")</f>
        <v>레이먼킴</v>
      </c>
      <c r="C775" s="2" t="str">
        <f>IFERROR(__xludf.DUMMYFUNCTION("TRIM(INDEX(SPLIT($A775,""-""),2))
"),"승리의 먹빵")</f>
        <v>승리의 먹빵</v>
      </c>
    </row>
    <row r="776">
      <c r="A776" s="2" t="str">
        <f>IFERROR(__xludf.DUMMYFUNCTION("REGEXEXTRACT(raw!A776, ""&lt;\s*(.+?)\s*&gt;"")
"),"이연복 - 꼬막이 빛나는 밤")</f>
        <v>이연복 - 꼬막이 빛나는 밤</v>
      </c>
      <c r="B776" s="2" t="str">
        <f>IFERROR(__xludf.DUMMYFUNCTION("TRIM(INDEX(SPLIT($A776,""-""),1))
"),"이연복")</f>
        <v>이연복</v>
      </c>
      <c r="C776" s="2" t="str">
        <f>IFERROR(__xludf.DUMMYFUNCTION("TRIM(INDEX(SPLIT($A776,""-""),2))
"),"꼬막이 빛나는 밤")</f>
        <v>꼬막이 빛나는 밤</v>
      </c>
    </row>
    <row r="777">
      <c r="A777" s="2" t="str">
        <f>IFERROR(__xludf.DUMMYFUNCTION("REGEXEXTRACT(raw!A777, ""&lt;\s*(.+?)\s*&gt;"")
"),"미카엘 - 화사한 플레이트")</f>
        <v>미카엘 - 화사한 플레이트</v>
      </c>
      <c r="B777" s="2" t="str">
        <f>IFERROR(__xludf.DUMMYFUNCTION("TRIM(INDEX(SPLIT($A777,""-""),1))
"),"미카엘")</f>
        <v>미카엘</v>
      </c>
      <c r="C777" s="2" t="str">
        <f>IFERROR(__xludf.DUMMYFUNCTION("TRIM(INDEX(SPLIT($A777,""-""),2))
"),"화사한 플레이트")</f>
        <v>화사한 플레이트</v>
      </c>
    </row>
    <row r="778">
      <c r="A778" s="2" t="str">
        <f>IFERROR(__xludf.DUMMYFUNCTION("REGEXEXTRACT(raw!A778, ""&lt;\s*(.+?)\s*&gt;"")
"),"미카엘 - 화사한 플레이트")</f>
        <v>미카엘 - 화사한 플레이트</v>
      </c>
      <c r="B778" s="2" t="str">
        <f>IFERROR(__xludf.DUMMYFUNCTION("TRIM(INDEX(SPLIT($A778,""-""),1))
"),"미카엘")</f>
        <v>미카엘</v>
      </c>
      <c r="C778" s="2" t="str">
        <f>IFERROR(__xludf.DUMMYFUNCTION("TRIM(INDEX(SPLIT($A778,""-""),2))
"),"화사한 플레이트")</f>
        <v>화사한 플레이트</v>
      </c>
    </row>
    <row r="779">
      <c r="A779" s="2" t="str">
        <f>IFERROR(__xludf.DUMMYFUNCTION("REGEXEXTRACT(raw!A779, ""&lt;\s*(.+?)\s*&gt;"")
"),"정호영 - 장어 is 뭔들")</f>
        <v>정호영 - 장어 is 뭔들</v>
      </c>
      <c r="B779" s="2" t="str">
        <f>IFERROR(__xludf.DUMMYFUNCTION("TRIM(INDEX(SPLIT($A779,""-""),1))
"),"정호영")</f>
        <v>정호영</v>
      </c>
      <c r="C779" s="2" t="str">
        <f>IFERROR(__xludf.DUMMYFUNCTION("TRIM(INDEX(SPLIT($A779,""-""),2))
"),"장어 is 뭔들")</f>
        <v>장어 is 뭔들</v>
      </c>
    </row>
    <row r="780">
      <c r="A780" s="2" t="str">
        <f>IFERROR(__xludf.DUMMYFUNCTION("REGEXEXTRACT(raw!A780, ""&lt;\s*(.+?)\s*&gt;"")
"),"이연복 - 부시리 복치기")</f>
        <v>이연복 - 부시리 복치기</v>
      </c>
      <c r="B780" s="2" t="str">
        <f>IFERROR(__xludf.DUMMYFUNCTION("TRIM(INDEX(SPLIT($A780,""-""),1))
"),"이연복")</f>
        <v>이연복</v>
      </c>
      <c r="C780" s="2" t="str">
        <f>IFERROR(__xludf.DUMMYFUNCTION("TRIM(INDEX(SPLIT($A780,""-""),2))
"),"부시리 복치기")</f>
        <v>부시리 복치기</v>
      </c>
    </row>
    <row r="781">
      <c r="A781" s="2" t="str">
        <f>IFERROR(__xludf.DUMMYFUNCTION("REGEXEXTRACT(raw!A781, ""&lt;\s*(.+?)\s*&gt;"")
"),"김풍 - 수박냉면")</f>
        <v>김풍 - 수박냉면</v>
      </c>
      <c r="B781" s="2" t="str">
        <f>IFERROR(__xludf.DUMMYFUNCTION("TRIM(INDEX(SPLIT($A781,""-""),1))
"),"김풍")</f>
        <v>김풍</v>
      </c>
      <c r="C781" s="2" t="str">
        <f>IFERROR(__xludf.DUMMYFUNCTION("TRIM(INDEX(SPLIT($A781,""-""),2))
"),"수박냉면")</f>
        <v>수박냉면</v>
      </c>
    </row>
    <row r="782">
      <c r="A782" s="2" t="str">
        <f>IFERROR(__xludf.DUMMYFUNCTION("REGEXEXTRACT(raw!A782, ""&lt;\s*(.+?)\s*&gt;"")
"),"샘킴 - Drop the fish")</f>
        <v>샘킴 - Drop the fish</v>
      </c>
      <c r="B782" s="2" t="str">
        <f>IFERROR(__xludf.DUMMYFUNCTION("TRIM(INDEX(SPLIT($A782,""-""),1))
"),"샘킴")</f>
        <v>샘킴</v>
      </c>
      <c r="C782" s="2" t="str">
        <f>IFERROR(__xludf.DUMMYFUNCTION("TRIM(INDEX(SPLIT($A782,""-""),2))
"),"Drop the fish")</f>
        <v>Drop the fish</v>
      </c>
    </row>
    <row r="783">
      <c r="A783" s="2" t="str">
        <f>IFERROR(__xludf.DUMMYFUNCTION("REGEXEXTRACT(raw!A783, ""&lt;\s*(.+?)\s*&gt;"")
"),"정호영 - Fish Fish Baby♬")</f>
        <v>정호영 - Fish Fish Baby♬</v>
      </c>
      <c r="B783" s="2" t="str">
        <f>IFERROR(__xludf.DUMMYFUNCTION("TRIM(INDEX(SPLIT($A783,""-""),1))
"),"정호영")</f>
        <v>정호영</v>
      </c>
      <c r="C783" s="2" t="str">
        <f>IFERROR(__xludf.DUMMYFUNCTION("TRIM(INDEX(SPLIT($A783,""-""),2))
"),"Fish Fish Baby♬")</f>
        <v>Fish Fish Baby♬</v>
      </c>
    </row>
    <row r="784">
      <c r="A784" s="2" t="str">
        <f>IFERROR(__xludf.DUMMYFUNCTION("REGEXEXTRACT(raw!A784, ""&lt;\s*(.+?)\s*&gt;"")
"),"유현수 - 청실홍실")</f>
        <v>유현수 - 청실홍실</v>
      </c>
      <c r="B784" s="2" t="str">
        <f>IFERROR(__xludf.DUMMYFUNCTION("TRIM(INDEX(SPLIT($A784,""-""),1))
"),"유현수")</f>
        <v>유현수</v>
      </c>
      <c r="C784" s="2" t="str">
        <f>IFERROR(__xludf.DUMMYFUNCTION("TRIM(INDEX(SPLIT($A784,""-""),2))
"),"청실홍실")</f>
        <v>청실홍실</v>
      </c>
    </row>
    <row r="785">
      <c r="A785" s="2" t="str">
        <f>IFERROR(__xludf.DUMMYFUNCTION("REGEXEXTRACT(raw!A785, ""&lt;\s*(.+?)\s*&gt;"")
"),"레이먼킴 - 최애 홍파스타")</f>
        <v>레이먼킴 - 최애 홍파스타</v>
      </c>
      <c r="B785" s="2" t="str">
        <f>IFERROR(__xludf.DUMMYFUNCTION("TRIM(INDEX(SPLIT($A785,""-""),1))
"),"레이먼킴")</f>
        <v>레이먼킴</v>
      </c>
      <c r="C785" s="2" t="str">
        <f>IFERROR(__xludf.DUMMYFUNCTION("TRIM(INDEX(SPLIT($A785,""-""),2))
"),"최애 홍파스타")</f>
        <v>최애 홍파스타</v>
      </c>
    </row>
    <row r="786">
      <c r="A786" s="2" t="str">
        <f>IFERROR(__xludf.DUMMYFUNCTION("REGEXEXTRACT(raw!A786, ""&lt;\s*(.+?)\s*&gt;"")
"),"오세득 - 안심하소")</f>
        <v>오세득 - 안심하소</v>
      </c>
      <c r="B786" s="2" t="str">
        <f>IFERROR(__xludf.DUMMYFUNCTION("TRIM(INDEX(SPLIT($A786,""-""),1))
"),"오세득")</f>
        <v>오세득</v>
      </c>
      <c r="C786" s="2" t="str">
        <f>IFERROR(__xludf.DUMMYFUNCTION("TRIM(INDEX(SPLIT($A786,""-""),2))
"),"안심하소")</f>
        <v>안심하소</v>
      </c>
    </row>
    <row r="787">
      <c r="A787" s="2" t="str">
        <f>IFERROR(__xludf.DUMMYFUNCTION("REGEXEXTRACT(raw!A787, ""&lt;\s*(.+?)\s*&gt;"")
"),"미카엘 - 고급이양")</f>
        <v>미카엘 - 고급이양</v>
      </c>
      <c r="B787" s="2" t="str">
        <f>IFERROR(__xludf.DUMMYFUNCTION("TRIM(INDEX(SPLIT($A787,""-""),1))
"),"미카엘")</f>
        <v>미카엘</v>
      </c>
      <c r="C787" s="2" t="str">
        <f>IFERROR(__xludf.DUMMYFUNCTION("TRIM(INDEX(SPLIT($A787,""-""),2))
"),"고급이양")</f>
        <v>고급이양</v>
      </c>
    </row>
    <row r="788">
      <c r="A788" s="2" t="str">
        <f>IFERROR(__xludf.DUMMYFUNCTION("REGEXEXTRACT(raw!A788, ""&lt;\s*(.+?)\s*&gt;"")
"),"레이먼킴 - 육개장에 파 하나 놓고 가라")</f>
        <v>레이먼킴 - 육개장에 파 하나 놓고 가라</v>
      </c>
      <c r="B788" s="2" t="str">
        <f>IFERROR(__xludf.DUMMYFUNCTION("TRIM(INDEX(SPLIT($A788,""-""),1))
"),"레이먼킴")</f>
        <v>레이먼킴</v>
      </c>
      <c r="C788" s="2" t="str">
        <f>IFERROR(__xludf.DUMMYFUNCTION("TRIM(INDEX(SPLIT($A788,""-""),2))
"),"육개장에 파 하나 놓고 가라")</f>
        <v>육개장에 파 하나 놓고 가라</v>
      </c>
    </row>
    <row r="789">
      <c r="A789" s="2" t="str">
        <f>IFERROR(__xludf.DUMMYFUNCTION("REGEXEXTRACT(raw!A789, ""&lt;\s*(.+?)\s*&gt;"")
"),"정호영 - 해장이나 잘하세요")</f>
        <v>정호영 - 해장이나 잘하세요</v>
      </c>
      <c r="B789" s="2" t="str">
        <f>IFERROR(__xludf.DUMMYFUNCTION("TRIM(INDEX(SPLIT($A789,""-""),1))
"),"정호영")</f>
        <v>정호영</v>
      </c>
      <c r="C789" s="2" t="str">
        <f>IFERROR(__xludf.DUMMYFUNCTION("TRIM(INDEX(SPLIT($A789,""-""),2))
"),"해장이나 잘하세요")</f>
        <v>해장이나 잘하세요</v>
      </c>
    </row>
    <row r="790">
      <c r="A790" s="2" t="str">
        <f>IFERROR(__xludf.DUMMYFUNCTION("REGEXEXTRACT(raw!A790, ""&lt;\s*(.+?)\s*&gt;"")
"),"이연복 - 연가복")</f>
        <v>이연복 - 연가복</v>
      </c>
      <c r="B790" s="2" t="str">
        <f>IFERROR(__xludf.DUMMYFUNCTION("TRIM(INDEX(SPLIT($A790,""-""),1))
"),"이연복")</f>
        <v>이연복</v>
      </c>
      <c r="C790" s="2" t="str">
        <f>IFERROR(__xludf.DUMMYFUNCTION("TRIM(INDEX(SPLIT($A790,""-""),2))
"),"연가복")</f>
        <v>연가복</v>
      </c>
    </row>
    <row r="791">
      <c r="A791" s="2" t="str">
        <f>IFERROR(__xludf.DUMMYFUNCTION("REGEXEXTRACT(raw!A791, ""&lt;\s*(.+?)\s*&gt;"")
"),"오세득 - 맛있어서 우럭?")</f>
        <v>오세득 - 맛있어서 우럭?</v>
      </c>
      <c r="B791" s="2" t="str">
        <f>IFERROR(__xludf.DUMMYFUNCTION("TRIM(INDEX(SPLIT($A791,""-""),1))
"),"오세득")</f>
        <v>오세득</v>
      </c>
      <c r="C791" s="2" t="str">
        <f>IFERROR(__xludf.DUMMYFUNCTION("TRIM(INDEX(SPLIT($A791,""-""),2))
"),"맛있어서 우럭?")</f>
        <v>맛있어서 우럭?</v>
      </c>
    </row>
    <row r="792">
      <c r="A792" s="2" t="str">
        <f>IFERROR(__xludf.DUMMYFUNCTION("REGEXEXTRACT(raw!A792, ""&lt;\s*(.+?)\s*&gt;"")
"),"유현수 - 쌍칼국수")</f>
        <v>유현수 - 쌍칼국수</v>
      </c>
      <c r="B792" s="2" t="str">
        <f>IFERROR(__xludf.DUMMYFUNCTION("TRIM(INDEX(SPLIT($A792,""-""),1))
"),"유현수")</f>
        <v>유현수</v>
      </c>
      <c r="C792" s="2" t="str">
        <f>IFERROR(__xludf.DUMMYFUNCTION("TRIM(INDEX(SPLIT($A792,""-""),2))
"),"쌍칼국수")</f>
        <v>쌍칼국수</v>
      </c>
    </row>
    <row r="793">
      <c r="A793" s="2" t="str">
        <f>IFERROR(__xludf.DUMMYFUNCTION("REGEXEXTRACT(raw!A793, ""&lt;\s*(.+?)\s*&gt;"")
"),"미카엘 - 누들이닭")</f>
        <v>미카엘 - 누들이닭</v>
      </c>
      <c r="B793" s="2" t="str">
        <f>IFERROR(__xludf.DUMMYFUNCTION("TRIM(INDEX(SPLIT($A793,""-""),1))
"),"미카엘")</f>
        <v>미카엘</v>
      </c>
      <c r="C793" s="2" t="str">
        <f>IFERROR(__xludf.DUMMYFUNCTION("TRIM(INDEX(SPLIT($A793,""-""),2))
"),"누들이닭")</f>
        <v>누들이닭</v>
      </c>
    </row>
    <row r="794">
      <c r="A794" s="2" t="str">
        <f>IFERROR(__xludf.DUMMYFUNCTION("REGEXEXTRACT(raw!A794, ""&lt;\s*(.+?)\s*&gt;"")
"),"김풍 - 놀리지말라규♡")</f>
        <v>김풍 - 놀리지말라규♡</v>
      </c>
      <c r="B794" s="2" t="str">
        <f>IFERROR(__xludf.DUMMYFUNCTION("TRIM(INDEX(SPLIT($A794,""-""),1))
"),"김풍")</f>
        <v>김풍</v>
      </c>
      <c r="C794" s="2" t="str">
        <f>IFERROR(__xludf.DUMMYFUNCTION("TRIM(INDEX(SPLIT($A794,""-""),2))
"),"놀리지말라규♡")</f>
        <v>놀리지말라규♡</v>
      </c>
    </row>
    <row r="795">
      <c r="A795" s="2" t="str">
        <f>IFERROR(__xludf.DUMMYFUNCTION("REGEXEXTRACT(raw!A795, ""&lt;\s*(.+?)\s*&gt;"")
"),"샘킴 - 떠먹으라규♡")</f>
        <v>샘킴 - 떠먹으라규♡</v>
      </c>
      <c r="B795" s="2" t="str">
        <f>IFERROR(__xludf.DUMMYFUNCTION("TRIM(INDEX(SPLIT($A795,""-""),1))
"),"샘킴")</f>
        <v>샘킴</v>
      </c>
      <c r="C795" s="2" t="str">
        <f>IFERROR(__xludf.DUMMYFUNCTION("TRIM(INDEX(SPLIT($A795,""-""),2))
"),"떠먹으라규♡")</f>
        <v>떠먹으라규♡</v>
      </c>
    </row>
    <row r="796">
      <c r="A796" s="2" t="str">
        <f>IFERROR(__xludf.DUMMYFUNCTION("REGEXEXTRACT(raw!A796, ""&lt;\s*(.+?)\s*&gt;"")
"),"김풍 - 가지가지한다")</f>
        <v>김풍 - 가지가지한다</v>
      </c>
      <c r="B796" s="2" t="str">
        <f>IFERROR(__xludf.DUMMYFUNCTION("TRIM(INDEX(SPLIT($A796,""-""),1))
"),"김풍")</f>
        <v>김풍</v>
      </c>
      <c r="C796" s="2" t="str">
        <f>IFERROR(__xludf.DUMMYFUNCTION("TRIM(INDEX(SPLIT($A796,""-""),2))
"),"가지가지한다")</f>
        <v>가지가지한다</v>
      </c>
    </row>
    <row r="797">
      <c r="A797" s="2" t="str">
        <f>IFERROR(__xludf.DUMMYFUNCTION("REGEXEXTRACT(raw!A797, ""&lt;\s*(.+?)\s*&gt;"")
"),"유현수 - 순대 스마일~")</f>
        <v>유현수 - 순대 스마일~</v>
      </c>
      <c r="B797" s="2" t="str">
        <f>IFERROR(__xludf.DUMMYFUNCTION("TRIM(INDEX(SPLIT($A797,""-""),1))
"),"유현수")</f>
        <v>유현수</v>
      </c>
      <c r="C797" s="2" t="str">
        <f>IFERROR(__xludf.DUMMYFUNCTION("TRIM(INDEX(SPLIT($A797,""-""),2))
"),"순대 스마일~")</f>
        <v>순대 스마일~</v>
      </c>
    </row>
    <row r="798">
      <c r="A798" s="2" t="str">
        <f>IFERROR(__xludf.DUMMYFUNCTION("REGEXEXTRACT(raw!A798, ""&lt;\s*(.+?)\s*&gt;"")
"),"레이먼킴 - 홍삼드삼")</f>
        <v>레이먼킴 - 홍삼드삼</v>
      </c>
      <c r="B798" s="2" t="str">
        <f>IFERROR(__xludf.DUMMYFUNCTION("TRIM(INDEX(SPLIT($A798,""-""),1))
"),"레이먼킴")</f>
        <v>레이먼킴</v>
      </c>
      <c r="C798" s="2" t="str">
        <f>IFERROR(__xludf.DUMMYFUNCTION("TRIM(INDEX(SPLIT($A798,""-""),2))
"),"홍삼드삼")</f>
        <v>홍삼드삼</v>
      </c>
    </row>
    <row r="799">
      <c r="A799" s="2" t="str">
        <f>IFERROR(__xludf.DUMMYFUNCTION("REGEXEXTRACT(raw!A799, ""&lt;\s*(.+?)\s*&gt;"")
"),"미카엘 - 홍카엘")</f>
        <v>미카엘 - 홍카엘</v>
      </c>
      <c r="B799" s="2" t="str">
        <f>IFERROR(__xludf.DUMMYFUNCTION("TRIM(INDEX(SPLIT($A799,""-""),1))
"),"미카엘")</f>
        <v>미카엘</v>
      </c>
      <c r="C799" s="2" t="str">
        <f>IFERROR(__xludf.DUMMYFUNCTION("TRIM(INDEX(SPLIT($A799,""-""),2))
"),"홍카엘")</f>
        <v>홍카엘</v>
      </c>
    </row>
    <row r="800">
      <c r="A800" s="2" t="str">
        <f>IFERROR(__xludf.DUMMYFUNCTION("REGEXEXTRACT(raw!A800, ""&lt;\s*(.+?)\s*&gt;"")
"),"이연복 - 팟타이 피플")</f>
        <v>이연복 - 팟타이 피플</v>
      </c>
      <c r="B800" s="2" t="str">
        <f>IFERROR(__xludf.DUMMYFUNCTION("TRIM(INDEX(SPLIT($A800,""-""),1))
"),"이연복")</f>
        <v>이연복</v>
      </c>
      <c r="C800" s="2" t="str">
        <f>IFERROR(__xludf.DUMMYFUNCTION("TRIM(INDEX(SPLIT($A800,""-""),2))
"),"팟타이 피플")</f>
        <v>팟타이 피플</v>
      </c>
    </row>
    <row r="801">
      <c r="A801" s="2" t="str">
        <f>IFERROR(__xludf.DUMMYFUNCTION("REGEXEXTRACT(raw!A801, ""&lt;\s*(.+?)\s*&gt;"")
"),"샘킴 - 샘나는 볶음면")</f>
        <v>샘킴 - 샘나는 볶음면</v>
      </c>
      <c r="B801" s="2" t="str">
        <f>IFERROR(__xludf.DUMMYFUNCTION("TRIM(INDEX(SPLIT($A801,""-""),1))
"),"샘킴")</f>
        <v>샘킴</v>
      </c>
      <c r="C801" s="2" t="str">
        <f>IFERROR(__xludf.DUMMYFUNCTION("TRIM(INDEX(SPLIT($A801,""-""),2))
"),"샘나는 볶음면")</f>
        <v>샘나는 볶음면</v>
      </c>
    </row>
    <row r="802">
      <c r="A802" s="2" t="str">
        <f>IFERROR(__xludf.DUMMYFUNCTION("REGEXEXTRACT(raw!A802, ""&lt;\s*(.+?)\s*&gt;"")
"),"오세득 - 찜의 정수")</f>
        <v>오세득 - 찜의 정수</v>
      </c>
      <c r="B802" s="2" t="str">
        <f>IFERROR(__xludf.DUMMYFUNCTION("TRIM(INDEX(SPLIT($A802,""-""),1))
"),"오세득")</f>
        <v>오세득</v>
      </c>
      <c r="C802" s="2" t="str">
        <f>IFERROR(__xludf.DUMMYFUNCTION("TRIM(INDEX(SPLIT($A802,""-""),2))
"),"찜의 정수")</f>
        <v>찜의 정수</v>
      </c>
    </row>
    <row r="803">
      <c r="A803" s="2" t="str">
        <f>IFERROR(__xludf.DUMMYFUNCTION("REGEXEXTRACT(raw!A803, ""&lt;\s*(.+?)\s*&gt;"")
"),"정호영 - 말이야~ 아보말이야♬")</f>
        <v>정호영 - 말이야~ 아보말이야♬</v>
      </c>
      <c r="B803" s="2" t="str">
        <f>IFERROR(__xludf.DUMMYFUNCTION("TRIM(INDEX(SPLIT($A803,""-""),1))
"),"정호영")</f>
        <v>정호영</v>
      </c>
      <c r="C803" s="2" t="str">
        <f>IFERROR(__xludf.DUMMYFUNCTION("TRIM(INDEX(SPLIT($A803,""-""),2))
"),"말이야~ 아보말이야♬")</f>
        <v>말이야~ 아보말이야♬</v>
      </c>
    </row>
    <row r="804">
      <c r="A804" s="2" t="str">
        <f>IFERROR(__xludf.DUMMYFUNCTION("REGEXEXTRACT(raw!A804, ""&lt;\s*(.+?)\s*&gt;"")
"),"이연복 - 연장피")</f>
        <v>이연복 - 연장피</v>
      </c>
      <c r="B804" s="2" t="str">
        <f>IFERROR(__xludf.DUMMYFUNCTION("TRIM(INDEX(SPLIT($A804,""-""),1))
"),"이연복")</f>
        <v>이연복</v>
      </c>
      <c r="C804" s="2" t="str">
        <f>IFERROR(__xludf.DUMMYFUNCTION("TRIM(INDEX(SPLIT($A804,""-""),2))
"),"연장피")</f>
        <v>연장피</v>
      </c>
    </row>
    <row r="805">
      <c r="A805" s="2" t="str">
        <f>IFERROR(__xludf.DUMMYFUNCTION("REGEXEXTRACT(raw!A805, ""&lt;\s*(.+?)\s*&gt;"")
"),"유현수 - 사연장사 만만세♬")</f>
        <v>유현수 - 사연장사 만만세♬</v>
      </c>
      <c r="B805" s="2" t="str">
        <f>IFERROR(__xludf.DUMMYFUNCTION("TRIM(INDEX(SPLIT($A805,""-""),1))
"),"유현수")</f>
        <v>유현수</v>
      </c>
      <c r="C805" s="2" t="str">
        <f>IFERROR(__xludf.DUMMYFUNCTION("TRIM(INDEX(SPLIT($A805,""-""),2))
"),"사연장사 만만세♬")</f>
        <v>사연장사 만만세♬</v>
      </c>
    </row>
    <row r="806">
      <c r="A806" s="2" t="str">
        <f>IFERROR(__xludf.DUMMYFUNCTION("REGEXEXTRACT(raw!A806, ""&lt;\s*(.+?)\s*&gt;"")
"),"오세득 - 김치 잘 먹는 예쁜 누나")</f>
        <v>오세득 - 김치 잘 먹는 예쁜 누나</v>
      </c>
      <c r="B806" s="2" t="str">
        <f>IFERROR(__xludf.DUMMYFUNCTION("TRIM(INDEX(SPLIT($A806,""-""),1))
"),"오세득")</f>
        <v>오세득</v>
      </c>
      <c r="C806" s="2" t="str">
        <f>IFERROR(__xludf.DUMMYFUNCTION("TRIM(INDEX(SPLIT($A806,""-""),2))
"),"김치 잘 먹는 예쁜 누나")</f>
        <v>김치 잘 먹는 예쁜 누나</v>
      </c>
    </row>
    <row r="807">
      <c r="A807" s="2" t="str">
        <f>IFERROR(__xludf.DUMMYFUNCTION("REGEXEXTRACT(raw!A807, ""&lt;\s*(.+?)\s*&gt;"")
"),"미카엘 - 맛있으면 김~치")</f>
        <v>미카엘 - 맛있으면 김~치</v>
      </c>
      <c r="B807" s="2" t="str">
        <f>IFERROR(__xludf.DUMMYFUNCTION("TRIM(INDEX(SPLIT($A807,""-""),1))
"),"미카엘")</f>
        <v>미카엘</v>
      </c>
      <c r="C807" s="2" t="str">
        <f>IFERROR(__xludf.DUMMYFUNCTION("TRIM(INDEX(SPLIT($A807,""-""),2))
"),"맛있으면 김~치")</f>
        <v>맛있으면 김~치</v>
      </c>
    </row>
    <row r="808">
      <c r="A808" s="2" t="str">
        <f>IFERROR(__xludf.DUMMYFUNCTION("REGEXEXTRACT(raw!A808, ""&lt;\s*(.+?)\s*&gt;"")
"),"샘킴 - 함박84")</f>
        <v>샘킴 - 함박84</v>
      </c>
      <c r="B808" s="2" t="str">
        <f>IFERROR(__xludf.DUMMYFUNCTION("TRIM(INDEX(SPLIT($A808,""-""),1))
"),"샘킴")</f>
        <v>샘킴</v>
      </c>
      <c r="C808" s="2" t="str">
        <f>IFERROR(__xludf.DUMMYFUNCTION("TRIM(INDEX(SPLIT($A808,""-""),2))
"),"함박84")</f>
        <v>함박84</v>
      </c>
    </row>
    <row r="809">
      <c r="A809" s="2" t="str">
        <f>IFERROR(__xludf.DUMMYFUNCTION("REGEXEXTRACT(raw!A809, ""&lt;\s*(.+?)\s*&gt;"")
"),"정호영 - 목살84")</f>
        <v>정호영 - 목살84</v>
      </c>
      <c r="B809" s="2" t="str">
        <f>IFERROR(__xludf.DUMMYFUNCTION("TRIM(INDEX(SPLIT($A809,""-""),1))
"),"정호영")</f>
        <v>정호영</v>
      </c>
      <c r="C809" s="2" t="str">
        <f>IFERROR(__xludf.DUMMYFUNCTION("TRIM(INDEX(SPLIT($A809,""-""),2))
"),"목살84")</f>
        <v>목살84</v>
      </c>
    </row>
    <row r="810">
      <c r="A810" s="2" t="str">
        <f>IFERROR(__xludf.DUMMYFUNCTION("REGEXEXTRACT(raw!A810, ""&lt;\s*(.+?)\s*&gt;"")
"),"김풍 - 덮밥왕")</f>
        <v>김풍 - 덮밥왕</v>
      </c>
      <c r="B810" s="2" t="str">
        <f>IFERROR(__xludf.DUMMYFUNCTION("TRIM(INDEX(SPLIT($A810,""-""),1))
"),"김풍")</f>
        <v>김풍</v>
      </c>
      <c r="C810" s="2" t="str">
        <f>IFERROR(__xludf.DUMMYFUNCTION("TRIM(INDEX(SPLIT($A810,""-""),2))
"),"덮밥왕")</f>
        <v>덮밥왕</v>
      </c>
    </row>
    <row r="811">
      <c r="A811" s="2" t="str">
        <f>IFERROR(__xludf.DUMMYFUNCTION("REGEXEXTRACT(raw!A811, ""&lt;\s*(.+?)\s*&gt;"")
"),"레이먼킴 - 내가 이길 소야")</f>
        <v>레이먼킴 - 내가 이길 소야</v>
      </c>
      <c r="B811" s="2" t="str">
        <f>IFERROR(__xludf.DUMMYFUNCTION("TRIM(INDEX(SPLIT($A811,""-""),1))
"),"레이먼킴")</f>
        <v>레이먼킴</v>
      </c>
      <c r="C811" s="2" t="str">
        <f>IFERROR(__xludf.DUMMYFUNCTION("TRIM(INDEX(SPLIT($A811,""-""),2))
"),"내가 이길 소야")</f>
        <v>내가 이길 소야</v>
      </c>
    </row>
    <row r="812">
      <c r="A812" s="2" t="str">
        <f>IFERROR(__xludf.DUMMYFUNCTION("REGEXEXTRACT(raw!A812, ""&lt;\s*(.+?)\s*&gt;"")
"),"김풍 - 소바로우")</f>
        <v>김풍 - 소바로우</v>
      </c>
      <c r="B812" s="2" t="str">
        <f>IFERROR(__xludf.DUMMYFUNCTION("TRIM(INDEX(SPLIT($A812,""-""),1))
"),"김풍")</f>
        <v>김풍</v>
      </c>
      <c r="C812" s="2" t="str">
        <f>IFERROR(__xludf.DUMMYFUNCTION("TRIM(INDEX(SPLIT($A812,""-""),2))
"),"소바로우")</f>
        <v>소바로우</v>
      </c>
    </row>
    <row r="813">
      <c r="A813" s="2" t="str">
        <f>IFERROR(__xludf.DUMMYFUNCTION("REGEXEXTRACT(raw!A813, ""&lt;\s*(.+?)\s*&gt;"")
"),"미카엘 - 해비한 소시지")</f>
        <v>미카엘 - 해비한 소시지</v>
      </c>
      <c r="B813" s="2" t="str">
        <f>IFERROR(__xludf.DUMMYFUNCTION("TRIM(INDEX(SPLIT($A813,""-""),1))
"),"미카엘")</f>
        <v>미카엘</v>
      </c>
      <c r="C813" s="2" t="str">
        <f>IFERROR(__xludf.DUMMYFUNCTION("TRIM(INDEX(SPLIT($A813,""-""),2))
"),"해비한 소시지")</f>
        <v>해비한 소시지</v>
      </c>
    </row>
    <row r="814">
      <c r="A814" s="2" t="str">
        <f>IFERROR(__xludf.DUMMYFUNCTION("REGEXEXTRACT(raw!A814, ""&lt;\s*(.+?)\s*&gt;"")
"),"이연복 - 등심은 맛있어♬")</f>
        <v>이연복 - 등심은 맛있어♬</v>
      </c>
      <c r="B814" s="2" t="str">
        <f>IFERROR(__xludf.DUMMYFUNCTION("TRIM(INDEX(SPLIT($A814,""-""),1))
"),"이연복")</f>
        <v>이연복</v>
      </c>
      <c r="C814" s="2" t="str">
        <f>IFERROR(__xludf.DUMMYFUNCTION("TRIM(INDEX(SPLIT($A814,""-""),2))
"),"등심은 맛있어♬")</f>
        <v>등심은 맛있어♬</v>
      </c>
    </row>
    <row r="815">
      <c r="A815" s="2" t="str">
        <f>IFERROR(__xludf.DUMMYFUNCTION("REGEXEXTRACT(raw!A815, ""&lt;\s*(.+?)\s*&gt;"")
"),"정호영 - 고로케까지 생각했어♬")</f>
        <v>정호영 - 고로케까지 생각했어♬</v>
      </c>
      <c r="B815" s="2" t="str">
        <f>IFERROR(__xludf.DUMMYFUNCTION("TRIM(INDEX(SPLIT($A815,""-""),1))
"),"정호영")</f>
        <v>정호영</v>
      </c>
      <c r="C815" s="2" t="str">
        <f>IFERROR(__xludf.DUMMYFUNCTION("TRIM(INDEX(SPLIT($A815,""-""),2))
"),"고로케까지 생각했어♬")</f>
        <v>고로케까지 생각했어♬</v>
      </c>
    </row>
    <row r="816">
      <c r="A816" s="2" t="str">
        <f>IFERROR(__xludf.DUMMYFUNCTION("REGEXEXTRACT(raw!A816, ""&lt;\s*(.+?)\s*&gt;"")
"),"유현수 - 오골계이득")</f>
        <v>유현수 - 오골계이득</v>
      </c>
      <c r="B816" s="2" t="str">
        <f>IFERROR(__xludf.DUMMYFUNCTION("TRIM(INDEX(SPLIT($A816,""-""),1))
"),"유현수")</f>
        <v>유현수</v>
      </c>
      <c r="C816" s="2" t="str">
        <f>IFERROR(__xludf.DUMMYFUNCTION("TRIM(INDEX(SPLIT($A816,""-""),2))
"),"오골계이득")</f>
        <v>오골계이득</v>
      </c>
    </row>
    <row r="817">
      <c r="A817" s="2" t="str">
        <f>IFERROR(__xludf.DUMMYFUNCTION("REGEXEXTRACT(raw!A817, ""&lt;\s*(.+?)\s*&gt;"")
"),"윤종철 - 오골계 국밥")</f>
        <v>윤종철 - 오골계 국밥</v>
      </c>
      <c r="B817" s="2" t="str">
        <f>IFERROR(__xludf.DUMMYFUNCTION("TRIM(INDEX(SPLIT($A817,""-""),1))
"),"윤종철")</f>
        <v>윤종철</v>
      </c>
      <c r="C817" s="2" t="str">
        <f>IFERROR(__xludf.DUMMYFUNCTION("TRIM(INDEX(SPLIT($A817,""-""),2))
"),"오골계 국밥")</f>
        <v>오골계 국밥</v>
      </c>
    </row>
    <row r="818">
      <c r="A818" s="2" t="str">
        <f>IFERROR(__xludf.DUMMYFUNCTION("REGEXEXTRACT(raw!A818, ""&lt;\s*(.+?)\s*&gt;"")
"),"샘킴 - 바비큐 Baby~♬")</f>
        <v>샘킴 - 바비큐 Baby~♬</v>
      </c>
      <c r="B818" s="2" t="str">
        <f>IFERROR(__xludf.DUMMYFUNCTION("TRIM(INDEX(SPLIT($A818,""-""),1))
"),"샘킴")</f>
        <v>샘킴</v>
      </c>
      <c r="C818" s="2" t="str">
        <f>IFERROR(__xludf.DUMMYFUNCTION("TRIM(INDEX(SPLIT($A818,""-""),2))
"),"바비큐 Baby~♬")</f>
        <v>바비큐 Baby~♬</v>
      </c>
    </row>
    <row r="819">
      <c r="A819" s="2" t="str">
        <f>IFERROR(__xludf.DUMMYFUNCTION("REGEXEXTRACT(raw!A819, ""&lt;\s*(.+?)\s*&gt;"")
"),"레이먼킴 - 이 돼지의 끝을 잡고♬")</f>
        <v>레이먼킴 - 이 돼지의 끝을 잡고♬</v>
      </c>
      <c r="B819" s="2" t="str">
        <f>IFERROR(__xludf.DUMMYFUNCTION("TRIM(INDEX(SPLIT($A819,""-""),1))
"),"레이먼킴")</f>
        <v>레이먼킴</v>
      </c>
      <c r="C819" s="2" t="str">
        <f>IFERROR(__xludf.DUMMYFUNCTION("TRIM(INDEX(SPLIT($A819,""-""),2))
"),"이 돼지의 끝을 잡고♬")</f>
        <v>이 돼지의 끝을 잡고♬</v>
      </c>
    </row>
    <row r="820">
      <c r="A820" s="2" t="str">
        <f>IFERROR(__xludf.DUMMYFUNCTION("REGEXEXTRACT(raw!A820, ""&lt;\s*(.+?)\s*&gt;"")
"),"정호영 - 꽃게찜 했다♬")</f>
        <v>정호영 - 꽃게찜 했다♬</v>
      </c>
      <c r="B820" s="2" t="str">
        <f>IFERROR(__xludf.DUMMYFUNCTION("TRIM(INDEX(SPLIT($A820,""-""),1))
"),"정호영")</f>
        <v>정호영</v>
      </c>
      <c r="C820" s="2" t="str">
        <f>IFERROR(__xludf.DUMMYFUNCTION("TRIM(INDEX(SPLIT($A820,""-""),2))
"),"꽃게찜 했다♬")</f>
        <v>꽃게찜 했다♬</v>
      </c>
    </row>
    <row r="821">
      <c r="A821" s="2" t="str">
        <f>IFERROR(__xludf.DUMMYFUNCTION("REGEXEXTRACT(raw!A821, ""&lt;\s*(.+?)\s*&gt;"")
"),"미카엘 - 씨푸드파이터")</f>
        <v>미카엘 - 씨푸드파이터</v>
      </c>
      <c r="B821" s="2" t="str">
        <f>IFERROR(__xludf.DUMMYFUNCTION("TRIM(INDEX(SPLIT($A821,""-""),1))
"),"미카엘")</f>
        <v>미카엘</v>
      </c>
      <c r="C821" s="2" t="str">
        <f>IFERROR(__xludf.DUMMYFUNCTION("TRIM(INDEX(SPLIT($A821,""-""),2))
"),"씨푸드파이터")</f>
        <v>씨푸드파이터</v>
      </c>
    </row>
    <row r="822">
      <c r="A822" s="2" t="str">
        <f>IFERROR(__xludf.DUMMYFUNCTION("REGEXEXTRACT(raw!A822, ""&lt;\s*(.+?)\s*&gt;"")
"),"샘킴 - 고수의 고수")</f>
        <v>샘킴 - 고수의 고수</v>
      </c>
      <c r="B822" s="2" t="str">
        <f>IFERROR(__xludf.DUMMYFUNCTION("TRIM(INDEX(SPLIT($A822,""-""),1))
"),"샘킴")</f>
        <v>샘킴</v>
      </c>
      <c r="C822" s="2" t="str">
        <f>IFERROR(__xludf.DUMMYFUNCTION("TRIM(INDEX(SPLIT($A822,""-""),2))
"),"고수의 고수")</f>
        <v>고수의 고수</v>
      </c>
    </row>
    <row r="823">
      <c r="A823" s="2" t="str">
        <f>IFERROR(__xludf.DUMMYFUNCTION("REGEXEXTRACT(raw!A823, ""&lt;\s*(.+?)\s*&gt;"")
"),"유현수 - 고수테이크")</f>
        <v>유현수 - 고수테이크</v>
      </c>
      <c r="B823" s="2" t="str">
        <f>IFERROR(__xludf.DUMMYFUNCTION("TRIM(INDEX(SPLIT($A823,""-""),1))
"),"유현수")</f>
        <v>유현수</v>
      </c>
      <c r="C823" s="2" t="str">
        <f>IFERROR(__xludf.DUMMYFUNCTION("TRIM(INDEX(SPLIT($A823,""-""),2))
"),"고수테이크")</f>
        <v>고수테이크</v>
      </c>
    </row>
    <row r="824">
      <c r="A824" s="2" t="str">
        <f>IFERROR(__xludf.DUMMYFUNCTION("REGEXEXTRACT(raw!A824, ""&lt;\s*(.+?)\s*&gt;"")
"),"이연복 - 소울 담아 구워 드림")</f>
        <v>이연복 - 소울 담아 구워 드림</v>
      </c>
      <c r="B824" s="2" t="str">
        <f>IFERROR(__xludf.DUMMYFUNCTION("TRIM(INDEX(SPLIT($A824,""-""),1))
"),"이연복")</f>
        <v>이연복</v>
      </c>
      <c r="C824" s="2" t="str">
        <f>IFERROR(__xludf.DUMMYFUNCTION("TRIM(INDEX(SPLIT($A824,""-""),2))
"),"소울 담아 구워 드림")</f>
        <v>소울 담아 구워 드림</v>
      </c>
    </row>
    <row r="825">
      <c r="A825" s="2" t="str">
        <f>IFERROR(__xludf.DUMMYFUNCTION("REGEXEXTRACT(raw!A825, ""&lt;\s*(.+?)\s*&gt;"")
"),"레이먼킴 - 별난 스테이크")</f>
        <v>레이먼킴 - 별난 스테이크</v>
      </c>
      <c r="B825" s="2" t="str">
        <f>IFERROR(__xludf.DUMMYFUNCTION("TRIM(INDEX(SPLIT($A825,""-""),1))
"),"레이먼킴")</f>
        <v>레이먼킴</v>
      </c>
      <c r="C825" s="2" t="str">
        <f>IFERROR(__xludf.DUMMYFUNCTION("TRIM(INDEX(SPLIT($A825,""-""),2))
"),"별난 스테이크")</f>
        <v>별난 스테이크</v>
      </c>
    </row>
    <row r="826">
      <c r="A826" s="2" t="str">
        <f>IFERROR(__xludf.DUMMYFUNCTION("REGEXEXTRACT(raw!A826, ""&lt;\s*(.+?)\s*&gt;"")
"),"김풍 - 하얀 닭발이라고~ 까만 닭발이라고♬")</f>
        <v>김풍 - 하얀 닭발이라고~ 까만 닭발이라고♬</v>
      </c>
      <c r="B826" s="2" t="str">
        <f>IFERROR(__xludf.DUMMYFUNCTION("TRIM(INDEX(SPLIT($A826,""-""),1))
"),"김풍")</f>
        <v>김풍</v>
      </c>
      <c r="C826" s="2" t="str">
        <f>IFERROR(__xludf.DUMMYFUNCTION("TRIM(INDEX(SPLIT($A826,""-""),2))
"),"하얀 닭발이라고~ 까만 닭발이라고♬")</f>
        <v>하얀 닭발이라고~ 까만 닭발이라고♬</v>
      </c>
    </row>
    <row r="827">
      <c r="A827" s="2" t="str">
        <f>IFERROR(__xludf.DUMMYFUNCTION("REGEXEXTRACT(raw!A827, ""&lt;\s*(.+?)\s*&gt;"")
"),"오세득 - 닭발라드")</f>
        <v>오세득 - 닭발라드</v>
      </c>
      <c r="B827" s="2" t="str">
        <f>IFERROR(__xludf.DUMMYFUNCTION("TRIM(INDEX(SPLIT($A827,""-""),1))
"),"오세득")</f>
        <v>오세득</v>
      </c>
      <c r="C827" s="2" t="str">
        <f>IFERROR(__xludf.DUMMYFUNCTION("TRIM(INDEX(SPLIT($A827,""-""),2))
"),"닭발라드")</f>
        <v>닭발라드</v>
      </c>
    </row>
    <row r="828">
      <c r="A828" s="2" t="str">
        <f>IFERROR(__xludf.DUMMYFUNCTION("REGEXEXTRACT(raw!A828, ""&lt;\s*(.+?)\s*&gt;"")
"),"유현수 - 양갈비~ Save Us♬")</f>
        <v>유현수 - 양갈비~ Save Us♬</v>
      </c>
      <c r="B828" s="2" t="str">
        <f>IFERROR(__xludf.DUMMYFUNCTION("TRIM(INDEX(SPLIT($A828,""-""),1))
"),"유현수")</f>
        <v>유현수</v>
      </c>
      <c r="C828" s="2" t="str">
        <f>IFERROR(__xludf.DUMMYFUNCTION("TRIM(INDEX(SPLIT($A828,""-""),2))
"),"양갈비~ Save Us♬")</f>
        <v>양갈비~ Save Us♬</v>
      </c>
    </row>
    <row r="829">
      <c r="A829" s="2" t="str">
        <f>IFERROR(__xludf.DUMMYFUNCTION("REGEXEXTRACT(raw!A829, ""&lt;\s*(.+?)\s*&gt;"")
"),"미카엘 - 황도 스피릿")</f>
        <v>미카엘 - 황도 스피릿</v>
      </c>
      <c r="B829" s="2" t="str">
        <f>IFERROR(__xludf.DUMMYFUNCTION("TRIM(INDEX(SPLIT($A829,""-""),1))
"),"미카엘")</f>
        <v>미카엘</v>
      </c>
      <c r="C829" s="2" t="str">
        <f>IFERROR(__xludf.DUMMYFUNCTION("TRIM(INDEX(SPLIT($A829,""-""),2))
"),"황도 스피릿")</f>
        <v>황도 스피릿</v>
      </c>
    </row>
    <row r="830">
      <c r="A830" s="2" t="str">
        <f>IFERROR(__xludf.DUMMYFUNCTION("REGEXEXTRACT(raw!A830, ""&lt;\s*(.+?)\s*&gt;"")
"),"샘킴 - 고샌 끝에 낙이 온다")</f>
        <v>샘킴 - 고샌 끝에 낙이 온다</v>
      </c>
      <c r="B830" s="2" t="str">
        <f>IFERROR(__xludf.DUMMYFUNCTION("TRIM(INDEX(SPLIT($A830,""-""),1))
"),"샘킴")</f>
        <v>샘킴</v>
      </c>
      <c r="C830" s="2" t="str">
        <f>IFERROR(__xludf.DUMMYFUNCTION("TRIM(INDEX(SPLIT($A830,""-""),2))
"),"고샌 끝에 낙이 온다")</f>
        <v>고샌 끝에 낙이 온다</v>
      </c>
    </row>
    <row r="831">
      <c r="A831" s="2" t="str">
        <f>IFERROR(__xludf.DUMMYFUNCTION("REGEXEXTRACT(raw!A831, ""&lt;\s*(.+?)\s*&gt;"")
"),"정호영 - 내가 이길 거고등")</f>
        <v>정호영 - 내가 이길 거고등</v>
      </c>
      <c r="B831" s="2" t="str">
        <f>IFERROR(__xludf.DUMMYFUNCTION("TRIM(INDEX(SPLIT($A831,""-""),1))
"),"정호영")</f>
        <v>정호영</v>
      </c>
      <c r="C831" s="2" t="str">
        <f>IFERROR(__xludf.DUMMYFUNCTION("TRIM(INDEX(SPLIT($A831,""-""),2))
"),"내가 이길 거고등")</f>
        <v>내가 이길 거고등</v>
      </c>
    </row>
    <row r="832">
      <c r="A832" s="2" t="str">
        <f>IFERROR(__xludf.DUMMYFUNCTION("REGEXEXTRACT(raw!A832, ""&lt;\s*(.+?)\s*&gt;"")
"),"김풍 - 파짱쫀")</f>
        <v>김풍 - 파짱쫀</v>
      </c>
      <c r="B832" s="2" t="str">
        <f>IFERROR(__xludf.DUMMYFUNCTION("TRIM(INDEX(SPLIT($A832,""-""),1))
"),"김풍")</f>
        <v>김풍</v>
      </c>
      <c r="C832" s="2" t="str">
        <f>IFERROR(__xludf.DUMMYFUNCTION("TRIM(INDEX(SPLIT($A832,""-""),2))
"),"파짱쫀")</f>
        <v>파짱쫀</v>
      </c>
    </row>
    <row r="833">
      <c r="A833" s="2" t="str">
        <f>IFERROR(__xludf.DUMMYFUNCTION("REGEXEXTRACT(raw!A833, ""&lt;\s*(.+?)\s*&gt;"")
"),"레이먼킴 - 대파 Two")</f>
        <v>레이먼킴 - 대파 Two</v>
      </c>
      <c r="B833" s="2" t="str">
        <f>IFERROR(__xludf.DUMMYFUNCTION("TRIM(INDEX(SPLIT($A833,""-""),1))
"),"레이먼킴")</f>
        <v>레이먼킴</v>
      </c>
      <c r="C833" s="2" t="str">
        <f>IFERROR(__xludf.DUMMYFUNCTION("TRIM(INDEX(SPLIT($A833,""-""),2))
"),"대파 Two")</f>
        <v>대파 Two</v>
      </c>
    </row>
    <row r="834">
      <c r="A834" s="2" t="str">
        <f>IFERROR(__xludf.DUMMYFUNCTION("REGEXEXTRACT(raw!A834, ""&lt;\s*(.+?)\s*&gt;"")
"),"이연복 - 오~ 김치 코리아♬")</f>
        <v>이연복 - 오~ 김치 코리아♬</v>
      </c>
      <c r="B834" s="2" t="str">
        <f>IFERROR(__xludf.DUMMYFUNCTION("TRIM(INDEX(SPLIT($A834,""-""),1))
"),"이연복")</f>
        <v>이연복</v>
      </c>
      <c r="C834" s="2" t="str">
        <f>IFERROR(__xludf.DUMMYFUNCTION("TRIM(INDEX(SPLIT($A834,""-""),2))
"),"오~ 김치 코리아♬")</f>
        <v>오~ 김치 코리아♬</v>
      </c>
    </row>
    <row r="835">
      <c r="A835" s="2" t="str">
        <f>IFERROR(__xludf.DUMMYFUNCTION("REGEXEXTRACT(raw!A835, ""&lt;\s*(.+?)\s*&gt;"")
"),"오세득 - 나 백숙 할래♬")</f>
        <v>오세득 - 나 백숙 할래♬</v>
      </c>
      <c r="B835" s="2" t="str">
        <f>IFERROR(__xludf.DUMMYFUNCTION("TRIM(INDEX(SPLIT($A835,""-""),1))
"),"오세득")</f>
        <v>오세득</v>
      </c>
      <c r="C835" s="2" t="str">
        <f>IFERROR(__xludf.DUMMYFUNCTION("TRIM(INDEX(SPLIT($A835,""-""),2))
"),"나 백숙 할래♬")</f>
        <v>나 백숙 할래♬</v>
      </c>
    </row>
    <row r="836">
      <c r="A836" s="2" t="str">
        <f>IFERROR(__xludf.DUMMYFUNCTION("REGEXEXTRACT(raw!A836, ""&lt;\s*(.+?)\s*&gt;"")
"),"이연복 - 맵다고 가지 마라")</f>
        <v>이연복 - 맵다고 가지 마라</v>
      </c>
      <c r="B836" s="2" t="str">
        <f>IFERROR(__xludf.DUMMYFUNCTION("TRIM(INDEX(SPLIT($A836,""-""),1))
"),"이연복")</f>
        <v>이연복</v>
      </c>
      <c r="C836" s="2" t="str">
        <f>IFERROR(__xludf.DUMMYFUNCTION("TRIM(INDEX(SPLIT($A836,""-""),2))
"),"맵다고 가지 마라")</f>
        <v>맵다고 가지 마라</v>
      </c>
    </row>
    <row r="837">
      <c r="A837" s="2" t="str">
        <f>IFERROR(__xludf.DUMMYFUNCTION("REGEXEXTRACT(raw!A837, ""&lt;\s*(.+?)\s*&gt;"")
"),"샘킴 - 보헤미안 앤초비")</f>
        <v>샘킴 - 보헤미안 앤초비</v>
      </c>
      <c r="B837" s="2" t="str">
        <f>IFERROR(__xludf.DUMMYFUNCTION("TRIM(INDEX(SPLIT($A837,""-""),1))
"),"샘킴")</f>
        <v>샘킴</v>
      </c>
      <c r="C837" s="2" t="str">
        <f>IFERROR(__xludf.DUMMYFUNCTION("TRIM(INDEX(SPLIT($A837,""-""),2))
"),"보헤미안 앤초비")</f>
        <v>보헤미안 앤초비</v>
      </c>
    </row>
    <row r="838">
      <c r="A838" s="2" t="str">
        <f>IFERROR(__xludf.DUMMYFUNCTION("REGEXEXTRACT(raw!A838, ""&lt;\s*(.+?)\s*&gt;"")
"),"김풍 - 생강나는 장어")</f>
        <v>김풍 - 생강나는 장어</v>
      </c>
      <c r="B838" s="2" t="str">
        <f>IFERROR(__xludf.DUMMYFUNCTION("TRIM(INDEX(SPLIT($A838,""-""),1))
"),"김풍")</f>
        <v>김풍</v>
      </c>
      <c r="C838" s="2" t="str">
        <f>IFERROR(__xludf.DUMMYFUNCTION("TRIM(INDEX(SPLIT($A838,""-""),2))
"),"생강나는 장어")</f>
        <v>생강나는 장어</v>
      </c>
    </row>
    <row r="839">
      <c r="A839" s="2" t="str">
        <f>IFERROR(__xludf.DUMMYFUNCTION("REGEXEXTRACT(raw!A839, ""&lt;\s*(.+?)\s*&gt;"")
"),"유현수 - 매워도 안심하으~리")</f>
        <v>유현수 - 매워도 안심하으~리</v>
      </c>
      <c r="B839" s="2" t="str">
        <f>IFERROR(__xludf.DUMMYFUNCTION("TRIM(INDEX(SPLIT($A839,""-""),1))
"),"유현수")</f>
        <v>유현수</v>
      </c>
      <c r="C839" s="2" t="str">
        <f>IFERROR(__xludf.DUMMYFUNCTION("TRIM(INDEX(SPLIT($A839,""-""),2))
"),"매워도 안심하으~리")</f>
        <v>매워도 안심하으~리</v>
      </c>
    </row>
    <row r="840">
      <c r="A840" s="2" t="str">
        <f>IFERROR(__xludf.DUMMYFUNCTION("REGEXEXTRACT(raw!A840, ""&lt;\s*(.+?)\s*&gt;"")
"),"이연복 - 참치 먹고 싶은 사람? 하이!")</f>
        <v>이연복 - 참치 먹고 싶은 사람? 하이!</v>
      </c>
      <c r="B840" s="2" t="str">
        <f>IFERROR(__xludf.DUMMYFUNCTION("TRIM(INDEX(SPLIT($A840,""-""),1))
"),"이연복")</f>
        <v>이연복</v>
      </c>
      <c r="C840" s="2" t="str">
        <f>IFERROR(__xludf.DUMMYFUNCTION("TRIM(INDEX(SPLIT($A840,""-""),2))
"),"참치 먹고 싶은 사람? 하이!")</f>
        <v>참치 먹고 싶은 사람? 하이!</v>
      </c>
    </row>
    <row r="841">
      <c r="A841" s="2" t="str">
        <f>IFERROR(__xludf.DUMMYFUNCTION("REGEXEXTRACT(raw!A841, ""&lt;\s*(.+?)\s*&gt;"")
"),"김풍 - 추풍낙엽")</f>
        <v>김풍 - 추풍낙엽</v>
      </c>
      <c r="B841" s="2" t="str">
        <f>IFERROR(__xludf.DUMMYFUNCTION("TRIM(INDEX(SPLIT($A841,""-""),1))
"),"김풍")</f>
        <v>김풍</v>
      </c>
      <c r="C841" s="2" t="str">
        <f>IFERROR(__xludf.DUMMYFUNCTION("TRIM(INDEX(SPLIT($A841,""-""),2))
"),"추풍낙엽")</f>
        <v>추풍낙엽</v>
      </c>
    </row>
    <row r="842">
      <c r="A842" s="2" t="str">
        <f>IFERROR(__xludf.DUMMYFUNCTION("REGEXEXTRACT(raw!A842, ""&lt;\s*(.+?)\s*&gt;"")
"),"샘킴 - 가슴속에 차오르는 연~어♬")</f>
        <v>샘킴 - 가슴속에 차오르는 연~어♬</v>
      </c>
      <c r="B842" s="2" t="str">
        <f>IFERROR(__xludf.DUMMYFUNCTION("TRIM(INDEX(SPLIT($A842,""-""),1))
"),"샘킴")</f>
        <v>샘킴</v>
      </c>
      <c r="C842" s="2" t="str">
        <f>IFERROR(__xludf.DUMMYFUNCTION("TRIM(INDEX(SPLIT($A842,""-""),2))
"),"가슴속에 차오르는 연~어♬")</f>
        <v>가슴속에 차오르는 연~어♬</v>
      </c>
    </row>
    <row r="843">
      <c r="A843" s="2" t="str">
        <f>IFERROR(__xludf.DUMMYFUNCTION("REGEXEXTRACT(raw!A843, ""&lt;\s*(.+?)\s*&gt;"")
"),"유현수 - 베이징닭")</f>
        <v>유현수 - 베이징닭</v>
      </c>
      <c r="B843" s="2" t="str">
        <f>IFERROR(__xludf.DUMMYFUNCTION("TRIM(INDEX(SPLIT($A843,""-""),1))
"),"유현수")</f>
        <v>유현수</v>
      </c>
      <c r="C843" s="2" t="str">
        <f>IFERROR(__xludf.DUMMYFUNCTION("TRIM(INDEX(SPLIT($A843,""-""),2))
"),"베이징닭")</f>
        <v>베이징닭</v>
      </c>
    </row>
    <row r="844">
      <c r="A844" s="2" t="str">
        <f>IFERROR(__xludf.DUMMYFUNCTION("REGEXEXTRACT(raw!A844, ""&lt;\s*(.+?)\s*&gt;"")
"),"유현수 - 나의 사랑 나의 김치")</f>
        <v>유현수 - 나의 사랑 나의 김치</v>
      </c>
      <c r="B844" s="2" t="str">
        <f>IFERROR(__xludf.DUMMYFUNCTION("TRIM(INDEX(SPLIT($A844,""-""),1))
"),"유현수")</f>
        <v>유현수</v>
      </c>
      <c r="C844" s="2" t="str">
        <f>IFERROR(__xludf.DUMMYFUNCTION("TRIM(INDEX(SPLIT($A844,""-""),2))
"),"나의 사랑 나의 김치")</f>
        <v>나의 사랑 나의 김치</v>
      </c>
    </row>
    <row r="845">
      <c r="A845" s="2" t="str">
        <f>IFERROR(__xludf.DUMMYFUNCTION("REGEXEXTRACT(raw!A845, ""&lt;\s*(.+?)\s*&gt;"")
"),"정호영 - 랄라라♬ 김치라고")</f>
        <v>정호영 - 랄라라♬ 김치라고</v>
      </c>
      <c r="B845" s="2" t="str">
        <f>IFERROR(__xludf.DUMMYFUNCTION("TRIM(INDEX(SPLIT($A845,""-""),1))
"),"정호영")</f>
        <v>정호영</v>
      </c>
      <c r="C845" s="2" t="str">
        <f>IFERROR(__xludf.DUMMYFUNCTION("TRIM(INDEX(SPLIT($A845,""-""),2))
"),"랄라라♬ 김치라고")</f>
        <v>랄라라♬ 김치라고</v>
      </c>
    </row>
    <row r="846">
      <c r="A846" s="2" t="str">
        <f>IFERROR(__xludf.DUMMYFUNCTION("REGEXEXTRACT(raw!A846, ""&lt;\s*(.+?)\s*&gt;"")
"),"김풍 - 투면스")</f>
        <v>김풍 - 투면스</v>
      </c>
      <c r="B846" s="2" t="str">
        <f>IFERROR(__xludf.DUMMYFUNCTION("TRIM(INDEX(SPLIT($A846,""-""),1))
"),"김풍")</f>
        <v>김풍</v>
      </c>
      <c r="C846" s="2" t="str">
        <f>IFERROR(__xludf.DUMMYFUNCTION("TRIM(INDEX(SPLIT($A846,""-""),2))
"),"투면스")</f>
        <v>투면스</v>
      </c>
    </row>
    <row r="847">
      <c r="A847" s="2" t="str">
        <f>IFERROR(__xludf.DUMMYFUNCTION("REGEXEXTRACT(raw!A847, ""&lt;\s*(.+?)\s*&gt;"")
"),"레이먼킴 - 레이면킹")</f>
        <v>레이먼킴 - 레이면킹</v>
      </c>
      <c r="B847" s="2" t="str">
        <f>IFERROR(__xludf.DUMMYFUNCTION("TRIM(INDEX(SPLIT($A847,""-""),1))
"),"레이먼킴")</f>
        <v>레이먼킴</v>
      </c>
      <c r="C847" s="2" t="str">
        <f>IFERROR(__xludf.DUMMYFUNCTION("TRIM(INDEX(SPLIT($A847,""-""),2))
"),"레이면킹")</f>
        <v>레이면킹</v>
      </c>
    </row>
    <row r="848">
      <c r="A848" s="2" t="str">
        <f>IFERROR(__xludf.DUMMYFUNCTION("REGEXEXTRACT(raw!A848, ""&lt;\s*(.+?)\s*&gt;"")
"),"이연복 - 해선만복")</f>
        <v>이연복 - 해선만복</v>
      </c>
      <c r="B848" s="2" t="str">
        <f>IFERROR(__xludf.DUMMYFUNCTION("TRIM(INDEX(SPLIT($A848,""-""),1))
"),"이연복")</f>
        <v>이연복</v>
      </c>
      <c r="C848" s="2" t="str">
        <f>IFERROR(__xludf.DUMMYFUNCTION("TRIM(INDEX(SPLIT($A848,""-""),2))
"),"해선만복")</f>
        <v>해선만복</v>
      </c>
    </row>
    <row r="849">
      <c r="A849" s="2" t="str">
        <f>IFERROR(__xludf.DUMMYFUNCTION("REGEXEXTRACT(raw!A849, ""&lt;\s*(.+?)\s*&gt;"")
"),"오세득 - 저 빠다에 누워♬")</f>
        <v>오세득 - 저 빠다에 누워♬</v>
      </c>
      <c r="B849" s="2" t="str">
        <f>IFERROR(__xludf.DUMMYFUNCTION("TRIM(INDEX(SPLIT($A849,""-""),1))
"),"오세득")</f>
        <v>오세득</v>
      </c>
      <c r="C849" s="2" t="str">
        <f>IFERROR(__xludf.DUMMYFUNCTION("TRIM(INDEX(SPLIT($A849,""-""),2))
"),"저 빠다에 누워♬")</f>
        <v>저 빠다에 누워♬</v>
      </c>
    </row>
    <row r="850">
      <c r="A850" s="2" t="str">
        <f>IFERROR(__xludf.DUMMYFUNCTION("REGEXEXTRACT(raw!A850, ""&lt;\s*(.+?)\s*&gt;"")
"),"샘킴 - 날아라 슈퍼푸드")</f>
        <v>샘킴 - 날아라 슈퍼푸드</v>
      </c>
      <c r="B850" s="2" t="str">
        <f>IFERROR(__xludf.DUMMYFUNCTION("TRIM(INDEX(SPLIT($A850,""-""),1))
"),"샘킴")</f>
        <v>샘킴</v>
      </c>
      <c r="C850" s="2" t="str">
        <f>IFERROR(__xludf.DUMMYFUNCTION("TRIM(INDEX(SPLIT($A850,""-""),2))
"),"날아라 슈퍼푸드")</f>
        <v>날아라 슈퍼푸드</v>
      </c>
    </row>
    <row r="851">
      <c r="A851" s="2" t="str">
        <f>IFERROR(__xludf.DUMMYFUNCTION("REGEXEXTRACT(raw!A851, ""&lt;\s*(.+?)\s*&gt;"")
"),"미카엘 - 강황장군")</f>
        <v>미카엘 - 강황장군</v>
      </c>
      <c r="B851" s="2" t="str">
        <f>IFERROR(__xludf.DUMMYFUNCTION("TRIM(INDEX(SPLIT($A851,""-""),1))
"),"미카엘")</f>
        <v>미카엘</v>
      </c>
      <c r="C851" s="2" t="str">
        <f>IFERROR(__xludf.DUMMYFUNCTION("TRIM(INDEX(SPLIT($A851,""-""),2))
"),"강황장군")</f>
        <v>강황장군</v>
      </c>
    </row>
    <row r="852">
      <c r="A852" s="2" t="str">
        <f>IFERROR(__xludf.DUMMYFUNCTION("REGEXEXTRACT(raw!A852, ""&lt;\s*(.+?)\s*&gt;"")
"),"이연복 - 복믈렛")</f>
        <v>이연복 - 복믈렛</v>
      </c>
      <c r="B852" s="2" t="str">
        <f>IFERROR(__xludf.DUMMYFUNCTION("TRIM(INDEX(SPLIT($A852,""-""),1))
"),"이연복")</f>
        <v>이연복</v>
      </c>
      <c r="C852" s="2" t="str">
        <f>IFERROR(__xludf.DUMMYFUNCTION("TRIM(INDEX(SPLIT($A852,""-""),2))
"),"복믈렛")</f>
        <v>복믈렛</v>
      </c>
    </row>
    <row r="853">
      <c r="A853" s="2" t="str">
        <f>IFERROR(__xludf.DUMMYFUNCTION("REGEXEXTRACT(raw!A853, ""&lt;\s*(.+?)\s*&gt;"")
"),"유현수 - 감~자봤쌈")</f>
        <v>유현수 - 감~자봤쌈</v>
      </c>
      <c r="B853" s="2" t="str">
        <f>IFERROR(__xludf.DUMMYFUNCTION("TRIM(INDEX(SPLIT($A853,""-""),1))
"),"유현수")</f>
        <v>유현수</v>
      </c>
      <c r="C853" s="2" t="str">
        <f>IFERROR(__xludf.DUMMYFUNCTION("TRIM(INDEX(SPLIT($A853,""-""),2))
"),"감~자봤쌈")</f>
        <v>감~자봤쌈</v>
      </c>
    </row>
    <row r="854">
      <c r="A854" s="2" t="str">
        <f>IFERROR(__xludf.DUMMYFUNCTION("REGEXEXTRACT(raw!A854, ""&lt;\s*(.+?)\s*&gt;"")
"),"샘킴 - 담비 내릴 두부")</f>
        <v>샘킴 - 담비 내릴 두부</v>
      </c>
      <c r="B854" s="2" t="str">
        <f>IFERROR(__xludf.DUMMYFUNCTION("TRIM(INDEX(SPLIT($A854,""-""),1))
"),"샘킴")</f>
        <v>샘킴</v>
      </c>
      <c r="C854" s="2" t="str">
        <f>IFERROR(__xludf.DUMMYFUNCTION("TRIM(INDEX(SPLIT($A854,""-""),2))
"),"담비 내릴 두부")</f>
        <v>담비 내릴 두부</v>
      </c>
    </row>
    <row r="855">
      <c r="A855" s="2" t="str">
        <f>IFERROR(__xludf.DUMMYFUNCTION("REGEXEXTRACT(raw!A855, ""&lt;\s*(.+?)\s*&gt;"")
"),"레이먼킴 - 두부퀸")</f>
        <v>레이먼킴 - 두부퀸</v>
      </c>
      <c r="B855" s="2" t="str">
        <f>IFERROR(__xludf.DUMMYFUNCTION("TRIM(INDEX(SPLIT($A855,""-""),1))
"),"레이먼킴")</f>
        <v>레이먼킴</v>
      </c>
      <c r="C855" s="2" t="str">
        <f>IFERROR(__xludf.DUMMYFUNCTION("TRIM(INDEX(SPLIT($A855,""-""),2))
"),"두부퀸")</f>
        <v>두부퀸</v>
      </c>
    </row>
    <row r="856">
      <c r="A856" s="2" t="str">
        <f>IFERROR(__xludf.DUMMYFUNCTION("REGEXEXTRACT(raw!A856, ""&lt;\s*(.+?)\s*&gt;"")
"),"김승민 - 인사이덕")</f>
        <v>김승민 - 인사이덕</v>
      </c>
      <c r="B856" s="2" t="str">
        <f>IFERROR(__xludf.DUMMYFUNCTION("TRIM(INDEX(SPLIT($A856,""-""),1))
"),"김승민")</f>
        <v>김승민</v>
      </c>
      <c r="C856" s="2" t="str">
        <f>IFERROR(__xludf.DUMMYFUNCTION("TRIM(INDEX(SPLIT($A856,""-""),2))
"),"인사이덕")</f>
        <v>인사이덕</v>
      </c>
    </row>
    <row r="857">
      <c r="A857" s="2" t="str">
        <f>IFERROR(__xludf.DUMMYFUNCTION("REGEXEXTRACT(raw!A857, ""&lt;\s*(.+?)\s*&gt;"")
"),"정호영 - 광이 나는 함박♬")</f>
        <v>정호영 - 광이 나는 함박♬</v>
      </c>
      <c r="B857" s="2" t="str">
        <f>IFERROR(__xludf.DUMMYFUNCTION("TRIM(INDEX(SPLIT($A857,""-""),1))
"),"정호영")</f>
        <v>정호영</v>
      </c>
      <c r="C857" s="2" t="str">
        <f>IFERROR(__xludf.DUMMYFUNCTION("TRIM(INDEX(SPLIT($A857,""-""),2))
"),"광이 나는 함박♬")</f>
        <v>광이 나는 함박♬</v>
      </c>
    </row>
    <row r="858">
      <c r="A858" s="2" t="str">
        <f>IFERROR(__xludf.DUMMYFUNCTION("REGEXEXTRACT(raw!A858, ""&lt;\s*(.+?)\s*&gt;"")
"),"오세득 - 마늘 어찌하오리")</f>
        <v>오세득 - 마늘 어찌하오리</v>
      </c>
      <c r="B858" s="2" t="str">
        <f>IFERROR(__xludf.DUMMYFUNCTION("TRIM(INDEX(SPLIT($A858,""-""),1))
"),"오세득")</f>
        <v>오세득</v>
      </c>
      <c r="C858" s="2" t="str">
        <f>IFERROR(__xludf.DUMMYFUNCTION("TRIM(INDEX(SPLIT($A858,""-""),2))
"),"마늘 어찌하오리")</f>
        <v>마늘 어찌하오리</v>
      </c>
    </row>
    <row r="859">
      <c r="A859" s="2" t="str">
        <f>IFERROR(__xludf.DUMMYFUNCTION("REGEXEXTRACT(raw!A859, ""&lt;\s*(.+?)\s*&gt;"")
"),"김풍 - 너마늘 위한 목살")</f>
        <v>김풍 - 너마늘 위한 목살</v>
      </c>
      <c r="B859" s="2" t="str">
        <f>IFERROR(__xludf.DUMMYFUNCTION("TRIM(INDEX(SPLIT($A859,""-""),1))
"),"김풍")</f>
        <v>김풍</v>
      </c>
      <c r="C859" s="2" t="str">
        <f>IFERROR(__xludf.DUMMYFUNCTION("TRIM(INDEX(SPLIT($A859,""-""),2))
"),"너마늘 위한 목살")</f>
        <v>너마늘 위한 목살</v>
      </c>
    </row>
    <row r="860">
      <c r="A860" s="2" t="str">
        <f>IFERROR(__xludf.DUMMYFUNCTION("REGEXEXTRACT(raw!A860, ""&lt;\s*(.+?)\s*&gt;"")
"),"정호영 - 집밥 먹고 치열~업♬")</f>
        <v>정호영 - 집밥 먹고 치열~업♬</v>
      </c>
      <c r="B860" s="2" t="str">
        <f>IFERROR(__xludf.DUMMYFUNCTION("TRIM(INDEX(SPLIT($A860,""-""),1))
"),"정호영")</f>
        <v>정호영</v>
      </c>
      <c r="C860" s="2" t="str">
        <f>IFERROR(__xludf.DUMMYFUNCTION("TRIM(INDEX(SPLIT($A860,""-""),2))
"),"집밥 먹고 치열~업♬")</f>
        <v>집밥 먹고 치열~업♬</v>
      </c>
    </row>
    <row r="861">
      <c r="A861" s="2" t="str">
        <f>IFERROR(__xludf.DUMMYFUNCTION("REGEXEXTRACT(raw!A861, ""&lt;\s*(.+?)\s*&gt;"")
"),"김풍 - 닭개장 먹고 치열스")</f>
        <v>김풍 - 닭개장 먹고 치열스</v>
      </c>
      <c r="B861" s="2" t="str">
        <f>IFERROR(__xludf.DUMMYFUNCTION("TRIM(INDEX(SPLIT($A861,""-""),1))
"),"김풍")</f>
        <v>김풍</v>
      </c>
      <c r="C861" s="2" t="str">
        <f>IFERROR(__xludf.DUMMYFUNCTION("TRIM(INDEX(SPLIT($A861,""-""),2))
"),"닭개장 먹고 치열스")</f>
        <v>닭개장 먹고 치열스</v>
      </c>
    </row>
    <row r="862">
      <c r="A862" s="2" t="str">
        <f>IFERROR(__xludf.DUMMYFUNCTION("REGEXEXTRACT(raw!A862, ""&lt;\s*(.+?)\s*&gt;"")
"),"레이먼킴 - 스테이크 맛있소")</f>
        <v>레이먼킴 - 스테이크 맛있소</v>
      </c>
      <c r="B862" s="2" t="str">
        <f>IFERROR(__xludf.DUMMYFUNCTION("TRIM(INDEX(SPLIT($A862,""-""),1))
"),"레이먼킴")</f>
        <v>레이먼킴</v>
      </c>
      <c r="C862" s="2" t="str">
        <f>IFERROR(__xludf.DUMMYFUNCTION("TRIM(INDEX(SPLIT($A862,""-""),2))
"),"스테이크 맛있소")</f>
        <v>스테이크 맛있소</v>
      </c>
    </row>
    <row r="863">
      <c r="A863" s="2" t="str">
        <f>IFERROR(__xludf.DUMMYFUNCTION("REGEXEXTRACT(raw!A863, ""&lt;\s*(.+?)\s*&gt;"")
"),"이연복 - 소고기, 바로 이 맛 아닙니까!")</f>
        <v>이연복 - 소고기, 바로 이 맛 아닙니까!</v>
      </c>
      <c r="B863" s="2" t="str">
        <f>IFERROR(__xludf.DUMMYFUNCTION("TRIM(INDEX(SPLIT($A863,""-""),1))
"),"이연복")</f>
        <v>이연복</v>
      </c>
      <c r="C863" s="2" t="str">
        <f>IFERROR(__xludf.DUMMYFUNCTION("TRIM(INDEX(SPLIT($A863,""-""),2))
"),"소고기, 바로 이 맛 아닙니까!")</f>
        <v>소고기, 바로 이 맛 아닙니까!</v>
      </c>
    </row>
    <row r="864">
      <c r="A864" s="2" t="str">
        <f>IFERROR(__xludf.DUMMYFUNCTION("REGEXEXTRACT(raw!A864, ""&lt;\s*(.+?)\s*&gt;"")
"),"김승민 - 오늘의 하이라이트닭")</f>
        <v>김승민 - 오늘의 하이라이트닭</v>
      </c>
      <c r="B864" s="2" t="str">
        <f>IFERROR(__xludf.DUMMYFUNCTION("TRIM(INDEX(SPLIT($A864,""-""),1))
"),"김승민")</f>
        <v>김승민</v>
      </c>
      <c r="C864" s="2" t="str">
        <f>IFERROR(__xludf.DUMMYFUNCTION("TRIM(INDEX(SPLIT($A864,""-""),2))
"),"오늘의 하이라이트닭")</f>
        <v>오늘의 하이라이트닭</v>
      </c>
    </row>
    <row r="865">
      <c r="A865" s="2" t="str">
        <f>IFERROR(__xludf.DUMMYFUNCTION("REGEXEXTRACT(raw!A865, ""&lt;\s*(.+?)\s*&gt;"")
"),"유현수 - 유씨네 닭갈비")</f>
        <v>유현수 - 유씨네 닭갈비</v>
      </c>
      <c r="B865" s="2" t="str">
        <f>IFERROR(__xludf.DUMMYFUNCTION("TRIM(INDEX(SPLIT($A865,""-""),1))
"),"유현수")</f>
        <v>유현수</v>
      </c>
      <c r="C865" s="2" t="str">
        <f>IFERROR(__xludf.DUMMYFUNCTION("TRIM(INDEX(SPLIT($A865,""-""),2))
"),"유씨네 닭갈비")</f>
        <v>유씨네 닭갈비</v>
      </c>
    </row>
    <row r="866">
      <c r="A866" s="2" t="str">
        <f>IFERROR(__xludf.DUMMYFUNCTION("REGEXEXTRACT(raw!A866, ""&lt;\s*(.+?)\s*&gt;"")
"),"오세득 - 맛스타")</f>
        <v>오세득 - 맛스타</v>
      </c>
      <c r="B866" s="2" t="str">
        <f>IFERROR(__xludf.DUMMYFUNCTION("TRIM(INDEX(SPLIT($A866,""-""),1))
"),"오세득")</f>
        <v>오세득</v>
      </c>
      <c r="C866" s="2" t="str">
        <f>IFERROR(__xludf.DUMMYFUNCTION("TRIM(INDEX(SPLIT($A866,""-""),2))
"),"맛스타")</f>
        <v>맛스타</v>
      </c>
    </row>
    <row r="867">
      <c r="A867" s="2" t="str">
        <f>IFERROR(__xludf.DUMMYFUNCTION("REGEXEXTRACT(raw!A867, ""&lt;\s*(.+?)\s*&gt;"")
"),"샘킴 - 소 정말 Mystery♬")</f>
        <v>샘킴 - 소 정말 Mystery♬</v>
      </c>
      <c r="B867" s="2" t="str">
        <f>IFERROR(__xludf.DUMMYFUNCTION("TRIM(INDEX(SPLIT($A867,""-""),1))
"),"샘킴")</f>
        <v>샘킴</v>
      </c>
      <c r="C867" s="2" t="str">
        <f>IFERROR(__xludf.DUMMYFUNCTION("TRIM(INDEX(SPLIT($A867,""-""),2))
"),"소 정말 Mystery♬")</f>
        <v>소 정말 Mystery♬</v>
      </c>
    </row>
    <row r="868">
      <c r="A868" s="2" t="str">
        <f>IFERROR(__xludf.DUMMYFUNCTION("REGEXEXTRACT(raw!A868, ""&lt;\s*(.+?)\s*&gt;"")
"),"레이먼킴 - 멧돼이먼킴")</f>
        <v>레이먼킴 - 멧돼이먼킴</v>
      </c>
      <c r="B868" s="2" t="str">
        <f>IFERROR(__xludf.DUMMYFUNCTION("TRIM(INDEX(SPLIT($A868,""-""),1))
"),"레이먼킴")</f>
        <v>레이먼킴</v>
      </c>
      <c r="C868" s="2" t="str">
        <f>IFERROR(__xludf.DUMMYFUNCTION("TRIM(INDEX(SPLIT($A868,""-""),2))
"),"멧돼이먼킴")</f>
        <v>멧돼이먼킴</v>
      </c>
    </row>
    <row r="869">
      <c r="A869" s="2" t="str">
        <f>IFERROR(__xludf.DUMMYFUNCTION("REGEXEXTRACT(raw!A869, ""&lt;\s*(.+?)\s*&gt;"")
"),"유현수 - 유씨네 왕족발")</f>
        <v>유현수 - 유씨네 왕족발</v>
      </c>
      <c r="B869" s="2" t="str">
        <f>IFERROR(__xludf.DUMMYFUNCTION("TRIM(INDEX(SPLIT($A869,""-""),1))
"),"유현수")</f>
        <v>유현수</v>
      </c>
      <c r="C869" s="2" t="str">
        <f>IFERROR(__xludf.DUMMYFUNCTION("TRIM(INDEX(SPLIT($A869,""-""),2))
"),"유씨네 왕족발")</f>
        <v>유씨네 왕족발</v>
      </c>
    </row>
    <row r="870">
      <c r="A870" s="2" t="str">
        <f>IFERROR(__xludf.DUMMYFUNCTION("REGEXEXTRACT(raw!A870, ""&lt;\s*(.+?)\s*&gt;"")
"),"정호영 - 치즈 앤 더 시티")</f>
        <v>정호영 - 치즈 앤 더 시티</v>
      </c>
      <c r="B870" s="2" t="str">
        <f>IFERROR(__xludf.DUMMYFUNCTION("TRIM(INDEX(SPLIT($A870,""-""),1))
"),"정호영")</f>
        <v>정호영</v>
      </c>
      <c r="C870" s="2" t="str">
        <f>IFERROR(__xludf.DUMMYFUNCTION("TRIM(INDEX(SPLIT($A870,""-""),2))
"),"치즈 앤 더 시티")</f>
        <v>치즈 앤 더 시티</v>
      </c>
    </row>
    <row r="871">
      <c r="A871" s="2" t="str">
        <f>IFERROR(__xludf.DUMMYFUNCTION("REGEXEXTRACT(raw!A871, ""&lt;\s*(.+?)\s*&gt;"")
"),"이연복 - 극한 짬뽕")</f>
        <v>이연복 - 극한 짬뽕</v>
      </c>
      <c r="B871" s="2" t="str">
        <f>IFERROR(__xludf.DUMMYFUNCTION("TRIM(INDEX(SPLIT($A871,""-""),1))
"),"이연복")</f>
        <v>이연복</v>
      </c>
      <c r="C871" s="2" t="str">
        <f>IFERROR(__xludf.DUMMYFUNCTION("TRIM(INDEX(SPLIT($A871,""-""),2))
"),"극한 짬뽕")</f>
        <v>극한 짬뽕</v>
      </c>
    </row>
    <row r="872">
      <c r="A872" s="2" t="str">
        <f>IFERROR(__xludf.DUMMYFUNCTION("REGEXEXTRACT(raw!A872, ""&lt;\s*(.+?)\s*&gt;"")
"),"김승민-지라시스시 맛있저염")</f>
        <v>김승민-지라시스시 맛있저염</v>
      </c>
      <c r="B872" s="2" t="str">
        <f>IFERROR(__xludf.DUMMYFUNCTION("TRIM(INDEX(SPLIT($A872,""-""),1))
"),"김승민")</f>
        <v>김승민</v>
      </c>
      <c r="C872" s="2" t="str">
        <f>IFERROR(__xludf.DUMMYFUNCTION("TRIM(INDEX(SPLIT($A872,""-""),2))
"),"지라시스시 맛있저염")</f>
        <v>지라시스시 맛있저염</v>
      </c>
    </row>
    <row r="873">
      <c r="A873" s="2" t="str">
        <f>IFERROR(__xludf.DUMMYFUNCTION("REGEXEXTRACT(raw!A873, ""&lt;\s*(.+?)\s*&gt;"")
"),"샘킴 - 특명! 아빠의 도전")</f>
        <v>샘킴 - 특명! 아빠의 도전</v>
      </c>
      <c r="B873" s="2" t="str">
        <f>IFERROR(__xludf.DUMMYFUNCTION("TRIM(INDEX(SPLIT($A873,""-""),1))
"),"샘킴")</f>
        <v>샘킴</v>
      </c>
      <c r="C873" s="2" t="str">
        <f>IFERROR(__xludf.DUMMYFUNCTION("TRIM(INDEX(SPLIT($A873,""-""),2))
"),"특명! 아빠의 도전")</f>
        <v>특명! 아빠의 도전</v>
      </c>
    </row>
    <row r="874">
      <c r="A874" s="2" t="str">
        <f>IFERROR(__xludf.DUMMYFUNCTION("REGEXEXTRACT(raw!A874, ""&lt;\s*(.+?)\s*&gt;"")
"),"오세득 - 술풀 때 야식 한다")</f>
        <v>오세득 - 술풀 때 야식 한다</v>
      </c>
      <c r="B874" s="2" t="str">
        <f>IFERROR(__xludf.DUMMYFUNCTION("TRIM(INDEX(SPLIT($A874,""-""),1))
"),"오세득")</f>
        <v>오세득</v>
      </c>
      <c r="C874" s="2" t="str">
        <f>IFERROR(__xludf.DUMMYFUNCTION("TRIM(INDEX(SPLIT($A874,""-""),2))
"),"술풀 때 야식 한다")</f>
        <v>술풀 때 야식 한다</v>
      </c>
    </row>
    <row r="875">
      <c r="A875" s="2" t="str">
        <f>IFERROR(__xludf.DUMMYFUNCTION("REGEXEXTRACT(raw!A875, ""&lt;\s*(.+?)\s*&gt;"")
"),"김풍 - 술맛 찾으러 가자")</f>
        <v>김풍 - 술맛 찾으러 가자</v>
      </c>
      <c r="B875" s="2" t="str">
        <f>IFERROR(__xludf.DUMMYFUNCTION("TRIM(INDEX(SPLIT($A875,""-""),1))
"),"김풍")</f>
        <v>김풍</v>
      </c>
      <c r="C875" s="2" t="str">
        <f>IFERROR(__xludf.DUMMYFUNCTION("TRIM(INDEX(SPLIT($A875,""-""),2))
"),"술맛 찾으러 가자")</f>
        <v>술맛 찾으러 가자</v>
      </c>
    </row>
    <row r="876">
      <c r="A876" s="2" t="str">
        <f>IFERROR(__xludf.DUMMYFUNCTION("REGEXEXTRACT(raw!A876, ""&lt;\s*(.+?)\s*&gt;"")
"),"레이먼킴 - 내 발가락 내놔")</f>
        <v>레이먼킴 - 내 발가락 내놔</v>
      </c>
      <c r="B876" s="2" t="str">
        <f>IFERROR(__xludf.DUMMYFUNCTION("TRIM(INDEX(SPLIT($A876,""-""),1))
"),"레이먼킴")</f>
        <v>레이먼킴</v>
      </c>
      <c r="C876" s="2" t="str">
        <f>IFERROR(__xludf.DUMMYFUNCTION("TRIM(INDEX(SPLIT($A876,""-""),2))
"),"내 발가락 내놔")</f>
        <v>내 발가락 내놔</v>
      </c>
    </row>
    <row r="877">
      <c r="A877" s="2" t="str">
        <f>IFERROR(__xludf.DUMMYFUNCTION("REGEXEXTRACT(raw!A877, ""&lt;\s*(.+?)\s*&gt;"")
"),"김풍 - 지옥에서 온 손님")</f>
        <v>김풍 - 지옥에서 온 손님</v>
      </c>
      <c r="B877" s="2" t="str">
        <f>IFERROR(__xludf.DUMMYFUNCTION("TRIM(INDEX(SPLIT($A877,""-""),1))
"),"김풍")</f>
        <v>김풍</v>
      </c>
      <c r="C877" s="2" t="str">
        <f>IFERROR(__xludf.DUMMYFUNCTION("TRIM(INDEX(SPLIT($A877,""-""),2))
"),"지옥에서 온 손님")</f>
        <v>지옥에서 온 손님</v>
      </c>
    </row>
    <row r="878">
      <c r="A878" s="2" t="str">
        <f>IFERROR(__xludf.DUMMYFUNCTION("REGEXEXTRACT(raw!A878, ""&lt;\s*(.+?)\s*&gt;"")
"),"김승민 - 돈플갱어")</f>
        <v>김승민 - 돈플갱어</v>
      </c>
      <c r="B878" s="2" t="str">
        <f>IFERROR(__xludf.DUMMYFUNCTION("TRIM(INDEX(SPLIT($A878,""-""),1))
"),"김승민")</f>
        <v>김승민</v>
      </c>
      <c r="C878" s="2" t="str">
        <f>IFERROR(__xludf.DUMMYFUNCTION("TRIM(INDEX(SPLIT($A878,""-""),2))
"),"돈플갱어")</f>
        <v>돈플갱어</v>
      </c>
    </row>
    <row r="879">
      <c r="A879" s="2" t="str">
        <f>IFERROR(__xludf.DUMMYFUNCTION("REGEXEXTRACT(raw!A879, ""&lt;\s*(.+?)\s*&gt;"")
"),"오세득 - 쌀과 함께")</f>
        <v>오세득 - 쌀과 함께</v>
      </c>
      <c r="B879" s="2" t="str">
        <f>IFERROR(__xludf.DUMMYFUNCTION("TRIM(INDEX(SPLIT($A879,""-""),1))
"),"오세득")</f>
        <v>오세득</v>
      </c>
      <c r="C879" s="2" t="str">
        <f>IFERROR(__xludf.DUMMYFUNCTION("TRIM(INDEX(SPLIT($A879,""-""),2))
"),"쌀과 함께")</f>
        <v>쌀과 함께</v>
      </c>
    </row>
    <row r="880">
      <c r="A880" s="2" t="str">
        <f>IFERROR(__xludf.DUMMYFUNCTION("REGEXEXTRACT(raw!A880, ""&lt;\s*(.+?)\s*&gt;"")
"),"샘킴 - 킴가네")</f>
        <v>샘킴 - 킴가네</v>
      </c>
      <c r="B880" s="2" t="str">
        <f>IFERROR(__xludf.DUMMYFUNCTION("TRIM(INDEX(SPLIT($A880,""-""),1))
"),"샘킴")</f>
        <v>샘킴</v>
      </c>
      <c r="C880" s="2" t="str">
        <f>IFERROR(__xludf.DUMMYFUNCTION("TRIM(INDEX(SPLIT($A880,""-""),2))
"),"킴가네")</f>
        <v>킴가네</v>
      </c>
    </row>
    <row r="881">
      <c r="A881" s="2" t="str">
        <f>IFERROR(__xludf.DUMMYFUNCTION("REGEXEXTRACT(raw!A881, ""&lt;\s*(.+?)\s*&gt;"")
"),"이연복 - 분식과의 전쟁")</f>
        <v>이연복 - 분식과의 전쟁</v>
      </c>
      <c r="B881" s="2" t="str">
        <f>IFERROR(__xludf.DUMMYFUNCTION("TRIM(INDEX(SPLIT($A881,""-""),1))
"),"이연복")</f>
        <v>이연복</v>
      </c>
      <c r="C881" s="2" t="str">
        <f>IFERROR(__xludf.DUMMYFUNCTION("TRIM(INDEX(SPLIT($A881,""-""),2))
"),"분식과의 전쟁")</f>
        <v>분식과의 전쟁</v>
      </c>
    </row>
    <row r="882">
      <c r="A882" s="2" t="str">
        <f>IFERROR(__xludf.DUMMYFUNCTION("REGEXEXTRACT(raw!A882, ""&lt;\s*(.+?)\s*&gt;"")
"),"정호영 - 후뚜루마뚜루")</f>
        <v>정호영 - 후뚜루마뚜루</v>
      </c>
      <c r="B882" s="2" t="str">
        <f>IFERROR(__xludf.DUMMYFUNCTION("TRIM(INDEX(SPLIT($A882,""-""),1))
"),"정호영")</f>
        <v>정호영</v>
      </c>
      <c r="C882" s="2" t="str">
        <f>IFERROR(__xludf.DUMMYFUNCTION("TRIM(INDEX(SPLIT($A882,""-""),2))
"),"후뚜루마뚜루")</f>
        <v>후뚜루마뚜루</v>
      </c>
    </row>
    <row r="883">
      <c r="A883" s="2" t="str">
        <f>IFERROR(__xludf.DUMMYFUNCTION("REGEXEXTRACT(raw!A883, ""&lt;\s*(.+?)\s*&gt;"")
"),"유현수 - 김치 와장창")</f>
        <v>유현수 - 김치 와장창</v>
      </c>
      <c r="B883" s="2" t="str">
        <f>IFERROR(__xludf.DUMMYFUNCTION("TRIM(INDEX(SPLIT($A883,""-""),1))
"),"유현수")</f>
        <v>유현수</v>
      </c>
      <c r="C883" s="2" t="str">
        <f>IFERROR(__xludf.DUMMYFUNCTION("TRIM(INDEX(SPLIT($A883,""-""),2))
"),"김치 와장창")</f>
        <v>김치 와장창</v>
      </c>
    </row>
    <row r="884">
      <c r="A884" s="2" t="str">
        <f>IFERROR(__xludf.DUMMYFUNCTION("REGEXEXTRACT(raw!A884, ""&lt;\s*(.+?)\s*&gt;"")
"),"미카엘 - 소희네 반찬")</f>
        <v>미카엘 - 소희네 반찬</v>
      </c>
      <c r="B884" s="2" t="str">
        <f>IFERROR(__xludf.DUMMYFUNCTION("TRIM(INDEX(SPLIT($A884,""-""),1))
"),"미카엘")</f>
        <v>미카엘</v>
      </c>
      <c r="C884" s="2" t="str">
        <f>IFERROR(__xludf.DUMMYFUNCTION("TRIM(INDEX(SPLIT($A884,""-""),2))
"),"소희네 반찬")</f>
        <v>소희네 반찬</v>
      </c>
    </row>
    <row r="885">
      <c r="A885" s="2" t="str">
        <f>IFERROR(__xludf.DUMMYFUNCTION("REGEXEXTRACT(raw!A885, ""&lt;\s*(.+?)\s*&gt;"")
"),"유현수 - 땡잡은 장아찌")</f>
        <v>유현수 - 땡잡은 장아찌</v>
      </c>
      <c r="B885" s="2" t="str">
        <f>IFERROR(__xludf.DUMMYFUNCTION("TRIM(INDEX(SPLIT($A885,""-""),1))
"),"유현수")</f>
        <v>유현수</v>
      </c>
      <c r="C885" s="2" t="str">
        <f>IFERROR(__xludf.DUMMYFUNCTION("TRIM(INDEX(SPLIT($A885,""-""),2))
"),"땡잡은 장아찌")</f>
        <v>땡잡은 장아찌</v>
      </c>
    </row>
    <row r="886">
      <c r="A886" s="2" t="str">
        <f>IFERROR(__xludf.DUMMYFUNCTION("REGEXEXTRACT(raw!A886, ""&lt;\s*(.+?)\s*&gt;"")
"),"레이먼킴 - 으라차차 스테이키")</f>
        <v>레이먼킴 - 으라차차 스테이키</v>
      </c>
      <c r="B886" s="2" t="str">
        <f>IFERROR(__xludf.DUMMYFUNCTION("TRIM(INDEX(SPLIT($A886,""-""),1))
"),"레이먼킴")</f>
        <v>레이먼킴</v>
      </c>
      <c r="C886" s="2" t="str">
        <f>IFERROR(__xludf.DUMMYFUNCTION("TRIM(INDEX(SPLIT($A886,""-""),2))
"),"으라차차 스테이키")</f>
        <v>으라차차 스테이키</v>
      </c>
    </row>
    <row r="887">
      <c r="A887" s="2" t="str">
        <f>IFERROR(__xludf.DUMMYFUNCTION("REGEXEXTRACT(raw!A887, ""&lt;\s*(.+?)\s*&gt;"")
"),"정호영 - 스테이크가 어~머나!")</f>
        <v>정호영 - 스테이크가 어~머나!</v>
      </c>
      <c r="B887" s="2" t="str">
        <f>IFERROR(__xludf.DUMMYFUNCTION("TRIM(INDEX(SPLIT($A887,""-""),1))
"),"정호영")</f>
        <v>정호영</v>
      </c>
      <c r="C887" s="2" t="str">
        <f>IFERROR(__xludf.DUMMYFUNCTION("TRIM(INDEX(SPLIT($A887,""-""),2))
"),"스테이크가 어~머나!")</f>
        <v>스테이크가 어~머나!</v>
      </c>
    </row>
    <row r="888">
      <c r="A888" s="2" t="str">
        <f>IFERROR(__xludf.DUMMYFUNCTION("REGEXEXTRACT(raw!A888, ""&lt;\s*(.+?)\s*&gt;"")
"),"오세득 - 계모임")</f>
        <v>오세득 - 계모임</v>
      </c>
      <c r="B888" s="2" t="str">
        <f>IFERROR(__xludf.DUMMYFUNCTION("TRIM(INDEX(SPLIT($A888,""-""),1))
"),"오세득")</f>
        <v>오세득</v>
      </c>
      <c r="C888" s="2" t="str">
        <f>IFERROR(__xludf.DUMMYFUNCTION("TRIM(INDEX(SPLIT($A888,""-""),2))
"),"계모임")</f>
        <v>계모임</v>
      </c>
    </row>
    <row r="889">
      <c r="A889" s="2" t="str">
        <f>IFERROR(__xludf.DUMMYFUNCTION("REGEXEXTRACT(raw!A889, ""&lt;\s*(.+?)\s*&gt;"")
"),"샘킴 - 샘킴반점")</f>
        <v>샘킴 - 샘킴반점</v>
      </c>
      <c r="B889" s="2" t="str">
        <f>IFERROR(__xludf.DUMMYFUNCTION("TRIM(INDEX(SPLIT($A889,""-""),1))
"),"샘킴")</f>
        <v>샘킴</v>
      </c>
      <c r="C889" s="2" t="str">
        <f>IFERROR(__xludf.DUMMYFUNCTION("TRIM(INDEX(SPLIT($A889,""-""),2))
"),"샘킴반점")</f>
        <v>샘킴반점</v>
      </c>
    </row>
    <row r="890">
      <c r="A890" s="2" t="str">
        <f>IFERROR(__xludf.DUMMYFUNCTION("REGEXEXTRACT(raw!A890, ""&lt;\s*(.+?)\s*&gt;"")
"),"김승민 - 나베로 이경?")</f>
        <v>김승민 - 나베로 이경?</v>
      </c>
      <c r="B890" s="2" t="str">
        <f>IFERROR(__xludf.DUMMYFUNCTION("TRIM(INDEX(SPLIT($A890,""-""),1))
"),"김승민")</f>
        <v>김승민</v>
      </c>
      <c r="C890" s="2" t="str">
        <f>IFERROR(__xludf.DUMMYFUNCTION("TRIM(INDEX(SPLIT($A890,""-""),2))
"),"나베로 이경?")</f>
        <v>나베로 이경?</v>
      </c>
    </row>
    <row r="891">
      <c r="A891" s="2" t="str">
        <f>IFERROR(__xludf.DUMMYFUNCTION("REGEXEXTRACT(raw!A891, ""&lt;\s*(.+?)\s*&gt;"")
"),"김풍 - 전병 가즈아~ 온면도 가보자!")</f>
        <v>김풍 - 전병 가즈아~ 온면도 가보자!</v>
      </c>
      <c r="B891" s="2" t="str">
        <f>IFERROR(__xludf.DUMMYFUNCTION("TRIM(INDEX(SPLIT($A891,""-""),1))
"),"김풍")</f>
        <v>김풍</v>
      </c>
      <c r="C891" s="2" t="str">
        <f>IFERROR(__xludf.DUMMYFUNCTION("TRIM(INDEX(SPLIT($A891,""-""),2))
"),"전병 가즈아~ 온면도 가보자!")</f>
        <v>전병 가즈아~ 온면도 가보자!</v>
      </c>
    </row>
    <row r="892">
      <c r="A892" s="2" t="str">
        <f>IFERROR(__xludf.DUMMYFUNCTION("REGEXEXTRACT(raw!A892, ""&lt;\s*(.+?)\s*&gt;"")
"),"레이먼킴 - 스튜맨이 돌아왔다")</f>
        <v>레이먼킴 - 스튜맨이 돌아왔다</v>
      </c>
      <c r="B892" s="2" t="str">
        <f>IFERROR(__xludf.DUMMYFUNCTION("TRIM(INDEX(SPLIT($A892,""-""),1))
"),"레이먼킴")</f>
        <v>레이먼킴</v>
      </c>
      <c r="C892" s="2" t="str">
        <f>IFERROR(__xludf.DUMMYFUNCTION("TRIM(INDEX(SPLIT($A892,""-""),2))
"),"스튜맨이 돌아왔다")</f>
        <v>스튜맨이 돌아왔다</v>
      </c>
    </row>
    <row r="893">
      <c r="A893" s="2" t="str">
        <f>IFERROR(__xludf.DUMMYFUNCTION("REGEXEXTRACT(raw!A893, ""&lt;\s*(.+?)\s*&gt;"")
"),"이연복 - 미트파이~ 진촤 맛있다")</f>
        <v>이연복 - 미트파이~ 진촤 맛있다</v>
      </c>
      <c r="B893" s="2" t="str">
        <f>IFERROR(__xludf.DUMMYFUNCTION("TRIM(INDEX(SPLIT($A893,""-""),1))
"),"이연복")</f>
        <v>이연복</v>
      </c>
      <c r="C893" s="2" t="str">
        <f>IFERROR(__xludf.DUMMYFUNCTION("TRIM(INDEX(SPLIT($A893,""-""),2))
"),"미트파이~ 진촤 맛있다")</f>
        <v>미트파이~ 진촤 맛있다</v>
      </c>
    </row>
    <row r="894">
      <c r="A894" s="2" t="str">
        <f>IFERROR(__xludf.DUMMYFUNCTION("REGEXEXTRACT(raw!A894, ""&lt;\s*(.+?)\s*&gt;"")
"),"김승민 - 샘해밍떡")</f>
        <v>김승민 - 샘해밍떡</v>
      </c>
      <c r="B894" s="2" t="str">
        <f>IFERROR(__xludf.DUMMYFUNCTION("TRIM(INDEX(SPLIT($A894,""-""),1))
"),"김승민")</f>
        <v>김승민</v>
      </c>
      <c r="C894" s="2" t="str">
        <f>IFERROR(__xludf.DUMMYFUNCTION("TRIM(INDEX(SPLIT($A894,""-""),2))
"),"샘해밍떡")</f>
        <v>샘해밍떡</v>
      </c>
    </row>
    <row r="895">
      <c r="A895" s="2" t="str">
        <f>IFERROR(__xludf.DUMMYFUNCTION("REGEXEXTRACT(raw!A895, ""&lt;\s*(.+?)\s*&gt;"")
"),"정호영 - 게장이 달라 달라♬")</f>
        <v>정호영 - 게장이 달라 달라♬</v>
      </c>
      <c r="B895" s="2" t="str">
        <f>IFERROR(__xludf.DUMMYFUNCTION("TRIM(INDEX(SPLIT($A895,""-""),1))
"),"정호영")</f>
        <v>정호영</v>
      </c>
      <c r="C895" s="2" t="str">
        <f>IFERROR(__xludf.DUMMYFUNCTION("TRIM(INDEX(SPLIT($A895,""-""),2))
"),"게장이 달라 달라♬")</f>
        <v>게장이 달라 달라♬</v>
      </c>
    </row>
    <row r="896">
      <c r="A896" s="2" t="str">
        <f>IFERROR(__xludf.DUMMYFUNCTION("REGEXEXTRACT(raw!A896, ""&lt;\s*(.+?)\s*&gt;"")
"),"샘킴 - 완자가 앗 뜨거뜨거♬")</f>
        <v>샘킴 - 완자가 앗 뜨거뜨거♬</v>
      </c>
      <c r="B896" s="2" t="str">
        <f>IFERROR(__xludf.DUMMYFUNCTION("TRIM(INDEX(SPLIT($A896,""-""),1))
"),"샘킴")</f>
        <v>샘킴</v>
      </c>
      <c r="C896" s="2" t="str">
        <f>IFERROR(__xludf.DUMMYFUNCTION("TRIM(INDEX(SPLIT($A896,""-""),2))
"),"완자가 앗 뜨거뜨거♬")</f>
        <v>완자가 앗 뜨거뜨거♬</v>
      </c>
    </row>
    <row r="897">
      <c r="A897" s="2" t="str">
        <f>IFERROR(__xludf.DUMMYFUNCTION("REGEXEXTRACT(raw!A897, ""&lt;\s*(.+?)\s*&gt;"")
"),"김풍 - 초통령")</f>
        <v>김풍 - 초통령</v>
      </c>
      <c r="B897" s="2" t="str">
        <f>IFERROR(__xludf.DUMMYFUNCTION("TRIM(INDEX(SPLIT($A897,""-""),1))
"),"김풍")</f>
        <v>김풍</v>
      </c>
      <c r="C897" s="2" t="str">
        <f>IFERROR(__xludf.DUMMYFUNCTION("TRIM(INDEX(SPLIT($A897,""-""),2))
"),"초통령")</f>
        <v>초통령</v>
      </c>
    </row>
    <row r="898">
      <c r="A898" s="2" t="str">
        <f>IFERROR(__xludf.DUMMYFUNCTION("REGEXEXTRACT(raw!A898, ""&lt;\s*(.+?)\s*&gt;"")
"),"유현수 - 세.나.떡")</f>
        <v>유현수 - 세.나.떡</v>
      </c>
      <c r="B898" s="2" t="str">
        <f>IFERROR(__xludf.DUMMYFUNCTION("TRIM(INDEX(SPLIT($A898,""-""),1))
"),"유현수")</f>
        <v>유현수</v>
      </c>
      <c r="C898" s="2" t="str">
        <f>IFERROR(__xludf.DUMMYFUNCTION("TRIM(INDEX(SPLIT($A898,""-""),2))
"),"세.나.떡")</f>
        <v>세.나.떡</v>
      </c>
    </row>
    <row r="899">
      <c r="A899" s="2" t="str">
        <f>IFERROR(__xludf.DUMMYFUNCTION("REGEXEXTRACT(raw!A899, ""&lt;\s*(.+?)\s*&gt;"")
"),"오세득 - 세.나.피")</f>
        <v>오세득 - 세.나.피</v>
      </c>
      <c r="B899" s="2" t="str">
        <f>IFERROR(__xludf.DUMMYFUNCTION("TRIM(INDEX(SPLIT($A899,""-""),1))
"),"오세득")</f>
        <v>오세득</v>
      </c>
      <c r="C899" s="2" t="str">
        <f>IFERROR(__xludf.DUMMYFUNCTION("TRIM(INDEX(SPLIT($A899,""-""),2))
"),"세.나.피")</f>
        <v>세.나.피</v>
      </c>
    </row>
    <row r="900">
      <c r="A900" s="2" t="str">
        <f>IFERROR(__xludf.DUMMYFUNCTION("REGEXEXTRACT(raw!A900, ""&lt;\s*(.+?)\s*&gt;"")
"),"샘킴 - 한 이불 덮었닭")</f>
        <v>샘킴 - 한 이불 덮었닭</v>
      </c>
      <c r="B900" s="2" t="str">
        <f>IFERROR(__xludf.DUMMYFUNCTION("TRIM(INDEX(SPLIT($A900,""-""),1))
"),"샘킴")</f>
        <v>샘킴</v>
      </c>
      <c r="C900" s="2" t="str">
        <f>IFERROR(__xludf.DUMMYFUNCTION("TRIM(INDEX(SPLIT($A900,""-""),2))
"),"한 이불 덮었닭")</f>
        <v>한 이불 덮었닭</v>
      </c>
    </row>
    <row r="901">
      <c r="A901" s="2" t="str">
        <f>IFERROR(__xludf.DUMMYFUNCTION("REGEXEXTRACT(raw!A901, ""&lt;\s*(.+?)\s*&gt;"")
"),"이연복 - 짬짜탕")</f>
        <v>이연복 - 짬짜탕</v>
      </c>
      <c r="B901" s="2" t="str">
        <f>IFERROR(__xludf.DUMMYFUNCTION("TRIM(INDEX(SPLIT($A901,""-""),1))
"),"이연복")</f>
        <v>이연복</v>
      </c>
      <c r="C901" s="2" t="str">
        <f>IFERROR(__xludf.DUMMYFUNCTION("TRIM(INDEX(SPLIT($A901,""-""),2))
"),"짬짜탕")</f>
        <v>짬짜탕</v>
      </c>
    </row>
    <row r="902">
      <c r="A902" s="2" t="str">
        <f>IFERROR(__xludf.DUMMYFUNCTION("REGEXEXTRACT(raw!A902, ""&lt;\s*(.+?)\s*&gt;"")
"),"레이먼킴 - 레이먼의 손아귀")</f>
        <v>레이먼킴 - 레이먼의 손아귀</v>
      </c>
      <c r="B902" s="2" t="str">
        <f>IFERROR(__xludf.DUMMYFUNCTION("TRIM(INDEX(SPLIT($A902,""-""),1))
"),"레이먼킴")</f>
        <v>레이먼킴</v>
      </c>
      <c r="C902" s="2" t="str">
        <f>IFERROR(__xludf.DUMMYFUNCTION("TRIM(INDEX(SPLIT($A902,""-""),2))
"),"레이먼의 손아귀")</f>
        <v>레이먼의 손아귀</v>
      </c>
    </row>
    <row r="903">
      <c r="A903" s="2" t="str">
        <f>IFERROR(__xludf.DUMMYFUNCTION("REGEXEXTRACT(raw!A903, ""&lt;\s*(.+?)\s*&gt;"")
"),"오세득 - 폭식해도 대구")</f>
        <v>오세득 - 폭식해도 대구</v>
      </c>
      <c r="B903" s="2" t="str">
        <f>IFERROR(__xludf.DUMMYFUNCTION("TRIM(INDEX(SPLIT($A903,""-""),1))
"),"오세득")</f>
        <v>오세득</v>
      </c>
      <c r="C903" s="2" t="str">
        <f>IFERROR(__xludf.DUMMYFUNCTION("TRIM(INDEX(SPLIT($A903,""-""),2))
"),"폭식해도 대구")</f>
        <v>폭식해도 대구</v>
      </c>
    </row>
    <row r="904">
      <c r="A904" s="2" t="str">
        <f>IFERROR(__xludf.DUMMYFUNCTION("REGEXEXTRACT(raw!A904, ""&lt;\s*(.+?)\s*&gt;"")
"),"유현수 - 나비족 세트")</f>
        <v>유현수 - 나비족 세트</v>
      </c>
      <c r="B904" s="2" t="str">
        <f>IFERROR(__xludf.DUMMYFUNCTION("TRIM(INDEX(SPLIT($A904,""-""),1))
"),"유현수")</f>
        <v>유현수</v>
      </c>
      <c r="C904" s="2" t="str">
        <f>IFERROR(__xludf.DUMMYFUNCTION("TRIM(INDEX(SPLIT($A904,""-""),2))
"),"나비족 세트")</f>
        <v>나비족 세트</v>
      </c>
    </row>
    <row r="905">
      <c r="A905" s="2" t="str">
        <f>IFERROR(__xludf.DUMMYFUNCTION("REGEXEXTRACT(raw!A905, ""&lt;\s*(.+?)\s*&gt;"")
"),"김풍 - 보헤미안 미슐랭")</f>
        <v>김풍 - 보헤미안 미슐랭</v>
      </c>
      <c r="B905" s="2" t="str">
        <f>IFERROR(__xludf.DUMMYFUNCTION("TRIM(INDEX(SPLIT($A905,""-""),1))
"),"김풍")</f>
        <v>김풍</v>
      </c>
      <c r="C905" s="2" t="str">
        <f>IFERROR(__xludf.DUMMYFUNCTION("TRIM(INDEX(SPLIT($A905,""-""),2))
"),"보헤미안 미슐랭")</f>
        <v>보헤미안 미슐랭</v>
      </c>
    </row>
    <row r="906">
      <c r="A906" s="2" t="str">
        <f>IFERROR(__xludf.DUMMYFUNCTION("REGEXEXTRACT(raw!A906, ""&lt;\s*(.+?)\s*&gt;"")
"),"미카엘 - 이런 된장")</f>
        <v>미카엘 - 이런 된장</v>
      </c>
      <c r="B906" s="2" t="str">
        <f>IFERROR(__xludf.DUMMYFUNCTION("TRIM(INDEX(SPLIT($A906,""-""),1))
"),"미카엘")</f>
        <v>미카엘</v>
      </c>
      <c r="C906" s="2" t="str">
        <f>IFERROR(__xludf.DUMMYFUNCTION("TRIM(INDEX(SPLIT($A906,""-""),2))
"),"이런 된장")</f>
        <v>이런 된장</v>
      </c>
    </row>
    <row r="907">
      <c r="A907" s="2" t="str">
        <f>IFERROR(__xludf.DUMMYFUNCTION("REGEXEXTRACT(raw!A907, ""&lt;\s*(.+?)\s*&gt;"")
"),"정호영 - 막걸리 칼라 파워!")</f>
        <v>정호영 - 막걸리 칼라 파워!</v>
      </c>
      <c r="B907" s="2" t="str">
        <f>IFERROR(__xludf.DUMMYFUNCTION("TRIM(INDEX(SPLIT($A907,""-""),1))
"),"정호영")</f>
        <v>정호영</v>
      </c>
      <c r="C907" s="2" t="str">
        <f>IFERROR(__xludf.DUMMYFUNCTION("TRIM(INDEX(SPLIT($A907,""-""),2))
"),"막걸리 칼라 파워!")</f>
        <v>막걸리 칼라 파워!</v>
      </c>
    </row>
    <row r="908">
      <c r="A908" s="2" t="str">
        <f>IFERROR(__xludf.DUMMYFUNCTION("REGEXEXTRACT(raw!A908, ""&lt;\s*(.+?)\s*&gt;"")
"),"정호영 - 청양공주")</f>
        <v>정호영 - 청양공주</v>
      </c>
      <c r="B908" s="2" t="str">
        <f>IFERROR(__xludf.DUMMYFUNCTION("TRIM(INDEX(SPLIT($A908,""-""),1))
"),"정호영")</f>
        <v>정호영</v>
      </c>
      <c r="C908" s="2" t="str">
        <f>IFERROR(__xludf.DUMMYFUNCTION("TRIM(INDEX(SPLIT($A908,""-""),2))
"),"청양공주")</f>
        <v>청양공주</v>
      </c>
    </row>
    <row r="909">
      <c r="A909" s="2" t="str">
        <f>IFERROR(__xludf.DUMMYFUNCTION("REGEXEXTRACT(raw!A909, ""&lt;\s*(.+?)\s*&gt;"")
"),"샘킴 - 지금 이 순간~ 전골처럼♬")</f>
        <v>샘킴 - 지금 이 순간~ 전골처럼♬</v>
      </c>
      <c r="B909" s="2" t="str">
        <f>IFERROR(__xludf.DUMMYFUNCTION("TRIM(INDEX(SPLIT($A909,""-""),1))
"),"샘킴")</f>
        <v>샘킴</v>
      </c>
      <c r="C909" s="2" t="str">
        <f>IFERROR(__xludf.DUMMYFUNCTION("TRIM(INDEX(SPLIT($A909,""-""),2))
"),"지금 이 순간~ 전골처럼♬")</f>
        <v>지금 이 순간~ 전골처럼♬</v>
      </c>
    </row>
    <row r="910">
      <c r="A910" s="2" t="str">
        <f>IFERROR(__xludf.DUMMYFUNCTION("REGEXEXTRACT(raw!A910, ""&lt;\s*(.+?)\s*&gt;"")
"),"오세득 - 러시아 가 봤슈?")</f>
        <v>오세득 - 러시아 가 봤슈?</v>
      </c>
      <c r="B910" s="2" t="str">
        <f>IFERROR(__xludf.DUMMYFUNCTION("TRIM(INDEX(SPLIT($A910,""-""),1))
"),"오세득")</f>
        <v>오세득</v>
      </c>
      <c r="C910" s="2" t="str">
        <f>IFERROR(__xludf.DUMMYFUNCTION("TRIM(INDEX(SPLIT($A910,""-""),2))
"),"러시아 가 봤슈?")</f>
        <v>러시아 가 봤슈?</v>
      </c>
    </row>
    <row r="911">
      <c r="A911" s="2" t="str">
        <f>IFERROR(__xludf.DUMMYFUNCTION("REGEXEXTRACT(raw!A911, ""&lt;\s*(.+?)\s*&gt;"")
"),"김풍 - 러시아풍 크레페")</f>
        <v>김풍 - 러시아풍 크레페</v>
      </c>
      <c r="B911" s="2" t="str">
        <f>IFERROR(__xludf.DUMMYFUNCTION("TRIM(INDEX(SPLIT($A911,""-""),1))
"),"김풍")</f>
        <v>김풍</v>
      </c>
      <c r="C911" s="2" t="str">
        <f>IFERROR(__xludf.DUMMYFUNCTION("TRIM(INDEX(SPLIT($A911,""-""),2))
"),"러시아풍 크레페")</f>
        <v>러시아풍 크레페</v>
      </c>
    </row>
    <row r="912">
      <c r="A912" s="2" t="str">
        <f>IFERROR(__xludf.DUMMYFUNCTION("REGEXEXTRACT(raw!A912, ""&lt;\s*(.+?)\s*&gt;"")
"),"레이먼킴 - 보양식이랑깨")</f>
        <v>레이먼킴 - 보양식이랑깨</v>
      </c>
      <c r="B912" s="2" t="str">
        <f>IFERROR(__xludf.DUMMYFUNCTION("TRIM(INDEX(SPLIT($A912,""-""),1))
"),"레이먼킴")</f>
        <v>레이먼킴</v>
      </c>
      <c r="C912" s="2" t="str">
        <f>IFERROR(__xludf.DUMMYFUNCTION("TRIM(INDEX(SPLIT($A912,""-""),2))
"),"보양식이랑깨")</f>
        <v>보양식이랑깨</v>
      </c>
    </row>
    <row r="913">
      <c r="A913" s="2" t="str">
        <f>IFERROR(__xludf.DUMMYFUNCTION("REGEXEXTRACT(raw!A913, ""&lt;\s*(.+?)\s*&gt;"")
"),"이연복 - 잣잣잣~하고 말아 드세요♬")</f>
        <v>이연복 - 잣잣잣~하고 말아 드세요♬</v>
      </c>
      <c r="B913" s="2" t="str">
        <f>IFERROR(__xludf.DUMMYFUNCTION("TRIM(INDEX(SPLIT($A913,""-""),1))
"),"이연복")</f>
        <v>이연복</v>
      </c>
      <c r="C913" s="2" t="str">
        <f>IFERROR(__xludf.DUMMYFUNCTION("TRIM(INDEX(SPLIT($A913,""-""),2))
"),"잣잣잣~하고 말아 드세요♬")</f>
        <v>잣잣잣~하고 말아 드세요♬</v>
      </c>
    </row>
    <row r="914">
      <c r="A914" s="2" t="str">
        <f>IFERROR(__xludf.DUMMYFUNCTION("REGEXEXTRACT(raw!A914, ""&lt;\s*(.+?)\s*&gt;"")
"),"송훈 - 꽃중년 스테이크")</f>
        <v>송훈 - 꽃중년 스테이크</v>
      </c>
      <c r="B914" s="2" t="str">
        <f>IFERROR(__xludf.DUMMYFUNCTION("TRIM(INDEX(SPLIT($A914,""-""),1))
"),"송훈")</f>
        <v>송훈</v>
      </c>
      <c r="C914" s="2" t="str">
        <f>IFERROR(__xludf.DUMMYFUNCTION("TRIM(INDEX(SPLIT($A914,""-""),2))
"),"꽃중년 스테이크")</f>
        <v>꽃중년 스테이크</v>
      </c>
    </row>
    <row r="915">
      <c r="A915" s="2" t="str">
        <f>IFERROR(__xludf.DUMMYFUNCTION("REGEXEXTRACT(raw!A915, ""&lt;\s*(.+?)\s*&gt;"")
"),"유현수 - 애꿎은 스테이크 어이하라고♬")</f>
        <v>유현수 - 애꿎은 스테이크 어이하라고♬</v>
      </c>
      <c r="B915" s="2" t="str">
        <f>IFERROR(__xludf.DUMMYFUNCTION("TRIM(INDEX(SPLIT($A915,""-""),1))
"),"유현수")</f>
        <v>유현수</v>
      </c>
      <c r="C915" s="2" t="str">
        <f>IFERROR(__xludf.DUMMYFUNCTION("TRIM(INDEX(SPLIT($A915,""-""),2))
"),"애꿎은 스테이크 어이하라고♬")</f>
        <v>애꿎은 스테이크 어이하라고♬</v>
      </c>
    </row>
    <row r="916">
      <c r="A916" s="2" t="str">
        <f>IFERROR(__xludf.DUMMYFUNCTION("REGEXEXTRACT(raw!A916, ""&lt;\s*(.+?)\s*&gt;"")
"),"오세득 - 미역도 다시 한 번")</f>
        <v>오세득 - 미역도 다시 한 번</v>
      </c>
      <c r="B916" s="2" t="str">
        <f>IFERROR(__xludf.DUMMYFUNCTION("TRIM(INDEX(SPLIT($A916,""-""),1))
"),"오세득")</f>
        <v>오세득</v>
      </c>
      <c r="C916" s="2" t="str">
        <f>IFERROR(__xludf.DUMMYFUNCTION("TRIM(INDEX(SPLIT($A916,""-""),2))
"),"미역도 다시 한 번")</f>
        <v>미역도 다시 한 번</v>
      </c>
    </row>
    <row r="917">
      <c r="A917" s="2" t="str">
        <f>IFERROR(__xludf.DUMMYFUNCTION("REGEXEXTRACT(raw!A917, ""&lt;\s*(.+?)\s*&gt;"")
"),"이연복 - 불혹에 딱 좋은 면인데♬")</f>
        <v>이연복 - 불혹에 딱 좋은 면인데♬</v>
      </c>
      <c r="B917" s="2" t="str">
        <f>IFERROR(__xludf.DUMMYFUNCTION("TRIM(INDEX(SPLIT($A917,""-""),1))
"),"이연복")</f>
        <v>이연복</v>
      </c>
      <c r="C917" s="2" t="str">
        <f>IFERROR(__xludf.DUMMYFUNCTION("TRIM(INDEX(SPLIT($A917,""-""),2))
"),"불혹에 딱 좋은 면인데♬")</f>
        <v>불혹에 딱 좋은 면인데♬</v>
      </c>
    </row>
    <row r="918">
      <c r="A918" s="2" t="str">
        <f>IFERROR(__xludf.DUMMYFUNCTION("REGEXEXTRACT(raw!A918, ""&lt;\s*(.+?)\s*&gt;"")
"),"레이먼킴 - 레이먼사우르스")</f>
        <v>레이먼킴 - 레이먼사우르스</v>
      </c>
      <c r="B918" s="2" t="str">
        <f>IFERROR(__xludf.DUMMYFUNCTION("TRIM(INDEX(SPLIT($A918,""-""),1))
"),"레이먼킴")</f>
        <v>레이먼킴</v>
      </c>
      <c r="C918" s="2" t="str">
        <f>IFERROR(__xludf.DUMMYFUNCTION("TRIM(INDEX(SPLIT($A918,""-""),2))
"),"레이먼사우르스")</f>
        <v>레이먼사우르스</v>
      </c>
    </row>
    <row r="919">
      <c r="A919" s="2" t="str">
        <f>IFERROR(__xludf.DUMMYFUNCTION("REGEXEXTRACT(raw!A919, ""&lt;\s*(.+?)\s*&gt;"")
"),"김풍 - 코알라 구할 준비됐나요♬")</f>
        <v>김풍 - 코알라 구할 준비됐나요♬</v>
      </c>
      <c r="B919" s="2" t="str">
        <f>IFERROR(__xludf.DUMMYFUNCTION("TRIM(INDEX(SPLIT($A919,""-""),1))
"),"김풍")</f>
        <v>김풍</v>
      </c>
      <c r="C919" s="2" t="str">
        <f>IFERROR(__xludf.DUMMYFUNCTION("TRIM(INDEX(SPLIT($A919,""-""),2))
"),"코알라 구할 준비됐나요♬")</f>
        <v>코알라 구할 준비됐나요♬</v>
      </c>
    </row>
    <row r="920">
      <c r="A920" s="2" t="str">
        <f>IFERROR(__xludf.DUMMYFUNCTION("REGEXEXTRACT(raw!A920, ""&lt;\s*(.+?)\s*&gt;"")
"),"송훈 - 갱년기 날렸찜")</f>
        <v>송훈 - 갱년기 날렸찜</v>
      </c>
      <c r="B920" s="2" t="str">
        <f>IFERROR(__xludf.DUMMYFUNCTION("TRIM(INDEX(SPLIT($A920,""-""),1))
"),"송훈")</f>
        <v>송훈</v>
      </c>
      <c r="C920" s="2" t="str">
        <f>IFERROR(__xludf.DUMMYFUNCTION("TRIM(INDEX(SPLIT($A920,""-""),2))
"),"갱년기 날렸찜")</f>
        <v>갱년기 날렸찜</v>
      </c>
    </row>
    <row r="921">
      <c r="A921" s="2" t="str">
        <f>IFERROR(__xludf.DUMMYFUNCTION("REGEXEXTRACT(raw!A921, ""&lt;\s*(.+?)\s*&gt;"")
"),"샘킴 - 문어지지마")</f>
        <v>샘킴 - 문어지지마</v>
      </c>
      <c r="B921" s="2" t="str">
        <f>IFERROR(__xludf.DUMMYFUNCTION("TRIM(INDEX(SPLIT($A921,""-""),1))
"),"샘킴")</f>
        <v>샘킴</v>
      </c>
      <c r="C921" s="2" t="str">
        <f>IFERROR(__xludf.DUMMYFUNCTION("TRIM(INDEX(SPLIT($A921,""-""),2))
"),"문어지지마")</f>
        <v>문어지지마</v>
      </c>
    </row>
    <row r="922">
      <c r="A922" s="2" t="str">
        <f>IFERROR(__xludf.DUMMYFUNCTION("REGEXEXTRACT(raw!A922, ""&lt;\s*(.+?)\s*&gt;"")
"),"유현수 - 아피제닌맨")</f>
        <v>유현수 - 아피제닌맨</v>
      </c>
      <c r="B922" s="2" t="str">
        <f>IFERROR(__xludf.DUMMYFUNCTION("TRIM(INDEX(SPLIT($A922,""-""),1))
"),"유현수")</f>
        <v>유현수</v>
      </c>
      <c r="C922" s="2" t="str">
        <f>IFERROR(__xludf.DUMMYFUNCTION("TRIM(INDEX(SPLIT($A922,""-""),2))
"),"아피제닌맨")</f>
        <v>아피제닌맨</v>
      </c>
    </row>
    <row r="923">
      <c r="A923" s="2" t="str">
        <f>IFERROR(__xludf.DUMMYFUNCTION("REGEXEXTRACT(raw!A923, ""&lt;\s*(.+?)\s*&gt;"")
"),"정호영 - 닥터 호영레인지")</f>
        <v>정호영 - 닥터 호영레인지</v>
      </c>
      <c r="B923" s="2" t="str">
        <f>IFERROR(__xludf.DUMMYFUNCTION("TRIM(INDEX(SPLIT($A923,""-""),1))
"),"정호영")</f>
        <v>정호영</v>
      </c>
      <c r="C923" s="2" t="str">
        <f>IFERROR(__xludf.DUMMYFUNCTION("TRIM(INDEX(SPLIT($A923,""-""),2))
"),"닥터 호영레인지")</f>
        <v>닥터 호영레인지</v>
      </c>
    </row>
    <row r="924">
      <c r="A924" s="2" t="str">
        <f>IFERROR(__xludf.DUMMYFUNCTION("REGEXEXTRACT(raw!A924, ""&lt;\s*(.+?)\s*&gt;"")
"),"유현수 - 버거김")</f>
        <v>유현수 - 버거김</v>
      </c>
      <c r="B924" s="2" t="str">
        <f>IFERROR(__xludf.DUMMYFUNCTION("TRIM(INDEX(SPLIT($A924,""-""),1))
"),"유현수")</f>
        <v>유현수</v>
      </c>
      <c r="C924" s="2" t="str">
        <f>IFERROR(__xludf.DUMMYFUNCTION("TRIM(INDEX(SPLIT($A924,""-""),2))
"),"버거김")</f>
        <v>버거김</v>
      </c>
    </row>
    <row r="925">
      <c r="A925" s="2" t="str">
        <f>IFERROR(__xludf.DUMMYFUNCTION("REGEXEXTRACT(raw!A925, ""&lt;\s*(.+?)\s*&gt;"")
"),"샘킴 - 샘도날드")</f>
        <v>샘킴 - 샘도날드</v>
      </c>
      <c r="B925" s="2" t="str">
        <f>IFERROR(__xludf.DUMMYFUNCTION("TRIM(INDEX(SPLIT($A925,""-""),1))
"),"샘킴")</f>
        <v>샘킴</v>
      </c>
      <c r="C925" s="2" t="str">
        <f>IFERROR(__xludf.DUMMYFUNCTION("TRIM(INDEX(SPLIT($A925,""-""),2))
"),"샘도날드")</f>
        <v>샘도날드</v>
      </c>
    </row>
    <row r="926">
      <c r="A926" s="2" t="str">
        <f>IFERROR(__xludf.DUMMYFUNCTION("REGEXEXTRACT(raw!A926, ""&lt;\s*(.+?)\s*&gt;"")
"),"정호영 - 내가 이길고렝")</f>
        <v>정호영 - 내가 이길고렝</v>
      </c>
      <c r="B926" s="2" t="str">
        <f>IFERROR(__xludf.DUMMYFUNCTION("TRIM(INDEX(SPLIT($A926,""-""),1))
"),"정호영")</f>
        <v>정호영</v>
      </c>
      <c r="C926" s="2" t="str">
        <f>IFERROR(__xludf.DUMMYFUNCTION("TRIM(INDEX(SPLIT($A926,""-""),2))
"),"내가 이길고렝")</f>
        <v>내가 이길고렝</v>
      </c>
    </row>
    <row r="927">
      <c r="A927" s="2" t="str">
        <f>IFERROR(__xludf.DUMMYFUNCTION("REGEXEXTRACT(raw!A927, ""&lt;\s*(.+?)\s*&gt;"")
"),"오세득 - 꿍푸팬더")</f>
        <v>오세득 - 꿍푸팬더</v>
      </c>
      <c r="B927" s="2" t="str">
        <f>IFERROR(__xludf.DUMMYFUNCTION("TRIM(INDEX(SPLIT($A927,""-""),1))
"),"오세득")</f>
        <v>오세득</v>
      </c>
      <c r="C927" s="2" t="str">
        <f>IFERROR(__xludf.DUMMYFUNCTION("TRIM(INDEX(SPLIT($A927,""-""),2))
"),"꿍푸팬더")</f>
        <v>꿍푸팬더</v>
      </c>
    </row>
    <row r="928">
      <c r="A928" s="2" t="str">
        <f>IFERROR(__xludf.DUMMYFUNCTION("REGEXEXTRACT(raw!A928, ""&lt;\s*(.+?)\s*&gt;"")
"),"레이먼킴 - 런닝램")</f>
        <v>레이먼킴 - 런닝램</v>
      </c>
      <c r="B928" s="2" t="str">
        <f>IFERROR(__xludf.DUMMYFUNCTION("TRIM(INDEX(SPLIT($A928,""-""),1))
"),"레이먼킴")</f>
        <v>레이먼킴</v>
      </c>
      <c r="C928" s="2" t="str">
        <f>IFERROR(__xludf.DUMMYFUNCTION("TRIM(INDEX(SPLIT($A928,""-""),2))
"),"런닝램")</f>
        <v>런닝램</v>
      </c>
    </row>
    <row r="929">
      <c r="A929" s="2" t="str">
        <f>IFERROR(__xludf.DUMMYFUNCTION("REGEXEXTRACT(raw!A929, ""&lt;\s*(.+?)\s*&gt;"")
"),"이연복 - 의기양양")</f>
        <v>이연복 - 의기양양</v>
      </c>
      <c r="B929" s="2" t="str">
        <f>IFERROR(__xludf.DUMMYFUNCTION("TRIM(INDEX(SPLIT($A929,""-""),1))
"),"이연복")</f>
        <v>이연복</v>
      </c>
      <c r="C929" s="2" t="str">
        <f>IFERROR(__xludf.DUMMYFUNCTION("TRIM(INDEX(SPLIT($A929,""-""),2))
"),"의기양양")</f>
        <v>의기양양</v>
      </c>
    </row>
    <row r="930">
      <c r="A930" s="2" t="str">
        <f>IFERROR(__xludf.DUMMYFUNCTION("REGEXEXTRACT(raw!A930, ""&lt;\s*(.+?)\s*&gt;"")
"),"송훈 - 파리지엥케이크")</f>
        <v>송훈 - 파리지엥케이크</v>
      </c>
      <c r="B930" s="2" t="str">
        <f>IFERROR(__xludf.DUMMYFUNCTION("TRIM(INDEX(SPLIT($A930,""-""),1))
"),"송훈")</f>
        <v>송훈</v>
      </c>
      <c r="C930" s="2" t="str">
        <f>IFERROR(__xludf.DUMMYFUNCTION("TRIM(INDEX(SPLIT($A930,""-""),2))
"),"파리지엥케이크")</f>
        <v>파리지엥케이크</v>
      </c>
    </row>
    <row r="931">
      <c r="A931" s="2" t="str">
        <f>IFERROR(__xludf.DUMMYFUNCTION("REGEXEXTRACT(raw!A931, ""&lt;\s*(.+?)\s*&gt;"")
"),"김풍 - 하와이안 풍딩")</f>
        <v>김풍 - 하와이안 풍딩</v>
      </c>
      <c r="B931" s="2" t="str">
        <f>IFERROR(__xludf.DUMMYFUNCTION("TRIM(INDEX(SPLIT($A931,""-""),1))
"),"김풍")</f>
        <v>김풍</v>
      </c>
      <c r="C931" s="2" t="str">
        <f>IFERROR(__xludf.DUMMYFUNCTION("TRIM(INDEX(SPLIT($A931,""-""),2))
"),"하와이안 풍딩")</f>
        <v>하와이안 풍딩</v>
      </c>
    </row>
    <row r="932">
      <c r="A932" s="2" t="str">
        <f>IFERROR(__xludf.DUMMYFUNCTION("REGEXEXTRACT(raw!A932, ""&lt;\s*(.+?)\s*&gt;"")
"),"김풍 - 유자라면 다가와♬")</f>
        <v>김풍 - 유자라면 다가와♬</v>
      </c>
      <c r="B932" s="2" t="str">
        <f>IFERROR(__xludf.DUMMYFUNCTION("TRIM(INDEX(SPLIT($A932,""-""),1))
"),"김풍")</f>
        <v>김풍</v>
      </c>
      <c r="C932" s="2" t="str">
        <f>IFERROR(__xludf.DUMMYFUNCTION("TRIM(INDEX(SPLIT($A932,""-""),2))
"),"유자라면 다가와♬")</f>
        <v>유자라면 다가와♬</v>
      </c>
    </row>
    <row r="933">
      <c r="A933" s="2" t="str">
        <f>IFERROR(__xludf.DUMMYFUNCTION("REGEXEXTRACT(raw!A933, ""&lt;\s*(.+?)\s*&gt;"")
"),"이연복 - 해결쌈")</f>
        <v>이연복 - 해결쌈</v>
      </c>
      <c r="B933" s="2" t="str">
        <f>IFERROR(__xludf.DUMMYFUNCTION("TRIM(INDEX(SPLIT($A933,""-""),1))
"),"이연복")</f>
        <v>이연복</v>
      </c>
      <c r="C933" s="2" t="str">
        <f>IFERROR(__xludf.DUMMYFUNCTION("TRIM(INDEX(SPLIT($A933,""-""),2))
"),"해결쌈")</f>
        <v>해결쌈</v>
      </c>
    </row>
    <row r="934">
      <c r="A934" s="2" t="str">
        <f>IFERROR(__xludf.DUMMYFUNCTION("REGEXEXTRACT(raw!A934, ""&lt;\s*(.+?)\s*&gt;"")
"),"유현수 - 비지창조")</f>
        <v>유현수 - 비지창조</v>
      </c>
      <c r="B934" s="2" t="str">
        <f>IFERROR(__xludf.DUMMYFUNCTION("TRIM(INDEX(SPLIT($A934,""-""),1))
"),"유현수")</f>
        <v>유현수</v>
      </c>
      <c r="C934" s="2" t="str">
        <f>IFERROR(__xludf.DUMMYFUNCTION("TRIM(INDEX(SPLIT($A934,""-""),2))
"),"비지창조")</f>
        <v>비지창조</v>
      </c>
    </row>
    <row r="935">
      <c r="A935" s="2" t="str">
        <f>IFERROR(__xludf.DUMMYFUNCTION("REGEXEXTRACT(raw!A935, ""&lt;\s*(.+?)\s*&gt;"")
"),"오세득 - 돼지 파국이다!")</f>
        <v>오세득 - 돼지 파국이다!</v>
      </c>
      <c r="B935" s="2" t="str">
        <f>IFERROR(__xludf.DUMMYFUNCTION("TRIM(INDEX(SPLIT($A935,""-""),1))
"),"오세득")</f>
        <v>오세득</v>
      </c>
      <c r="C935" s="2" t="str">
        <f>IFERROR(__xludf.DUMMYFUNCTION("TRIM(INDEX(SPLIT($A935,""-""),2))
"),"돼지 파국이다!")</f>
        <v>돼지 파국이다!</v>
      </c>
    </row>
    <row r="936">
      <c r="A936" s="2" t="str">
        <f>IFERROR(__xludf.DUMMYFUNCTION("REGEXEXTRACT(raw!A936, ""&lt;\s*(.+?)\s*&gt;"")
"),"송훈 - T.O.P 돔")</f>
        <v>송훈 - T.O.P 돔</v>
      </c>
      <c r="B936" s="2" t="str">
        <f>IFERROR(__xludf.DUMMYFUNCTION("TRIM(INDEX(SPLIT($A936,""-""),1))
"),"송훈")</f>
        <v>송훈</v>
      </c>
      <c r="C936" s="2" t="str">
        <f>IFERROR(__xludf.DUMMYFUNCTION("TRIM(INDEX(SPLIT($A936,""-""),2))
"),"T.O.P 돔")</f>
        <v>T.O.P 돔</v>
      </c>
    </row>
    <row r="937">
      <c r="A937" s="2" t="str">
        <f>IFERROR(__xludf.DUMMYFUNCTION("REGEXEXTRACT(raw!A937, ""&lt;\s*(.+?)\s*&gt;"")
"),"레이먼킴 - 퍼펙트 돔")</f>
        <v>레이먼킴 - 퍼펙트 돔</v>
      </c>
      <c r="B937" s="2" t="str">
        <f>IFERROR(__xludf.DUMMYFUNCTION("TRIM(INDEX(SPLIT($A937,""-""),1))
"),"레이먼킴")</f>
        <v>레이먼킴</v>
      </c>
      <c r="C937" s="2" t="str">
        <f>IFERROR(__xludf.DUMMYFUNCTION("TRIM(INDEX(SPLIT($A937,""-""),2))
"),"퍼펙트 돔")</f>
        <v>퍼펙트 돔</v>
      </c>
    </row>
    <row r="938">
      <c r="A938" s="2" t="str">
        <f>IFERROR(__xludf.DUMMYFUNCTION("REGEXEXTRACT(raw!A938, ""&lt;\s*(.+?)\s*&gt;"")
"),"정호영 - 와일드 아이즈면")</f>
        <v>정호영 - 와일드 아이즈면</v>
      </c>
      <c r="B938" s="2" t="str">
        <f>IFERROR(__xludf.DUMMYFUNCTION("TRIM(INDEX(SPLIT($A938,""-""),1))
"),"정호영")</f>
        <v>정호영</v>
      </c>
      <c r="C938" s="2" t="str">
        <f>IFERROR(__xludf.DUMMYFUNCTION("TRIM(INDEX(SPLIT($A938,""-""),2))
"),"와일드 아이즈면")</f>
        <v>와일드 아이즈면</v>
      </c>
    </row>
    <row r="939">
      <c r="A939" s="2" t="str">
        <f>IFERROR(__xludf.DUMMYFUNCTION("REGEXEXTRACT(raw!A939, ""&lt;\s*(.+?)\s*&gt;"")
"),"샘킴 - Hey, Come 면!")</f>
        <v>샘킴 - Hey, Come 면!</v>
      </c>
      <c r="B939" s="2" t="str">
        <f>IFERROR(__xludf.DUMMYFUNCTION("TRIM(INDEX(SPLIT($A939,""-""),1))
"),"샘킴")</f>
        <v>샘킴</v>
      </c>
      <c r="C939" s="2" t="str">
        <f>IFERROR(__xludf.DUMMYFUNCTION("TRIM(INDEX(SPLIT($A939,""-""),2))
"),"Hey, Come 면!")</f>
        <v>Hey, Come 면!</v>
      </c>
    </row>
    <row r="940">
      <c r="A940" s="2" t="str">
        <f>IFERROR(__xludf.DUMMYFUNCTION("REGEXEXTRACT(raw!A940, ""&lt;\s*(.+?)\s*&gt;"")
"),"송훈 - 뉴욕 버터 치킨")</f>
        <v>송훈 - 뉴욕 버터 치킨</v>
      </c>
      <c r="B940" s="2" t="str">
        <f>IFERROR(__xludf.DUMMYFUNCTION("TRIM(INDEX(SPLIT($A940,""-""),1))
"),"송훈")</f>
        <v>송훈</v>
      </c>
      <c r="C940" s="2" t="str">
        <f>IFERROR(__xludf.DUMMYFUNCTION("TRIM(INDEX(SPLIT($A940,""-""),2))
"),"뉴욕 버터 치킨")</f>
        <v>뉴욕 버터 치킨</v>
      </c>
    </row>
    <row r="941">
      <c r="A941" s="2" t="str">
        <f>IFERROR(__xludf.DUMMYFUNCTION("REGEXEXTRACT(raw!A941, ""&lt;\s*(.+?)\s*&gt;"")
"),"이연복 - 베이징닭 말고 뭣이 중헌디!")</f>
        <v>이연복 - 베이징닭 말고 뭣이 중헌디!</v>
      </c>
      <c r="B941" s="2" t="str">
        <f>IFERROR(__xludf.DUMMYFUNCTION("TRIM(INDEX(SPLIT($A941,""-""),1))
"),"이연복")</f>
        <v>이연복</v>
      </c>
      <c r="C941" s="2" t="str">
        <f>IFERROR(__xludf.DUMMYFUNCTION("TRIM(INDEX(SPLIT($A941,""-""),2))
"),"베이징닭 말고 뭣이 중헌디!")</f>
        <v>베이징닭 말고 뭣이 중헌디!</v>
      </c>
    </row>
    <row r="942">
      <c r="A942" s="2" t="str">
        <f>IFERROR(__xludf.DUMMYFUNCTION("REGEXEXTRACT(raw!A942, ""&lt;\s*(.+?)\s*&gt;"")
"),"유현수 - 맛있으면 돼지?")</f>
        <v>유현수 - 맛있으면 돼지?</v>
      </c>
      <c r="B942" s="2" t="str">
        <f>IFERROR(__xludf.DUMMYFUNCTION("TRIM(INDEX(SPLIT($A942,""-""),1))
"),"유현수")</f>
        <v>유현수</v>
      </c>
      <c r="C942" s="2" t="str">
        <f>IFERROR(__xludf.DUMMYFUNCTION("TRIM(INDEX(SPLIT($A942,""-""),2))
"),"맛있으면 돼지?")</f>
        <v>맛있으면 돼지?</v>
      </c>
    </row>
    <row r="943">
      <c r="A943" s="2" t="str">
        <f>IFERROR(__xludf.DUMMYFUNCTION("REGEXEXTRACT(raw!A943, ""&lt;\s*(.+?)\s*&gt;"")
"),"오세득 - 강정으로 이기면 돼지?")</f>
        <v>오세득 - 강정으로 이기면 돼지?</v>
      </c>
      <c r="B943" s="2" t="str">
        <f>IFERROR(__xludf.DUMMYFUNCTION("TRIM(INDEX(SPLIT($A943,""-""),1))
"),"오세득")</f>
        <v>오세득</v>
      </c>
      <c r="C943" s="2" t="str">
        <f>IFERROR(__xludf.DUMMYFUNCTION("TRIM(INDEX(SPLIT($A943,""-""),2))
"),"강정으로 이기면 돼지?")</f>
        <v>강정으로 이기면 돼지?</v>
      </c>
    </row>
    <row r="944">
      <c r="A944" s="2" t="str">
        <f>IFERROR(__xludf.DUMMYFUNCTION("REGEXEXTRACT(raw!A944, ""&lt;\s*(.+?)\s*&gt;"")
"),"정호영 - 짜장왕")</f>
        <v>정호영 - 짜장왕</v>
      </c>
      <c r="B944" s="2" t="str">
        <f>IFERROR(__xludf.DUMMYFUNCTION("TRIM(INDEX(SPLIT($A944,""-""),1))
"),"정호영")</f>
        <v>정호영</v>
      </c>
      <c r="C944" s="2" t="str">
        <f>IFERROR(__xludf.DUMMYFUNCTION("TRIM(INDEX(SPLIT($A944,""-""),2))
"),"짜장왕")</f>
        <v>짜장왕</v>
      </c>
    </row>
    <row r="945">
      <c r="A945" s="2" t="str">
        <f>IFERROR(__xludf.DUMMYFUNCTION("REGEXEXTRACT(raw!A945, ""&lt;\s*(.+?)\s*&gt;"")
"),"김풍 - 만두가 캐비지")</f>
        <v>김풍 - 만두가 캐비지</v>
      </c>
      <c r="B945" s="2" t="str">
        <f>IFERROR(__xludf.DUMMYFUNCTION("TRIM(INDEX(SPLIT($A945,""-""),1))
"),"김풍")</f>
        <v>김풍</v>
      </c>
      <c r="C945" s="2" t="str">
        <f>IFERROR(__xludf.DUMMYFUNCTION("TRIM(INDEX(SPLIT($A945,""-""),2))
"),"만두가 캐비지")</f>
        <v>만두가 캐비지</v>
      </c>
    </row>
    <row r="946">
      <c r="A946" s="2" t="str">
        <f>IFERROR(__xludf.DUMMYFUNCTION("REGEXEXTRACT(raw!A946, ""&lt;\s*(.+?)\s*&gt;"")
"),"레이먼킴 - 응답하라 바스크")</f>
        <v>레이먼킴 - 응답하라 바스크</v>
      </c>
      <c r="B946" s="2" t="str">
        <f>IFERROR(__xludf.DUMMYFUNCTION("TRIM(INDEX(SPLIT($A946,""-""),1))
"),"레이먼킴")</f>
        <v>레이먼킴</v>
      </c>
      <c r="C946" s="2" t="str">
        <f>IFERROR(__xludf.DUMMYFUNCTION("TRIM(INDEX(SPLIT($A946,""-""),2))
"),"응답하라 바스크")</f>
        <v>응답하라 바스크</v>
      </c>
    </row>
    <row r="947">
      <c r="A947" s="2" t="str">
        <f>IFERROR(__xludf.DUMMYFUNCTION("REGEXEXTRACT(raw!A947, ""&lt;\s*(.+?)\s*&gt;"")
"),"샘킴 - 응답하라 이탈리아")</f>
        <v>샘킴 - 응답하라 이탈리아</v>
      </c>
      <c r="B947" s="2" t="str">
        <f>IFERROR(__xludf.DUMMYFUNCTION("TRIM(INDEX(SPLIT($A947,""-""),1))
"),"샘킴")</f>
        <v>샘킴</v>
      </c>
      <c r="C947" s="2" t="str">
        <f>IFERROR(__xludf.DUMMYFUNCTION("TRIM(INDEX(SPLIT($A947,""-""),2))
"),"응답하라 이탈리아")</f>
        <v>응답하라 이탈리아</v>
      </c>
    </row>
    <row r="948">
      <c r="A948" s="2" t="str">
        <f>IFERROR(__xludf.DUMMYFUNCTION("REGEXEXTRACT(raw!A948, ""&lt;\s*(.+?)\s*&gt;"")
"),"레이먼킴 - 국밥정상회담")</f>
        <v>레이먼킴 - 국밥정상회담</v>
      </c>
      <c r="B948" s="2" t="str">
        <f>IFERROR(__xludf.DUMMYFUNCTION("TRIM(INDEX(SPLIT($A948,""-""),1))
"),"레이먼킴")</f>
        <v>레이먼킴</v>
      </c>
      <c r="C948" s="2" t="str">
        <f>IFERROR(__xludf.DUMMYFUNCTION("TRIM(INDEX(SPLIT($A948,""-""),2))
"),"국밥정상회담")</f>
        <v>국밥정상회담</v>
      </c>
    </row>
    <row r="949">
      <c r="A949" s="2" t="str">
        <f>IFERROR(__xludf.DUMMYFUNCTION("REGEXEXTRACT(raw!A949, ""&lt;\s*(.+?)\s*&gt;"")
"),"유현수 - 공동만두구역")</f>
        <v>유현수 - 공동만두구역</v>
      </c>
      <c r="B949" s="2" t="str">
        <f>IFERROR(__xludf.DUMMYFUNCTION("TRIM(INDEX(SPLIT($A949,""-""),1))
"),"유현수")</f>
        <v>유현수</v>
      </c>
      <c r="C949" s="2" t="str">
        <f>IFERROR(__xludf.DUMMYFUNCTION("TRIM(INDEX(SPLIT($A949,""-""),2))
"),"공동만두구역")</f>
        <v>공동만두구역</v>
      </c>
    </row>
    <row r="950">
      <c r="A950" s="2" t="str">
        <f>IFERROR(__xludf.DUMMYFUNCTION("REGEXEXTRACT(raw!A950, ""&lt;\s*(.+?)\s*&gt;"")
"),"오세득 - 이게 불낙이야")</f>
        <v>오세득 - 이게 불낙이야</v>
      </c>
      <c r="B950" s="2" t="str">
        <f>IFERROR(__xludf.DUMMYFUNCTION("TRIM(INDEX(SPLIT($A950,""-""),1))
"),"오세득")</f>
        <v>오세득</v>
      </c>
      <c r="C950" s="2" t="str">
        <f>IFERROR(__xludf.DUMMYFUNCTION("TRIM(INDEX(SPLIT($A950,""-""),2))
"),"이게 불낙이야")</f>
        <v>이게 불낙이야</v>
      </c>
    </row>
    <row r="951">
      <c r="A951" s="2" t="str">
        <f>IFERROR(__xludf.DUMMYFUNCTION("REGEXEXTRACT(raw!A951, ""&lt;\s*(.+?)\s*&gt;"")
"),"이연복 - 장어 뺀 보양식, 그거슨 아니지~")</f>
        <v>이연복 - 장어 뺀 보양식, 그거슨 아니지~</v>
      </c>
      <c r="B951" s="2" t="str">
        <f>IFERROR(__xludf.DUMMYFUNCTION("TRIM(INDEX(SPLIT($A951,""-""),1))
"),"이연복")</f>
        <v>이연복</v>
      </c>
      <c r="C951" s="2" t="str">
        <f>IFERROR(__xludf.DUMMYFUNCTION("TRIM(INDEX(SPLIT($A951,""-""),2))
"),"장어 뺀 보양식, 그거슨 아니지~")</f>
        <v>장어 뺀 보양식, 그거슨 아니지~</v>
      </c>
    </row>
    <row r="952">
      <c r="A952" s="2" t="str">
        <f>IFERROR(__xludf.DUMMYFUNCTION("REGEXEXTRACT(raw!A952, ""&lt;\s*(.+?)\s*&gt;"")
"),"송훈 - 순대거탑")</f>
        <v>송훈 - 순대거탑</v>
      </c>
      <c r="B952" s="2" t="str">
        <f>IFERROR(__xludf.DUMMYFUNCTION("TRIM(INDEX(SPLIT($A952,""-""),1))
"),"송훈")</f>
        <v>송훈</v>
      </c>
      <c r="C952" s="2" t="str">
        <f>IFERROR(__xludf.DUMMYFUNCTION("TRIM(INDEX(SPLIT($A952,""-""),2))
"),"순대거탑")</f>
        <v>순대거탑</v>
      </c>
    </row>
    <row r="953">
      <c r="A953" s="2" t="str">
        <f>IFERROR(__xludf.DUMMYFUNCTION("REGEXEXTRACT(raw!A953, ""&lt;\s*(.+?)\s*&gt;"")
"),"정호영 - 흐린 기억 속의 고추장찌개♬")</f>
        <v>정호영 - 흐린 기억 속의 고추장찌개♬</v>
      </c>
      <c r="B953" s="2" t="str">
        <f>IFERROR(__xludf.DUMMYFUNCTION("TRIM(INDEX(SPLIT($A953,""-""),1))
"),"정호영")</f>
        <v>정호영</v>
      </c>
      <c r="C953" s="2" t="str">
        <f>IFERROR(__xludf.DUMMYFUNCTION("TRIM(INDEX(SPLIT($A953,""-""),2))
"),"흐린 기억 속의 고추장찌개♬")</f>
        <v>흐린 기억 속의 고추장찌개♬</v>
      </c>
    </row>
    <row r="954">
      <c r="A954" s="2" t="str">
        <f>IFERROR(__xludf.DUMMYFUNCTION("REGEXEXTRACT(raw!A954, ""&lt;\s*(.+?)\s*&gt;"")
"),"김풍 - 풍장금")</f>
        <v>김풍 - 풍장금</v>
      </c>
      <c r="B954" s="2" t="str">
        <f>IFERROR(__xludf.DUMMYFUNCTION("TRIM(INDEX(SPLIT($A954,""-""),1))
"),"김풍")</f>
        <v>김풍</v>
      </c>
      <c r="C954" s="2" t="str">
        <f>IFERROR(__xludf.DUMMYFUNCTION("TRIM(INDEX(SPLIT($A954,""-""),2))
"),"풍장금")</f>
        <v>풍장금</v>
      </c>
    </row>
    <row r="955">
      <c r="A955" s="2" t="str">
        <f>IFERROR(__xludf.DUMMYFUNCTION("REGEXEXTRACT(raw!A955, ""&lt;\s*(.+?)\s*&gt;"")
"),"샘킴 - 내가 왕이 될 밥상인가?")</f>
        <v>샘킴 - 내가 왕이 될 밥상인가?</v>
      </c>
      <c r="B955" s="2" t="str">
        <f>IFERROR(__xludf.DUMMYFUNCTION("TRIM(INDEX(SPLIT($A955,""-""),1))
"),"샘킴")</f>
        <v>샘킴</v>
      </c>
      <c r="C955" s="2" t="str">
        <f>IFERROR(__xludf.DUMMYFUNCTION("TRIM(INDEX(SPLIT($A955,""-""),2))
"),"내가 왕이 될 밥상인가?")</f>
        <v>내가 왕이 될 밥상인가?</v>
      </c>
    </row>
    <row r="956">
      <c r="A956" s="2" t="str">
        <f>IFERROR(__xludf.DUMMYFUNCTION("REGEXEXTRACT(raw!A956, ""&lt;\s*(.+?)\s*&gt;"")
"),"송훈 - 송훈각")</f>
        <v>송훈 - 송훈각</v>
      </c>
      <c r="B956" s="2" t="str">
        <f>IFERROR(__xludf.DUMMYFUNCTION("TRIM(INDEX(SPLIT($A956,""-""),1))
"),"송훈")</f>
        <v>송훈</v>
      </c>
      <c r="C956" s="2" t="str">
        <f>IFERROR(__xludf.DUMMYFUNCTION("TRIM(INDEX(SPLIT($A956,""-""),2))
"),"송훈각")</f>
        <v>송훈각</v>
      </c>
    </row>
    <row r="957">
      <c r="A957" s="2" t="str">
        <f>IFERROR(__xludf.DUMMYFUNCTION("REGEXEXTRACT(raw!A957, ""&lt;\s*(.+?)\s*&gt;"")
"),"김풍 - 풍화반점")</f>
        <v>김풍 - 풍화반점</v>
      </c>
      <c r="B957" s="2" t="str">
        <f>IFERROR(__xludf.DUMMYFUNCTION("TRIM(INDEX(SPLIT($A957,""-""),1))
"),"김풍")</f>
        <v>김풍</v>
      </c>
      <c r="C957" s="2" t="str">
        <f>IFERROR(__xludf.DUMMYFUNCTION("TRIM(INDEX(SPLIT($A957,""-""),2))
"),"풍화반점")</f>
        <v>풍화반점</v>
      </c>
    </row>
    <row r="958">
      <c r="A958" s="2" t="str">
        <f>IFERROR(__xludf.DUMMYFUNCTION("REGEXEXTRACT(raw!A958, ""&lt;\s*(.+?)\s*&gt;"")
"),"오세득 - 신(辛)봤다")</f>
        <v>오세득 - 신(辛)봤다</v>
      </c>
      <c r="B958" s="2" t="str">
        <f>IFERROR(__xludf.DUMMYFUNCTION("TRIM(INDEX(SPLIT($A958,""-""),1))
"),"오세득")</f>
        <v>오세득</v>
      </c>
      <c r="C958" s="2" t="str">
        <f>IFERROR(__xludf.DUMMYFUNCTION("TRIM(INDEX(SPLIT($A958,""-""),2))
"),"신(辛)봤다")</f>
        <v>신(辛)봤다</v>
      </c>
    </row>
    <row r="959">
      <c r="A959" s="2" t="str">
        <f>IFERROR(__xludf.DUMMYFUNCTION("REGEXEXTRACT(raw!A959, ""&lt;\s*(.+?)\s*&gt;"")
"),"샘킴 - 스파이시맨")</f>
        <v>샘킴 - 스파이시맨</v>
      </c>
      <c r="B959" s="2" t="str">
        <f>IFERROR(__xludf.DUMMYFUNCTION("TRIM(INDEX(SPLIT($A959,""-""),1))
"),"샘킴")</f>
        <v>샘킴</v>
      </c>
      <c r="C959" s="2" t="str">
        <f>IFERROR(__xludf.DUMMYFUNCTION("TRIM(INDEX(SPLIT($A959,""-""),2))
"),"스파이시맨")</f>
        <v>스파이시맨</v>
      </c>
    </row>
    <row r="960">
      <c r="A960" s="2" t="str">
        <f>IFERROR(__xludf.DUMMYFUNCTION("REGEXEXTRACT(raw!A960, ""&lt;\s*(.+?)\s*&gt;"")
"),"레이먼킴 - 갈치 한판승")</f>
        <v>레이먼킴 - 갈치 한판승</v>
      </c>
      <c r="B960" s="2" t="str">
        <f>IFERROR(__xludf.DUMMYFUNCTION("TRIM(INDEX(SPLIT($A960,""-""),1))
"),"레이먼킴")</f>
        <v>레이먼킴</v>
      </c>
      <c r="C960" s="2" t="str">
        <f>IFERROR(__xludf.DUMMYFUNCTION("TRIM(INDEX(SPLIT($A960,""-""),2))
"),"갈치 한판승")</f>
        <v>갈치 한판승</v>
      </c>
    </row>
    <row r="961">
      <c r="A961" s="2" t="str">
        <f>IFERROR(__xludf.DUMMYFUNCTION("REGEXEXTRACT(raw!A961, ""&lt;\s*(.+?)\s*&gt;"")
"),"이연복 - 뭉쳐야 찐다")</f>
        <v>이연복 - 뭉쳐야 찐다</v>
      </c>
      <c r="B961" s="2" t="str">
        <f>IFERROR(__xludf.DUMMYFUNCTION("TRIM(INDEX(SPLIT($A961,""-""),1))
"),"이연복")</f>
        <v>이연복</v>
      </c>
      <c r="C961" s="2" t="str">
        <f>IFERROR(__xludf.DUMMYFUNCTION("TRIM(INDEX(SPLIT($A961,""-""),2))
"),"뭉쳐야 찐다")</f>
        <v>뭉쳐야 찐다</v>
      </c>
    </row>
    <row r="962">
      <c r="A962" s="2" t="str">
        <f>IFERROR(__xludf.DUMMYFUNCTION("REGEXEXTRACT(raw!A962, ""&lt;\s*(.+?)\s*&gt;"")
"),"정호영 - 갈빗살 베스튜")</f>
        <v>정호영 - 갈빗살 베스튜</v>
      </c>
      <c r="B962" s="2" t="str">
        <f>IFERROR(__xludf.DUMMYFUNCTION("TRIM(INDEX(SPLIT($A962,""-""),1))
"),"정호영")</f>
        <v>정호영</v>
      </c>
      <c r="C962" s="2" t="str">
        <f>IFERROR(__xludf.DUMMYFUNCTION("TRIM(INDEX(SPLIT($A962,""-""),2))
"),"갈빗살 베스튜")</f>
        <v>갈빗살 베스튜</v>
      </c>
    </row>
    <row r="963">
      <c r="A963" s="2" t="str">
        <f>IFERROR(__xludf.DUMMYFUNCTION("REGEXEXTRACT(raw!A963, ""&lt;\s*(.+?)\s*&gt;"")
"),"유현수 - 굴라시로 입맛 잡아!")</f>
        <v>유현수 - 굴라시로 입맛 잡아!</v>
      </c>
      <c r="B963" s="2" t="str">
        <f>IFERROR(__xludf.DUMMYFUNCTION("TRIM(INDEX(SPLIT($A963,""-""),1))
"),"유현수")</f>
        <v>유현수</v>
      </c>
      <c r="C963" s="2" t="str">
        <f>IFERROR(__xludf.DUMMYFUNCTION("TRIM(INDEX(SPLIT($A963,""-""),2))
"),"굴라시로 입맛 잡아!")</f>
        <v>굴라시로 입맛 잡아!</v>
      </c>
    </row>
    <row r="964">
      <c r="A964" s="2" t="str">
        <f>IFERROR(__xludf.DUMMYFUNCTION("REGEXEXTRACT(raw!A964, ""&lt;\s*(.+?)\s*&gt;"")
"),"송훈 - 페이스트리 요정")</f>
        <v>송훈 - 페이스트리 요정</v>
      </c>
      <c r="B964" s="2" t="str">
        <f>IFERROR(__xludf.DUMMYFUNCTION("TRIM(INDEX(SPLIT($A964,""-""),1))
"),"송훈")</f>
        <v>송훈</v>
      </c>
      <c r="C964" s="2" t="str">
        <f>IFERROR(__xludf.DUMMYFUNCTION("TRIM(INDEX(SPLIT($A964,""-""),2))
"),"페이스트리 요정")</f>
        <v>페이스트리 요정</v>
      </c>
    </row>
    <row r="965">
      <c r="A965" s="2" t="str">
        <f>IFERROR(__xludf.DUMMYFUNCTION("REGEXEXTRACT(raw!A965, ""&lt;\s*(.+?)\s*&gt;"")
"),"유현수 - 밀가루 신상임당")</f>
        <v>유현수 - 밀가루 신상임당</v>
      </c>
      <c r="B965" s="2" t="str">
        <f>IFERROR(__xludf.DUMMYFUNCTION("TRIM(INDEX(SPLIT($A965,""-""),1))
"),"유현수")</f>
        <v>유현수</v>
      </c>
      <c r="C965" s="2" t="str">
        <f>IFERROR(__xludf.DUMMYFUNCTION("TRIM(INDEX(SPLIT($A965,""-""),2))
"),"밀가루 신상임당")</f>
        <v>밀가루 신상임당</v>
      </c>
    </row>
    <row r="966">
      <c r="A966" s="2" t="str">
        <f>IFERROR(__xludf.DUMMYFUNCTION("REGEXEXTRACT(raw!A966, ""&lt;\s*(.+?)\s*&gt;"")
"),"오세득 - 패셔니스튜")</f>
        <v>오세득 - 패셔니스튜</v>
      </c>
      <c r="B966" s="2" t="str">
        <f>IFERROR(__xludf.DUMMYFUNCTION("TRIM(INDEX(SPLIT($A966,""-""),1))
"),"오세득")</f>
        <v>오세득</v>
      </c>
      <c r="C966" s="2" t="str">
        <f>IFERROR(__xludf.DUMMYFUNCTION("TRIM(INDEX(SPLIT($A966,""-""),2))
"),"패셔니스튜")</f>
        <v>패셔니스튜</v>
      </c>
    </row>
    <row r="967">
      <c r="A967" s="2" t="str">
        <f>IFERROR(__xludf.DUMMYFUNCTION("REGEXEXTRACT(raw!A967, ""&lt;\s*(.+?)\s*&gt;"")
"),"샘킴 - 시칠리아 정식~ 오 솔레미오♬")</f>
        <v>샘킴 - 시칠리아 정식~ 오 솔레미오♬</v>
      </c>
      <c r="B967" s="2" t="str">
        <f>IFERROR(__xludf.DUMMYFUNCTION("TRIM(INDEX(SPLIT($A967,""-""),1))
"),"샘킴")</f>
        <v>샘킴</v>
      </c>
      <c r="C967" s="2" t="str">
        <f>IFERROR(__xludf.DUMMYFUNCTION("TRIM(INDEX(SPLIT($A967,""-""),2))
"),"시칠리아 정식~ 오 솔레미오♬")</f>
        <v>시칠리아 정식~ 오 솔레미오♬</v>
      </c>
    </row>
    <row r="968">
      <c r="A968" s="2" t="str">
        <f>IFERROR(__xludf.DUMMYFUNCTION("REGEXEXTRACT(raw!A968, ""&lt;\s*(.+?)\s*&gt;"")
"),"레이먼킴 - 생생 리소통")</f>
        <v>레이먼킴 - 생생 리소통</v>
      </c>
      <c r="B968" s="2" t="str">
        <f>IFERROR(__xludf.DUMMYFUNCTION("TRIM(INDEX(SPLIT($A968,""-""),1))
"),"레이먼킴")</f>
        <v>레이먼킴</v>
      </c>
      <c r="C968" s="2" t="str">
        <f>IFERROR(__xludf.DUMMYFUNCTION("TRIM(INDEX(SPLIT($A968,""-""),2))
"),"생생 리소통")</f>
        <v>생생 리소통</v>
      </c>
    </row>
    <row r="969">
      <c r="A969" s="2" t="str">
        <f>IFERROR(__xludf.DUMMYFUNCTION("REGEXEXTRACT(raw!A969, ""&lt;\s*(.+?)\s*&gt;"")
"),"이연복 - 니들이 게살수프 맛을 알아?")</f>
        <v>이연복 - 니들이 게살수프 맛을 알아?</v>
      </c>
      <c r="B969" s="2" t="str">
        <f>IFERROR(__xludf.DUMMYFUNCTION("TRIM(INDEX(SPLIT($A969,""-""),1))
"),"이연복")</f>
        <v>이연복</v>
      </c>
      <c r="C969" s="2" t="str">
        <f>IFERROR(__xludf.DUMMYFUNCTION("TRIM(INDEX(SPLIT($A969,""-""),2))
"),"니들이 게살수프 맛을 알아?")</f>
        <v>니들이 게살수프 맛을 알아?</v>
      </c>
    </row>
    <row r="970">
      <c r="A970" s="2" t="str">
        <f>IFERROR(__xludf.DUMMYFUNCTION("REGEXEXTRACT(raw!A970, ""&lt;\s*(.+?)\s*&gt;"")
"),"정호영 - 고인돌 떡갈비")</f>
        <v>정호영 - 고인돌 떡갈비</v>
      </c>
      <c r="B970" s="2" t="str">
        <f>IFERROR(__xludf.DUMMYFUNCTION("TRIM(INDEX(SPLIT($A970,""-""),1))
"),"정호영")</f>
        <v>정호영</v>
      </c>
      <c r="C970" s="2" t="str">
        <f>IFERROR(__xludf.DUMMYFUNCTION("TRIM(INDEX(SPLIT($A970,""-""),2))
"),"고인돌 떡갈비")</f>
        <v>고인돌 떡갈비</v>
      </c>
    </row>
    <row r="971">
      <c r="A971" s="2" t="str">
        <f>IFERROR(__xludf.DUMMYFUNCTION("REGEXEXTRACT(raw!A971, ""&lt;\s*(.+?)\s*&gt;"")
"),"김풍 - 금 나와라 와라~ 금탕♬")</f>
        <v>김풍 - 금 나와라 와라~ 금탕♬</v>
      </c>
      <c r="B971" s="2" t="str">
        <f>IFERROR(__xludf.DUMMYFUNCTION("TRIM(INDEX(SPLIT($A971,""-""),1))
"),"김풍")</f>
        <v>김풍</v>
      </c>
      <c r="C971" s="2" t="str">
        <f>IFERROR(__xludf.DUMMYFUNCTION("TRIM(INDEX(SPLIT($A971,""-""),2))
"),"금 나와라 와라~ 금탕♬")</f>
        <v>금 나와라 와라~ 금탕♬</v>
      </c>
    </row>
    <row r="972">
      <c r="A972" s="2" t="str">
        <f>IFERROR(__xludf.DUMMYFUNCTION("REGEXEXTRACT(raw!A972, ""&lt;\s*(.+?)\s*&gt;"")
"),"김풍 - 기절토풍")</f>
        <v>김풍 - 기절토풍</v>
      </c>
      <c r="B972" s="2" t="str">
        <f>IFERROR(__xludf.DUMMYFUNCTION("TRIM(INDEX(SPLIT($A972,""-""),1))
"),"김풍")</f>
        <v>김풍</v>
      </c>
      <c r="C972" s="2" t="str">
        <f>IFERROR(__xludf.DUMMYFUNCTION("TRIM(INDEX(SPLIT($A972,""-""),2))
"),"기절토풍")</f>
        <v>기절토풍</v>
      </c>
    </row>
    <row r="973">
      <c r="A973" s="2" t="str">
        <f>IFERROR(__xludf.DUMMYFUNCTION("REGEXEXTRACT(raw!A973, ""&lt;\s*(.+?)\s*&gt;"")
"),"샘킴 - 봉주르 부야베스")</f>
        <v>샘킴 - 봉주르 부야베스</v>
      </c>
      <c r="B973" s="2" t="str">
        <f>IFERROR(__xludf.DUMMYFUNCTION("TRIM(INDEX(SPLIT($A973,""-""),1))
"),"샘킴")</f>
        <v>샘킴</v>
      </c>
      <c r="C973" s="2" t="str">
        <f>IFERROR(__xludf.DUMMYFUNCTION("TRIM(INDEX(SPLIT($A973,""-""),2))
"),"봉주르 부야베스")</f>
        <v>봉주르 부야베스</v>
      </c>
    </row>
    <row r="974">
      <c r="A974" s="2" t="str">
        <f>IFERROR(__xludf.DUMMYFUNCTION("REGEXEXTRACT(raw!A974, ""&lt;\s*(.+?)\s*&gt;"")
"),"송훈 - 쌀 스틸러")</f>
        <v>송훈 - 쌀 스틸러</v>
      </c>
      <c r="B974" s="2" t="str">
        <f>IFERROR(__xludf.DUMMYFUNCTION("TRIM(INDEX(SPLIT($A974,""-""),1))
"),"송훈")</f>
        <v>송훈</v>
      </c>
      <c r="C974" s="2" t="str">
        <f>IFERROR(__xludf.DUMMYFUNCTION("TRIM(INDEX(SPLIT($A974,""-""),2))
"),"쌀 스틸러")</f>
        <v>쌀 스틸러</v>
      </c>
    </row>
    <row r="975">
      <c r="A975" s="2" t="str">
        <f>IFERROR(__xludf.DUMMYFUNCTION("REGEXEXTRACT(raw!A975, ""&lt;\s*(.+?)\s*&gt;"")
"),"오세득 - 쌀와디캅")</f>
        <v>오세득 - 쌀와디캅</v>
      </c>
      <c r="B975" s="2" t="str">
        <f>IFERROR(__xludf.DUMMYFUNCTION("TRIM(INDEX(SPLIT($A975,""-""),1))
"),"오세득")</f>
        <v>오세득</v>
      </c>
      <c r="C975" s="2" t="str">
        <f>IFERROR(__xludf.DUMMYFUNCTION("TRIM(INDEX(SPLIT($A975,""-""),2))
"),"쌀와디캅")</f>
        <v>쌀와디캅</v>
      </c>
    </row>
    <row r="976">
      <c r="A976" s="2" t="str">
        <f>IFERROR(__xludf.DUMMYFUNCTION("REGEXEXTRACT(raw!A976, ""&lt;\s*(.+?)\s*&gt;"")
"),"유현수 - 쌈밥의 여인♬")</f>
        <v>유현수 - 쌈밥의 여인♬</v>
      </c>
      <c r="B976" s="2" t="str">
        <f>IFERROR(__xludf.DUMMYFUNCTION("TRIM(INDEX(SPLIT($A976,""-""),1))
"),"유현수")</f>
        <v>유현수</v>
      </c>
      <c r="C976" s="2" t="str">
        <f>IFERROR(__xludf.DUMMYFUNCTION("TRIM(INDEX(SPLIT($A976,""-""),2))
"),"쌈밥의 여인♬")</f>
        <v>쌈밥의 여인♬</v>
      </c>
    </row>
    <row r="977">
      <c r="A977" s="2" t="str">
        <f>IFERROR(__xludf.DUMMYFUNCTION("REGEXEXTRACT(raw!A977, ""&lt;\s*(.+?)\s*&gt;"")
"),"이연복 - 바지락상회")</f>
        <v>이연복 - 바지락상회</v>
      </c>
      <c r="B977" s="2" t="str">
        <f>IFERROR(__xludf.DUMMYFUNCTION("TRIM(INDEX(SPLIT($A977,""-""),1))
"),"이연복")</f>
        <v>이연복</v>
      </c>
      <c r="C977" s="2" t="str">
        <f>IFERROR(__xludf.DUMMYFUNCTION("TRIM(INDEX(SPLIT($A977,""-""),2))
"),"바지락상회")</f>
        <v>바지락상회</v>
      </c>
    </row>
    <row r="978">
      <c r="A978" s="2" t="str">
        <f>IFERROR(__xludf.DUMMYFUNCTION("REGEXEXTRACT(raw!A978, ""&lt;\s*(.+?)\s*&gt;"")
"),"정호영 - 옥돔이 뭐길래")</f>
        <v>정호영 - 옥돔이 뭐길래</v>
      </c>
      <c r="B978" s="2" t="str">
        <f>IFERROR(__xludf.DUMMYFUNCTION("TRIM(INDEX(SPLIT($A978,""-""),1))
"),"정호영")</f>
        <v>정호영</v>
      </c>
      <c r="C978" s="2" t="str">
        <f>IFERROR(__xludf.DUMMYFUNCTION("TRIM(INDEX(SPLIT($A978,""-""),2))
"),"옥돔이 뭐길래")</f>
        <v>옥돔이 뭐길래</v>
      </c>
    </row>
    <row r="979">
      <c r="A979" s="2" t="str">
        <f>IFERROR(__xludf.DUMMYFUNCTION("REGEXEXTRACT(raw!A979, ""&lt;\s*(.+?)\s*&gt;"")
"),"레이먼킴 - 와인 아리랑")</f>
        <v>레이먼킴 - 와인 아리랑</v>
      </c>
      <c r="B979" s="2" t="str">
        <f>IFERROR(__xludf.DUMMYFUNCTION("TRIM(INDEX(SPLIT($A979,""-""),1))
"),"레이먼킴")</f>
        <v>레이먼킴</v>
      </c>
      <c r="C979" s="2" t="str">
        <f>IFERROR(__xludf.DUMMYFUNCTION("TRIM(INDEX(SPLIT($A979,""-""),2))
"),"와인 아리랑")</f>
        <v>와인 아리랑</v>
      </c>
    </row>
    <row r="980">
      <c r="A980" s="2" t="str">
        <f>IFERROR(__xludf.DUMMYFUNCTION("REGEXEXTRACT(raw!A980, ""&lt;\s*(.+?)\s*&gt;"")
"),"송훈 - 브루클린 바비큐")</f>
        <v>송훈 - 브루클린 바비큐</v>
      </c>
      <c r="B980" s="2" t="str">
        <f>IFERROR(__xludf.DUMMYFUNCTION("TRIM(INDEX(SPLIT($A980,""-""),1))
"),"송훈")</f>
        <v>송훈</v>
      </c>
      <c r="C980" s="2" t="str">
        <f>IFERROR(__xludf.DUMMYFUNCTION("TRIM(INDEX(SPLIT($A980,""-""),2))
"),"브루클린 바비큐")</f>
        <v>브루클린 바비큐</v>
      </c>
    </row>
    <row r="981">
      <c r="A981" s="2" t="str">
        <f>IFERROR(__xludf.DUMMYFUNCTION("REGEXEXTRACT(raw!A981, ""&lt;\s*(.+?)\s*&gt;"")
"),"레이먼킴 - 오 나의 소고기님")</f>
        <v>레이먼킴 - 오 나의 소고기님</v>
      </c>
      <c r="B981" s="2" t="str">
        <f>IFERROR(__xludf.DUMMYFUNCTION("TRIM(INDEX(SPLIT($A981,""-""),1))
"),"레이먼킴")</f>
        <v>레이먼킴</v>
      </c>
      <c r="C981" s="2" t="str">
        <f>IFERROR(__xludf.DUMMYFUNCTION("TRIM(INDEX(SPLIT($A981,""-""),2))
"),"오 나의 소고기님")</f>
        <v>오 나의 소고기님</v>
      </c>
    </row>
    <row r="982">
      <c r="A982" s="2" t="str">
        <f>IFERROR(__xludf.DUMMYFUNCTION("REGEXEXTRACT(raw!A982, ""&lt;\s*(.+?)\s*&gt;"")
"),"유현수 - 그릇을 부딪치며 단짠짠♬")</f>
        <v>유현수 - 그릇을 부딪치며 단짠짠♬</v>
      </c>
      <c r="B982" s="2" t="str">
        <f>IFERROR(__xludf.DUMMYFUNCTION("TRIM(INDEX(SPLIT($A982,""-""),1))
"),"유현수")</f>
        <v>유현수</v>
      </c>
      <c r="C982" s="2" t="str">
        <f>IFERROR(__xludf.DUMMYFUNCTION("TRIM(INDEX(SPLIT($A982,""-""),2))
"),"그릇을 부딪치며 단짠짠♬")</f>
        <v>그릇을 부딪치며 단짠짠♬</v>
      </c>
    </row>
    <row r="983">
      <c r="A983" s="2" t="str">
        <f>IFERROR(__xludf.DUMMYFUNCTION("REGEXEXTRACT(raw!A983, ""&lt;\s*(.+?)\s*&gt;"")
"),"김풍 - 오징어가 왜 그럴까")</f>
        <v>김풍 - 오징어가 왜 그럴까</v>
      </c>
      <c r="B983" s="2" t="str">
        <f>IFERROR(__xludf.DUMMYFUNCTION("TRIM(INDEX(SPLIT($A983,""-""),1))
"),"김풍")</f>
        <v>김풍</v>
      </c>
      <c r="C983" s="2" t="str">
        <f>IFERROR(__xludf.DUMMYFUNCTION("TRIM(INDEX(SPLIT($A983,""-""),2))
"),"오징어가 왜 그럴까")</f>
        <v>오징어가 왜 그럴까</v>
      </c>
    </row>
    <row r="984">
      <c r="A984" s="2" t="str">
        <f>IFERROR(__xludf.DUMMYFUNCTION("REGEXEXTRACT(raw!A984, ""&lt;\s*(.+?)\s*&gt;"")
"),"샘킴 - 삼치바라기")</f>
        <v>샘킴 - 삼치바라기</v>
      </c>
      <c r="B984" s="2" t="str">
        <f>IFERROR(__xludf.DUMMYFUNCTION("TRIM(INDEX(SPLIT($A984,""-""),1))
"),"샘킴")</f>
        <v>샘킴</v>
      </c>
      <c r="C984" s="2" t="str">
        <f>IFERROR(__xludf.DUMMYFUNCTION("TRIM(INDEX(SPLIT($A984,""-""),2))
"),"삼치바라기")</f>
        <v>삼치바라기</v>
      </c>
    </row>
    <row r="985">
      <c r="A985" s="2" t="str">
        <f>IFERROR(__xludf.DUMMYFUNCTION("REGEXEXTRACT(raw!A985, ""&lt;\s*(.+?)\s*&gt;"")
"),"이연복 -삼치세끼")</f>
        <v>이연복 -삼치세끼</v>
      </c>
      <c r="B985" s="2" t="str">
        <f>IFERROR(__xludf.DUMMYFUNCTION("TRIM(INDEX(SPLIT($A985,""-""),1))
"),"이연복")</f>
        <v>이연복</v>
      </c>
      <c r="C985" s="2" t="str">
        <f>IFERROR(__xludf.DUMMYFUNCTION("TRIM(INDEX(SPLIT($A985,""-""),2))
"),"삼치세끼")</f>
        <v>삼치세끼</v>
      </c>
    </row>
    <row r="986">
      <c r="A986" s="2" t="str">
        <f>IFERROR(__xludf.DUMMYFUNCTION("REGEXEXTRACT(raw!A986, ""&lt;\s*(.+?)\s*&gt;"")
"),"정호영 -매일 메밀 기다려♬")</f>
        <v>정호영 -매일 메밀 기다려♬</v>
      </c>
      <c r="B986" s="2" t="str">
        <f>IFERROR(__xludf.DUMMYFUNCTION("TRIM(INDEX(SPLIT($A986,""-""),1))
"),"정호영")</f>
        <v>정호영</v>
      </c>
      <c r="C986" s="2" t="str">
        <f>IFERROR(__xludf.DUMMYFUNCTION("TRIM(INDEX(SPLIT($A986,""-""),2))
"),"매일 메밀 기다려♬")</f>
        <v>매일 메밀 기다려♬</v>
      </c>
    </row>
    <row r="987">
      <c r="A987" s="2" t="str">
        <f>IFERROR(__xludf.DUMMYFUNCTION("REGEXEXTRACT(raw!A987, ""&lt;\s*(.+?)\s*&gt;"")
"),"오세득 - 메밀면 필 무렵")</f>
        <v>오세득 - 메밀면 필 무렵</v>
      </c>
      <c r="B987" s="2" t="str">
        <f>IFERROR(__xludf.DUMMYFUNCTION("TRIM(INDEX(SPLIT($A987,""-""),1))
"),"오세득")</f>
        <v>오세득</v>
      </c>
      <c r="C987" s="2" t="str">
        <f>IFERROR(__xludf.DUMMYFUNCTION("TRIM(INDEX(SPLIT($A987,""-""),2))
"),"메밀면 필 무렵")</f>
        <v>메밀면 필 무렵</v>
      </c>
    </row>
    <row r="988">
      <c r="A988" s="2" t="str">
        <f>IFERROR(__xludf.DUMMYFUNCTION("REGEXEXTRACT(raw!A988, ""&lt;\s*(.+?)\s*&gt;"")
"),"샘킴 - 내가 공주라니!")</f>
        <v>샘킴 - 내가 공주라니!</v>
      </c>
      <c r="B988" s="2" t="str">
        <f>IFERROR(__xludf.DUMMYFUNCTION("TRIM(INDEX(SPLIT($A988,""-""),1))
"),"샘킴")</f>
        <v>샘킴</v>
      </c>
      <c r="C988" s="2" t="str">
        <f>IFERROR(__xludf.DUMMYFUNCTION("TRIM(INDEX(SPLIT($A988,""-""),2))
"),"내가 공주라니!")</f>
        <v>내가 공주라니!</v>
      </c>
    </row>
    <row r="989">
      <c r="A989" s="2" t="str">
        <f>IFERROR(__xludf.DUMMYFUNCTION("REGEXEXTRACT(raw!A989, ""&lt;\s*(.+?)\s*&gt;"")
"),"레이먼킴 - 라니공주와 올라프")</f>
        <v>레이먼킴 - 라니공주와 올라프</v>
      </c>
      <c r="B989" s="2" t="str">
        <f>IFERROR(__xludf.DUMMYFUNCTION("TRIM(INDEX(SPLIT($A989,""-""),1))
"),"레이먼킴")</f>
        <v>레이먼킴</v>
      </c>
      <c r="C989" s="2" t="str">
        <f>IFERROR(__xludf.DUMMYFUNCTION("TRIM(INDEX(SPLIT($A989,""-""),2))
"),"라니공주와 올라프")</f>
        <v>라니공주와 올라프</v>
      </c>
    </row>
    <row r="990">
      <c r="A990" s="2" t="str">
        <f>IFERROR(__xludf.DUMMYFUNCTION("REGEXEXTRACT(raw!A990, ""&lt;\s*(.+?)\s*&gt;"")
"),"정호영 - 문어 입떡")</f>
        <v>정호영 - 문어 입떡</v>
      </c>
      <c r="B990" s="2" t="str">
        <f>IFERROR(__xludf.DUMMYFUNCTION("TRIM(INDEX(SPLIT($A990,""-""),1))
"),"정호영")</f>
        <v>정호영</v>
      </c>
      <c r="C990" s="2" t="str">
        <f>IFERROR(__xludf.DUMMYFUNCTION("TRIM(INDEX(SPLIT($A990,""-""),2))
"),"문어 입떡")</f>
        <v>문어 입떡</v>
      </c>
    </row>
    <row r="991">
      <c r="A991" s="2" t="str">
        <f>IFERROR(__xludf.DUMMYFUNCTION("REGEXEXTRACT(raw!A991, ""&lt;\s*(.+?)\s*&gt;"")
"),"유현수 - 문어밖에 난 몰라♬")</f>
        <v>유현수 - 문어밖에 난 몰라♬</v>
      </c>
      <c r="B991" s="2" t="str">
        <f>IFERROR(__xludf.DUMMYFUNCTION("TRIM(INDEX(SPLIT($A991,""-""),1))
"),"유현수")</f>
        <v>유현수</v>
      </c>
      <c r="C991" s="2" t="str">
        <f>IFERROR(__xludf.DUMMYFUNCTION("TRIM(INDEX(SPLIT($A991,""-""),2))
"),"문어밖에 난 몰라♬")</f>
        <v>문어밖에 난 몰라♬</v>
      </c>
    </row>
    <row r="992">
      <c r="A992" s="2" t="str">
        <f>IFERROR(__xludf.DUMMYFUNCTION("REGEXEXTRACT(raw!A992, ""&lt;\s*(.+?)\s*&gt;"")
"),"송훈 - 수상한 튀김")</f>
        <v>송훈 - 수상한 튀김</v>
      </c>
      <c r="B992" s="2" t="str">
        <f>IFERROR(__xludf.DUMMYFUNCTION("TRIM(INDEX(SPLIT($A992,""-""),1))
"),"송훈")</f>
        <v>송훈</v>
      </c>
      <c r="C992" s="2" t="str">
        <f>IFERROR(__xludf.DUMMYFUNCTION("TRIM(INDEX(SPLIT($A992,""-""),2))
"),"수상한 튀김")</f>
        <v>수상한 튀김</v>
      </c>
    </row>
    <row r="993">
      <c r="A993" s="2" t="str">
        <f>IFERROR(__xludf.DUMMYFUNCTION("REGEXEXTRACT(raw!A993, ""&lt;\s*(.+?)\s*&gt;"")
"),"이연복 - 튀김의 신")</f>
        <v>이연복 - 튀김의 신</v>
      </c>
      <c r="B993" s="2" t="str">
        <f>IFERROR(__xludf.DUMMYFUNCTION("TRIM(INDEX(SPLIT($A993,""-""),1))
"),"이연복")</f>
        <v>이연복</v>
      </c>
      <c r="C993" s="2" t="str">
        <f>IFERROR(__xludf.DUMMYFUNCTION("TRIM(INDEX(SPLIT($A993,""-""),2))
"),"튀김의 신")</f>
        <v>튀김의 신</v>
      </c>
    </row>
    <row r="994">
      <c r="A994" s="2" t="str">
        <f>IFERROR(__xludf.DUMMYFUNCTION("REGEXEXTRACT(raw!A994, ""&lt;\s*(.+?)\s*&gt;"")
"),"오세득 - 맵지호?")</f>
        <v>오세득 - 맵지호?</v>
      </c>
      <c r="B994" s="2" t="str">
        <f>IFERROR(__xludf.DUMMYFUNCTION("TRIM(INDEX(SPLIT($A994,""-""),1))
"),"오세득")</f>
        <v>오세득</v>
      </c>
      <c r="C994" s="2" t="str">
        <f>IFERROR(__xludf.DUMMYFUNCTION("TRIM(INDEX(SPLIT($A994,""-""),2))
"),"맵지호?")</f>
        <v>맵지호?</v>
      </c>
    </row>
    <row r="995">
      <c r="A995" s="2" t="str">
        <f>IFERROR(__xludf.DUMMYFUNCTION("REGEXEXTRACT(raw!A995, ""&lt;\s*(.+?)\s*&gt;"")
"),"김풍 - 매워서 놀라지 마라")</f>
        <v>김풍 - 매워서 놀라지 마라</v>
      </c>
      <c r="B995" s="2" t="str">
        <f>IFERROR(__xludf.DUMMYFUNCTION("TRIM(INDEX(SPLIT($A995,""-""),1))
"),"김풍")</f>
        <v>김풍</v>
      </c>
      <c r="C995" s="2" t="str">
        <f>IFERROR(__xludf.DUMMYFUNCTION("TRIM(INDEX(SPLIT($A995,""-""),2))
"),"매워서 놀라지 마라")</f>
        <v>매워서 놀라지 마라</v>
      </c>
    </row>
    <row r="996">
      <c r="A996" s="2" t="str">
        <f>IFERROR(__xludf.DUMMYFUNCTION("REGEXEXTRACT(raw!A996, ""&lt;\s*(.+?)\s*&gt;"")
"),"정호영 - 알 Killer♬")</f>
        <v>정호영 - 알 Killer♬</v>
      </c>
      <c r="B996" s="2" t="str">
        <f>IFERROR(__xludf.DUMMYFUNCTION("TRIM(INDEX(SPLIT($A996,""-""),1))
"),"정호영")</f>
        <v>정호영</v>
      </c>
      <c r="C996" s="2" t="str">
        <f>IFERROR(__xludf.DUMMYFUNCTION("TRIM(INDEX(SPLIT($A996,""-""),2))
"),"알 Killer♬")</f>
        <v>알 Killer♬</v>
      </c>
    </row>
    <row r="997">
      <c r="A997" s="2" t="str">
        <f>IFERROR(__xludf.DUMMYFUNCTION("REGEXEXTRACT(raw!A997, ""&lt;\s*(.+?)\s*&gt;"")
"),"레이먼킴 - 비주알 센터")</f>
        <v>레이먼킴 - 비주알 센터</v>
      </c>
      <c r="B997" s="2" t="str">
        <f>IFERROR(__xludf.DUMMYFUNCTION("TRIM(INDEX(SPLIT($A997,""-""),1))
"),"레이먼킴")</f>
        <v>레이먼킴</v>
      </c>
      <c r="C997" s="2" t="str">
        <f>IFERROR(__xludf.DUMMYFUNCTION("TRIM(INDEX(SPLIT($A997,""-""),2))
"),"비주알 센터")</f>
        <v>비주알 센터</v>
      </c>
    </row>
    <row r="998">
      <c r="A998" s="2" t="str">
        <f>IFERROR(__xludf.DUMMYFUNCTION("REGEXEXTRACT(raw!A998, ""&lt;\s*(.+?)\s*&gt;"")
"),"유현수 - 닭살돋자냐♡")</f>
        <v>유현수 - 닭살돋자냐♡</v>
      </c>
      <c r="B998" s="2" t="str">
        <f>IFERROR(__xludf.DUMMYFUNCTION("TRIM(INDEX(SPLIT($A998,""-""),1))
"),"유현수")</f>
        <v>유현수</v>
      </c>
      <c r="C998" s="2" t="str">
        <f>IFERROR(__xludf.DUMMYFUNCTION("TRIM(INDEX(SPLIT($A998,""-""),2))
"),"닭살돋자냐♡")</f>
        <v>닭살돋자냐♡</v>
      </c>
    </row>
    <row r="999">
      <c r="A999" s="2" t="str">
        <f>IFERROR(__xludf.DUMMYFUNCTION("REGEXEXTRACT(raw!A999, ""&lt;\s*(.+?)\s*&gt;"")
"),"김풍 - 닭파라치♬")</f>
        <v>김풍 - 닭파라치♬</v>
      </c>
      <c r="B999" s="2" t="str">
        <f>IFERROR(__xludf.DUMMYFUNCTION("TRIM(INDEX(SPLIT($A999,""-""),1))
"),"김풍")</f>
        <v>김풍</v>
      </c>
      <c r="C999" s="2" t="str">
        <f>IFERROR(__xludf.DUMMYFUNCTION("TRIM(INDEX(SPLIT($A999,""-""),2))
"),"닭파라치♬")</f>
        <v>닭파라치♬</v>
      </c>
    </row>
    <row r="1000">
      <c r="A1000" s="2" t="str">
        <f>IFERROR(__xludf.DUMMYFUNCTION("REGEXEXTRACT(raw!A1000, ""&lt;\s*(.+?)\s*&gt;"")
"),"송훈 - 고등램지")</f>
        <v>송훈 - 고등램지</v>
      </c>
      <c r="B1000" s="2" t="str">
        <f>IFERROR(__xludf.DUMMYFUNCTION("TRIM(INDEX(SPLIT($A1000,""-""),1))
"),"송훈")</f>
        <v>송훈</v>
      </c>
      <c r="C1000" s="2" t="str">
        <f>IFERROR(__xludf.DUMMYFUNCTION("TRIM(INDEX(SPLIT($A1000,""-""),2))
"),"고등램지")</f>
        <v>고등램지</v>
      </c>
    </row>
    <row r="1001">
      <c r="A1001" s="2" t="str">
        <f>IFERROR(__xludf.DUMMYFUNCTION("REGEXEXTRACT(raw!A1001, ""&lt;\s*(.+?)\s*&gt;"")
"),"샘킴 - 파스타 사랑해♬")</f>
        <v>샘킴 - 파스타 사랑해♬</v>
      </c>
      <c r="B1001" s="2" t="str">
        <f>IFERROR(__xludf.DUMMYFUNCTION("TRIM(INDEX(SPLIT($A1001,""-""),1))
"),"샘킴")</f>
        <v>샘킴</v>
      </c>
      <c r="C1001" s="2" t="str">
        <f>IFERROR(__xludf.DUMMYFUNCTION("TRIM(INDEX(SPLIT($A1001,""-""),2))
"),"파스타 사랑해♬")</f>
        <v>파스타 사랑해♬</v>
      </c>
    </row>
    <row r="1002">
      <c r="A1002" s="2" t="str">
        <f>IFERROR(__xludf.DUMMYFUNCTION("REGEXEXTRACT(raw!A1002, ""&lt;\s*(.+?)\s*&gt;"")
"),"오세득 - 지구용사 산초맨")</f>
        <v>오세득 - 지구용사 산초맨</v>
      </c>
      <c r="B1002" s="2" t="str">
        <f>IFERROR(__xludf.DUMMYFUNCTION("TRIM(INDEX(SPLIT($A1002,""-""),1))
"),"오세득")</f>
        <v>오세득</v>
      </c>
      <c r="C1002" s="2" t="str">
        <f>IFERROR(__xludf.DUMMYFUNCTION("TRIM(INDEX(SPLIT($A1002,""-""),2))
"),"지구용사 산초맨")</f>
        <v>지구용사 산초맨</v>
      </c>
    </row>
    <row r="1003">
      <c r="A1003" s="2" t="str">
        <f>IFERROR(__xludf.DUMMYFUNCTION("REGEXEXTRACT(raw!A1003, ""&lt;\s*(.+?)\s*&gt;"")
"),"이연복 - 마라왕 복탁구")</f>
        <v>이연복 - 마라왕 복탁구</v>
      </c>
      <c r="B1003" s="2" t="str">
        <f>IFERROR(__xludf.DUMMYFUNCTION("TRIM(INDEX(SPLIT($A1003,""-""),1))
"),"이연복")</f>
        <v>이연복</v>
      </c>
      <c r="C1003" s="2" t="str">
        <f>IFERROR(__xludf.DUMMYFUNCTION("TRIM(INDEX(SPLIT($A1003,""-""),2))
"),"마라왕 복탁구")</f>
        <v>마라왕 복탁구</v>
      </c>
    </row>
    <row r="1004">
      <c r="A1004" s="2" t="str">
        <f>IFERROR(__xludf.DUMMYFUNCTION("REGEXEXTRACT(raw!A1004, ""&lt;\s*(.+?)\s*&gt;"")
"),"송훈 - 할리우드에서 미트볼을")</f>
        <v>송훈 - 할리우드에서 미트볼을</v>
      </c>
      <c r="B1004" s="2" t="str">
        <f>IFERROR(__xludf.DUMMYFUNCTION("TRIM(INDEX(SPLIT($A1004,""-""),1))
"),"송훈")</f>
        <v>송훈</v>
      </c>
      <c r="C1004" s="2" t="str">
        <f>IFERROR(__xludf.DUMMYFUNCTION("TRIM(INDEX(SPLIT($A1004,""-""),2))
"),"할리우드에서 미트볼을")</f>
        <v>할리우드에서 미트볼을</v>
      </c>
    </row>
    <row r="1005">
      <c r="A1005" s="2" t="str">
        <f>IFERROR(__xludf.DUMMYFUNCTION("REGEXEXTRACT(raw!A1005, ""&lt;\s*(.+?)\s*&gt;"")
"),"레이먼킴 - 백 투 더 아메리카")</f>
        <v>레이먼킴 - 백 투 더 아메리카</v>
      </c>
      <c r="B1005" s="2" t="str">
        <f>IFERROR(__xludf.DUMMYFUNCTION("TRIM(INDEX(SPLIT($A1005,""-""),1))
"),"레이먼킴")</f>
        <v>레이먼킴</v>
      </c>
      <c r="C1005" s="2" t="str">
        <f>IFERROR(__xludf.DUMMYFUNCTION("TRIM(INDEX(SPLIT($A1005,""-""),2))
"),"백 투 더 아메리카")</f>
        <v>백 투 더 아메리카</v>
      </c>
    </row>
    <row r="1006">
      <c r="A1006" s="2" t="str">
        <f>IFERROR(__xludf.DUMMYFUNCTION("REGEXEXTRACT(raw!A1006, ""&lt;\s*(.+?)\s*&gt;"")
"),"정호영 - 간장, 게 섰거라!")</f>
        <v>정호영 - 간장, 게 섰거라!</v>
      </c>
      <c r="B1006" s="2" t="str">
        <f>IFERROR(__xludf.DUMMYFUNCTION("TRIM(INDEX(SPLIT($A1006,""-""),1))
"),"정호영")</f>
        <v>정호영</v>
      </c>
      <c r="C1006" s="2" t="str">
        <f>IFERROR(__xludf.DUMMYFUNCTION("TRIM(INDEX(SPLIT($A1006,""-""),2))
"),"간장, 게 섰거라!")</f>
        <v>간장, 게 섰거라!</v>
      </c>
    </row>
    <row r="1007">
      <c r="A1007" s="2" t="str">
        <f>IFERROR(__xludf.DUMMYFUNCTION("REGEXEXTRACT(raw!A1007, ""&lt;\s*(.+?)\s*&gt;"")
"),"오세득 - 간장 보증수표")</f>
        <v>오세득 - 간장 보증수표</v>
      </c>
      <c r="B1007" s="2" t="str">
        <f>IFERROR(__xludf.DUMMYFUNCTION("TRIM(INDEX(SPLIT($A1007,""-""),1))
"),"오세득")</f>
        <v>오세득</v>
      </c>
      <c r="C1007" s="2" t="str">
        <f>IFERROR(__xludf.DUMMYFUNCTION("TRIM(INDEX(SPLIT($A1007,""-""),2))
"),"간장 보증수표")</f>
        <v>간장 보증수표</v>
      </c>
    </row>
    <row r="1008">
      <c r="A1008" s="2" t="str">
        <f>IFERROR(__xludf.DUMMYFUNCTION("REGEXEXTRACT(raw!A1008, ""&lt;\s*(.+?)\s*&gt;"")
"),"김풍 - 복고풍 샐러드")</f>
        <v>김풍 - 복고풍 샐러드</v>
      </c>
      <c r="B1008" s="2" t="str">
        <f>IFERROR(__xludf.DUMMYFUNCTION("TRIM(INDEX(SPLIT($A1008,""-""),1))
"),"김풍")</f>
        <v>김풍</v>
      </c>
      <c r="C1008" s="2" t="str">
        <f>IFERROR(__xludf.DUMMYFUNCTION("TRIM(INDEX(SPLIT($A1008,""-""),2))
"),"복고풍 샐러드")</f>
        <v>복고풍 샐러드</v>
      </c>
    </row>
    <row r="1009">
      <c r="A1009" s="2" t="str">
        <f>IFERROR(__xludf.DUMMYFUNCTION("REGEXEXTRACT(raw!A1009, ""&lt;\s*(.+?)\s*&gt;"")
"),"이연복 - 이연복Go 연복Go♬")</f>
        <v>이연복 - 이연복Go 연복Go♬</v>
      </c>
      <c r="B1009" s="2" t="str">
        <f>IFERROR(__xludf.DUMMYFUNCTION("TRIM(INDEX(SPLIT($A1009,""-""),1))
"),"이연복")</f>
        <v>이연복</v>
      </c>
      <c r="C1009" s="2" t="str">
        <f>IFERROR(__xludf.DUMMYFUNCTION("TRIM(INDEX(SPLIT($A1009,""-""),2))
"),"이연복Go 연복Go♬")</f>
        <v>이연복Go 연복Go♬</v>
      </c>
    </row>
    <row r="1010">
      <c r="A1010" s="2" t="str">
        <f>IFERROR(__xludf.DUMMYFUNCTION("REGEXEXTRACT(raw!A1010, ""&lt;\s*(.+?)\s*&gt;"")
"),"유현수 - 장칼국수는 장난이 아니야♬")</f>
        <v>유현수 - 장칼국수는 장난이 아니야♬</v>
      </c>
      <c r="B1010" s="2" t="str">
        <f>IFERROR(__xludf.DUMMYFUNCTION("TRIM(INDEX(SPLIT($A1010,""-""),1))
"),"유현수")</f>
        <v>유현수</v>
      </c>
      <c r="C1010" s="2" t="str">
        <f>IFERROR(__xludf.DUMMYFUNCTION("TRIM(INDEX(SPLIT($A1010,""-""),2))
"),"장칼국수는 장난이 아니야♬")</f>
        <v>장칼국수는 장난이 아니야♬</v>
      </c>
    </row>
    <row r="1011">
      <c r="A1011" s="2" t="str">
        <f>IFERROR(__xludf.DUMMYFUNCTION("REGEXEXTRACT(raw!A1011, ""&lt;\s*(.+?)\s*&gt;"")
"),"샘킴 - 토르티야 먹을 사람 뉴~규?")</f>
        <v>샘킴 - 토르티야 먹을 사람 뉴~규?</v>
      </c>
      <c r="B1011" s="2" t="str">
        <f>IFERROR(__xludf.DUMMYFUNCTION("TRIM(INDEX(SPLIT($A1011,""-""),1))
"),"샘킴")</f>
        <v>샘킴</v>
      </c>
      <c r="C1011" s="2" t="str">
        <f>IFERROR(__xludf.DUMMYFUNCTION("TRIM(INDEX(SPLIT($A1011,""-""),2))
"),"토르티야 먹을 사람 뉴~규?")</f>
        <v>토르티야 먹을 사람 뉴~규?</v>
      </c>
    </row>
    <row r="1012">
      <c r="A1012" s="2" t="str">
        <f>IFERROR(__xludf.DUMMYFUNCTION("REGEXEXTRACT(raw!A1012, ""&lt;\s*(.+?)\s*&gt;"")
"),"레이먼킴 - 특수돼지 삼형제")</f>
        <v>레이먼킴 - 특수돼지 삼형제</v>
      </c>
      <c r="B1012" s="2" t="str">
        <f>IFERROR(__xludf.DUMMYFUNCTION("TRIM(INDEX(SPLIT($A1012,""-""),1))
"),"레이먼킴")</f>
        <v>레이먼킴</v>
      </c>
      <c r="C1012" s="2" t="str">
        <f>IFERROR(__xludf.DUMMYFUNCTION("TRIM(INDEX(SPLIT($A1012,""-""),2))
"),"특수돼지 삼형제")</f>
        <v>특수돼지 삼형제</v>
      </c>
    </row>
    <row r="1013">
      <c r="A1013" s="2" t="str">
        <f>IFERROR(__xludf.DUMMYFUNCTION("REGEXEXTRACT(raw!A1013, ""&lt;\s*(.+?)\s*&gt;"")
"),"샘킴 - 돼지가 스튜에 빠진 날")</f>
        <v>샘킴 - 돼지가 스튜에 빠진 날</v>
      </c>
      <c r="B1013" s="2" t="str">
        <f>IFERROR(__xludf.DUMMYFUNCTION("TRIM(INDEX(SPLIT($A1013,""-""),1))
"),"샘킴")</f>
        <v>샘킴</v>
      </c>
      <c r="C1013" s="2" t="str">
        <f>IFERROR(__xludf.DUMMYFUNCTION("TRIM(INDEX(SPLIT($A1013,""-""),2))
"),"돼지가 스튜에 빠진 날")</f>
        <v>돼지가 스튜에 빠진 날</v>
      </c>
    </row>
    <row r="1014">
      <c r="A1014" s="2" t="str">
        <f>IFERROR(__xludf.DUMMYFUNCTION("REGEXEXTRACT(raw!A1014, ""&lt;\s*(.+?)\s*&gt;"")
"),"정호영 - 해산물 꼬치 피었습니다♬")</f>
        <v>정호영 - 해산물 꼬치 피었습니다♬</v>
      </c>
      <c r="B1014" s="2" t="str">
        <f>IFERROR(__xludf.DUMMYFUNCTION("TRIM(INDEX(SPLIT($A1014,""-""),1))
"),"정호영")</f>
        <v>정호영</v>
      </c>
      <c r="C1014" s="2" t="str">
        <f>IFERROR(__xludf.DUMMYFUNCTION("TRIM(INDEX(SPLIT($A1014,""-""),2))
"),"해산물 꼬치 피었습니다♬")</f>
        <v>해산물 꼬치 피었습니다♬</v>
      </c>
    </row>
    <row r="1015">
      <c r="A1015" s="2" t="str">
        <f>IFERROR(__xludf.DUMMYFUNCTION("REGEXEXTRACT(raw!A1015, ""&lt;\s*(.+?)\s*&gt;"")
"),"이연복 - 동고샤 돌격 앞으로!")</f>
        <v>이연복 - 동고샤 돌격 앞으로!</v>
      </c>
      <c r="B1015" s="2" t="str">
        <f>IFERROR(__xludf.DUMMYFUNCTION("TRIM(INDEX(SPLIT($A1015,""-""),1))
"),"이연복")</f>
        <v>이연복</v>
      </c>
      <c r="C1015" s="2" t="str">
        <f>IFERROR(__xludf.DUMMYFUNCTION("TRIM(INDEX(SPLIT($A1015,""-""),2))
"),"동고샤 돌격 앞으로!")</f>
        <v>동고샤 돌격 앞으로!</v>
      </c>
    </row>
    <row r="1016">
      <c r="A1016" s="2" t="str">
        <f>IFERROR(__xludf.DUMMYFUNCTION("REGEXEXTRACT(raw!A1016, ""&lt;\s*(.+?)\s*&gt;"")
"),"송훈 - 봉주르 캐비지")</f>
        <v>송훈 - 봉주르 캐비지</v>
      </c>
      <c r="B1016" s="2" t="str">
        <f>IFERROR(__xludf.DUMMYFUNCTION("TRIM(INDEX(SPLIT($A1016,""-""),1))
"),"송훈")</f>
        <v>송훈</v>
      </c>
      <c r="C1016" s="2" t="str">
        <f>IFERROR(__xludf.DUMMYFUNCTION("TRIM(INDEX(SPLIT($A1016,""-""),2))
"),"봉주르 캐비지")</f>
        <v>봉주르 캐비지</v>
      </c>
    </row>
    <row r="1017">
      <c r="A1017" s="2" t="str">
        <f>IFERROR(__xludf.DUMMYFUNCTION("REGEXEXTRACT(raw!A1017, ""&lt;\s*(.+?)\s*&gt;"")
"),"김풍 - 캐비지 돌풍!")</f>
        <v>김풍 - 캐비지 돌풍!</v>
      </c>
      <c r="B1017" s="2" t="str">
        <f>IFERROR(__xludf.DUMMYFUNCTION("TRIM(INDEX(SPLIT($A1017,""-""),1))
"),"김풍")</f>
        <v>김풍</v>
      </c>
      <c r="C1017" s="2" t="str">
        <f>IFERROR(__xludf.DUMMYFUNCTION("TRIM(INDEX(SPLIT($A1017,""-""),2))
"),"캐비지 돌풍!")</f>
        <v>캐비지 돌풍!</v>
      </c>
    </row>
    <row r="1018">
      <c r="A1018" s="2" t="str">
        <f>IFERROR(__xludf.DUMMYFUNCTION("REGEXEXTRACT(raw!A1018, ""&lt;\s*(.+?)\s*&gt;"")
"),"오세득 - 피시 앤 만두")</f>
        <v>오세득 - 피시 앤 만두</v>
      </c>
      <c r="B1018" s="2" t="str">
        <f>IFERROR(__xludf.DUMMYFUNCTION("TRIM(INDEX(SPLIT($A1018,""-""),1))
"),"오세득")</f>
        <v>오세득</v>
      </c>
      <c r="C1018" s="2" t="str">
        <f>IFERROR(__xludf.DUMMYFUNCTION("TRIM(INDEX(SPLIT($A1018,""-""),2))
"),"피시 앤 만두")</f>
        <v>피시 앤 만두</v>
      </c>
    </row>
    <row r="1019">
      <c r="A1019" s="2" t="str">
        <f>IFERROR(__xludf.DUMMYFUNCTION("REGEXEXTRACT(raw!A1019, ""&lt;\s*(.+?)\s*&gt;"")
"),"유현수 - 만두 만두 만두 눈꽃만두♬")</f>
        <v>유현수 - 만두 만두 만두 눈꽃만두♬</v>
      </c>
      <c r="B1019" s="2" t="str">
        <f>IFERROR(__xludf.DUMMYFUNCTION("TRIM(INDEX(SPLIT($A1019,""-""),1))
"),"유현수")</f>
        <v>유현수</v>
      </c>
      <c r="C1019" s="2" t="str">
        <f>IFERROR(__xludf.DUMMYFUNCTION("TRIM(INDEX(SPLIT($A1019,""-""),2))
"),"만두 만두 만두 눈꽃만두♬")</f>
        <v>만두 만두 만두 눈꽃만두♬</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s>
  <sheetData>
    <row r="1">
      <c r="A1" s="1" t="s">
        <v>1270</v>
      </c>
      <c r="B1" s="1" t="s">
        <v>1275</v>
      </c>
    </row>
    <row r="2">
      <c r="A2" s="2" t="str">
        <f>recipe!C2
</f>
        <v>치킨 밀푀유</v>
      </c>
      <c r="B2" s="2" t="str">
        <f>IFERROR(__xludf.DUMMYFUNCTION("TRIM(
  REGEXEXTRACT(
    raw!A2,
    ""(?s)●\s*조리 방법(.*)""
  )
)
"),"1. 파프리카, 양배추, 슬라이스 햄을 썰어서 볶는다.
2. 닭가슴살에 소금, 후추를 뿌린 후 팬에 굽고, 잠시 식힌 후 얇게 포를 뜬다.
3. 포를 뜬 가슴살, 볶은 채소와 햄, 치즈, 토마토소스를 켜켜이 쌓는다.
*동시에 작은 프라이팬에 크림과 가루치즈를 붓고 약불에 끓여 놓는다
4. 오븐에 5분간 굽고 홀그레인 머스터드, 크림소스, 구운 바게트를 곁들인다.")</f>
        <v>1. 파프리카, 양배추, 슬라이스 햄을 썰어서 볶는다.
2. 닭가슴살에 소금, 후추를 뿌린 후 팬에 굽고, 잠시 식힌 후 얇게 포를 뜬다.
3. 포를 뜬 가슴살, 볶은 채소와 햄, 치즈, 토마토소스를 켜켜이 쌓는다.
*동시에 작은 프라이팬에 크림과 가루치즈를 붓고 약불에 끓여 놓는다
4. 오븐에 5분간 굽고 홀그레인 머스터드, 크림소스, 구운 바게트를 곁들인다.</v>
      </c>
    </row>
    <row r="3">
      <c r="A3" s="2" t="str">
        <f>recipe!C3
</f>
        <v>취닭거리</v>
      </c>
      <c r="B3" s="2" t="str">
        <f>IFERROR(__xludf.DUMMYFUNCTION("TRIM(
  REGEXEXTRACT(
    raw!A3,
    ""(?s)●\s*조리 방법(.*)""
  )
)
"),"1. 살을 발라낸 족발에 버터, 라조장을 넣고 볶는다.
2. 취두부를 팬에서 익힌다.
3. 해동한 닭죽과 볶은 족발, 취두부를 함께 곁들인다.")</f>
        <v>1. 살을 발라낸 족발에 버터, 라조장을 넣고 볶는다.
2. 취두부를 팬에서 익힌다.
3. 해동한 닭죽과 볶은 족발, 취두부를 함께 곁들인다.</v>
      </c>
    </row>
    <row r="4">
      <c r="A4" s="2" t="str">
        <f>recipe!C4
</f>
        <v>닭딸</v>
      </c>
      <c r="B4" s="2" t="str">
        <f>IFERROR(__xludf.DUMMYFUNCTION("TRIM(
  REGEXEXTRACT(
    raw!A4,
    ""(?s)●\s*조리 방법(.*)""
  )
)
"),"1. 복분자를 가열하다가 우유와 레몬즙을 넣고 졸인다.
2. 바케트는 썰어서 팬에 굽는다.
3. 소금 후추로 간을 한 닭가슴살을 마늘과 함께 굽는다.
4. 구운 닭가슴살에 복분자 소스와 바게트를 함께 곁들인다.")</f>
        <v>1. 복분자를 가열하다가 우유와 레몬즙을 넣고 졸인다.
2. 바케트는 썰어서 팬에 굽는다.
3. 소금 후추로 간을 한 닭가슴살을 마늘과 함께 굽는다.
4. 구운 닭가슴살에 복분자 소스와 바게트를 함께 곁들인다.</v>
      </c>
    </row>
    <row r="5">
      <c r="A5" s="2" t="str">
        <f>recipe!C5
</f>
        <v>어머니 맛 풍족밥</v>
      </c>
      <c r="B5" s="2" t="str">
        <f>IFERROR(__xludf.DUMMYFUNCTION("TRIM(
  REGEXEXTRACT(
    raw!A5,
    ""(?s)●\s*조리 방법(.*)""
  )
)
"),"1. 살을 발라낸 치킨, 족발에 두반장, 라조장, 유자청 을 넣고 볶는다.
2. 어느 정도 볶다가 밀가루(또는 녹말)를 물에 풀어 좀 더 볶아내면 완성.
3. 뜨거운 밥에 끼얹어 먹는다.")</f>
        <v>1. 살을 발라낸 치킨, 족발에 두반장, 라조장, 유자청 을 넣고 볶는다.
2. 어느 정도 볶다가 밀가루(또는 녹말)를 물에 풀어 좀 더 볶아내면 완성.
3. 뜨거운 밥에 끼얹어 먹는다.</v>
      </c>
    </row>
    <row r="6">
      <c r="A6" s="2" t="str">
        <f>recipe!C6
</f>
        <v>치킨 요로케</v>
      </c>
      <c r="B6" s="2" t="str">
        <f>IFERROR(__xludf.DUMMYFUNCTION("TRIM(
  REGEXEXTRACT(
    raw!A6,
    ""(?s)●\s*조리 방법(.*)""
  )
)
"),"1. 얇게 저민 닭가슴살에 소금, 후추를 뿌리고 밀가루를 묻혀 굽는다.
2. 잘게 썰은 양파와 슬라이스 햄을 함께 볶는다.
3. 토마토 소스에 구운 닭가슴살, 파마산 치즈, 모짜렐라 치즈를 넣고 가열한다.
4. 마지막으로 올리브유를 뿌려준다.")</f>
        <v>1. 얇게 저민 닭가슴살에 소금, 후추를 뿌리고 밀가루를 묻혀 굽는다.
2. 잘게 썰은 양파와 슬라이스 햄을 함께 볶는다.
3. 토마토 소스에 구운 닭가슴살, 파마산 치즈, 모짜렐라 치즈를 넣고 가열한다.
4. 마지막으로 올리브유를 뿌려준다.</v>
      </c>
    </row>
    <row r="7">
      <c r="A7" s="2" t="str">
        <f>recipe!C7
</f>
        <v>포크 미트볼</v>
      </c>
      <c r="B7" s="2" t="str">
        <f>IFERROR(__xludf.DUMMYFUNCTION("TRIM(
  REGEXEXTRACT(
    raw!A7,
    ""(?s)●\s*조리 방법(.*)""
  )
)
"),"1. 믹서에 갈은 김치와 달걀 물을 섞어서 스크램블을 만든다.
2. 갈은 통조림 햄을 넓게 편 후 1을 넣고 말아준다.
3. 겉에 달걀 물을 뭍이고 팬에서 익혀준다.
4. 접시에 밥과 함께 곁들여 낸다.")</f>
        <v>1. 믹서에 갈은 김치와 달걀 물을 섞어서 스크램블을 만든다.
2. 갈은 통조림 햄을 넓게 편 후 1을 넣고 말아준다.
3. 겉에 달걀 물을 뭍이고 팬에서 익혀준다.
4. 접시에 밥과 함께 곁들여 낸다.</v>
      </c>
    </row>
    <row r="8">
      <c r="A8" s="2" t="str">
        <f>recipe!C8
</f>
        <v>만두부인 육수터졌네</v>
      </c>
      <c r="B8" s="2" t="str">
        <f>IFERROR(__xludf.DUMMYFUNCTION("TRIM(
  REGEXEXTRACT(
    raw!A8,
    ""(?s)●\s*조리 방법(.*)""
  )
)
"),"① 뜨거운 팬에 올리브 오일을 두르고 다진 마늘을 볶다가 냉동만두를 굽는다.
② 겉은 바삭하게 구운 다음 버터를 조금 넣고 사골육수를 넣어 졸인다.
③ 졸여지면 발사믹 소스와 고추냉이, 토마토를 함께 넣어 볶는다.
④ 접시에 만두, 토마토 순으로 올리고 프로슈토 햄과 그뤼에르 치즈를 위에 토핑한다.")</f>
        <v>① 뜨거운 팬에 올리브 오일을 두르고 다진 마늘을 볶다가 냉동만두를 굽는다.
② 겉은 바삭하게 구운 다음 버터를 조금 넣고 사골육수를 넣어 졸인다.
③ 졸여지면 발사믹 소스와 고추냉이, 토마토를 함께 넣어 볶는다.
④ 접시에 만두, 토마토 순으로 올리고 프로슈토 햄과 그뤼에르 치즈를 위에 토핑한다.</v>
      </c>
    </row>
    <row r="9">
      <c r="A9" s="2" t="str">
        <f>recipe!C9
</f>
        <v>심쿵 오믈렛</v>
      </c>
      <c r="B9" s="2" t="str">
        <f>IFERROR(__xludf.DUMMYFUNCTION("TRIM(
  REGEXEXTRACT(
    raw!A9,
    ""(?s)●\s*조리 방법(.*)""
  )
)
"),"① 달걀을 풀어놓는다.
② 프라이팬에 오일을 두르고 소금 후추 간을 한 연어를 굽는다.
③ 양파잼과 다진 브로콜리를 넣고 함께 굽는다.
④ 버터를 두른 팬에 풀어놓은 계란을 넣어 반숙으로 익힌다.
(* 스크램블 에그 만들 듯이 약간 저어주며 익힌다)
⑤ 반숙으로 익힌 오믈렛에 구운 연어와 야채를 넣고 반으로 접는다.
⑥ 접시에 올리고 케찹을 뿌린다.")</f>
        <v>① 달걀을 풀어놓는다.
② 프라이팬에 오일을 두르고 소금 후추 간을 한 연어를 굽는다.
③ 양파잼과 다진 브로콜리를 넣고 함께 굽는다.
④ 버터를 두른 팬에 풀어놓은 계란을 넣어 반숙으로 익힌다.
(* 스크램블 에그 만들 듯이 약간 저어주며 익힌다)
⑤ 반숙으로 익힌 오믈렛에 구운 연어와 야채를 넣고 반으로 접는다.
⑥ 접시에 올리고 케찹을 뿌린다.</v>
      </c>
    </row>
    <row r="10">
      <c r="A10" s="2" t="str">
        <f>recipe!C10
</f>
        <v>엔초비 파스타</v>
      </c>
      <c r="B10" s="2" t="str">
        <f>IFERROR(__xludf.DUMMYFUNCTION("TRIM(
  REGEXEXTRACT(
    raw!A10,
    ""(?s)●\s*조리 방법(.*)""
  )
)
"),"① 올리브 오일에 파슬리와 다진 마늘, 찢은 바게트 빵을 섞어 프라이팬에 굽는다.
② 끓는 물에 파스타면을 삶는다.
③ 프라이팬에 올리브 오일을 두르고 애호박, 엔초비, 페페로치노, 파슬리를 넣어 볶는다.
④ 익은 파스타면을 팬으로 옮겨 모든 재료를 함께 볶는다. (기호에 따라 버터를 조금 넣는다.)")</f>
        <v>① 올리브 오일에 파슬리와 다진 마늘, 찢은 바게트 빵을 섞어 프라이팬에 굽는다.
② 끓는 물에 파스타면을 삶는다.
③ 프라이팬에 올리브 오일을 두르고 애호박, 엔초비, 페페로치노, 파슬리를 넣어 볶는다.
④ 익은 파스타면을 팬으로 옮겨 모든 재료를 함께 볶는다. (기호에 따라 버터를 조금 넣는다.)</v>
      </c>
    </row>
    <row r="11">
      <c r="A11" s="2" t="str">
        <f>recipe!C11
</f>
        <v>고기와 썸타는 떡국떡 삼합</v>
      </c>
      <c r="B11" s="2" t="str">
        <f>IFERROR(__xludf.DUMMYFUNCTION("TRIM(
  REGEXEXTRACT(
    raw!A11,
    ""(?s)●\s*조리 방법(.*)""
  )
)
"),"① 맥주와 삼겹살을 한 번에 넣고 삶는다.
② 들기름 두른 팬에 김치를 볶다가 방울토마토 간 것, 케찹, 고추장을 넣고 볶는다.
③ 기름 두른 팬에 떡국떡을 굽는다.
④ 접시에 적당한 크기로 자른 삼겹살과 김치, 구운 떡국떡을 담아낸다.")</f>
        <v>① 맥주와 삼겹살을 한 번에 넣고 삶는다.
② 들기름 두른 팬에 김치를 볶다가 방울토마토 간 것, 케찹, 고추장을 넣고 볶는다.
③ 기름 두른 팬에 떡국떡을 굽는다.
④ 접시에 적당한 크기로 자른 삼겹살과 김치, 구운 떡국떡을 담아낸다.</v>
      </c>
    </row>
    <row r="12">
      <c r="A12" s="2" t="str">
        <f>recipe!C12
</f>
        <v>와닭</v>
      </c>
      <c r="B12" s="2" t="str">
        <f>IFERROR(__xludf.DUMMYFUNCTION("TRIM(
  REGEXEXTRACT(
    raw!A12,
    ""(?s)●\s*조리 방법(.*)""
  )
)
"),"① 생닭을 해체한다. (껍질과 뼈는 사용하지 않는다.)
② 양파를 채 썰고, 마늘을 편 썬다.
③ 팬에 오일을 두르고 해체한 닭을 굽는다.
④ 다른 팬에 마늘과 양파를 넣고 볶다가 아티초크를 넣어 함께 볶는다.
⑤ 닭을 굽던 팬에 토마토 소스와 야채들을 넣어 함께 볶는다.
⑥ 적포도의 씨를 발라 프라이팬에 볶다가 모든재료를 함께 볶고 사골육수를 조금 넣어 익힌다.")</f>
        <v>① 생닭을 해체한다. (껍질과 뼈는 사용하지 않는다.)
② 양파를 채 썰고, 마늘을 편 썬다.
③ 팬에 오일을 두르고 해체한 닭을 굽는다.
④ 다른 팬에 마늘과 양파를 넣고 볶다가 아티초크를 넣어 함께 볶는다.
⑤ 닭을 굽던 팬에 토마토 소스와 야채들을 넣어 함께 볶는다.
⑥ 적포도의 씨를 발라 프라이팬에 볶다가 모든재료를 함께 볶고 사골육수를 조금 넣어 익힌다.</v>
      </c>
    </row>
    <row r="13">
      <c r="A13" s="2" t="str">
        <f>recipe!C13
</f>
        <v>브로콜리 치킨</v>
      </c>
      <c r="B13" s="2" t="str">
        <f>IFERROR(__xludf.DUMMYFUNCTION("TRIM(
  REGEXEXTRACT(
    raw!A13,
    ""(?s)●\s*조리 방법(.*)""
  )
)
"),"① 브로콜리를 잘라서 소금 넣은 물에 데친 후 다진다.
② 방울토마토를 반으로 자르고 파프리카를 채썬다.
③ 닭가슴살을 반으로 갈라 소금 후추 간을 한 후 데친 브로콜리와 치즈를 넣고 이쑤시개로 고정해
굽는다.
④ 같은 팬에 파프리카와 방울토마토를 넣어 함께 익힌다.
⑤ 버터를 조금 넣고 물을 약간 부어 뚜껑을 덮어 익힌다.
⑥ 고춧가루를 조금 뿌린다.")</f>
        <v>① 브로콜리를 잘라서 소금 넣은 물에 데친 후 다진다.
② 방울토마토를 반으로 자르고 파프리카를 채썬다.
③ 닭가슴살을 반으로 갈라 소금 후추 간을 한 후 데친 브로콜리와 치즈를 넣고 이쑤시개로 고정해
굽는다.
④ 같은 팬에 파프리카와 방울토마토를 넣어 함께 익힌다.
⑤ 버터를 조금 넣고 물을 약간 부어 뚜껑을 덮어 익힌다.
⑥ 고춧가루를 조금 뿌린다.</v>
      </c>
    </row>
    <row r="14">
      <c r="A14" s="2" t="str">
        <f>recipe!C14
</f>
        <v>삼겹살 플레이트</v>
      </c>
      <c r="B14" s="2" t="str">
        <f>IFERROR(__xludf.DUMMYFUNCTION("TRIM(
  REGEXEXTRACT(
    raw!A14,
    ""(?s)●\s*조리 방법(.*)""
  )
)
"),"① 삼겹살을 썰어서 소금후추 간을 해서 굽는다.
② 다른 팬에 버터와 통마늘, 채 썬 양파를 넣어 볶다가 간장, 미림, 다진생강, 다진마늘, 커피가루를 넣어 끓인다.
③ 삼겹살에 청주를 넣어 끓이다가 건져 야채와 함께 섞는다
④ 채 썬 알배추를 듬뿍 넣고 뚜껑을 덮어 숨을 죽인다.
⑤ 아이스크림 스쿱으로 밥을 담고 익은 고기와 채소를 얹어 낸다.")</f>
        <v>① 삼겹살을 썰어서 소금후추 간을 해서 굽는다.
② 다른 팬에 버터와 통마늘, 채 썬 양파를 넣어 볶다가 간장, 미림, 다진생강, 다진마늘, 커피가루를 넣어 끓인다.
③ 삼겹살에 청주를 넣어 끓이다가 건져 야채와 함께 섞는다
④ 채 썬 알배추를 듬뿍 넣고 뚜껑을 덮어 숨을 죽인다.
⑤ 아이스크림 스쿱으로 밥을 담고 익은 고기와 채소를 얹어 낸다.</v>
      </c>
    </row>
    <row r="15">
      <c r="A15" s="2" t="str">
        <f>recipe!C15
</f>
        <v>강남비빔면</v>
      </c>
      <c r="B15" s="2" t="str">
        <f>IFERROR(__xludf.DUMMYFUNCTION("TRIM(
  REGEXEXTRACT(
    raw!A15,
    ""(?s)●\s*조리 방법(.*)""
  )
)
"),"① 삼겹살을 잘게 썰어서 기름에 바삭하게 튀긴다
② 고추장과 딸기잼, 참기름, 고추냉이를 섞는다
③ 끓는 물에 칼국수면을 삶는다 (넘칠 때쯤 찬물을 한 번 넣어 쫄깃함을 더한다)
④ 물에 씻은 새우젓을 기름에 튀긴다
⑤ 익은 면을 찬물에 씻고 소스와 버무려 접시에 담은 뒤 튀긴 삼겹살과 새우젓, 오렌지를 토핑한다.")</f>
        <v>① 삼겹살을 잘게 썰어서 기름에 바삭하게 튀긴다
② 고추장과 딸기잼, 참기름, 고추냉이를 섞는다
③ 끓는 물에 칼국수면을 삶는다 (넘칠 때쯤 찬물을 한 번 넣어 쫄깃함을 더한다)
④ 물에 씻은 새우젓을 기름에 튀긴다
⑤ 익은 면을 찬물에 씻고 소스와 버무려 접시에 담은 뒤 튀긴 삼겹살과 새우젓, 오렌지를 토핑한다.</v>
      </c>
    </row>
    <row r="16">
      <c r="A16" s="2" t="str">
        <f>recipe!C16
</f>
        <v>나 또 브리또</v>
      </c>
      <c r="B16" s="2" t="str">
        <f>IFERROR(__xludf.DUMMYFUNCTION("TRIM(
  REGEXEXTRACT(
    raw!A16,
    ""(?s)●\s*조리 방법(.*)""
  )
)
"),"① 간장, 미림, 다진마늘, 후추, 어슷 썬 대파, 타이칠리소스, 낫토를 섞은 것에 샤브샤브용 고기를 넣어 재운다.
② 냉동새우볶음밥에 낫토, 버터를 넣어 볶는다.
③ 플레인 요거트와 레몬즙을 섞어 사워크림을 만들고 낫토를 잘게 다져 넣는다.
④ 또띠아를 팬에 굽고 다른 팬에 고기를 익힌다.
⑤ 또띠아 위에 볶음밥과 고기, 크림과 어슷썬 파를 얹어 낸다.")</f>
        <v>① 간장, 미림, 다진마늘, 후추, 어슷 썬 대파, 타이칠리소스, 낫토를 섞은 것에 샤브샤브용 고기를 넣어 재운다.
② 냉동새우볶음밥에 낫토, 버터를 넣어 볶는다.
③ 플레인 요거트와 레몬즙을 섞어 사워크림을 만들고 낫토를 잘게 다져 넣는다.
④ 또띠아를 팬에 굽고 다른 팬에 고기를 익힌다.
⑤ 또띠아 위에 볶음밥과 고기, 크림과 어슷썬 파를 얹어 낸다.</v>
      </c>
    </row>
    <row r="17">
      <c r="A17" s="2" t="str">
        <f>recipe!C17
</f>
        <v>갸루상 케이크</v>
      </c>
      <c r="B17" s="2" t="str">
        <f>IFERROR(__xludf.DUMMYFUNCTION("TRIM(
  REGEXEXTRACT(
    raw!A17,
    ""(?s)●\s*조리 방법(.*)""
  )
)
"),"① 달걀의 흰자와 노른자를 분리한다.
② 노른자 2개와 설탕, 우유, 바닐라 아이스크림, 밀가루를 넣어 섞고 커스터드 크림이 될 때까지 전자렌지에 3분 간격으로 돌린다.
③ 또띠아를 6등분 해 기름에 튀겨낸다.
④ 튀긴 또띠아 위에 커스터드 크림을 층층이 올리고 반으로 자른 딸기를 토핑한다.")</f>
        <v>① 달걀의 흰자와 노른자를 분리한다.
② 노른자 2개와 설탕, 우유, 바닐라 아이스크림, 밀가루를 넣어 섞고 커스터드 크림이 될 때까지 전자렌지에 3분 간격으로 돌린다.
③ 또띠아를 6등분 해 기름에 튀겨낸다.
④ 튀긴 또띠아 위에 커스터드 크림을 층층이 올리고 반으로 자른 딸기를 토핑한다.</v>
      </c>
    </row>
    <row r="18">
      <c r="A18" s="2" t="str">
        <f>recipe!C18
</f>
        <v>PLETKA</v>
      </c>
      <c r="B18" s="2" t="str">
        <f>IFERROR(__xludf.DUMMYFUNCTION("TRIM(
  REGEXEXTRACT(
    raw!A18,
    ""(?s)●\s*조리 방법(.*)""
  )
)
"),"① 길게 썬 돼지고기 안심과 베이컨의 윗부분을 이쑤시개로 고정한 후 머리땋 듯 땋고 끝부분도 이쑤시개로 고정해 팬에 굽는다.
② 소주를 부어 잡내를 날린다.
③ 김치, 양파, 당근을 잘게 썰어 같은 팬에 넣고 볶다가 물을 붓고 뚜껑을 덮는다.
④ 접시에 고기를 올리고 밥과 김치를 쌓아서 낸 후 다진 부추로 토핑한다.")</f>
        <v>① 길게 썬 돼지고기 안심과 베이컨의 윗부분을 이쑤시개로 고정한 후 머리땋 듯 땋고 끝부분도 이쑤시개로 고정해 팬에 굽는다.
② 소주를 부어 잡내를 날린다.
③ 김치, 양파, 당근을 잘게 썰어 같은 팬에 넣고 볶다가 물을 붓고 뚜껑을 덮는다.
④ 접시에 고기를 올리고 밥과 김치를 쌓아서 낸 후 다진 부추로 토핑한다.</v>
      </c>
    </row>
    <row r="19">
      <c r="A19" s="2" t="str">
        <f>recipe!C19
</f>
        <v>다 줄게라면</v>
      </c>
      <c r="B19" s="2" t="str">
        <f>IFERROR(__xludf.DUMMYFUNCTION("TRIM(
  REGEXEXTRACT(
    raw!A19,
    ""(?s)●\s*조리 방법(.*)""
  )
)
"),"① 복분자주에 재운 삼겹살을 길게 찢은 김치와 함께 말아 부추로 고정한 후 팬에 굽는다.
② 물과 어묵통조림과 매운미소소스, 큼직하게 썬 알배추를 넣고 끓인다.
③ 면을 넣어 끓인다.
④ 접시에 끓인 라면을 담고 김치말이 삼겹살을 얹어서 낸다.")</f>
        <v>① 복분자주에 재운 삼겹살을 길게 찢은 김치와 함께 말아 부추로 고정한 후 팬에 굽는다.
② 물과 어묵통조림과 매운미소소스, 큼직하게 썬 알배추를 넣고 끓인다.
③ 면을 넣어 끓인다.
④ 접시에 끓인 라면을 담고 김치말이 삼겹살을 얹어서 낸다.</v>
      </c>
    </row>
    <row r="20">
      <c r="A20" s="2" t="str">
        <f>recipe!C20
</f>
        <v>우리집에 오.새.요</v>
      </c>
      <c r="B20" s="2" t="str">
        <f>IFERROR(__xludf.DUMMYFUNCTION("TRIM(
  REGEXEXTRACT(
    raw!A20,
    ""(?s)●\s*조리 방법(.*)""
  )
)
"),"1. 청주, 미림, 양조간장, 국수장국을 끓여 소스를 만든다.
2. 오징어는 간장, 다진 마늘, 청주, 미림에 담가 간을 한다.
3. 채썬 채소와 칵테일 새우, 박력분, 전분, 얼음을 넣어 반죽을 한다.
(* 반죽 후 얼음은 꼭 제거한다.)
4. 달궈진 기름에 반죽을 한국자씩 넣고 튀긴다.
5. 간을 한 오징어에 전분을 묻혀 튀긴다.
6. 그릇에 밥과 어슷썬 대파, 완성된 튀김과 갈은 무, 소스를 올려낸다.")</f>
        <v>1. 청주, 미림, 양조간장, 국수장국을 끓여 소스를 만든다.
2. 오징어는 간장, 다진 마늘, 청주, 미림에 담가 간을 한다.
3. 채썬 채소와 칵테일 새우, 박력분, 전분, 얼음을 넣어 반죽을 한다.
(* 반죽 후 얼음은 꼭 제거한다.)
4. 달궈진 기름에 반죽을 한국자씩 넣고 튀긴다.
5. 간을 한 오징어에 전분을 묻혀 튀긴다.
6. 그릇에 밥과 어슷썬 대파, 완성된 튀김과 갈은 무, 소스를 올려낸다.</v>
      </c>
    </row>
    <row r="21">
      <c r="A21" s="2" t="str">
        <f>recipe!C21
</f>
        <v>Mr.콩chu~♥</v>
      </c>
      <c r="B21" s="2" t="str">
        <f>IFERROR(__xludf.DUMMYFUNCTION("TRIM(
  REGEXEXTRACT(
    raw!A21,
    ""(?s)●\s*조리 방법(.*)""
  )
)
"),"1. 두부의 물기를 제거한다.
2. 버터를 녹이고 밀가루, 두유를 넣어 소스를 만든다.
3. 계피맛 쿠키를 믹서에 갈고 설탕을 섞어둔다
4. 깍뚝 썬 두부에 전분을 묻혀 튀긴다.
5. 튀긴 두부에 계피설탕가루를 입힌다.
6. 그릇에 두유소스와 두부츄러스, 바닐라 아이스크림, 다진 초콜릿을 토핑한다.")</f>
        <v>1. 두부의 물기를 제거한다.
2. 버터를 녹이고 밀가루, 두유를 넣어 소스를 만든다.
3. 계피맛 쿠키를 믹서에 갈고 설탕을 섞어둔다
4. 깍뚝 썬 두부에 전분을 묻혀 튀긴다.
5. 튀긴 두부에 계피설탕가루를 입힌다.
6. 그릇에 두유소스와 두부츄러스, 바닐라 아이스크림, 다진 초콜릿을 토핑한다.</v>
      </c>
    </row>
    <row r="22">
      <c r="A22" s="2" t="str">
        <f>recipe!C22
</f>
        <v>For덕</v>
      </c>
      <c r="B22" s="2" t="str">
        <f>IFERROR(__xludf.DUMMYFUNCTION("TRIM(
  REGEXEXTRACT(
    raw!A22,
    ""(?s)●\s*조리 방법(.*)""
  )
)
"),"① 가지를 길게 썰어 올리브유를 두른 팬에 양면을 굽는다.
② 토마토는 열십자로 칼집을 내어 끓는 물에 데쳐 껍질을 벗긴다.
③ 적당한 크기로 썬 토마토와 다진 파프리카, 양파, 사과, 고추장아찌를 냄비에 넣고 으깨 소스를 만든다.
④ 토마토 소스를 넣어 풍미를 더한다.
⑤ 익은 가지를 격자 모양으로 놓고 소금 후추를 뿌린 후, 가운데 계란흰자 통조림을 넣어 감싼다.
(* 비닐을 이용하면 좀 더 쉽게 모양을 잡을 수 있다.)
⑥ 모양이 잡힌 "&amp;"가지를 올리브유를 두른 팬에 한 번 더 익힌다.
⑦ 접시에 소스와 가지를 담아 낸다.")</f>
        <v>① 가지를 길게 썰어 올리브유를 두른 팬에 양면을 굽는다.
② 토마토는 열십자로 칼집을 내어 끓는 물에 데쳐 껍질을 벗긴다.
③ 적당한 크기로 썬 토마토와 다진 파프리카, 양파, 사과, 고추장아찌를 냄비에 넣고 으깨 소스를 만든다.
④ 토마토 소스를 넣어 풍미를 더한다.
⑤ 익은 가지를 격자 모양으로 놓고 소금 후추를 뿌린 후, 가운데 계란흰자 통조림을 넣어 감싼다.
(* 비닐을 이용하면 좀 더 쉽게 모양을 잡을 수 있다.)
⑥ 모양이 잡힌 가지를 올리브유를 두른 팬에 한 번 더 익힌다.
⑦ 접시에 소스와 가지를 담아 낸다.</v>
      </c>
    </row>
    <row r="23">
      <c r="A23" s="2" t="str">
        <f>recipe!C23
</f>
        <v>프로틴 스틱</v>
      </c>
      <c r="B23" s="2" t="str">
        <f>IFERROR(__xludf.DUMMYFUNCTION("TRIM(
  REGEXEXTRACT(
    raw!A23,
    ""(?s)●\s*조리 방법(.*)""
  )
)
"),"① 계란 흰자 통조림과 닭가슴살, 파프리카, 양파를 깍둑썰기 해 꼬치에 끼운다.
② 꼬치에 소금, 후추를 두르고 그릴팬에 굽는다.
③ 당근, 사과를 강판에 채썰고, 식초, 올리브유, 다진 견과류를 뿌린다.
④ 접시에 샐러드를 깔고 꼬치를 위에 낸다.")</f>
        <v>① 계란 흰자 통조림과 닭가슴살, 파프리카, 양파를 깍둑썰기 해 꼬치에 끼운다.
② 꼬치에 소금, 후추를 두르고 그릴팬에 굽는다.
③ 당근, 사과를 강판에 채썰고, 식초, 올리브유, 다진 견과류를 뿌린다.
④ 접시에 샐러드를 깔고 꼬치를 위에 낸다.</v>
      </c>
    </row>
    <row r="24">
      <c r="A24" s="2" t="str">
        <f>recipe!C24
</f>
        <v>불닭 소시지</v>
      </c>
      <c r="B24" s="2" t="str">
        <f>IFERROR(__xludf.DUMMYFUNCTION("TRIM(
  REGEXEXTRACT(
    raw!A24,
    ""(?s)●\s*조리 방법(.*)""
  )
)
"),"① 소시지를 끓는 물에 데쳐 기름기를 제거하고 적당한 크기로 썬다.
② 당면라면의 면을 끓는 물에 데쳐 찬물에 헹군 후, 매운라면 소스, 다진 청양고추에 버무린다.
③ 꼬치에 소시지를 꽂고, 양념한 면을 감는다.
④ 접시에 꼬치를 놓고 상추를 곁들여 낸다.")</f>
        <v>① 소시지를 끓는 물에 데쳐 기름기를 제거하고 적당한 크기로 썬다.
② 당면라면의 면을 끓는 물에 데쳐 찬물에 헹군 후, 매운라면 소스, 다진 청양고추에 버무린다.
③ 꼬치에 소시지를 꽂고, 양념한 면을 감는다.
④ 접시에 꼬치를 놓고 상추를 곁들여 낸다.</v>
      </c>
    </row>
    <row r="25">
      <c r="A25" s="2" t="str">
        <f>recipe!C25
</f>
        <v>매우면 참치 &amp; 쏘루아밀크</v>
      </c>
      <c r="B25" s="2" t="str">
        <f>IFERROR(__xludf.DUMMYFUNCTION("TRIM(
  REGEXEXTRACT(
    raw!A25,
    ""(?s)●\s*조리 방법(.*)""
  )
)
"),"① 식빵을 토스트기에 굽는다.
② 버터를 두른 팬에 기름 뺀 참치와 믹서에 간 토마토, 고춧가루를 넣고 끓인다.
③ 얼음을 담은 잔에 소주, 설탕, 인스턴트 커피 섞은 것을 넣고, 흰우유를 넣어 층을 낸다.
④ 구운 식빵을 적당한 크기로 자르고 참치 양념을 얹어낸다.")</f>
        <v>① 식빵을 토스트기에 굽는다.
② 버터를 두른 팬에 기름 뺀 참치와 믹서에 간 토마토, 고춧가루를 넣고 끓인다.
③ 얼음을 담은 잔에 소주, 설탕, 인스턴트 커피 섞은 것을 넣고, 흰우유를 넣어 층을 낸다.
④ 구운 식빵을 적당한 크기로 자르고 참치 양념을 얹어낸다.</v>
      </c>
    </row>
    <row r="26">
      <c r="A26" s="2" t="str">
        <f>recipe!C26
</f>
        <v>삼층돈탑</v>
      </c>
      <c r="B26" s="2" t="str">
        <f>IFERROR(__xludf.DUMMYFUNCTION("TRIM(
  REGEXEXTRACT(
    raw!A26,
    ""(?s)●\s*조리 방법(.*)""
  )
)
"),"1. 알배추는 먹기 좋은 크기로 썰어둔다.
2. 대파는 채썰고, 마늘은 편으로 썰어둔다. 돼지고기는 먹기 좋은 크기로 자른다.
3. 전자레인지용 그릇에 알배추 - 채 썬 대파 - 돼지고기를 층층이 쌓고 소금 후추 간을 한다.
4. 랩을 두르고 3분 간격으로 렌지에 돌린다.
5. 다진 고추 장아찌와 국물, 설탕을 두른 소스와 스테이크소스, 올리고당을 섞은 소스를 함께 낸다.")</f>
        <v>1. 알배추는 먹기 좋은 크기로 썰어둔다.
2. 대파는 채썰고, 마늘은 편으로 썰어둔다. 돼지고기는 먹기 좋은 크기로 자른다.
3. 전자레인지용 그릇에 알배추 - 채 썬 대파 - 돼지고기를 층층이 쌓고 소금 후추 간을 한다.
4. 랩을 두르고 3분 간격으로 렌지에 돌린다.
5. 다진 고추 장아찌와 국물, 설탕을 두른 소스와 스테이크소스, 올리고당을 섞은 소스를 함께 낸다.</v>
      </c>
    </row>
    <row r="27">
      <c r="A27" s="2" t="str">
        <f>recipe!C27
</f>
        <v>엠티 오후의 라면</v>
      </c>
      <c r="B27" s="2" t="str">
        <f>IFERROR(__xludf.DUMMYFUNCTION("TRIM(
  REGEXEXTRACT(
    raw!A27,
    ""(?s)●\s*조리 방법(.*)""
  )
)
"),"1. 끓는 물에 밀가루와 쇠고기 스프, 라면스프를 넣고 끓인다.
2. 채 썬 오징어와 면, 건더기 스프를 넣고 끓인다.
3. 계란 푼 것을 라면에 두른다.
4. 총각김치를 곁들여 낸다.")</f>
        <v>1. 끓는 물에 밀가루와 쇠고기 스프, 라면스프를 넣고 끓인다.
2. 채 썬 오징어와 면, 건더기 스프를 넣고 끓인다.
3. 계란 푼 것을 라면에 두른다.
4. 총각김치를 곁들여 낸다.</v>
      </c>
    </row>
    <row r="28">
      <c r="A28" s="2" t="str">
        <f>recipe!C28
</f>
        <v>봉선아 시집가자미</v>
      </c>
      <c r="B28" s="2" t="str">
        <f>IFERROR(__xludf.DUMMYFUNCTION("TRIM(
  REGEXEXTRACT(
    raw!A28,
    ""(?s)●\s*조리 방법(.*)""
  )
)
"),"1. 팬 하나에 대파를 잘게 썰어 볶고, 다른 팬에는 양송이 버섯에 소금 후추 간을 해 볶는다.
2. 가자미는 껍질을 벗기고 뼈를 발라낸다.
3. 가자미에 소금 후추 간을 하고 밀가루를 뭍혀 올리브유를 두른 팬에 굽는다.
4. 가자미를 굽는 팬에 화이트와인과 복분자 엑기스를 부어 졸인다.
5. 그릇에 볶은 대파와 버섯을 놓고 그 위에 구운 가자미를 올린다.
6. 가자미 육즙이 남은 팬에 버터를 넣어 소스를 만든다.")</f>
        <v>1. 팬 하나에 대파를 잘게 썰어 볶고, 다른 팬에는 양송이 버섯에 소금 후추 간을 해 볶는다.
2. 가자미는 껍질을 벗기고 뼈를 발라낸다.
3. 가자미에 소금 후추 간을 하고 밀가루를 뭍혀 올리브유를 두른 팬에 굽는다.
4. 가자미를 굽는 팬에 화이트와인과 복분자 엑기스를 부어 졸인다.
5. 그릇에 볶은 대파와 버섯을 놓고 그 위에 구운 가자미를 올린다.
6. 가자미 육즙이 남은 팬에 버터를 넣어 소스를 만든다.</v>
      </c>
    </row>
    <row r="29">
      <c r="A29" s="2" t="str">
        <f>recipe!C29
</f>
        <v>스키니 신</v>
      </c>
      <c r="B29" s="2" t="str">
        <f>IFERROR(__xludf.DUMMYFUNCTION("TRIM(
  REGEXEXTRACT(
    raw!A29,
    ""(?s)●\s*조리 방법(.*)""
  )
)
"),"1. 감자를 삶는다.
2. 관자는 물기를 제거하고, 올리브유는 냄비에 넣고 데운다.
3. 관자는 얇게 썰어두고, 살짝 감자를 강판에 간다
4. 볼에 다진 양상추, 단감, 고구마를 넣고 샐러드를 만든다.
5. 감자와 다진 양파로 전을 부친다.
6. 달군 올리브유를 관자에 부어 익힌다.
7. 접시에 감자양파전, 샐러드, 관자를 얹어 낸다.")</f>
        <v>1. 감자를 삶는다.
2. 관자는 물기를 제거하고, 올리브유는 냄비에 넣고 데운다.
3. 관자는 얇게 썰어두고, 살짝 감자를 강판에 간다
4. 볼에 다진 양상추, 단감, 고구마를 넣고 샐러드를 만든다.
5. 감자와 다진 양파로 전을 부친다.
6. 달군 올리브유를 관자에 부어 익힌다.
7. 접시에 감자양파전, 샐러드, 관자를 얹어 낸다.</v>
      </c>
    </row>
    <row r="30">
      <c r="A30" s="2" t="str">
        <f>recipe!C30
</f>
        <v>파티비프</v>
      </c>
      <c r="B30" s="2" t="str">
        <f>IFERROR(__xludf.DUMMYFUNCTION("TRIM(
  REGEXEXTRACT(
    raw!A30,
    ""(?s)●\s*조리 방법(.*)""
  )
)
"),"1. 청고추에 칼집을 내고 그릴팬에 굽는다.
2. 고기와 양파는 채썰고 양송이 버섯도 편으로 썰어 팬에 볶는다.
3. 2에 고기에 쌈장과 생크림을 넣고 볶는다.
4. 3에 다진 총각김치를 넣고 후추를 뿌린다.
5. 접시에 밥을 놓고 주위에 볶은 고기를 얹는다.
6. 중앙에 총각김치를 올린다.")</f>
        <v>1. 청고추에 칼집을 내고 그릴팬에 굽는다.
2. 고기와 양파는 채썰고 양송이 버섯도 편으로 썰어 팬에 볶는다.
3. 2에 고기에 쌈장과 생크림을 넣고 볶는다.
4. 3에 다진 총각김치를 넣고 후추를 뿌린다.
5. 접시에 밥을 놓고 주위에 볶은 고기를 얹는다.
6. 중앙에 총각김치를 올린다.</v>
      </c>
    </row>
    <row r="31">
      <c r="A31" s="2" t="str">
        <f>recipe!C31
</f>
        <v>아이러브유부</v>
      </c>
      <c r="B31" s="2" t="str">
        <f>IFERROR(__xludf.DUMMYFUNCTION("TRIM(
  REGEXEXTRACT(
    raw!A31,
    ""(?s)●\s*조리 방법(.*)""
  )
)
"),"1. 삼겹살, 생크림, 달걀 흰자, 마늘 2쪽을 믹서기에 넣고 간다.
2. 간 고기에 잣, 두반장, 굴소스를 넣고 섞는다.
3. 양파와 물에 씻은 고추장아찌를 다져 섞는다.
4. 유부의 속을 채우고 삶는다.
5. 고추 장아찌 국물과 핫소스, 볶은 다진 마늘을 섞어 소스를 만들어 함께 낸다.")</f>
        <v>1. 삼겹살, 생크림, 달걀 흰자, 마늘 2쪽을 믹서기에 넣고 간다.
2. 간 고기에 잣, 두반장, 굴소스를 넣고 섞는다.
3. 양파와 물에 씻은 고추장아찌를 다져 섞는다.
4. 유부의 속을 채우고 삶는다.
5. 고추 장아찌 국물과 핫소스, 볶은 다진 마늘을 섞어 소스를 만들어 함께 낸다.</v>
      </c>
    </row>
    <row r="32">
      <c r="A32" s="2" t="str">
        <f>recipe!C32
</f>
        <v>곤약 봉골레 곤봉</v>
      </c>
      <c r="B32" s="2" t="str">
        <f>IFERROR(__xludf.DUMMYFUNCTION("TRIM(
  REGEXEXTRACT(
    raw!A32,
    ""(?s)●\s*조리 방법(.*)""
  )
)
"),"1. 가스레인지 위에 파프리카를 올리고 표면을 태운다.
2. 곤약을 얇게 국수처럼 썬다. (실곤약 대체 가능)
3. 바지락 반은 육수를 내고 반은 살을 발라둔다.
4. 표면을 태운 파프리카의 껍질을 벗기고 얇게 채썬다.
5. 올리브유에 다진 마늘을 볶다가 바지락과 소금 후추를 뿌리고 볶는다.
6. 채 썬 곤약과 파프리카를 넣어 볶다가 육수를 부어 끓인다.")</f>
        <v>1. 가스레인지 위에 파프리카를 올리고 표면을 태운다.
2. 곤약을 얇게 국수처럼 썬다. (실곤약 대체 가능)
3. 바지락 반은 육수를 내고 반은 살을 발라둔다.
4. 표면을 태운 파프리카의 껍질을 벗기고 얇게 채썬다.
5. 올리브유에 다진 마늘을 볶다가 바지락과 소금 후추를 뿌리고 볶는다.
6. 채 썬 곤약과 파프리카를 넣어 볶다가 육수를 부어 끓인다.</v>
      </c>
    </row>
    <row r="33">
      <c r="A33" s="2" t="str">
        <f>recipe!C33
</f>
        <v>렛잇컵</v>
      </c>
      <c r="B33" s="2" t="str">
        <f>IFERROR(__xludf.DUMMYFUNCTION("TRIM(
  REGEXEXTRACT(
    raw!A33,
    ""(?s)●\s*조리 방법(.*)""
  )
)
"),"1. 찐 고구마의 껍질을 벗기고 으깬 후, 두유를 섞어 농도를 맞춘다.
2. 각종 과일을 먹기 좋은 크기로 썰어 둔다.
3. 와인잔에 찐 고구마와 과일을 겹겹이 쌓는다.
4. 플레인 요거트와 복분자 원액을 넣는다.
5. 생고구마를 썰어 스틱을 만들고 홍시와 플레인 요거트로 소스을 만들어 함께 낸다.")</f>
        <v>1. 찐 고구마의 껍질을 벗기고 으깬 후, 두유를 섞어 농도를 맞춘다.
2. 각종 과일을 먹기 좋은 크기로 썰어 둔다.
3. 와인잔에 찐 고구마와 과일을 겹겹이 쌓는다.
4. 플레인 요거트와 복분자 원액을 넣는다.
5. 생고구마를 썰어 스틱을 만들고 홍시와 플레인 요거트로 소스을 만들어 함께 낸다.</v>
      </c>
    </row>
    <row r="34">
      <c r="A34" s="2" t="str">
        <f>recipe!C34
</f>
        <v>마이 러블리 튀밥</v>
      </c>
      <c r="B34" s="2" t="str">
        <f>IFERROR(__xludf.DUMMYFUNCTION("TRIM(
  REGEXEXTRACT(
    raw!A34,
    ""(?s)●\s*조리 방법(.*)""
  )
)
"),"1. 파프리카, 버섯, 양파를 다지고 올리브유를 두른 팬에 볶는다.
2. 명란젓에 다진 대파를 넣고, 볶은 채소, 즉석밥, 참기름을 넣고 함께 섞는다.
3. 팬에 올리브유와 마늘, 블랙올리브, 홍고추, 방울토마토, 토마토 소스를 넣어 소스를 만든다.
4. 밥을 뭉칠 때 속에 치즈를 넣고 밀가루, 달걀물, 빵가루 순으로 옷을 입힌다.
5. 달군 기름에 뭉친 밥을 넣어 튀긴다.
6. 토마토소스 위에 튀긴 밥을 올리고 파슬리와 올리브유를 뿌려서 낸다.")</f>
        <v>1. 파프리카, 버섯, 양파를 다지고 올리브유를 두른 팬에 볶는다.
2. 명란젓에 다진 대파를 넣고, 볶은 채소, 즉석밥, 참기름을 넣고 함께 섞는다.
3. 팬에 올리브유와 마늘, 블랙올리브, 홍고추, 방울토마토, 토마토 소스를 넣어 소스를 만든다.
4. 밥을 뭉칠 때 속에 치즈를 넣고 밀가루, 달걀물, 빵가루 순으로 옷을 입힌다.
5. 달군 기름에 뭉친 밥을 넣어 튀긴다.
6. 토마토소스 위에 튀긴 밥을 올리고 파슬리와 올리브유를 뿌려서 낸다.</v>
      </c>
    </row>
    <row r="35">
      <c r="A35" s="2" t="str">
        <f>recipe!C35
</f>
        <v>자투리타타</v>
      </c>
      <c r="B35" s="2" t="str">
        <f>IFERROR(__xludf.DUMMYFUNCTION("TRIM(
  REGEXEXTRACT(
    raw!A35,
    ""(?s)●\s*조리 방법(.*)""
  )
)
"),"1. 파프리카, 양파, 버섯 등의 재료는 잘게 다진다.
2. 명란젓을 넣은 달걀물에 치즈를 갈아 넣는다.
3. 올리브유를 두른 팬에 다진 채소와 방울토마토, 다진 마늘, 팽이버섯을 넣고 볶는다.
4. 채소를 볶던 팬에 달걀물을 붓고 호일을 덮어 익힌다.
5. 베이컨을 잘게 썰어 키친타올 사이에 넣고 렌지에 돌려 바삭하게 만든다.
6. 프리타타 위에 베이컨을 놓고 토치로 표면을 익힌다.")</f>
        <v>1. 파프리카, 양파, 버섯 등의 재료는 잘게 다진다.
2. 명란젓을 넣은 달걀물에 치즈를 갈아 넣는다.
3. 올리브유를 두른 팬에 다진 채소와 방울토마토, 다진 마늘, 팽이버섯을 넣고 볶는다.
4. 채소를 볶던 팬에 달걀물을 붓고 호일을 덮어 익힌다.
5. 베이컨을 잘게 썰어 키친타올 사이에 넣고 렌지에 돌려 바삭하게 만든다.
6. 프리타타 위에 베이컨을 놓고 토치로 표면을 익힌다.</v>
      </c>
    </row>
    <row r="36">
      <c r="A36" s="2" t="str">
        <f>recipe!C36
</f>
        <v>괜찮아, 목심이야</v>
      </c>
      <c r="B36" s="2" t="str">
        <f>IFERROR(__xludf.DUMMYFUNCTION("TRIM(
  REGEXEXTRACT(
    raw!A36,
    ""(?s)●\s*조리 방법(.*)""
  )
)
"),"1. 양파, 당근, 사과, 양상추를 가늘게 채 썬다.
2. 오리엔탈 소스에 식초와 설탕을 넣어 끓인 후, 채 썬 양파, 당근과 섞어둔다.
3. 소금, 후추로 밑간을 한 돼지고기 목심을 전분이 고르게 묻도록 섞는다.
4. 끓는 물에 돼지고기 목심을 익힌 후, 건진다.
5. 접시에 고기와 채소를 차례로 얹는다.
6. 채 썬 양상추와 사과를 올리고 소스를 뿌려 완성한다.")</f>
        <v>1. 양파, 당근, 사과, 양상추를 가늘게 채 썬다.
2. 오리엔탈 소스에 식초와 설탕을 넣어 끓인 후, 채 썬 양파, 당근과 섞어둔다.
3. 소금, 후추로 밑간을 한 돼지고기 목심을 전분이 고르게 묻도록 섞는다.
4. 끓는 물에 돼지고기 목심을 익힌 후, 건진다.
5. 접시에 고기와 채소를 차례로 얹는다.
6. 채 썬 양상추와 사과를 올리고 소스를 뿌려 완성한다.</v>
      </c>
    </row>
    <row r="37">
      <c r="A37" s="2" t="str">
        <f>recipe!C37
</f>
        <v>마이 스위트 베이비</v>
      </c>
      <c r="B37" s="2" t="str">
        <f>IFERROR(__xludf.DUMMYFUNCTION("TRIM(
  REGEXEXTRACT(
    raw!A37,
    ""(?s)●\s*조리 방법(.*)""
  )
)
"),"1. 소금, 후추 간을 한 소고기 등심을 팬에 굽는다.
2. 사과를 자르고 씨를 발라 팬에 굽는다.
3. 소고기 등심을 꺼내 놓고 흑설탕과 물에 구운 사과를 졸인다.
4. 등심을 다시 팬에 올리고 레드와인을 부어 좀 더 익힌다.
5. 졸인 사과와 등심을 함께 낸다")</f>
        <v>1. 소금, 후추 간을 한 소고기 등심을 팬에 굽는다.
2. 사과를 자르고 씨를 발라 팬에 굽는다.
3. 소고기 등심을 꺼내 놓고 흑설탕과 물에 구운 사과를 졸인다.
4. 등심을 다시 팬에 올리고 레드와인을 부어 좀 더 익힌다.
5. 졸인 사과와 등심을 함께 낸다</v>
      </c>
    </row>
    <row r="38">
      <c r="A38" s="2" t="str">
        <f>recipe!C38
</f>
        <v>어란대첩</v>
      </c>
      <c r="B38" s="2" t="str">
        <f>IFERROR(__xludf.DUMMYFUNCTION("TRIM(
  REGEXEXTRACT(
    raw!A38,
    ""(?s)●\s*조리 방법(.*)""
  )
)
"),"1. 무를 얇게 채 썬다.
2. 채 썬 무를 얼음물에 담가 식감을 살린다.
3. 끓는 물에 파스타면을 넣고 삶는다.
4. 익은 파스타면을 얼음물에 넣어 식힌 후 올리브유, 쯔유, 소금, 후추를 넣어 섞는다.
5. 접시에 파스타면과 채썬 무를 차례로 올리고 어란을 갈아 올린다.")</f>
        <v>1. 무를 얇게 채 썬다.
2. 채 썬 무를 얼음물에 담가 식감을 살린다.
3. 끓는 물에 파스타면을 넣고 삶는다.
4. 익은 파스타면을 얼음물에 넣어 식힌 후 올리브유, 쯔유, 소금, 후추를 넣어 섞는다.
5. 접시에 파스타면과 채썬 무를 차례로 올리고 어란을 갈아 올린다.</v>
      </c>
    </row>
    <row r="39">
      <c r="A39" s="2" t="str">
        <f>recipe!C39
</f>
        <v>뉴타운 달팽이</v>
      </c>
      <c r="B39" s="2" t="str">
        <f>IFERROR(__xludf.DUMMYFUNCTION("TRIM(
  REGEXEXTRACT(
    raw!A39,
    ""(?s)●\s*조리 방법(.*)""
  )
)
"),"1. 팬에 버터, 다진 양파, 소금, 달팽이를 넣고 볶는다.
2. 끓는 물에 매시드 포테이토 분말을 넣고 매시드 포테이토를 만든다.
3. 달팽이를 볶던 팬에 레드와인을 부어 졸인다.
4. 팬에 버터와 시금치를 넣어 볶는다.
5. 접시에 매시드 포테이토를 깔고 달팽이와 양파를 올린 후, 볶은 시금치와 소스를 곁들여 낸다.
6. 마지막으로 다진 홍고추를 올린다.")</f>
        <v>1. 팬에 버터, 다진 양파, 소금, 달팽이를 넣고 볶는다.
2. 끓는 물에 매시드 포테이토 분말을 넣고 매시드 포테이토를 만든다.
3. 달팽이를 볶던 팬에 레드와인을 부어 졸인다.
4. 팬에 버터와 시금치를 넣어 볶는다.
5. 접시에 매시드 포테이토를 깔고 달팽이와 양파를 올린 후, 볶은 시금치와 소스를 곁들여 낸다.
6. 마지막으로 다진 홍고추를 올린다.</v>
      </c>
    </row>
    <row r="40">
      <c r="A40" s="2" t="str">
        <f>recipe!C40
</f>
        <v>삼국회담</v>
      </c>
      <c r="B40" s="2" t="str">
        <f>IFERROR(__xludf.DUMMYFUNCTION("TRIM(
  REGEXEXTRACT(
    raw!A40,
    ""(?s)●\s*조리 방법(.*)""
  )
)
"),"1. 끓는 물에 쌀국수면을 삶는다.
2. 후추를 뿌린 양갈비를 손질한 후, 커민으로 양념을 한다.
3. 올리브유를 두른 팬에 으깬 마늘과 중국 고추소스를 넣어 볶다가 양갈비를 넣어 굽는다.
4. 믹서기에 코코넛 밀크와 새우젓, 말린 양파를 넣고 갈아 소스를 만든다.
5. 끓인 쌀국수 면을 건져 얼음물에 헹군 후 피쉬소스, 동치미 국물, 탄산수, 참기름을 넣어 국수를 완성한다.
6. 접시에 구운 양갈비와 새우젓 소스를 곁들여 낸다.")</f>
        <v>1. 끓는 물에 쌀국수면을 삶는다.
2. 후추를 뿌린 양갈비를 손질한 후, 커민으로 양념을 한다.
3. 올리브유를 두른 팬에 으깬 마늘과 중국 고추소스를 넣어 볶다가 양갈비를 넣어 굽는다.
4. 믹서기에 코코넛 밀크와 새우젓, 말린 양파를 넣고 갈아 소스를 만든다.
5. 끓인 쌀국수 면을 건져 얼음물에 헹군 후 피쉬소스, 동치미 국물, 탄산수, 참기름을 넣어 국수를 완성한다.
6. 접시에 구운 양갈비와 새우젓 소스를 곁들여 낸다.</v>
      </c>
    </row>
    <row r="41">
      <c r="A41" s="2" t="str">
        <f>recipe!C41
</f>
        <v>로맨티스튜~♡</v>
      </c>
      <c r="B41" s="2" t="str">
        <f>IFERROR(__xludf.DUMMYFUNCTION("TRIM(
  REGEXEXTRACT(
    raw!A41,
    ""(?s)●\s*조리 방법(.*)""
  )
)
"),"1. 한우 등심을 깍둑썰기 한다.
2. 올리브유를 두른 팬에 밀가루를 묻힌 등심을 볶아 놓는다.
3. 팬에 올리브유와 잘게 썬 베이컨을 넣어 볶는다.
4. 팬에 올리브유와 다진 양파, 토마토를 넣고 볶는다.
5. 토마토가 익으면 생크림, 코코넛 밀크를 넣고 끓인다.
6. 끓인 소스에 볶아둔 한우 등심을 넣고 끓인다.
7. 커리 페이스트를 넣고 소금, 후추로 간을 한다.
8. 베이컨을 볶던 팬에 채 썬 양배추를 넣어 함께 볶는다.
9. 즉석"&amp;"밥을 전자레인지에 돌리고, 베이컨에 레몬즙을 넣는다.
10. 스튜와 베이컨에 고수를 넣어 익힌다.
11. 접시에 스튜와 볶은 베이컨, 양배추를 올린 후 홍고추, 청고추, 레몬을 곁들인다.
12. 밥 위에 홍고추, 고수를 올리고 레몬즙을 뿌려낸다.")</f>
        <v>1. 한우 등심을 깍둑썰기 한다.
2. 올리브유를 두른 팬에 밀가루를 묻힌 등심을 볶아 놓는다.
3. 팬에 올리브유와 잘게 썬 베이컨을 넣어 볶는다.
4. 팬에 올리브유와 다진 양파, 토마토를 넣고 볶는다.
5. 토마토가 익으면 생크림, 코코넛 밀크를 넣고 끓인다.
6. 끓인 소스에 볶아둔 한우 등심을 넣고 끓인다.
7. 커리 페이스트를 넣고 소금, 후추로 간을 한다.
8. 베이컨을 볶던 팬에 채 썬 양배추를 넣어 함께 볶는다.
9. 즉석밥을 전자레인지에 돌리고, 베이컨에 레몬즙을 넣는다.
10. 스튜와 베이컨에 고수를 넣어 익힌다.
11. 접시에 스튜와 볶은 베이컨, 양배추를 올린 후 홍고추, 청고추, 레몬을 곁들인다.
12. 밥 위에 홍고추, 고수를 올리고 레몬즙을 뿌려낸다.</v>
      </c>
    </row>
    <row r="42">
      <c r="A42" s="2" t="str">
        <f>recipe!C42
</f>
        <v>섹시 한 컵</v>
      </c>
      <c r="B42" s="2" t="str">
        <f>IFERROR(__xludf.DUMMYFUNCTION("TRIM(
  REGEXEXTRACT(
    raw!A42,
    ""(?s)●\s*조리 방법(.*)""
  )
)
"),"1. 통조림 햄을 비닐팩에 넣고 으깬다.
2. 팬에 버터를 두르고 다진 양파와 으깬 햄을 볶는다.
3. 볶던 햄과 양파에 설탕을 넣는다.
4. 슬라이스 치즈를 넣고 함께 볶는다.
5. 밥을 바질페스토에 비벼둔다.
6. 올리브유를 두른 팬에 달걀을 깨트려 넣고 물을 조금 부은 다음 뚜껑을 닫아 반숙으로 익힌다.
7. 컵에 바질페스토에 비빈 밥과 할라피뇨, 볶은 햄과 양파를 차례로 담는다.
8. 컵밥 가장 위에 반숙 달걀 프라이를 올린다.")</f>
        <v>1. 통조림 햄을 비닐팩에 넣고 으깬다.
2. 팬에 버터를 두르고 다진 양파와 으깬 햄을 볶는다.
3. 볶던 햄과 양파에 설탕을 넣는다.
4. 슬라이스 치즈를 넣고 함께 볶는다.
5. 밥을 바질페스토에 비벼둔다.
6. 올리브유를 두른 팬에 달걀을 깨트려 넣고 물을 조금 부은 다음 뚜껑을 닫아 반숙으로 익힌다.
7. 컵에 바질페스토에 비빈 밥과 할라피뇨, 볶은 햄과 양파를 차례로 담는다.
8. 컵밥 가장 위에 반숙 달걀 프라이를 올린다.</v>
      </c>
    </row>
    <row r="43">
      <c r="A43" s="2" t="str">
        <f>recipe!C43
</f>
        <v>가희에게 반하나</v>
      </c>
      <c r="B43" s="2" t="str">
        <f>IFERROR(__xludf.DUMMYFUNCTION("TRIM(
  REGEXEXTRACT(
    raw!A43,
    ""(?s)●\s*조리 방법(.*)""
  )
)
"),"1. 달걀, 밀가루, 우유, 탄산수를 넣어 반죽을 만든다.
2. 바나나를 얇게 썬다.
3. 팬에 반죽을 얇게 부친다.
4. 익은 반죽 위에 바나나를 올리고 초콜릿 잼을 바른다.
5. 크레페의 가장자리를 접어 모양을 만든 후, 접시에 올려 다진 견과류와 블루베리를 곁들인다.
* 기호에 따라 다양한 재료를 넣어 식사, 디저트 등으로 즐길 수 있다")</f>
        <v>1. 달걀, 밀가루, 우유, 탄산수를 넣어 반죽을 만든다.
2. 바나나를 얇게 썬다.
3. 팬에 반죽을 얇게 부친다.
4. 익은 반죽 위에 바나나를 올리고 초콜릿 잼을 바른다.
5. 크레페의 가장자리를 접어 모양을 만든 후, 접시에 올려 다진 견과류와 블루베리를 곁들인다.
* 기호에 따라 다양한 재료를 넣어 식사, 디저트 등으로 즐길 수 있다</v>
      </c>
    </row>
    <row r="44">
      <c r="A44" s="2" t="str">
        <f>recipe!C44
</f>
        <v>엑소 떡볶이</v>
      </c>
      <c r="B44" s="2" t="str">
        <f>IFERROR(__xludf.DUMMYFUNCTION("TRIM(
  REGEXEXTRACT(
    raw!A44,
    ""(?s)●\s*조리 방법(.*)""
  )
)
"),"1. 소량의 기름에 떡을 표면만 살짝 튀긴다.
2. 잘게 썬 대파를 볶다가 굴소스, XO소스, 다진 마늘, 다진 생강, 채 썬 양배추를 넣어 소스를 만든다.
3. 소스에 백후추, 청주, 설탕을 넣어 볶는다.
4. 소스에 식초, 양조간장을 넣어 볶는다.
5. 소스에 떡을 넣어 볶는다.
6. 접시에 떡볶이를 담고 볶은 로메인 상추를 올려낸다.")</f>
        <v>1. 소량의 기름에 떡을 표면만 살짝 튀긴다.
2. 잘게 썬 대파를 볶다가 굴소스, XO소스, 다진 마늘, 다진 생강, 채 썬 양배추를 넣어 소스를 만든다.
3. 소스에 백후추, 청주, 설탕을 넣어 볶는다.
4. 소스에 식초, 양조간장을 넣어 볶는다.
5. 소스에 떡을 넣어 볶는다.
6. 접시에 떡볶이를 담고 볶은 로메인 상추를 올려낸다.</v>
      </c>
    </row>
    <row r="45">
      <c r="A45" s="2" t="str">
        <f>recipe!C45
</f>
        <v>한 뚝볶이 하실래예?</v>
      </c>
      <c r="B45" s="2" t="str">
        <f>IFERROR(__xludf.DUMMYFUNCTION("TRIM(
  REGEXEXTRACT(
    raw!A45,
    ""(?s)●\s*조리 방법(.*)""
  )
)
"),"1. 끓는 물에 떡국떡을 살짝 데친다.
2. 감자, 양파, 대파를 잘게 다진다.
3. 다진 채소를 뚝배기에 담고 만두소를 넣는다.
4. 뚝배기에 물을 붓고 끓인다.
5. 된장에 전분, 고춧가루, 청주를 섞는다.
6. 기름을 두른 팬에 다진 마늘과 다진 페페로치노를 넣고 데친 떡을 볶는다.
7. 채소를 끓이던 뚝배기에 된장을 넣고 졸여 강된장을 만든다.
8. 볶은 떡을 소금, 간장으로 간을 한다.
9. 떡에 채 썬 대파를 고명으로 올리고 강"&amp;"된장과 함께 낸다.")</f>
        <v>1. 끓는 물에 떡국떡을 살짝 데친다.
2. 감자, 양파, 대파를 잘게 다진다.
3. 다진 채소를 뚝배기에 담고 만두소를 넣는다.
4. 뚝배기에 물을 붓고 끓인다.
5. 된장에 전분, 고춧가루, 청주를 섞는다.
6. 기름을 두른 팬에 다진 마늘과 다진 페페로치노를 넣고 데친 떡을 볶는다.
7. 채소를 끓이던 뚝배기에 된장을 넣고 졸여 강된장을 만든다.
8. 볶은 떡을 소금, 간장으로 간을 한다.
9. 떡에 채 썬 대파를 고명으로 올리고 강된장과 함께 낸다.</v>
      </c>
    </row>
    <row r="46">
      <c r="A46" s="2" t="str">
        <f>recipe!C46
</f>
        <v>굴로장생</v>
      </c>
      <c r="B46" s="2" t="str">
        <f>IFERROR(__xludf.DUMMYFUNCTION("TRIM(
  REGEXEXTRACT(
    raw!A46,
    ""(?s)●\s*조리 방법(.*)""
  )
)
"),"1. 끓는 물에 멸치가루를 넣어 육수를 만든다.
2. 해동된 굴비는 다듬어 칼집을 낸다.
3. 고추장과 호두오일, 레몬즙을 섞어 양념을 만든다.
4. 후추를 뿌린 굴비에 고추장 양념을 바른다.
5. 얇게 썬 레몬을 양념한 굴비의 위아래에 깐 다음 오븐에 굽는다.
6. 기름을 두른 팬에 다진 양파, 으깬 마늘을 넣어 볶다가 밥과 멸치 육수를 넣어 볶는다.
7. 팬에 기름을 두르고 편썰기 한 마늘과 느타리버섯을 소금, 후추 간을 해 볶는다.
8"&amp;". 리소토에 그라나파다노 치즈를 갈아 넣고 버터를 넣어 볶는다.
9. 접시에 리소토와 볶은 버섯을 담고 위에 고추장 굴비를 얹어낸다.")</f>
        <v>1. 끓는 물에 멸치가루를 넣어 육수를 만든다.
2. 해동된 굴비는 다듬어 칼집을 낸다.
3. 고추장과 호두오일, 레몬즙을 섞어 양념을 만든다.
4. 후추를 뿌린 굴비에 고추장 양념을 바른다.
5. 얇게 썬 레몬을 양념한 굴비의 위아래에 깐 다음 오븐에 굽는다.
6. 기름을 두른 팬에 다진 양파, 으깬 마늘을 넣어 볶다가 밥과 멸치 육수를 넣어 볶는다.
7. 팬에 기름을 두르고 편썰기 한 마늘과 느타리버섯을 소금, 후추 간을 해 볶는다.
8. 리소토에 그라나파다노 치즈를 갈아 넣고 버터를 넣어 볶는다.
9. 접시에 리소토와 볶은 버섯을 담고 위에 고추장 굴비를 얹어낸다.</v>
      </c>
    </row>
    <row r="47">
      <c r="A47" s="2" t="str">
        <f>recipe!C47
</f>
        <v>낙지 호로록</v>
      </c>
      <c r="B47" s="2" t="str">
        <f>IFERROR(__xludf.DUMMYFUNCTION("TRIM(
  REGEXEXTRACT(
    raw!A47,
    ""(?s)●\s*조리 방법(.*)""
  )
)
"),"1. 낙지는 소금을 뿌려 깨끗하게 씻는다.
2. 돌나물, 채 썬 양파, 얇게 썬 청양고추를 각각 얼음물에 담근다.
3. 끓는 물에 식초와 소금을 넣고 낙지를 데친다.
4. 데친 낙지는 얼음물에 식혀둔다.
5. 레몬청, 얼음, 설탕, 다진마늘, 페페로치노를 믹서에 곱게 갈아 소스를 만든다.
6. 식혀둔 낙지에 다진 마늘과 참기름으로 양념을 한다.
7. 접시에 돌나물, 양념한 낙지, 양파, 청양고추를 차례로 담는다.
8. 깨를 양 손으로 비벼 "&amp;"으깨 넣고 소스를 부어 완성한다.")</f>
        <v>1. 낙지는 소금을 뿌려 깨끗하게 씻는다.
2. 돌나물, 채 썬 양파, 얇게 썬 청양고추를 각각 얼음물에 담근다.
3. 끓는 물에 식초와 소금을 넣고 낙지를 데친다.
4. 데친 낙지는 얼음물에 식혀둔다.
5. 레몬청, 얼음, 설탕, 다진마늘, 페페로치노를 믹서에 곱게 갈아 소스를 만든다.
6. 식혀둔 낙지에 다진 마늘과 참기름으로 양념을 한다.
7. 접시에 돌나물, 양념한 낙지, 양파, 청양고추를 차례로 담는다.
8. 깨를 양 손으로 비벼 으깨 넣고 소스를 부어 완성한다.</v>
      </c>
    </row>
    <row r="48">
      <c r="A48" s="2" t="str">
        <f>recipe!C48
</f>
        <v>달.고.나</v>
      </c>
      <c r="B48" s="2" t="str">
        <f>IFERROR(__xludf.DUMMYFUNCTION("TRIM(
  REGEXEXTRACT(
    raw!A48,
    ""(?s)●\s*조리 방법(.*)""
  )
)
"),"1. 한 입 크기로 썬 양파와 당근을 볶다가 설탕을 넣는다.
2. 돼지고기 앞다리살을 반으로 가르고 고기망치로 육질을 부드럽게 만든다.
3. 볶던 채소에 물을 부어 끓인다.
4. 고기에 소금 후추로 간을 하고 마살라와 밀가루를 묻혀 기름을 두른 팬에 굽는다.
5. 채소를 끓인 물을 고기에 부어 익힌다.
6. 고기를 다른 팬에 옮기고 남은 육수에 밀가루와 버터를 넣어 소스를 만든다.
7. 쪽파를 굽는다.
8. 접시에 볶은 야채, 고기, 쪽파를"&amp;" 차례로 올리고 소스를 뿌려 완성한다.")</f>
        <v>1. 한 입 크기로 썬 양파와 당근을 볶다가 설탕을 넣는다.
2. 돼지고기 앞다리살을 반으로 가르고 고기망치로 육질을 부드럽게 만든다.
3. 볶던 채소에 물을 부어 끓인다.
4. 고기에 소금 후추로 간을 하고 마살라와 밀가루를 묻혀 기름을 두른 팬에 굽는다.
5. 채소를 끓인 물을 고기에 부어 익힌다.
6. 고기를 다른 팬에 옮기고 남은 육수에 밀가루와 버터를 넣어 소스를 만든다.
7. 쪽파를 굽는다.
8. 접시에 볶은 야채, 고기, 쪽파를 차례로 올리고 소스를 뿌려 완성한다.</v>
      </c>
    </row>
    <row r="49">
      <c r="A49" s="2" t="str">
        <f>recipe!C49
</f>
        <v>오순도순</v>
      </c>
      <c r="B49" s="2" t="str">
        <f>IFERROR(__xludf.DUMMYFUNCTION("TRIM(
  REGEXEXTRACT(
    raw!A49,
    ""(?s)●\s*조리 방법(.*)""
  )
)
"),"1. 올리브유를 두른 팬에 다진 오징어 다리, 양파, 대파, 청양고추를 넣어 볶는다.
2. 밥과 쌈장을 넣고 볶다가 토마토를 갈아 넣는다.
3. 오징어 몸통의 속을 채운 다음 그릴팬에 굽는다.
4. 접시에 쌈채소, 토마토, 레몬, 케이퍼를 놓고 가운데 오징어를 놓는다.
5. 오징어에 칼집을 내고 그라나파다노 치즈를 갈아 오징어 위에 뿌려준다.")</f>
        <v>1. 올리브유를 두른 팬에 다진 오징어 다리, 양파, 대파, 청양고추를 넣어 볶는다.
2. 밥과 쌈장을 넣고 볶다가 토마토를 갈아 넣는다.
3. 오징어 몸통의 속을 채운 다음 그릴팬에 굽는다.
4. 접시에 쌈채소, 토마토, 레몬, 케이퍼를 놓고 가운데 오징어를 놓는다.
5. 오징어에 칼집을 내고 그라나파다노 치즈를 갈아 오징어 위에 뿌려준다.</v>
      </c>
    </row>
    <row r="50">
      <c r="A50" s="2" t="str">
        <f>recipe!C50
</f>
        <v>굴링굴링</v>
      </c>
      <c r="B50" s="2" t="str">
        <f>IFERROR(__xludf.DUMMYFUNCTION("TRIM(
  REGEXEXTRACT(
    raw!A50,
    ""(?s)●\s*조리 방법(.*)""
  )
)
"),"1. 굴에 소금을 많이 뿌려 수분을 뺀다.
2. 식초, 설탕, 간장, 국수장국, 연겨자, 굴소스, 우스터소스를 끓여 소스를 만든다.
3. 수분을 제거한 굴을 물에 담가 남은 염분을 제거한다.
4. 물기를 닦아낸 굴에 전분을 입혀서 튀긴다.
5. 끓인 소스에 물전분을 넣어 걸쭉하게 만든다.
6. 접시에 굴튀김을 담고 채 썬 양파, 다진 고추와 매실장아찌, 소스를 얹는다.
7. 다진 파를 뿌려 완성한다.")</f>
        <v>1. 굴에 소금을 많이 뿌려 수분을 뺀다.
2. 식초, 설탕, 간장, 국수장국, 연겨자, 굴소스, 우스터소스를 끓여 소스를 만든다.
3. 수분을 제거한 굴을 물에 담가 남은 염분을 제거한다.
4. 물기를 닦아낸 굴에 전분을 입혀서 튀긴다.
5. 끓인 소스에 물전분을 넣어 걸쭉하게 만든다.
6. 접시에 굴튀김을 담고 채 썬 양파, 다진 고추와 매실장아찌, 소스를 얹는다.
7. 다진 파를 뿌려 완성한다.</v>
      </c>
    </row>
    <row r="51">
      <c r="A51" s="2" t="str">
        <f>recipe!C51
</f>
        <v>보굴보굴</v>
      </c>
      <c r="B51" s="2" t="str">
        <f>IFERROR(__xludf.DUMMYFUNCTION("TRIM(
  REGEXEXTRACT(
    raw!A51,
    ""(?s)●\s*조리 방법(.*)""
  )
)
"),"1. 끓는 물에 굴을 넣고 삶아서 육수를 만든다.
2. 팬에 버터, 밀가루를 넣어서 루를 만든다.
3. 참기름, 마늘, 불린 미역을 함께 볶다가 굴 육수를 넣고 끓인다.
4. 루에 우유를 부어 베샤멜 소스를 만든다.
5. 팬에 다진 양파와 굴을 넣어 볶는다.
6. 미역과 함께 끓인 굴 육수에 베샤멜 소스를 넣어 함께 끓인다.
7. 끓인 스프를 믹서기에 넣고 간다.
8. 스프를 체에 거르고 볶은 굴과 양파를 넣은 뒤 소금, 후추로 간을 한다.
9. 그릇에"&amp;" 완성된 스프를 담고 참기름을 뿌려 낸다.")</f>
        <v>1. 끓는 물에 굴을 넣고 삶아서 육수를 만든다.
2. 팬에 버터, 밀가루를 넣어서 루를 만든다.
3. 참기름, 마늘, 불린 미역을 함께 볶다가 굴 육수를 넣고 끓인다.
4. 루에 우유를 부어 베샤멜 소스를 만든다.
5. 팬에 다진 양파와 굴을 넣어 볶는다.
6. 미역과 함께 끓인 굴 육수에 베샤멜 소스를 넣어 함께 끓인다.
7. 끓인 스프를 믹서기에 넣고 간다.
8. 스프를 체에 거르고 볶은 굴과 양파를 넣은 뒤 소금, 후추로 간을 한다.
9. 그릇에 완성된 스프를 담고 참기름을 뿌려 낸다.</v>
      </c>
    </row>
    <row r="52">
      <c r="A52" s="2" t="str">
        <f>recipe!C52
</f>
        <v>허풍찜닭밥</v>
      </c>
      <c r="B52" s="2" t="str">
        <f>IFERROR(__xludf.DUMMYFUNCTION("TRIM(
  REGEXEXTRACT(
    raw!A52,
    ""(?s)●\s*조리 방법(.*)""
  )
)
"),"1. 팬에 채 썬 양파를 볶다가 소금, 후추 간을 한다.
2. 다진 양파에 콜라를 붓고, 닭가슴살 통조림, 우스터소스를 넣어 졸인다.
3. 끓는 물에 김치를 잘라 넣는다.
4. 달걀과 카레가루를 함께 푼다.
5. 살짝 익힌 즉석밥을 달걀물에 넣고 섞어 팬에 볶는다.
6. 토마토 간 것과 참치 통조림을 찌개에 부어 함께 끓인다.
7. 졸인 닭가슴살에 전분을 넣어 농도를 조절한다.
8. 찌개에 우스터소스와 설탕을 넣는다.
9. 찌개에는 굴소스"&amp;"를, 닭가슴살에는 레몬즙을 넣어 마무리한다.
10. 볶음밥에 콜라에 졸인 닭가슴살을 곁들이고, 김치찌개를 따로 낸다.")</f>
        <v>1. 팬에 채 썬 양파를 볶다가 소금, 후추 간을 한다.
2. 다진 양파에 콜라를 붓고, 닭가슴살 통조림, 우스터소스를 넣어 졸인다.
3. 끓는 물에 김치를 잘라 넣는다.
4. 달걀과 카레가루를 함께 푼다.
5. 살짝 익힌 즉석밥을 달걀물에 넣고 섞어 팬에 볶는다.
6. 토마토 간 것과 참치 통조림을 찌개에 부어 함께 끓인다.
7. 졸인 닭가슴살에 전분을 넣어 농도를 조절한다.
8. 찌개에 우스터소스와 설탕을 넣는다.
9. 찌개에는 굴소스를, 닭가슴살에는 레몬즙을 넣어 마무리한다.
10. 볶음밥에 콜라에 졸인 닭가슴살을 곁들이고, 김치찌개를 따로 낸다.</v>
      </c>
    </row>
    <row r="53">
      <c r="A53" s="2" t="str">
        <f>recipe!C53
</f>
        <v>허달달</v>
      </c>
      <c r="B53" s="2" t="str">
        <f>IFERROR(__xludf.DUMMYFUNCTION("TRIM(
  REGEXEXTRACT(
    raw!A53,
    ""(?s)●\s*조리 방법(.*)""
  )
)
"),"1. 다시마와 멸치로 육수를 낸다.
2. 팬에 기름을 두르고 대파를 볶는다.
3. 육수에 새송이 버섯, 채 썬 양파, 두부를 넣고 된장을 푼다.
4. 치킨 비프볼과 다진 마늘, 다진 생강, 굴소스를 섞은 다음 대파와 함께 볶는다.
5. 즉석밥과 치킨 비프볼을 함께 볶는다.
6. 달걀물을 부어 함께 볶아 볶음밥을 완성한다.
7. 된장국에 체에 내린 달걀물을 넣어 함께 끓인다.
8. 달걀물에 우유, 설탕을 넣고 소로보빵을 적셔 팬에 굽는다.
"&amp;"9. 볶음밥, 된장국, 프렌치토스트를 따로 담아 낸다.")</f>
        <v>1. 다시마와 멸치로 육수를 낸다.
2. 팬에 기름을 두르고 대파를 볶는다.
3. 육수에 새송이 버섯, 채 썬 양파, 두부를 넣고 된장을 푼다.
4. 치킨 비프볼과 다진 마늘, 다진 생강, 굴소스를 섞은 다음 대파와 함께 볶는다.
5. 즉석밥과 치킨 비프볼을 함께 볶는다.
6. 달걀물을 부어 함께 볶아 볶음밥을 완성한다.
7. 된장국에 체에 내린 달걀물을 넣어 함께 끓인다.
8. 달걀물에 우유, 설탕을 넣고 소로보빵을 적셔 팬에 굽는다.
9. 볶음밥, 된장국, 프렌치토스트를 따로 담아 낸다.</v>
      </c>
    </row>
    <row r="54">
      <c r="A54" s="2" t="str">
        <f>recipe!C54
</f>
        <v>파콘 투게더</v>
      </c>
      <c r="B54" s="2" t="str">
        <f>IFERROR(__xludf.DUMMYFUNCTION("TRIM(
  REGEXEXTRACT(
    raw!A54,
    ""(?s)●\s*조리 방법(.*)""
  )
)
"),"1. 옥수수와 참치를 체에 받쳐 수분과 기름기를 제거한다.
2. 끓는 물에 소금을 넣고 펜네를 삶는다.
3. 방울토마토를 썰어 레몬즙을 뿌리고 올리브유와 소금, 다진 고수를 넣어 섞는다.
4. 채 썬 양파와 잘게 썬 베이컨을 팬에 볶는다.
5. 아보카도를 잘게 썰어 샐러드에 넣고 섞는다.
6. 팬에 칠리파우더, 방울토마토, 면수를 넣어 볶는다.
7. 채소를 볶던 팬에 토마토소스를 넣어 끓인다.
8. 삶은 펜네를 토마토소스에 넣고 함께 볶는다"&amp;".
9. 파마산 치즈를 뿌려 파스타를 완성한다.
10. 샐러드 위에 옥수수와 참치를 올리고 레몬즙, 다진 고수를 뿌려 파스타와 함께 낸다.")</f>
        <v>1. 옥수수와 참치를 체에 받쳐 수분과 기름기를 제거한다.
2. 끓는 물에 소금을 넣고 펜네를 삶는다.
3. 방울토마토를 썰어 레몬즙을 뿌리고 올리브유와 소금, 다진 고수를 넣어 섞는다.
4. 채 썬 양파와 잘게 썬 베이컨을 팬에 볶는다.
5. 아보카도를 잘게 썰어 샐러드에 넣고 섞는다.
6. 팬에 칠리파우더, 방울토마토, 면수를 넣어 볶는다.
7. 채소를 볶던 팬에 토마토소스를 넣어 끓인다.
8. 삶은 펜네를 토마토소스에 넣고 함께 볶는다.
9. 파마산 치즈를 뿌려 파스타를 완성한다.
10. 샐러드 위에 옥수수와 참치를 올리고 레몬즙, 다진 고수를 뿌려 파스타와 함께 낸다.</v>
      </c>
    </row>
    <row r="55">
      <c r="A55" s="2" t="str">
        <f>recipe!C55
</f>
        <v>백 투 더 치킨</v>
      </c>
      <c r="B55" s="2" t="str">
        <f>IFERROR(__xludf.DUMMYFUNCTION("TRIM(
  REGEXEXTRACT(
    raw!A55,
    ""(?s)●\s*조리 방법(.*)""
  )
)
"),"1. 닭의 뼈를 발라 육수를 낸다.
2. 닭고기를 올리브유를 두른 팬에 굽는다.
3. 닭고기에 생강을 갈아 넣고 소금, 후추로 간을 한다.
4. 양파와 당근을 다져 넣고 함께 볶는다.
5. 육수에 달걀 흰자를 넣는다.
6. 육수를 체에 걸러 남은 기름기를 제거한다.
7. 닭고기를 익히던 팬에 육수를 부어 함께 끓인다.
8. 스튜에 방울토마토를 갈아 넣는다.
9. 스튜에 물전분을 넣어 농도를 조절한다.
10. 즉석밥에 고수를 올리고 완성된 스튜와 함께 낸"&amp;"다.")</f>
        <v>1. 닭의 뼈를 발라 육수를 낸다.
2. 닭고기를 올리브유를 두른 팬에 굽는다.
3. 닭고기에 생강을 갈아 넣고 소금, 후추로 간을 한다.
4. 양파와 당근을 다져 넣고 함께 볶는다.
5. 육수에 달걀 흰자를 넣는다.
6. 육수를 체에 걸러 남은 기름기를 제거한다.
7. 닭고기를 익히던 팬에 육수를 부어 함께 끓인다.
8. 스튜에 방울토마토를 갈아 넣는다.
9. 스튜에 물전분을 넣어 농도를 조절한다.
10. 즉석밥에 고수를 올리고 완성된 스튜와 함께 낸다.</v>
      </c>
    </row>
    <row r="56">
      <c r="A56" s="2" t="str">
        <f>recipe!C56
</f>
        <v>멕시코 갓(god) 쌈?!</v>
      </c>
      <c r="B56" s="2" t="str">
        <f>IFERROR(__xludf.DUMMYFUNCTION("TRIM(
  REGEXEXTRACT(
    raw!A56,
    ""(?s)●\s*조리 방법(.*)""
  )
)
"),"1. 망고스틴, 양파, 방울토마토, 고수를 다져서 섞어 타코 토핑을 만든다.
2. 사워크림과 사과를 섞어 딥소스를 만든다.
3. 잘게 썬 닭고기를 타코시즈닝, 화이트 와인을 넣어 볶는다.
4. 소시지를 길게 잘라 굽는다.
5. 슬라이스 치즈는 길게 잘라 둔다.
6. 가장자리를 자른 식빵을 밀대로 납작하게 펴서 팬에 굽는다.
7. 식빵과 볶은 닭고기, 타코 토핑, 구운 소시지, 치즈, 사과 딥소스를 함께 낸다.")</f>
        <v>1. 망고스틴, 양파, 방울토마토, 고수를 다져서 섞어 타코 토핑을 만든다.
2. 사워크림과 사과를 섞어 딥소스를 만든다.
3. 잘게 썬 닭고기를 타코시즈닝, 화이트 와인을 넣어 볶는다.
4. 소시지를 길게 잘라 굽는다.
5. 슬라이스 치즈는 길게 잘라 둔다.
6. 가장자리를 자른 식빵을 밀대로 납작하게 펴서 팬에 굽는다.
7. 식빵과 볶은 닭고기, 타코 토핑, 구운 소시지, 치즈, 사과 딥소스를 함께 낸다.</v>
      </c>
    </row>
    <row r="57">
      <c r="A57" s="2" t="str">
        <f>recipe!C57
</f>
        <v>타코 리턴</v>
      </c>
      <c r="B57" s="2" t="str">
        <f>IFERROR(__xludf.DUMMYFUNCTION("TRIM(
  REGEXEXTRACT(
    raw!A57,
    ""(?s)●\s*조리 방법(.*)""
  )
)
"),"1. 만두피를 기름에 튀긴다.
2. 다진 소고기에 소금, 후추 간을 해서 볶는다.
3. 볶던 소고기에 타코시즈닝으로 양념을 한다.
4. 고추를 가스레인지 불에 그대로 올려 직화한다.
5. 방울토마토, 양파, 청양고추 섞은 것에 핫소스, 스리라차 소스를 넣는다.
6. 얼린 토마토, 고수, 마늘장아찌, 올리브유, 후추, 레몬즙을 섞는다.
7. 구운 고추를 다져서 넣고 아보카도를 올려 타코 토핑을 완성한다.
8. 튀긴 만두피, 볶은 고기, 타코 "&amp;"토핑, 사워크림, 스리라차 소스를 함께 낸다.")</f>
        <v>1. 만두피를 기름에 튀긴다.
2. 다진 소고기에 소금, 후추 간을 해서 볶는다.
3. 볶던 소고기에 타코시즈닝으로 양념을 한다.
4. 고추를 가스레인지 불에 그대로 올려 직화한다.
5. 방울토마토, 양파, 청양고추 섞은 것에 핫소스, 스리라차 소스를 넣는다.
6. 얼린 토마토, 고수, 마늘장아찌, 올리브유, 후추, 레몬즙을 섞는다.
7. 구운 고추를 다져서 넣고 아보카도를 올려 타코 토핑을 완성한다.
8. 튀긴 만두피, 볶은 고기, 타코 토핑, 사워크림, 스리라차 소스를 함께 낸다.</v>
      </c>
    </row>
    <row r="58">
      <c r="A58" s="2" t="str">
        <f>recipe!C58
</f>
        <v>냉장고탕</v>
      </c>
      <c r="B58" s="2" t="str">
        <f>IFERROR(__xludf.DUMMYFUNCTION("TRIM(
  REGEXEXTRACT(
    raw!A58,
    ""(?s)●\s*조리 방법(.*)""
  )
)
"),"1. 김치를 물에 씻는다.
2. 김치와 양파를 채 썰어 다진 마늘과 참기름으로 양념한다.
3. 2에 다진 대파를 섞고 냄비에 넣어 볶는다.
4. 3에 물과 청주를 부어 끓인다.
5. 잘게 썬 청양고추를 넣어 끓인다.
6. 기름을 두른 팬에 고등어를 구워서 으깬다.
7. 믹서에 고등어, 뜨거운 물을 넣고 갈아 냄비에 넣는다.
8. 상추를 넣고 된장을 푼 다음 두부를 넣는다.
9. 깨를 갈아 넣고 후추를 뿌린다.
10. 완성된 탕에 대파를 "&amp;"썰어 올리고 밥과 함께 낸다.")</f>
        <v>1. 김치를 물에 씻는다.
2. 김치와 양파를 채 썰어 다진 마늘과 참기름으로 양념한다.
3. 2에 다진 대파를 섞고 냄비에 넣어 볶는다.
4. 3에 물과 청주를 부어 끓인다.
5. 잘게 썬 청양고추를 넣어 끓인다.
6. 기름을 두른 팬에 고등어를 구워서 으깬다.
7. 믹서에 고등어, 뜨거운 물을 넣고 갈아 냄비에 넣는다.
8. 상추를 넣고 된장을 푼 다음 두부를 넣는다.
9. 깨를 갈아 넣고 후추를 뿌린다.
10. 완성된 탕에 대파를 썰어 올리고 밥과 함께 낸다.</v>
      </c>
    </row>
    <row r="59">
      <c r="A59" s="2" t="str">
        <f>recipe!C59
</f>
        <v>고된 밀푀유</v>
      </c>
      <c r="B59" s="2" t="str">
        <f>IFERROR(__xludf.DUMMYFUNCTION("TRIM(
  REGEXEXTRACT(
    raw!A59,
    ""(?s)●\s*조리 방법(.*)""
  )
)
"),"1. 원형 틀을 이용해 두부를 동그랗게 자르고 얇게 포를 뜬다.
2. 기름을 두른 팬에 두부를 바삭하게 지진다.
3. 감자는 작게 썰어 끓는 물에 삶는다.
4. 고등어에 된장을 바르고 버터를 두른 팬에 굽는다.
5. 다진 마늘과 다진 생강, 청주, 미림을 부어 익힌다.
6. 버터와 된장을 섞는다.
7. 삶은 감자, 버터, 된장버터를 섞어 퓨레를 만든다.
8. 다진 할라피뇨를 넣는다.
9. 체를 이용해 구운 고등어와 소스를 분리한다.
10"&amp;". 접시에 감자 퓨레, 고등어, 두부를 차례로 쌓는다.
11. 올리브유와 레몬즙, 유자청, 다진 상추를 섞어 가니쉬를 만든다.
12. 밀푀유 위에 가니쉬를 얹고 소스를 둘러 완성한다.")</f>
        <v>1. 원형 틀을 이용해 두부를 동그랗게 자르고 얇게 포를 뜬다.
2. 기름을 두른 팬에 두부를 바삭하게 지진다.
3. 감자는 작게 썰어 끓는 물에 삶는다.
4. 고등어에 된장을 바르고 버터를 두른 팬에 굽는다.
5. 다진 마늘과 다진 생강, 청주, 미림을 부어 익힌다.
6. 버터와 된장을 섞는다.
7. 삶은 감자, 버터, 된장버터를 섞어 퓨레를 만든다.
8. 다진 할라피뇨를 넣는다.
9. 체를 이용해 구운 고등어와 소스를 분리한다.
10. 접시에 감자 퓨레, 고등어, 두부를 차례로 쌓는다.
11. 올리브유와 레몬즙, 유자청, 다진 상추를 섞어 가니쉬를 만든다.
12. 밀푀유 위에 가니쉬를 얹고 소스를 둘러 완성한다.</v>
      </c>
    </row>
    <row r="60">
      <c r="A60" s="2" t="str">
        <f>recipe!C60
</f>
        <v>안심하드라고~!</v>
      </c>
      <c r="B60" s="2" t="str">
        <f>IFERROR(__xludf.DUMMYFUNCTION("TRIM(
  REGEXEXTRACT(
    raw!A60,
    ""(?s)●\s*조리 방법(.*)""
  )
)
"),"1. 끓는 물에 소금, 버터를 넣고 감자, 당근, 대파를 삶는다.
2. 소금, 후추 간을 한 안심을 달군 팬에 굽는다.
3. 고기를 굽는 팬에 삶은 대파를 넣어 함께 굽는다.
4. 삶은 당근에 버터, 레몬즙, 설탕을 넣고 볶아준다.
5. 4에 레몬 껍질을 갈아 넣는다.
6. 팬에 레드와인을 붓고 팥 아이스크림과 버터를 넣고 졸인다.
7. 체에 팥 건더기를 거르고 소스만 끓인다.
8. 접시에 안심 스테이크와 감자, 당근, 대파를 올리고 팥소스"&amp;"를 뿌려낸다.")</f>
        <v>1. 끓는 물에 소금, 버터를 넣고 감자, 당근, 대파를 삶는다.
2. 소금, 후추 간을 한 안심을 달군 팬에 굽는다.
3. 고기를 굽는 팬에 삶은 대파를 넣어 함께 굽는다.
4. 삶은 당근에 버터, 레몬즙, 설탕을 넣고 볶아준다.
5. 4에 레몬 껍질을 갈아 넣는다.
6. 팬에 레드와인을 붓고 팥 아이스크림과 버터를 넣고 졸인다.
7. 체에 팥 건더기를 거르고 소스만 끓인다.
8. 접시에 안심 스테이크와 감자, 당근, 대파를 올리고 팥소스를 뿌려낸다.</v>
      </c>
    </row>
    <row r="61">
      <c r="A61" s="2" t="str">
        <f>recipe!C61
</f>
        <v>미숫가루보나라</v>
      </c>
      <c r="B61" s="2" t="str">
        <f>IFERROR(__xludf.DUMMYFUNCTION("TRIM(
  REGEXEXTRACT(
    raw!A61,
    ""(?s)●\s*조리 방법(.*)""
  )
)
"),"1. 믹서에 우유와 미숫가루를 넣고 간다.
2. 냄비에 1을 붓고 설탕을 넣어 끓인다.
3. 달걀, 박력분, 우유를 넣고 반죽을 만든다.
4. 기름을 두른 팬에 반죽을 부어 굽는다.
5. 미숫가루 소스에 소금 간을 한다.
6. 구워진 반죽을 가늘게 썰어 면을 만든다.
7. 미숫가루 소스에 면을 넣어 끓인다.
8. 접시에 면과 소스를 담고 초콜릿을 뿌려낸다.")</f>
        <v>1. 믹서에 우유와 미숫가루를 넣고 간다.
2. 냄비에 1을 붓고 설탕을 넣어 끓인다.
3. 달걀, 박력분, 우유를 넣고 반죽을 만든다.
4. 기름을 두른 팬에 반죽을 부어 굽는다.
5. 미숫가루 소스에 소금 간을 한다.
6. 구워진 반죽을 가늘게 썰어 면을 만든다.
7. 미숫가루 소스에 면을 넣어 끓인다.
8. 접시에 면과 소스를 담고 초콜릿을 뿌려낸다.</v>
      </c>
    </row>
    <row r="62">
      <c r="A62" s="2" t="str">
        <f>recipe!C62
</f>
        <v>미소볼</v>
      </c>
      <c r="B62" s="2" t="str">
        <f>IFERROR(__xludf.DUMMYFUNCTION("TRIM(
  REGEXEXTRACT(
    raw!A62,
    ""(?s)●\s*조리 방법(.*)""
  )
)
"),"1. 냄비에 으깬 마늘, 미트볼, 레드와인, 다진 생강을 넣고 끓인다.
2. 토마토 소스에 크림치즈를 넣어 소스를 만든다.
3. 버터를 두른 팬에 옥수수를 넣고 설탕, 간장을 넣어 볶는다.
4. 미트볼에 토마토 소스를 넣고 간장을 넣어 끓인다.
5. 고추, 팽이버섯, 새송이버섯, 대파, 양파를 굽는다.
6. 소금, 후추 간을 하고 레몬 껍질을 갈아 넣는다.
7. 채소에 레몬즙을 넣는다.
8. 미트볼에 파마산 치즈를 뿌린다.
9. 달걀 프라"&amp;"이를 만든다.
10. 그릇에 밥, 미트볼, 달걀 프라이, 옥수수, 채소를 얹어낸다.")</f>
        <v>1. 냄비에 으깬 마늘, 미트볼, 레드와인, 다진 생강을 넣고 끓인다.
2. 토마토 소스에 크림치즈를 넣어 소스를 만든다.
3. 버터를 두른 팬에 옥수수를 넣고 설탕, 간장을 넣어 볶는다.
4. 미트볼에 토마토 소스를 넣고 간장을 넣어 끓인다.
5. 고추, 팽이버섯, 새송이버섯, 대파, 양파를 굽는다.
6. 소금, 후추 간을 하고 레몬 껍질을 갈아 넣는다.
7. 채소에 레몬즙을 넣는다.
8. 미트볼에 파마산 치즈를 뿌린다.
9. 달걀 프라이를 만든다.
10. 그릇에 밥, 미트볼, 달걀 프라이, 옥수수, 채소를 얹어낸다.</v>
      </c>
    </row>
    <row r="63">
      <c r="A63" s="2" t="str">
        <f>recipe!C63
</f>
        <v>와풍 주니어 버거</v>
      </c>
      <c r="B63" s="2" t="str">
        <f>IFERROR(__xludf.DUMMYFUNCTION("TRIM(
  REGEXEXTRACT(
    raw!A63,
    ""(?s)●\s*조리 방법(.*)""
  )
)
"),"1. 미트볼, 통조림햄, 달걀을 함께 으깨어 섞는다.
2. 둥글게 패티를 만들어 굽는다.
3. 버터를 두른 팬에 채 썬 양파, 팽이버섯을 볶다가 소금, 후추 간을 한다.
4. 카스테라 두 개를 납작하게 누른다.
5. 패티 위에 슬라이스 치즈를 올리고 뚜껑을 닫아 치즈를 녹인다.
6. 마요네즈, 머스터드, 다진 마늘, 후추를 섞어 소스를 만든다.
7. 카스테라→패티→볶은 채소→소스→카스테라 순으로 얹어 낸다.")</f>
        <v>1. 미트볼, 통조림햄, 달걀을 함께 으깨어 섞는다.
2. 둥글게 패티를 만들어 굽는다.
3. 버터를 두른 팬에 채 썬 양파, 팽이버섯을 볶다가 소금, 후추 간을 한다.
4. 카스테라 두 개를 납작하게 누른다.
5. 패티 위에 슬라이스 치즈를 올리고 뚜껑을 닫아 치즈를 녹인다.
6. 마요네즈, 머스터드, 다진 마늘, 후추를 섞어 소스를 만든다.
7. 카스테라→패티→볶은 채소→소스→카스테라 순으로 얹어 낸다.</v>
      </c>
    </row>
    <row r="64">
      <c r="A64" s="2" t="str">
        <f>recipe!C64
</f>
        <v>트리퐁크라운</v>
      </c>
      <c r="B64" s="2" t="str">
        <f>IFERROR(__xludf.DUMMYFUNCTION("TRIM(
  REGEXEXTRACT(
    raw!A64,
    ""(?s)●\s*조리 방법(.*)""
  )
)
"),"1. 냄비 두 개에 우유를 끓인다.
2. 크림치즈를 전자레인지에 넣어 녹인다.
3. 달걀, 설탕, 사과주스, 레몬즙을 섞어서 끓인다.
4. 3에 버터를 넣어 커스터드 크림을 만든다.
5. 체에 거른 커스터드 크림을 냉동실에 넣어 식힌다.
6. 끓인 우유에 초콜릿을 넣어 녹인다.
7. 초콜릿 소스에 호두를 갈아 넣는다.
8. 끓인 우유에 크림치즈, 레몬즙을 넣어 끓인다.
9. 크림치즈 소스에 바닐라 시럽을 넣는다.
10. 깍둑썰기 한 카스"&amp;"테라를 접시에 담고, 크림치즈 소스, 초콜릿 소스, 커스터드 크림을 각각 담아낸다.
11. 시리얼을 잘게 부숴 함께 낸다.")</f>
        <v>1. 냄비 두 개에 우유를 끓인다.
2. 크림치즈를 전자레인지에 넣어 녹인다.
3. 달걀, 설탕, 사과주스, 레몬즙을 섞어서 끓인다.
4. 3에 버터를 넣어 커스터드 크림을 만든다.
5. 체에 거른 커스터드 크림을 냉동실에 넣어 식힌다.
6. 끓인 우유에 초콜릿을 넣어 녹인다.
7. 초콜릿 소스에 호두를 갈아 넣는다.
8. 끓인 우유에 크림치즈, 레몬즙을 넣어 끓인다.
9. 크림치즈 소스에 바닐라 시럽을 넣는다.
10. 깍둑썰기 한 카스테라를 접시에 담고, 크림치즈 소스, 초콜릿 소스, 커스터드 크림을 각각 담아낸다.
11. 시리얼을 잘게 부숴 함께 낸다.</v>
      </c>
    </row>
    <row r="65">
      <c r="A65" s="2" t="str">
        <f>recipe!C65
</f>
        <v>라벤더숲</v>
      </c>
      <c r="B65" s="2" t="str">
        <f>IFERROR(__xludf.DUMMYFUNCTION("TRIM(
  REGEXEXTRACT(
    raw!A65,
    ""(?s)●\s*조리 방법(.*)""
  )
)
"),"1. 냄비에 우유, 설탕, 라벤더 티백을 넣어 끓인다.
2. 달걀 노른자에 설탕을 넣고 섞다가 1을 부어 함께 섞는다.
3. 체를 이용해 거품과 티백을 거르고 다시 끓인다.
4. 아사이베리즙에 레몬즙을 넣어 끓인다.
5. 다진 아몬드, 잘게 썬 사과를 완성 그릇에 깔아준다.
6. 카스테라를 얇게 썰어 아몬드와 사과 위에 얹는다.
7. 완성된 라벤더 소스를 카스테라에 붓는다.
8. 다진 초콜릿을 올린다.
9. 쿠키를 올리고 아사이베리 소스를"&amp;" 둘러 완성한다.")</f>
        <v>1. 냄비에 우유, 설탕, 라벤더 티백을 넣어 끓인다.
2. 달걀 노른자에 설탕을 넣고 섞다가 1을 부어 함께 섞는다.
3. 체를 이용해 거품과 티백을 거르고 다시 끓인다.
4. 아사이베리즙에 레몬즙을 넣어 끓인다.
5. 다진 아몬드, 잘게 썬 사과를 완성 그릇에 깔아준다.
6. 카스테라를 얇게 썰어 아몬드와 사과 위에 얹는다.
7. 완성된 라벤더 소스를 카스테라에 붓는다.
8. 다진 초콜릿을 올린다.
9. 쿠키를 올리고 아사이베리 소스를 둘러 완성한다.</v>
      </c>
    </row>
    <row r="66">
      <c r="A66" s="2" t="str">
        <f>recipe!C66
</f>
        <v>살치는 매운 요리</v>
      </c>
      <c r="B66" s="2" t="str">
        <f>IFERROR(__xludf.DUMMYFUNCTION("TRIM(
  REGEXEXTRACT(
    raw!A66,
    ""(?s)●\s*조리 방법(.*)""
  )
)
"),"1. 올리브유에 마늘, 페페론치노, 파슬리, 레몬즙을 넣고 끓인다.
2. 감자를 삶는다.
3. 마늘 기름을 두른 팬에 채 썬 양배추를 볶는다.
4. 소금, 후추로 간을 한 살치살을 굽는다.
5. 고추와 콜라비, 아보카도를 함께 구워준다.
6. 살치살과 볶은 양배추를 접시에 담는다.
7. 구운 고추를 올리고 마늘 기름을 둘러 완성한다.")</f>
        <v>1. 올리브유에 마늘, 페페론치노, 파슬리, 레몬즙을 넣고 끓인다.
2. 감자를 삶는다.
3. 마늘 기름을 두른 팬에 채 썬 양배추를 볶는다.
4. 소금, 후추로 간을 한 살치살을 굽는다.
5. 고추와 콜라비, 아보카도를 함께 구워준다.
6. 살치살과 볶은 양배추를 접시에 담는다.
7. 구운 고추를 올리고 마늘 기름을 둘러 완성한다.</v>
      </c>
    </row>
    <row r="67">
      <c r="A67" s="2" t="str">
        <f>recipe!C67
</f>
        <v>삼고마비</v>
      </c>
      <c r="B67" s="2" t="str">
        <f>IFERROR(__xludf.DUMMYFUNCTION("TRIM(
  REGEXEXTRACT(
    raw!A67,
    ""(?s)●\s*조리 방법(.*)""
  )
)
"),"1. 올리브유에 대파를 넣어 끓인다.
2. 1에 고춧가루, 페페론치노를 넣어 함께 끓인다.
3. 얇게 채 썬 콜라비에 소금을 뿌려 숨을 죽인다.
3. 소금, 후추 간을 한 꽃갈비살을 굽는다.
4. 익힌 꽃갈비살을 얇게 썬다.
5. 콜라비에 매실액을 넣는다.
6. 콜라비에 다진 대파와 설탕을 넣어 섞는다.
7. 끓인 기름을 체에 거르고 꿀과 레몬즙을 넣고 섞는다.
8. 접시에 꽃갈비살과 콜라비를 올리고 기름을 두른다.
9. 얇게 썬 청양고"&amp;"추와 레몬 껍질을 갈아 올려서 완성한다.")</f>
        <v>1. 올리브유에 대파를 넣어 끓인다.
2. 1에 고춧가루, 페페론치노를 넣어 함께 끓인다.
3. 얇게 채 썬 콜라비에 소금을 뿌려 숨을 죽인다.
3. 소금, 후추 간을 한 꽃갈비살을 굽는다.
4. 익힌 꽃갈비살을 얇게 썬다.
5. 콜라비에 매실액을 넣는다.
6. 콜라비에 다진 대파와 설탕을 넣어 섞는다.
7. 끓인 기름을 체에 거르고 꿀과 레몬즙을 넣고 섞는다.
8. 접시에 꽃갈비살과 콜라비를 올리고 기름을 두른다.
9. 얇게 썬 청양고추와 레몬 껍질을 갈아 올려서 완성한다.</v>
      </c>
    </row>
    <row r="68">
      <c r="A68" s="2" t="str">
        <f>recipe!C68
</f>
        <v>가슴이 콩닭콩닭</v>
      </c>
      <c r="B68" s="2" t="str">
        <f>IFERROR(__xludf.DUMMYFUNCTION("TRIM(
  REGEXEXTRACT(
    raw!A68,
    ""(?s)●\s*조리 방법(.*)""
  )
)
"),"1. 팬에 호일을 깔고 설탕, 파슬리를 가득 뿌린다.
2. 닭가슴살은 얇게 포를 뜬다.
3. 올리브유, 고춧가루, 후추, 소금으로 간을 한다.
4. 그릴에 닭가슴살을 올리고 뚜껑을 닫아 훈제한다.
5. 올리브유, 소금, 후추로 간을 한 애호박과 양파, 고추를 굽는다.
6. 동그랗게 파낸 콜라비를 채소와 함께 굽는다.
8. 호일에 소금을 뿌려 연기를 더한다.
8. 구운 채소에 올리브유, 발사믹 드레싱을 넣어 섞는다.
9. 접시에 채소와 훈제 닭가슴살을 올"&amp;"리고 파슬리를 뿌려준다.
10. 다진 마늘을 섞은 발사믹 드레싱과 구운 콜라비를 올려 완성한다.")</f>
        <v>1. 팬에 호일을 깔고 설탕, 파슬리를 가득 뿌린다.
2. 닭가슴살은 얇게 포를 뜬다.
3. 올리브유, 고춧가루, 후추, 소금으로 간을 한다.
4. 그릴에 닭가슴살을 올리고 뚜껑을 닫아 훈제한다.
5. 올리브유, 소금, 후추로 간을 한 애호박과 양파, 고추를 굽는다.
6. 동그랗게 파낸 콜라비를 채소와 함께 굽는다.
8. 호일에 소금을 뿌려 연기를 더한다.
8. 구운 채소에 올리브유, 발사믹 드레싱을 넣어 섞는다.
9. 접시에 채소와 훈제 닭가슴살을 올리고 파슬리를 뿌려준다.
10. 다진 마늘을 섞은 발사믹 드레싱과 구운 콜라비를 올려 완성한다.</v>
      </c>
    </row>
    <row r="69">
      <c r="A69" s="2" t="str">
        <f>recipe!C69
</f>
        <v>나 혼자 쓰리볼</v>
      </c>
      <c r="B69" s="2" t="str">
        <f>IFERROR(__xludf.DUMMYFUNCTION("TRIM(
  REGEXEXTRACT(
    raw!A69,
    ""(?s)●\s*조리 방법(.*)""
  )
)
"),"1. 물에 화이트와인을 넣고 끓인다.
2. 닭가슴살과 달걀 흰자, 크림소스, 소금, 후추를 믹서기에 넣고 간다.
3. 닭가슴살을 같은 양으로 3등분한다.
4. 3개로 나눈 닭가슴살에 각각 크림소스를 넣어준다.
5. 첫 번째 볼 : 닭가슴살 + 크림소스 + 바질페스토
6. 두 번째 볼 : 닭가슴살 + 크림소스 + 다진 청양고추, 페페론치노
7. 세 번째 볼 : 닭가슴살 + 크림소스
8. 숟가락을 이용해 닭가슴살을 완자 모양으로 만들어 끓는 물"&amp;"에 삶는다.
9. 마늘과 양파를 다져서 볶다가 완자 삶은 물을 넣어준다.
10. 10에 크림소스를 넣고 후추, 파르메산 치즈를 뿌린다.
11. 익은 완자를 건지고 크림소스 완자에 훈제연어를 두른다.
12. 크림소스 위에 세 종류의 완자를 올린다.
13. 석류와 볶은 현미를 올려 완성한다.")</f>
        <v>1. 물에 화이트와인을 넣고 끓인다.
2. 닭가슴살과 달걀 흰자, 크림소스, 소금, 후추를 믹서기에 넣고 간다.
3. 닭가슴살을 같은 양으로 3등분한다.
4. 3개로 나눈 닭가슴살에 각각 크림소스를 넣어준다.
5. 첫 번째 볼 : 닭가슴살 + 크림소스 + 바질페스토
6. 두 번째 볼 : 닭가슴살 + 크림소스 + 다진 청양고추, 페페론치노
7. 세 번째 볼 : 닭가슴살 + 크림소스
8. 숟가락을 이용해 닭가슴살을 완자 모양으로 만들어 끓는 물에 삶는다.
9. 마늘과 양파를 다져서 볶다가 완자 삶은 물을 넣어준다.
10. 10에 크림소스를 넣고 후추, 파르메산 치즈를 뿌린다.
11. 익은 완자를 건지고 크림소스 완자에 훈제연어를 두른다.
12. 크림소스 위에 세 종류의 완자를 올린다.
13. 석류와 볶은 현미를 올려 완성한다.</v>
      </c>
    </row>
    <row r="70">
      <c r="A70" s="2" t="str">
        <f>recipe!C70
</f>
        <v>연양만점</v>
      </c>
      <c r="B70" s="2" t="str">
        <f>IFERROR(__xludf.DUMMYFUNCTION("TRIM(
  REGEXEXTRACT(
    raw!A70,
    ""(?s)●\s*조리 방법(.*)""
  )
)
"),"1. 채 썬 양배추에 소금으로 간을 한 후 볶아준다.
2. 감자, 대파, 양파를 채 썰어 물기를 뺀다.
3. 훈제연어를 랩에 싼 다음 두드려준다.
4. 플레인 요거트에 레몬즙, 다진 양파를 넣고 섞는다.
5. 발사믹 식초에 설탕을 넣고 졸인다.
6. 연어에 볶은 양배추를 올려 감싼 다음 모양을 잡아준다.
7. 요거트 소스에 레몬 껍질을 갈아 넣는다.
8. 접시에 요거트 소스를 깔고 연어쌈을 올린다.
9. 감자, 대파, 양파를 기름에 튀긴다"&amp;".
10. 연어쌈 위에 튀긴 채소를 올리고 발사믹 소스를 뿌려준다.
11. 딸기에 발사믹 소스를 뿌려 같이 낸다.")</f>
        <v>1. 채 썬 양배추에 소금으로 간을 한 후 볶아준다.
2. 감자, 대파, 양파를 채 썰어 물기를 뺀다.
3. 훈제연어를 랩에 싼 다음 두드려준다.
4. 플레인 요거트에 레몬즙, 다진 양파를 넣고 섞는다.
5. 발사믹 식초에 설탕을 넣고 졸인다.
6. 연어에 볶은 양배추를 올려 감싼 다음 모양을 잡아준다.
7. 요거트 소스에 레몬 껍질을 갈아 넣는다.
8. 접시에 요거트 소스를 깔고 연어쌈을 올린다.
9. 감자, 대파, 양파를 기름에 튀긴다.
10. 연어쌈 위에 튀긴 채소를 올리고 발사믹 소스를 뿌려준다.
11. 딸기에 발사믹 소스를 뿌려 같이 낸다.</v>
      </c>
    </row>
    <row r="71">
      <c r="A71" s="2" t="str">
        <f>recipe!C71
</f>
        <v>의기양양</v>
      </c>
      <c r="B71" s="2" t="str">
        <f>IFERROR(__xludf.DUMMYFUNCTION("TRIM(
  REGEXEXTRACT(
    raw!A71,
    ""(?s)●\s*조리 방법(.*)""
  )
)
"),"1. 즉석밥을 전자레인지에 돌린다.
2. 양배추를 잘게 썰어 볶아준다.
3. 채 썬 양파, 파를 넣고 함께 볶는다.
4. 훈제오리를 잘게 썰어 버터와 함께 볶는다.
5. 4에 후추, 으깬 마늘을 넣어 볶는다.
6. 볶던 양배추에 닭가슴살을 넣어 함께 볶는다.
7. 후추와 쯔유를 넣어준다.
8. 다진 생강을 넣는다.
9. 체를 이용해 훈제오리의 기름을 걸러준다.
10. 백김치 국물을 넣어 훈제오리에 간을 한다.
11. 볶은 양배추와 닭가슴살에 달걀물을 넣"&amp;"고 살짝 익힌다.
12. 밥 위에 11을 올리고 훈제오리, 어린잎 채소를 올려 완성한다")</f>
        <v>1. 즉석밥을 전자레인지에 돌린다.
2. 양배추를 잘게 썰어 볶아준다.
3. 채 썬 양파, 파를 넣고 함께 볶는다.
4. 훈제오리를 잘게 썰어 버터와 함께 볶는다.
5. 4에 후추, 으깬 마늘을 넣어 볶는다.
6. 볶던 양배추에 닭가슴살을 넣어 함께 볶는다.
7. 후추와 쯔유를 넣어준다.
8. 다진 생강을 넣는다.
9. 체를 이용해 훈제오리의 기름을 걸러준다.
10. 백김치 국물을 넣어 훈제오리에 간을 한다.
11. 볶은 양배추와 닭가슴살에 달걀물을 넣고 살짝 익힌다.
12. 밥 위에 11을 올리고 훈제오리, 어린잎 채소를 올려 완성한다</v>
      </c>
    </row>
    <row r="72">
      <c r="A72" s="2" t="str">
        <f>recipe!C72
</f>
        <v>감자봤수란</v>
      </c>
      <c r="B72" s="2" t="str">
        <f>IFERROR(__xludf.DUMMYFUNCTION("TRIM(
  REGEXEXTRACT(
    raw!A72,
    ""(?s)●\s*조리 방법(.*)""
  )
)
"),"1. 강판을 이용해 감자를 채 썬다.
2. 채 썬 감자에 소금을 넣어 수분을 뺀다.
3. 얼음물에 어린잎 채소와 양파를 담가 둔다.
4. 감자를 손으로 짜 수분을 빼내고 밀가루를 넣어 섞어준다.
5. 채 썬 감자를 팬에 올려 굽는다.
6. 감자전에 버터를 넣어 굽는다.
7. 쯔유, 매실액, 후추, 으깬 깨를 함께 넣고 끓인다.
8. 끓는 물에 소금과 식초를 넣는다.
9. 물을 저어 회오리를 만든 후 달걀을 넣어 수란을 만든다.
10. 소스에 버터와 밀가"&amp;"루를 넣어 함께 끓인다.
11. 채소를 면포로 싼 다음 크게 휘둘러 물기를 뺀다.
12. 접시에 감자전, 채소, 수란, 잘게 썬 마늘장아찌를 올린다.
13. 소스를 따로 담아낸다.")</f>
        <v>1. 강판을 이용해 감자를 채 썬다.
2. 채 썬 감자에 소금을 넣어 수분을 뺀다.
3. 얼음물에 어린잎 채소와 양파를 담가 둔다.
4. 감자를 손으로 짜 수분을 빼내고 밀가루를 넣어 섞어준다.
5. 채 썬 감자를 팬에 올려 굽는다.
6. 감자전에 버터를 넣어 굽는다.
7. 쯔유, 매실액, 후추, 으깬 깨를 함께 넣고 끓인다.
8. 끓는 물에 소금과 식초를 넣는다.
9. 물을 저어 회오리를 만든 후 달걀을 넣어 수란을 만든다.
10. 소스에 버터와 밀가루를 넣어 함께 끓인다.
11. 채소를 면포로 싼 다음 크게 휘둘러 물기를 뺀다.
12. 접시에 감자전, 채소, 수란, 잘게 썬 마늘장아찌를 올린다.
13. 소스를 따로 담아낸다.</v>
      </c>
    </row>
    <row r="73">
      <c r="A73" s="2" t="str">
        <f>recipe!C73
</f>
        <v>미치고 팔닭</v>
      </c>
      <c r="B73" s="2" t="str">
        <f>IFERROR(__xludf.DUMMYFUNCTION("TRIM(
  REGEXEXTRACT(
    raw!A73,
    ""(?s)●\s*조리 방법(.*)""
  )
)
"),"1. 팬에 다진 마늘, 채 썬 양파를 넣어 볶는다.
2. 체를 이용해 인절미의 콩고물을 털어낸다.
3. 기름을 두른 팬에 인절미를 굽는다.
4. 양파에 후추, 간장, 조미료, 닭가슴살 통조림을 넣고 함께 볶는다.
5. 구운 인절미 위에 볶은 재료를 올리고 감싼다.
6. 접시에 구운 인절미를 올리고 콩고물, 꿀을 함께 낸다.")</f>
        <v>1. 팬에 다진 마늘, 채 썬 양파를 넣어 볶는다.
2. 체를 이용해 인절미의 콩고물을 털어낸다.
3. 기름을 두른 팬에 인절미를 굽는다.
4. 양파에 후추, 간장, 조미료, 닭가슴살 통조림을 넣고 함께 볶는다.
5. 구운 인절미 위에 볶은 재료를 올리고 감싼다.
6. 접시에 구운 인절미를 올리고 콩고물, 꿀을 함께 낸다.</v>
      </c>
    </row>
    <row r="74">
      <c r="A74" s="2" t="str">
        <f>recipe!C74
</f>
        <v>2연타</v>
      </c>
      <c r="B74" s="2" t="str">
        <f>IFERROR(__xludf.DUMMYFUNCTION("TRIM(
  REGEXEXTRACT(
    raw!A74,
    ""(?s)●\s*조리 방법(.*)""
  )
)
"),"1. 적당한 크기로 썬 연어에 소금, 후추 간을 한다.
2. 기름을 두른 팬에 연어의 겉면만 익힌다.
3. 양배추, 옥수수 통조림, 후추, 매운 오리엔탈 소스를 섞어 샐러드를 만든다.
4. 샐러드에 레몬즙을 넣어준다.
5. 양파는 잘게 썬 후 물에 담가 아린 맛을 뺀다.
6. 고추장아찌, 방울토마토, 연어를 다진다.
7. 다진 재료에 후추, 핫소스, 올리브유, 마요네즈를 섞어 준다.
8. 참치, 마요네즈, 크림치즈, 우유를 섞은 후 갈아서 소스를 만든다"&amp;".
9. 겉만 익힌 연어를 적당한 크기로 썬다.
10. 접시에 샐러드를 깔고 연어 타타키를 올린 후 참치 소스를 뿌린다.
11. 원형 틀을 이용해 타타키를 담고 방울토마토와 청포도를 올려낸다.")</f>
        <v>1. 적당한 크기로 썬 연어에 소금, 후추 간을 한다.
2. 기름을 두른 팬에 연어의 겉면만 익힌다.
3. 양배추, 옥수수 통조림, 후추, 매운 오리엔탈 소스를 섞어 샐러드를 만든다.
4. 샐러드에 레몬즙을 넣어준다.
5. 양파는 잘게 썬 후 물에 담가 아린 맛을 뺀다.
6. 고추장아찌, 방울토마토, 연어를 다진다.
7. 다진 재료에 후추, 핫소스, 올리브유, 마요네즈를 섞어 준다.
8. 참치, 마요네즈, 크림치즈, 우유를 섞은 후 갈아서 소스를 만든다.
9. 겉만 익힌 연어를 적당한 크기로 썬다.
10. 접시에 샐러드를 깔고 연어 타타키를 올린 후 참치 소스를 뿌린다.
11. 원형 틀을 이용해 타타키를 담고 방울토마토와 청포도를 올려낸다.</v>
      </c>
    </row>
    <row r="75">
      <c r="A75" s="2" t="str">
        <f>recipe!C75
</f>
        <v>홍런볼</v>
      </c>
      <c r="B75" s="2" t="str">
        <f>IFERROR(__xludf.DUMMYFUNCTION("TRIM(
  REGEXEXTRACT(
    raw!A75,
    ""(?s)●\s*조리 방법(.*)""
  )
)
"),"1. 연어를 얇게 썬다.
2. 레몬 껍질, 레몬즙, 소금, 후추를 섞은 소스에 연어를 절인다.
3. 멸치볶음을 버터에 볶는다.
4. 즉석밥에 멸치볶음, 다진 고추장아찌, 참기름을 넣어 섞는다.
5. 주먹밥을 만들어 김자반에 굴린다.
6. 양배추와 과일을 잘게 썰어 그릇에 담는다.
7. 유산균 음료, 딸기 요거트, 올리브 오일을 섞어 요거트 소스를 만든다.
8. 양배추와 과일에 요거트 소스를 섞는다.
9. 접시에 과일 샐러드를 깔고 주먹밥, 연어 세비체를"&amp;" 올린다.
10. 요거트 소스를 뿌려 완성한다.")</f>
        <v>1. 연어를 얇게 썬다.
2. 레몬 껍질, 레몬즙, 소금, 후추를 섞은 소스에 연어를 절인다.
3. 멸치볶음을 버터에 볶는다.
4. 즉석밥에 멸치볶음, 다진 고추장아찌, 참기름을 넣어 섞는다.
5. 주먹밥을 만들어 김자반에 굴린다.
6. 양배추와 과일을 잘게 썰어 그릇에 담는다.
7. 유산균 음료, 딸기 요거트, 올리브 오일을 섞어 요거트 소스를 만든다.
8. 양배추와 과일에 요거트 소스를 섞는다.
9. 접시에 과일 샐러드를 깔고 주먹밥, 연어 세비체를 올린다.
10. 요거트 소스를 뿌려 완성한다.</v>
      </c>
    </row>
    <row r="76">
      <c r="A76" s="2" t="str">
        <f>recipe!C76
</f>
        <v>비어 쉬림프</v>
      </c>
      <c r="B76" s="2" t="str">
        <f>IFERROR(__xludf.DUMMYFUNCTION("TRIM(
  REGEXEXTRACT(
    raw!A76,
    ""(?s)●\s*조리 방법(.*)""
  )
)
"),"1. 새우는 물기를 제거하고 소금, 후추, 마늘을 넣어 재워둔다.
2. 달걀 노른자와 흰자를 분리해 흰자는 냉장고에 넣어둔다.
3. 노른자에 소금, 밀가루를 섞어 튀김옷을 만든다.
4. 튀김옷에 맥주를 넣고, 레몬껍질을 갈아 넣는다.
5. 양배추, 당근을 채썰고 소금, 올리브유, 식초로 양념해 샐러드를 만든다.
6. 냉장고에서 달걀 흰자를 꺼내 거품을 낸다.
7. 튀김옷에 거품을 낸 달걀 흰자를 넣어 접듯이 섞는다.
8. 새우에 튀김옷을 입"&amp;"혀 튀긴다.
9. 접시에 샐러드를 얹고 새우튀김과 레몬을 올려 완성한다.")</f>
        <v>1. 새우는 물기를 제거하고 소금, 후추, 마늘을 넣어 재워둔다.
2. 달걀 노른자와 흰자를 분리해 흰자는 냉장고에 넣어둔다.
3. 노른자에 소금, 밀가루를 섞어 튀김옷을 만든다.
4. 튀김옷에 맥주를 넣고, 레몬껍질을 갈아 넣는다.
5. 양배추, 당근을 채썰고 소금, 올리브유, 식초로 양념해 샐러드를 만든다.
6. 냉장고에서 달걀 흰자를 꺼내 거품을 낸다.
7. 튀김옷에 거품을 낸 달걀 흰자를 넣어 접듯이 섞는다.
8. 새우에 튀김옷을 입혀 튀긴다.
9. 접시에 샐러드를 얹고 새우튀김과 레몬을 올려 완성한다.</v>
      </c>
    </row>
    <row r="77">
      <c r="A77" s="2" t="str">
        <f>recipe!C77
</f>
        <v>치튀치튀뱅뱅</v>
      </c>
      <c r="B77" s="2" t="str">
        <f>IFERROR(__xludf.DUMMYFUNCTION("TRIM(
  REGEXEXTRACT(
    raw!A77,
    ""(?s)●\s*조리 방법(.*)""
  )
)
"),"1. 크림치즈를 적당한 크기로 썬다.
2. 크림치즈를 둥글게 빚어 밀가루를 묻힌다.
3. 버터, 딸기, 토마토소스를 끓여 소스를 만든다.
4. 소스를 갈아 체에 거른다.
5. 소스에 딸기잼을 넣는다.
6. 다른 냄비에 오리엔탈 드레싱, 딸기잼을 섞은 후 갈아서 두 번째 소스를 만든다.
7. 밀가루에 물을 넣어 튀김옷을 만든 후 얼음을 넣는다.
8. 크림치즈에 튀김옷을 입혀 튀긴다.
9. 튀김 위에 반죽을 뿌려 눈꽃 모양을 만든다.
10."&amp;" 청포도를 얇게 썬다.
11. 접시에 두 가지 소스, 크림치즈 튀김, 청포도를 올려 완성한다.")</f>
        <v>1. 크림치즈를 적당한 크기로 썬다.
2. 크림치즈를 둥글게 빚어 밀가루를 묻힌다.
3. 버터, 딸기, 토마토소스를 끓여 소스를 만든다.
4. 소스를 갈아 체에 거른다.
5. 소스에 딸기잼을 넣는다.
6. 다른 냄비에 오리엔탈 드레싱, 딸기잼을 섞은 후 갈아서 두 번째 소스를 만든다.
7. 밀가루에 물을 넣어 튀김옷을 만든 후 얼음을 넣는다.
8. 크림치즈에 튀김옷을 입혀 튀긴다.
9. 튀김 위에 반죽을 뿌려 눈꽃 모양을 만든다.
10. 청포도를 얇게 썬다.
11. 접시에 두 가지 소스, 크림치즈 튀김, 청포도를 올려 완성한다.</v>
      </c>
    </row>
    <row r="78">
      <c r="A78" s="2" t="str">
        <f>recipe!C78
</f>
        <v>사우나 육국수</v>
      </c>
      <c r="B78" s="2" t="str">
        <f>IFERROR(__xludf.DUMMYFUNCTION("TRIM(
  REGEXEXTRACT(
    raw!A78,
    ""(?s)●\s*조리 방법(.*)""
  )
)
"),"1. 물에 으깬 냉동만두, 생강즙, 다진 마늘, 소주를 넣고 끓여 육수를 낸다.
2. 다진 마늘, 양파, 대파, 고춧가루, 페페론치노를 함께 볶는다.
3. 2에 소주를 넣고 볶아 다진 양념을 만든다.
4. 다진 양념에 등심, 양송이버섯을 넣고 볶아준다.
5. 육수를 체에 거른 후 다진 양념에 부어 끓인다.
6. 국물에 된장, 다진 마늘을 넣어 끓인다.
7. 마카다미아를 잘게 부순다.
8. 넓게 펼친 곶감에 마카다미아를 놓고 말아준 다음 적당한 크기로 썬"&amp;"다.
9. 바닐라 아이스크림 위에 마카다미아 곶감말이를 올린다.
10. 소면을 삶은 후 찬물에 헹군다.
11. 소면 위에 육개장 국물을 붓고 깻잎을 올린 후 밥과 함께 낸다.")</f>
        <v>1. 물에 으깬 냉동만두, 생강즙, 다진 마늘, 소주를 넣고 끓여 육수를 낸다.
2. 다진 마늘, 양파, 대파, 고춧가루, 페페론치노를 함께 볶는다.
3. 2에 소주를 넣고 볶아 다진 양념을 만든다.
4. 다진 양념에 등심, 양송이버섯을 넣고 볶아준다.
5. 육수를 체에 거른 후 다진 양념에 부어 끓인다.
6. 국물에 된장, 다진 마늘을 넣어 끓인다.
7. 마카다미아를 잘게 부순다.
8. 넓게 펼친 곶감에 마카다미아를 놓고 말아준 다음 적당한 크기로 썬다.
9. 바닐라 아이스크림 위에 마카다미아 곶감말이를 올린다.
10. 소면을 삶은 후 찬물에 헹군다.
11. 소면 위에 육개장 국물을 붓고 깻잎을 올린 후 밥과 함께 낸다.</v>
      </c>
    </row>
    <row r="79">
      <c r="A79" s="2" t="str">
        <f>recipe!C79
</f>
        <v>완소짬뽕</v>
      </c>
      <c r="B79" s="2" t="str">
        <f>IFERROR(__xludf.DUMMYFUNCTION("TRIM(
  REGEXEXTRACT(
    raw!A79,
    ""(?s)●\s*조리 방법(.*)""
  )
)
"),"1. 낙지를 먹기 좋은 크기로 썬다.
2. 고추, 양송이버섯, 양파, 마늘, 대파 등 채소를 손질해 둔다.
3. 손질한 새우를 다진다.
4. 칼국수 면을 삶는다.
5. 고추와 대파에 간장을 넣어 볶는다.
6. 나머지 채소, 고춧가루를 넣고 볶다가 면수를 부어준다.
7. 6에 낙지를 넣어 함께 끓인다.
8. 새우, 전분, 달걀물을 섞어 반죽한다.
9. 새우 완자를 만들어 국물에 넣고 끓인다.
10. 칼국수 면을 건져 찬물→뜨거운물→찬물 순으로 헹구고 접시"&amp;"에 담는다.
11. 면에 짬뽕 국물을 부어 마무리한다.")</f>
        <v>1. 낙지를 먹기 좋은 크기로 썬다.
2. 고추, 양송이버섯, 양파, 마늘, 대파 등 채소를 손질해 둔다.
3. 손질한 새우를 다진다.
4. 칼국수 면을 삶는다.
5. 고추와 대파에 간장을 넣어 볶는다.
6. 나머지 채소, 고춧가루를 넣고 볶다가 면수를 부어준다.
7. 6에 낙지를 넣어 함께 끓인다.
8. 새우, 전분, 달걀물을 섞어 반죽한다.
9. 새우 완자를 만들어 국물에 넣고 끓인다.
10. 칼국수 면을 건져 찬물→뜨거운물→찬물 순으로 헹구고 접시에 담는다.
11. 면에 짬뽕 국물을 부어 마무리한다.</v>
      </c>
    </row>
    <row r="80">
      <c r="A80" s="2" t="str">
        <f>recipe!C80
</f>
        <v>털업 샐러드</v>
      </c>
      <c r="B80" s="2" t="str">
        <f>IFERROR(__xludf.DUMMYFUNCTION("TRIM(
  REGEXEXTRACT(
    raw!A80,
    ""(?s)●\s*조리 방법(.*)""
  )
)
"),"1. 물에 된장을 풀어 육수를 낸다.
2. 양파, 당근을 다져서 팬에 볶는다.
3. 볶던 채소에 된장 육수를 부어 졸인다.
4. 3에 불려놓은 렌틸콩을 넣어 졸인다.
5. 페페론치노, 청양고추를 넣어준다.
6. 버터에 마늘을 다져 넣어 마늘버터를 만든다.
7. 주꾸미, 새우를 손질해 마늘버터에 넣고 고춧가루로 간을 한다.
8. 주꾸미와 새우에 레몬즙을 뿌려준다.
9. 렌틸콩에 파르메산 치즈를 뿌린다.
10. 요거트에 메이플 시럽, 레몬즙, 레몬껍질을 섞"&amp;"어 소스를 만든다.
11. 렌틸콩 위에 주꾸미, 새우를 올린 다음 요거트 소스를 담아낸다.")</f>
        <v>1. 물에 된장을 풀어 육수를 낸다.
2. 양파, 당근을 다져서 팬에 볶는다.
3. 볶던 채소에 된장 육수를 부어 졸인다.
4. 3에 불려놓은 렌틸콩을 넣어 졸인다.
5. 페페론치노, 청양고추를 넣어준다.
6. 버터에 마늘을 다져 넣어 마늘버터를 만든다.
7. 주꾸미, 새우를 손질해 마늘버터에 넣고 고춧가루로 간을 한다.
8. 주꾸미와 새우에 레몬즙을 뿌려준다.
9. 렌틸콩에 파르메산 치즈를 뿌린다.
10. 요거트에 메이플 시럽, 레몬즙, 레몬껍질을 섞어 소스를 만든다.
11. 렌틸콩 위에 주꾸미, 새우를 올린 다음 요거트 소스를 담아낸다.</v>
      </c>
    </row>
    <row r="81">
      <c r="A81" s="2" t="str">
        <f>recipe!C81
</f>
        <v>하우 두 유두?</v>
      </c>
      <c r="B81" s="2" t="str">
        <f>IFERROR(__xludf.DUMMYFUNCTION("TRIM(
  REGEXEXTRACT(
    raw!A81,
    ""(?s)●\s*조리 방법(.*)""
  )
)
"),"1. 면포를 이용해 두부의 물기를 뺀다.
2. 잘게 썬 소고기 등심에 소금, 후추 간을 하고 믹서에 간다.
3. 2에 양송이버섯을 넣고 함께 간다.
4. 국수장국, 맛술, 식초, 다진 생강을 넣어 소스를 만든다.
5. 소스에 대파를 넣어 끓인다.
6. 소스에 전분물을 풀어 넣는다.
7. 두부, 소고기, 버섯, 달걀을 섞어 반죽한다.
8. 반죽을 동그랗게 빚어 밀가루를 묻힌 후 팬에 굽는다.
9. 다진 양파에 버터를 넣고 볶아준다.
10."&amp;" 양파에 케첩, 돈가스 소스, 설탕을 넣어 두 번째 소스를 만든다.
11. 레드페퍼를 넣어 끓인다.
12. 두부 스테이크에 간장 소스, 케첩 소스를 뿌려 낸다.")</f>
        <v>1. 면포를 이용해 두부의 물기를 뺀다.
2. 잘게 썬 소고기 등심에 소금, 후추 간을 하고 믹서에 간다.
3. 2에 양송이버섯을 넣고 함께 간다.
4. 국수장국, 맛술, 식초, 다진 생강을 넣어 소스를 만든다.
5. 소스에 대파를 넣어 끓인다.
6. 소스에 전분물을 풀어 넣는다.
7. 두부, 소고기, 버섯, 달걀을 섞어 반죽한다.
8. 반죽을 동그랗게 빚어 밀가루를 묻힌 후 팬에 굽는다.
9. 다진 양파에 버터를 넣고 볶아준다.
10. 양파에 케첩, 돈가스 소스, 설탕을 넣어 두 번째 소스를 만든다.
11. 레드페퍼를 넣어 끓인다.
12. 두부 스테이크에 간장 소스, 케첩 소스를 뿌려 낸다.</v>
      </c>
    </row>
    <row r="82">
      <c r="A82" s="2" t="str">
        <f>recipe!C82
</f>
        <v>치즈 듬풍 토스트</v>
      </c>
      <c r="B82" s="2" t="str">
        <f>IFERROR(__xludf.DUMMYFUNCTION("TRIM(
  REGEXEXTRACT(
    raw!A82,
    ""(?s)●\s*조리 방법(.*)""
  )
)
"),"1. 설탕에 물을 넣고 끓여 시럽을 만든다.
2. 시럽에 호두를 넣어 졸인다.
3. 버터를 두른 팬에 소금을 뿌린 후 식빵을 굽는다.
4. 식빵 위에 체다 치즈 &gt; 모차렐라 치즈 순서로 얹어준다.
5. 치즈 위에 시럽에 졸인 호두를 올린다.
6. 호두 위에 체다 치즈를 올리고, 구운 식빵을 덮어 치즈를 녹인다.
7. 식빵을 반으로 자른 다음 접시에 올려 낸다.")</f>
        <v>1. 설탕에 물을 넣고 끓여 시럽을 만든다.
2. 시럽에 호두를 넣어 졸인다.
3. 버터를 두른 팬에 소금을 뿌린 후 식빵을 굽는다.
4. 식빵 위에 체다 치즈 &gt; 모차렐라 치즈 순서로 얹어준다.
5. 치즈 위에 시럽에 졸인 호두를 올린다.
6. 호두 위에 체다 치즈를 올리고, 구운 식빵을 덮어 치즈를 녹인다.
7. 식빵을 반으로 자른 다음 접시에 올려 낸다.</v>
      </c>
    </row>
    <row r="83">
      <c r="A83" s="2" t="str">
        <f>recipe!C83
</f>
        <v>샘 앤 치즈 그라탱</v>
      </c>
      <c r="B83" s="2" t="str">
        <f>IFERROR(__xludf.DUMMYFUNCTION("TRIM(
  REGEXEXTRACT(
    raw!A83,
    ""(?s)●\s*조리 방법(.*)""
  )
)
"),"1. 감자를 얇게 썰어 소금을 넣고 삶는다.
2. 마카로니에 소금을 넣고 삶는다.
3. 버터에 밀가루를 넣고 볶다가 우유, 소금을 넣어 끓인다.
4. 3에 모차렐라 치즈와 체다 치즈를 넣어 끓인다.
5. 삶은 감자에 버터, 소금, 후추, 치즈 소스를 넣고 으깬다.
6. 양파를 볶는다.
7. 볶던 양파에 삶은 마카로니, 버터, 후추를 넣고 함께 볶는다.
8. 7에 치즈 소스와 체다 치즈를 넣어준다.
9. 그릇에 볶은 마카로니를 넣고 후추를 "&amp;"뿌려준다.
10. 마카로니 위에 으깬 감자를 얹고 토치로 표면을 익혀 낸다.")</f>
        <v>1. 감자를 얇게 썰어 소금을 넣고 삶는다.
2. 마카로니에 소금을 넣고 삶는다.
3. 버터에 밀가루를 넣고 볶다가 우유, 소금을 넣어 끓인다.
4. 3에 모차렐라 치즈와 체다 치즈를 넣어 끓인다.
5. 삶은 감자에 버터, 소금, 후추, 치즈 소스를 넣고 으깬다.
6. 양파를 볶는다.
7. 볶던 양파에 삶은 마카로니, 버터, 후추를 넣고 함께 볶는다.
8. 7에 치즈 소스와 체다 치즈를 넣어준다.
9. 그릇에 볶은 마카로니를 넣고 후추를 뿌려준다.
10. 마카로니 위에 으깬 감자를 얹고 토치로 표면을 익혀 낸다.</v>
      </c>
    </row>
    <row r="84">
      <c r="A84" s="2" t="str">
        <f>recipe!C84
</f>
        <v>베리베리 러블리걸</v>
      </c>
      <c r="B84" s="2" t="str">
        <f>IFERROR(__xludf.DUMMYFUNCTION("TRIM(
  REGEXEXTRACT(
    raw!A84,
    ""(?s)●\s*조리 방법(.*)""
  )
)
"),"1. 끓는 물에 마카로니와 소금을 넣어 삶는다.
2. 블루베리에 설탕을 부어 졸인다.
3. 우유를 따뜻하게 데운다.
4. 데운 우유에 설탕, 달걀, 버터를 넣어 섞는다.
5. 삶은 마카로니를 건져 찬물에 헹군 후, 버터를 넣고 볶는다.
6. 그릇에 버터를 바른다.
7. 호두를 잘게 다진다.
8. 그릇에 마카로니, 다진 호두, 달걀을 섞은 우유를 넣어준다.
9. 7을 전자레인지에 넣어 익힌다.
10. 접시에 마카로니, 키위, 블루베리, 석류를 올려서 완성"&amp;"한다.")</f>
        <v>1. 끓는 물에 마카로니와 소금을 넣어 삶는다.
2. 블루베리에 설탕을 부어 졸인다.
3. 우유를 따뜻하게 데운다.
4. 데운 우유에 설탕, 달걀, 버터를 넣어 섞는다.
5. 삶은 마카로니를 건져 찬물에 헹군 후, 버터를 넣고 볶는다.
6. 그릇에 버터를 바른다.
7. 호두를 잘게 다진다.
8. 그릇에 마카로니, 다진 호두, 달걀을 섞은 우유를 넣어준다.
9. 7을 전자레인지에 넣어 익힌다.
10. 접시에 마카로니, 키위, 블루베리, 석류를 올려서 완성한다.</v>
      </c>
    </row>
    <row r="85">
      <c r="A85" s="2" t="str">
        <f>recipe!C85
</f>
        <v>LOL : The love of your life</v>
      </c>
      <c r="B85" s="2" t="str">
        <f>IFERROR(__xludf.DUMMYFUNCTION("TRIM(
  REGEXEXTRACT(
    raw!A85,
    ""(?s)●\s*조리 방법(.*)""
  )
)
"),"1. 감자를 잘게 자른다.
2. 끓는 물에 소금을 넣고 감자를 삶는다.
3. 삶은 감자에 우유와 소금을 넣고 끓인다.
4. 버터를 두른 팬에 만두소와 불고기를 볶는다.
5. 식빵의 가장자리를 자르고 밀대로 밀어 얇게 편다.
6. 식빵에 볶은 고기를 넣고 말아서 팬에 굽는다.
7. 부추와 올리브오일을 믹서에 넣고 갈아 부추오일을 만든다.
8. 복분자 원액, 설탕, 석류즙을 넣고 끓여 소스를 만든다.
9. 만두피를 튀긴다.
10. 감자에 강황 가루를 넣고 "&amp;"블렌더로 갈아준다.
11. 10에 우유와 버터를 넣어 함께 간다.
12. 불고기롤에 복분자 소스를 바른다.
13. 접시에 감자 퓌레, 불고기롤, 부추오일, 튀긴 만두피를 올려서 완성한다.")</f>
        <v>1. 감자를 잘게 자른다.
2. 끓는 물에 소금을 넣고 감자를 삶는다.
3. 삶은 감자에 우유와 소금을 넣고 끓인다.
4. 버터를 두른 팬에 만두소와 불고기를 볶는다.
5. 식빵의 가장자리를 자르고 밀대로 밀어 얇게 편다.
6. 식빵에 볶은 고기를 넣고 말아서 팬에 굽는다.
7. 부추와 올리브오일을 믹서에 넣고 갈아 부추오일을 만든다.
8. 복분자 원액, 설탕, 석류즙을 넣고 끓여 소스를 만든다.
9. 만두피를 튀긴다.
10. 감자에 강황 가루를 넣고 블렌더로 갈아준다.
11. 10에 우유와 버터를 넣어 함께 간다.
12. 불고기롤에 복분자 소스를 바른다.
13. 접시에 감자 퓌레, 불고기롤, 부추오일, 튀긴 만두피를 올려서 완성한다.</v>
      </c>
    </row>
    <row r="86">
      <c r="A86" s="2" t="str">
        <f>recipe!C86
</f>
        <v>순결한 튀김</v>
      </c>
      <c r="B86" s="2" t="str">
        <f>IFERROR(__xludf.DUMMYFUNCTION("TRIM(
  REGEXEXTRACT(
    raw!A86,
    ""(?s)●\s*조리 방법(.*)""
  )
)
"),"1. 소고기 안심을 반으로 갈라 넓게 편다.
2. 소고기 안심에 소금, 후추로 간을 한다.
3. 사과를 다진다.
4. 넓게 편 소고기 안심에 사과와 블루 치즈를 넣어 말아준다.
5. 안심롤에 밀가루&gt;달걀물&gt;빵가루 순서로 튀김옷을 입힌다.
6. 안심롤을 기름에 튀긴다.
7. 튀긴 안심롤을 전자레인지에 넣어 속까지 익힌다.
8. 청양고추, 태국고추, 멸치액젓, 식초, 레몬즙, 설탕, 다진 마늘, 다진 파를 섞어 소스를 만든다.
9. 8에 다진"&amp;" 마카다미아와 레몬청을 넣어 소스를 완성한다.
10. 양상추 위에 안심롤을 올리고 후추를 뿌린 후 소스와 함께 낸다.")</f>
        <v>1. 소고기 안심을 반으로 갈라 넓게 편다.
2. 소고기 안심에 소금, 후추로 간을 한다.
3. 사과를 다진다.
4. 넓게 편 소고기 안심에 사과와 블루 치즈를 넣어 말아준다.
5. 안심롤에 밀가루&gt;달걀물&gt;빵가루 순서로 튀김옷을 입힌다.
6. 안심롤을 기름에 튀긴다.
7. 튀긴 안심롤을 전자레인지에 넣어 속까지 익힌다.
8. 청양고추, 태국고추, 멸치액젓, 식초, 레몬즙, 설탕, 다진 마늘, 다진 파를 섞어 소스를 만든다.
9. 8에 다진 마카다미아와 레몬청을 넣어 소스를 완성한다.
10. 양상추 위에 안심롤을 올리고 후추를 뿌린 후 소스와 함께 낸다.</v>
      </c>
    </row>
    <row r="87">
      <c r="A87" s="2" t="str">
        <f>recipe!C87
</f>
        <v>고기 차이나</v>
      </c>
      <c r="B87" s="2" t="str">
        <f>IFERROR(__xludf.DUMMYFUNCTION("TRIM(
  REGEXEXTRACT(
    raw!A87,
    ""(?s)●\s*조리 방법(.*)""
  )
)
"),"1. 닭가슴살을 적당한 크기로 썬다.
2. 감자 전분, 밀가루, 물을 섞어 튀김 반죽을 만든다.
3. 반죽에 달걀물과 식용유를 넣는다.
4. 닭가슴살에 반죽을 입혀 튀긴다.
5. 채끝살을 감자 전분, 달걀물과 섞어 기름에 볶는다.
6. 볶은 채끝살을 체에 받쳐 기름기를 뺀다.
7. 청경채, 파프리카, 양파, 대파, 마늘을 볶는다.
8. 7에 간장과 굴소스를 넣는다.
9. 채소에 볶은 채끝살을 넣어 함께 볶는다.
10. 튀긴 닭가슴살을 체"&amp;"에 받쳐 기름기를 뺀다.
11. 간장, 설탕, 식초, 레몬즙, 다진 마늘을 섞어 소스를 만든다.
12. 소스에 다진 파를 넣어 준다.
13. 양상추, 양파 위에 튀긴 닭가슴살을 얹고 소스와 함께 낸다.")</f>
        <v>1. 닭가슴살을 적당한 크기로 썬다.
2. 감자 전분, 밀가루, 물을 섞어 튀김 반죽을 만든다.
3. 반죽에 달걀물과 식용유를 넣는다.
4. 닭가슴살에 반죽을 입혀 튀긴다.
5. 채끝살을 감자 전분, 달걀물과 섞어 기름에 볶는다.
6. 볶은 채끝살을 체에 받쳐 기름기를 뺀다.
7. 청경채, 파프리카, 양파, 대파, 마늘을 볶는다.
8. 7에 간장과 굴소스를 넣는다.
9. 채소에 볶은 채끝살을 넣어 함께 볶는다.
10. 튀긴 닭가슴살을 체에 받쳐 기름기를 뺀다.
11. 간장, 설탕, 식초, 레몬즙, 다진 마늘을 섞어 소스를 만든다.
12. 소스에 다진 파를 넣어 준다.
13. 양상추, 양파 위에 튀긴 닭가슴살을 얹고 소스와 함께 낸다.</v>
      </c>
    </row>
    <row r="88">
      <c r="A88" s="2" t="str">
        <f>recipe!C88
</f>
        <v>힘을 내요 슈퍼 나베</v>
      </c>
      <c r="B88" s="2" t="str">
        <f>IFERROR(__xludf.DUMMYFUNCTION("TRIM(
  REGEXEXTRACT(
    raw!A88,
    ""(?s)●\s*조리 방법(.*)""
  )
)
"),"1. 사골 육수에 된장을 풀어 끓인다
2. 체를 받치고 마늘, 대파, 양지머리를 넣어 고기 육수를 낸다.
3. 국물에 양배추, 송화 버섯, 청경채를 넣어 끓인다.
4. 소면을 삶아 찬물에 헹군다.
5. 국간장으로 간을 한 후 팽이버섯을 넣는다.
6. 얇게 썬 소고기 안심, 깻잎을 넣는다.
7. 소면을 넣는다.
8. 달걀 노른자와 간장을 섞은 소스를 곁들여 낸다.")</f>
        <v>1. 사골 육수에 된장을 풀어 끓인다
2. 체를 받치고 마늘, 대파, 양지머리를 넣어 고기 육수를 낸다.
3. 국물에 양배추, 송화 버섯, 청경채를 넣어 끓인다.
4. 소면을 삶아 찬물에 헹군다.
5. 국간장으로 간을 한 후 팽이버섯을 넣는다.
6. 얇게 썬 소고기 안심, 깻잎을 넣는다.
7. 소면을 넣는다.
8. 달걀 노른자와 간장을 섞은 소스를 곁들여 낸다.</v>
      </c>
    </row>
    <row r="89">
      <c r="A89" s="2" t="str">
        <f>recipe!C89
</f>
        <v>소테미너</v>
      </c>
      <c r="B89" s="2" t="str">
        <f>IFERROR(__xludf.DUMMYFUNCTION("TRIM(
  REGEXEXTRACT(
    raw!A89,
    ""(?s)●\s*조리 방법(.*)""
  )
)
"),"1. 적은 양의 물에 방울 양배추, 콜리플라워, 파프리카, 브로콜리를 넣고 뚜껑을 닫아 익힌다.
2. 채소에 소금, 버터, 으깬 마늘을 넣어준다.
3. 양파에 밀가루를 묻혀 튀긴다.
4. 살치살에 소금, 후추 간을 해서 굽는다.
5. 구운 살치살, 튀긴 양파, 소테한 채소를 함께 낸다.")</f>
        <v>1. 적은 양의 물에 방울 양배추, 콜리플라워, 파프리카, 브로콜리를 넣고 뚜껑을 닫아 익힌다.
2. 채소에 소금, 버터, 으깬 마늘을 넣어준다.
3. 양파에 밀가루를 묻혀 튀긴다.
4. 살치살에 소금, 후추 간을 해서 굽는다.
5. 구운 살치살, 튀긴 양파, 소테한 채소를 함께 낸다.</v>
      </c>
    </row>
    <row r="90">
      <c r="A90" s="2" t="str">
        <f>recipe!C90
</f>
        <v>초코 모찌 맛있찌</v>
      </c>
      <c r="B90" s="2" t="str">
        <f>IFERROR(__xludf.DUMMYFUNCTION("TRIM(
  REGEXEXTRACT(
    raw!A90,
    ""(?s)●\s*조리 방법(.*)""
  )
)
"),"1. 초코 비스킷을 으깨어 버터와 섞은 후 전자레인지에 넣어 녹인다.
2. 녹인 초코 비스킷에 소금을 살짝 넣어준다.
3. 원형 틀 안에 초코 비스킷을 깔고 잘게 썬 쑥떡을 얹어 케이크 시트를 만든다.
4. 케이크 시트를 냉동실에 넣어 둔다.
5. 달걀 노른자에 커피 음료, 믹스커피, 밀가루, 설탕을 넣고 섞는다.
6. 5에 버터를 넣고 끓여 모카 크림을 만든다.
7. 모카 크림에 커피 우유를 넣어준다.
8. 모카 크림을 체에 거른다.
9"&amp;". 얼음물 위에서 모카 크림을 식힌다.
10. 냉동 블루베리를 설탕에 졸인다.
11. 냉동실에서 케이크 시트를 꺼낸 후 아이스크림을 올린다.
12. 11에 모카 크림을 부어준다.
13. 케이크 위에 딸기를 올리고 블루베리 소스를 뿌려 장식한다.")</f>
        <v>1. 초코 비스킷을 으깨어 버터와 섞은 후 전자레인지에 넣어 녹인다.
2. 녹인 초코 비스킷에 소금을 살짝 넣어준다.
3. 원형 틀 안에 초코 비스킷을 깔고 잘게 썬 쑥떡을 얹어 케이크 시트를 만든다.
4. 케이크 시트를 냉동실에 넣어 둔다.
5. 달걀 노른자에 커피 음료, 믹스커피, 밀가루, 설탕을 넣고 섞는다.
6. 5에 버터를 넣고 끓여 모카 크림을 만든다.
7. 모카 크림에 커피 우유를 넣어준다.
8. 모카 크림을 체에 거른다.
9. 얼음물 위에서 모카 크림을 식힌다.
10. 냉동 블루베리를 설탕에 졸인다.
11. 냉동실에서 케이크 시트를 꺼낸 후 아이스크림을 올린다.
12. 11에 모카 크림을 부어준다.
13. 케이크 위에 딸기를 올리고 블루베리 소스를 뿌려 장식한다.</v>
      </c>
    </row>
    <row r="91">
      <c r="A91" s="2" t="str">
        <f>recipe!C91
</f>
        <v>수플레가 머랭?</v>
      </c>
      <c r="B91" s="2" t="str">
        <f>IFERROR(__xludf.DUMMYFUNCTION("TRIM(
  REGEXEXTRACT(
    raw!A91,
    ""(?s)●\s*조리 방법(.*)""
  )
)
"),"1. 초콜릿은 중탕한다.
2. 달걀 흰자를 분리해 설탕을 넣고 거품을 낸다.
3. 수플레 컵에 버터와 설탕을 바른다.
4. 중탕한 초콜릿에 커피 우유를 넣는다.
5. 머랭에 녹인 초콜릿을 섞는다.
6. 수플레 컵에 반죽을 반 정도 담는다.
7. 6에 블루베리를 올리고 나머지 반죽을 담는다.
8. 오븐에 넣고 익힌다.
9. 설탕과 전분을 믹서에 넣고 갈아준다.
10. 수플레 위에 슈거파우더를 뿌려 완성한다.")</f>
        <v>1. 초콜릿은 중탕한다.
2. 달걀 흰자를 분리해 설탕을 넣고 거품을 낸다.
3. 수플레 컵에 버터와 설탕을 바른다.
4. 중탕한 초콜릿에 커피 우유를 넣는다.
5. 머랭에 녹인 초콜릿을 섞는다.
6. 수플레 컵에 반죽을 반 정도 담는다.
7. 6에 블루베리를 올리고 나머지 반죽을 담는다.
8. 오븐에 넣고 익힌다.
9. 설탕과 전분을 믹서에 넣고 갈아준다.
10. 수플레 위에 슈거파우더를 뿌려 완성한다.</v>
      </c>
    </row>
    <row r="92">
      <c r="A92" s="2" t="str">
        <f>recipe!C92
</f>
        <v>그.레.요 (그대를 위한 레토르트 요리)</v>
      </c>
      <c r="B92" s="2" t="str">
        <f>IFERROR(__xludf.DUMMYFUNCTION("TRIM(
  REGEXEXTRACT(
    raw!A92,
    ""(?s)●\s*조리 방법(.*)""
  )
)
"),"1. 버터를 두른 팬에 양파를 볶는다.
2. 볶던 양파에 즉석밥, 토마토 소스를 넣고 함께 볶는다.
3. 2에 기름을 뺀 참치, 파르메산 치즈를 넣고 볶는다.
4. 버터를 두른 냄비에 건자두를 볶다가 레드 와인, 설탕을 넣어 졸인다.
5. 햄을 으깬 후 달걀, 밀가루와 섞는다.
6. 햄 반죽 안에 참치를 넣어 동그랗게 빚는다.
7. 6에 밀가루&gt;달걀물&gt;빵가루 순으로 튀김옷을 입혀 튀긴다.
8. 물에 옥수수 수프 분말을 넣고 끓이다 파르메산 "&amp;"치즈, 후추를 넣어 소스를 만든다.
9. 토마토 리소토 위에 옥수수 수프 소스를 뿌린다.
10. 9에 햄 튀김을 올리고 건자두, 데친 브로콜리를 올려 완성한다.")</f>
        <v>1. 버터를 두른 팬에 양파를 볶는다.
2. 볶던 양파에 즉석밥, 토마토 소스를 넣고 함께 볶는다.
3. 2에 기름을 뺀 참치, 파르메산 치즈를 넣고 볶는다.
4. 버터를 두른 냄비에 건자두를 볶다가 레드 와인, 설탕을 넣어 졸인다.
5. 햄을 으깬 후 달걀, 밀가루와 섞는다.
6. 햄 반죽 안에 참치를 넣어 동그랗게 빚는다.
7. 6에 밀가루&gt;달걀물&gt;빵가루 순으로 튀김옷을 입혀 튀긴다.
8. 물에 옥수수 수프 분말을 넣고 끓이다 파르메산 치즈, 후추를 넣어 소스를 만든다.
9. 토마토 리소토 위에 옥수수 수프 소스를 뿌린다.
10. 9에 햄 튀김을 올리고 건자두, 데친 브로콜리를 올려 완성한다.</v>
      </c>
    </row>
    <row r="93">
      <c r="A93" s="2" t="str">
        <f>recipe!C93
</f>
        <v>수픈데 오믈렛</v>
      </c>
      <c r="B93" s="2" t="str">
        <f>IFERROR(__xludf.DUMMYFUNCTION("TRIM(
  REGEXEXTRACT(
    raw!A93,
    ""(?s)●\s*조리 방법(.*)""
  )
)
"),"1. 달걀 노른자와 흰자를 분리한다.
2. 노른자에 레몬 껍질, 레몬즙을 넣고 소금, 후추 간을 한다.
3. 노른자를 체에 거른다.
4. 흰자는 거품을 낸다.
5. 노른자에 잘게 자른 햄, 흰자 거품을 넣고 섞는다.
6. 팬에 버터를 녹인 후 오믈렛 재료를 담는다.
7. 6을 오븐에 넣어 익힌다.
8. 참치와 데친 브로콜리를 섞어 샐러드를 만든다.
9. 머스터드 소스, 올리브유, 레몬즙, 설탕을 섞어 소스를 만든 후 샐러드와 섞는다.
10. 물에 옥수수"&amp;" 수프 분말을 넣고 끓이다 후추 간을 한다.
11. 옥수수 수프에 스위트 칠리 소스, 레몬즙을 섞어 소스를 만든다.
12. 접시에 샐러드와 오믈렛을 담고 옥수수 수프 소스를 뿌려 완성한다.")</f>
        <v>1. 달걀 노른자와 흰자를 분리한다.
2. 노른자에 레몬 껍질, 레몬즙을 넣고 소금, 후추 간을 한다.
3. 노른자를 체에 거른다.
4. 흰자는 거품을 낸다.
5. 노른자에 잘게 자른 햄, 흰자 거품을 넣고 섞는다.
6. 팬에 버터를 녹인 후 오믈렛 재료를 담는다.
7. 6을 오븐에 넣어 익힌다.
8. 참치와 데친 브로콜리를 섞어 샐러드를 만든다.
9. 머스터드 소스, 올리브유, 레몬즙, 설탕을 섞어 소스를 만든 후 샐러드와 섞는다.
10. 물에 옥수수 수프 분말을 넣고 끓이다 후추 간을 한다.
11. 옥수수 수프에 스위트 칠리 소스, 레몬즙을 섞어 소스를 만든다.
12. 접시에 샐러드와 오믈렛을 담고 옥수수 수프 소스를 뿌려 완성한다.</v>
      </c>
    </row>
    <row r="94">
      <c r="A94" s="2" t="str">
        <f>recipe!C94
</f>
        <v>빠리송로</v>
      </c>
      <c r="B94" s="2" t="str">
        <f>IFERROR(__xludf.DUMMYFUNCTION("TRIM(
  REGEXEXTRACT(
    raw!A94,
    ""(?s)●\s*조리 방법(.*)""
  )
)
"),"1. 물에 치킨 스톡, 당근을 넣어 끓인다.
2. 두부의 물기를 제거하고 4등분 한다.
3. 기름에 두부를 살짝 튀긴다.
4. 버터, 느타리버섯, 양파를 함께 볶다가 소금, 후추, 다진 생강을 넣는다.
5. 두부의 속을 파낸다.
6. 볶은 버섯을 잘게 다진다.
7. 두부에 다진 버섯, 트러플 소스를 넣어 속을 채운다.
8. 냄비에 체를 밭쳐 육수를 걸러낸다.
9. 당근을 핸드 블렌더로 갈아 준다.
10. 9에 육수, 우유를 넣고 갈아 당근 퓌레를 만든다"&amp;".
11. 접시에 당근 퓌레와 속을 채운 두부를 올리고 트러플 소스를 올린다.
12. 트러플 오일을 뿌려 완성한다.")</f>
        <v>1. 물에 치킨 스톡, 당근을 넣어 끓인다.
2. 두부의 물기를 제거하고 4등분 한다.
3. 기름에 두부를 살짝 튀긴다.
4. 버터, 느타리버섯, 양파를 함께 볶다가 소금, 후추, 다진 생강을 넣는다.
5. 두부의 속을 파낸다.
6. 볶은 버섯을 잘게 다진다.
7. 두부에 다진 버섯, 트러플 소스를 넣어 속을 채운다.
8. 냄비에 체를 밭쳐 육수를 걸러낸다.
9. 당근을 핸드 블렌더로 갈아 준다.
10. 9에 육수, 우유를 넣고 갈아 당근 퓌레를 만든다.
11. 접시에 당근 퓌레와 속을 채운 두부를 올리고 트러플 소스를 올린다.
12. 트러플 오일을 뿌려 완성한다.</v>
      </c>
    </row>
    <row r="95">
      <c r="A95" s="2" t="str">
        <f>recipe!C95
</f>
        <v>머라노</v>
      </c>
      <c r="B95" s="2" t="str">
        <f>IFERROR(__xludf.DUMMYFUNCTION("TRIM(
  REGEXEXTRACT(
    raw!A95,
    ""(?s)●\s*조리 방법(.*)""
  )
)
"),"1. 표고버섯을 따뜻한 물에 넣어 우린다.
2. 양파, 당근을 큼직하게 썰어 소금을 넣고 볶는다.
3. 2에 물을 붓고 끓여 채소 육수를 낸다.
4. 올리브 오일을 두른 팬에 마늘과 표고버섯, 느타리버섯을 넣고 볶는다.
5. 버섯에 즉석밥을 넣고 함께 볶는다.
6. 5에 표고버섯을 우린 물과 채소 육수를 부어가며 리소토를 만든다.
7. 리소토에 그라나파다노 치즈를 갈아 넣는다.
8. 버터를 두른 팬에 느타리버섯을 볶는다.
9. 접시에 리소"&amp;"토를 담고 치즈를 갈아 올린 후, 볶은 느타리버섯을 올린다.
10. 리소토에 후추를 뿌려 완성한다.")</f>
        <v>1. 표고버섯을 따뜻한 물에 넣어 우린다.
2. 양파, 당근을 큼직하게 썰어 소금을 넣고 볶는다.
3. 2에 물을 붓고 끓여 채소 육수를 낸다.
4. 올리브 오일을 두른 팬에 마늘과 표고버섯, 느타리버섯을 넣고 볶는다.
5. 버섯에 즉석밥을 넣고 함께 볶는다.
6. 5에 표고버섯을 우린 물과 채소 육수를 부어가며 리소토를 만든다.
7. 리소토에 그라나파다노 치즈를 갈아 넣는다.
8. 버터를 두른 팬에 느타리버섯을 볶는다.
9. 접시에 리소토를 담고 치즈를 갈아 올린 후, 볶은 느타리버섯을 올린다.
10. 리소토에 후추를 뿌려 완성한다.</v>
      </c>
    </row>
    <row r="96">
      <c r="A96" s="2" t="str">
        <f>recipe!C96
</f>
        <v>파프리콘</v>
      </c>
      <c r="B96" s="2" t="str">
        <f>IFERROR(__xludf.DUMMYFUNCTION("TRIM(
  REGEXEXTRACT(
    raw!A96,
    ""(?s)●\s*조리 방법(.*)""
  )
)
"),"1. 파프리카의 껍질을 태운다.
2. 믹서기에 토마토 통조림, 마늘, 고추, 파슬리, 바질페스토, 소금, 후추, 올리브 오일을 넣고 간다.
3. 페타 치즈와 옥수수를 섞는다.
4. 파프리카의 껍질을 벗긴다.
5. 파프리카에 페타 치즈와 옥수수 섞은 것을 넣어 속을 채운다.
6. 5에 밀가루를 묻혀 굽는다.
7. 파프리카에 토마토 소스를 부어 함께 끓인다.
8. 토마토 소스에 옥수수를 넣고 볶아준다.
9. 접시에 속을 채운 파프리카를 놓고 "&amp;"생 파프리카, 블랙 올리브를 올린다.
10. 옥수수를 넣어 볶은 토마토 소스와 파슬리를 올려 완성한다.")</f>
        <v>1. 파프리카의 껍질을 태운다.
2. 믹서기에 토마토 통조림, 마늘, 고추, 파슬리, 바질페스토, 소금, 후추, 올리브 오일을 넣고 간다.
3. 페타 치즈와 옥수수를 섞는다.
4. 파프리카의 껍질을 벗긴다.
5. 파프리카에 페타 치즈와 옥수수 섞은 것을 넣어 속을 채운다.
6. 5에 밀가루를 묻혀 굽는다.
7. 파프리카에 토마토 소스를 부어 함께 끓인다.
8. 토마토 소스에 옥수수를 넣고 볶아준다.
9. 접시에 속을 채운 파프리카를 놓고 생 파프리카, 블랙 올리브를 올린다.
10. 옥수수를 넣어 볶은 토마토 소스와 파슬리를 올려 완성한다.</v>
      </c>
    </row>
    <row r="97">
      <c r="A97" s="2" t="str">
        <f>recipe!C97
</f>
        <v>섬섬옥수수</v>
      </c>
      <c r="B97" s="2" t="str">
        <f>IFERROR(__xludf.DUMMYFUNCTION("TRIM(
  REGEXEXTRACT(
    raw!A97,
    ""(?s)●\s*조리 방법(.*)""
  )
)
"),"1. 버터를 두른 팬에 으깬 마늘, 다진 양파, 소금을 넣고 볶는다.
2. 볶던 양파에 옥수수를 넣어 함께 볶는다.
3. 우유에 리코타 치즈를 넣고 끓인다.
4. 3에 치킨 스톡을 넣는다.
5. 치킨 스톡과 치즈를 넣고 끓인 우유를 옥수수에 부어 함께 끓인다.
6. 5를 믹서에 넣고 갈아준다.
7. 옥수수 수프에 버터, 소금, 후추를 넣는다.
8. 밀가루, 설탕, 우유, 달걀, 소금을 섞어 튀김 반죽을 만든다.
9. 반죽에 해바라기씨, 옥"&amp;"수수를 넣은 후 트러플 오일을 섞어 준다.
10. 반죽을 한 숟가락씩 덜어 기름에 튀긴다.
11. 옥수수 수프 위에 옥수수 튀김을 올리고 그라나파다노 치즈를 갈아 올린다.")</f>
        <v>1. 버터를 두른 팬에 으깬 마늘, 다진 양파, 소금을 넣고 볶는다.
2. 볶던 양파에 옥수수를 넣어 함께 볶는다.
3. 우유에 리코타 치즈를 넣고 끓인다.
4. 3에 치킨 스톡을 넣는다.
5. 치킨 스톡과 치즈를 넣고 끓인 우유를 옥수수에 부어 함께 끓인다.
6. 5를 믹서에 넣고 갈아준다.
7. 옥수수 수프에 버터, 소금, 후추를 넣는다.
8. 밀가루, 설탕, 우유, 달걀, 소금을 섞어 튀김 반죽을 만든다.
9. 반죽에 해바라기씨, 옥수수를 넣은 후 트러플 오일을 섞어 준다.
10. 반죽을 한 숟가락씩 덜어 기름에 튀긴다.
11. 옥수수 수프 위에 옥수수 튀김을 올리고 그라나파다노 치즈를 갈아 올린다.</v>
      </c>
    </row>
    <row r="98">
      <c r="A98" s="2" t="str">
        <f>recipe!C98
</f>
        <v>스푼 파스타</v>
      </c>
      <c r="B98" s="2" t="str">
        <f>IFERROR(__xludf.DUMMYFUNCTION("TRIM(
  REGEXEXTRACT(
    raw!A98,
    ""(?s)●\s*조리 방법(.*)""
  )
)
"),"1. 물에 밴댕이를 넣고 끓여 육수를 낸다.
2. 파스타면을 펼치지 않고 한데 모아 삶는다.
3. 살짝 익은 면을 찬물에 헹군 뒤 잘게 썬다.
4. 갑오징어 알, 새우, 키조개 관자를 손질한다.
5. 팬에 올리브 오일을 두르고다진 마늘, 갑오징어 알, 새우, 키조개 관자를 함께 볶는다.
6. 5에 올리브유를 한 번 더 두르고, 후추로 간을 한다.
7. 밴댕이 육수를 부어준 다음, 잘게 썬 파스타면을 넣어 익힌다.
8. 잘게 썬 파스타면을 넣"&amp;"어 익힌다.
9. 파스타에 카망베르 치즈를 잘게 썰어 넣는다.
10. 접시에 파스타를 담아낸다.")</f>
        <v>1. 물에 밴댕이를 넣고 끓여 육수를 낸다.
2. 파스타면을 펼치지 않고 한데 모아 삶는다.
3. 살짝 익은 면을 찬물에 헹군 뒤 잘게 썬다.
4. 갑오징어 알, 새우, 키조개 관자를 손질한다.
5. 팬에 올리브 오일을 두르고다진 마늘, 갑오징어 알, 새우, 키조개 관자를 함께 볶는다.
6. 5에 올리브유를 한 번 더 두르고, 후추로 간을 한다.
7. 밴댕이 육수를 부어준 다음, 잘게 썬 파스타면을 넣어 익힌다.
8. 잘게 썬 파스타면을 넣어 익힌다.
9. 파스타에 카망베르 치즈를 잘게 썰어 넣는다.
10. 접시에 파스타를 담아낸다.</v>
      </c>
    </row>
    <row r="99">
      <c r="A99" s="2" t="str">
        <f>recipe!C99
</f>
        <v>연복쌈</v>
      </c>
      <c r="B99" s="2" t="str">
        <f>IFERROR(__xludf.DUMMYFUNCTION("TRIM(
  REGEXEXTRACT(
    raw!A99,
    ""(?s)●\s*조리 방법(.*)""
  )
)
"),"1. 끓는 물에 전복을 삶는다.
2. 돼지고기를 가늘게 썬다.
3. 양파, 애호박을 잘게 썬다.
4. 대파와 오이를 채 썰어 접시에 담아둔다.
5. 밀가루에 소금을 넣고 뜨거운 물을 부어가며 춘빙 반죽을 만든다.
6. 춘빙 반죽을 적당한 크기로 떼어 납작하게 누른 후 한쪽 면에 참기름을 바른다.
7. 참기름을 바른 쪽이 서로 마주보도록 춘빙 반죽을 두 개 합친 후 밀대로 얇게 민다.
8. 삶은 전복을 얇게 채 썬다.
9. 기름을 두른 팬에 손질해 둔 양"&amp;"파, 애호박, 돼지고기, 전복을 넣고 볶는다.
10. 9에 춘장, 전복소스, 올리브 오일을 넣어 볶는다.
11. 팬에 춘빙 반죽을 굽는다.
12. 구운 춘빙 반죽을 바닥에 강하게 내리쳐 두 장으로 분리한다.
13. 채썬 대파, 오이를 담아 놓은 접시에 춘빙을 접어 낸다.
14. 다른 접시에 볶은 돼지고기와 전복을 얹어 낸다.")</f>
        <v>1. 끓는 물에 전복을 삶는다.
2. 돼지고기를 가늘게 썬다.
3. 양파, 애호박을 잘게 썬다.
4. 대파와 오이를 채 썰어 접시에 담아둔다.
5. 밀가루에 소금을 넣고 뜨거운 물을 부어가며 춘빙 반죽을 만든다.
6. 춘빙 반죽을 적당한 크기로 떼어 납작하게 누른 후 한쪽 면에 참기름을 바른다.
7. 참기름을 바른 쪽이 서로 마주보도록 춘빙 반죽을 두 개 합친 후 밀대로 얇게 민다.
8. 삶은 전복을 얇게 채 썬다.
9. 기름을 두른 팬에 손질해 둔 양파, 애호박, 돼지고기, 전복을 넣고 볶는다.
10. 9에 춘장, 전복소스, 올리브 오일을 넣어 볶는다.
11. 팬에 춘빙 반죽을 굽는다.
12. 구운 춘빙 반죽을 바닥에 강하게 내리쳐 두 장으로 분리한다.
13. 채썬 대파, 오이를 담아 놓은 접시에 춘빙을 접어 낸다.
14. 다른 접시에 볶은 돼지고기와 전복을 얹어 낸다.</v>
      </c>
    </row>
    <row r="100">
      <c r="A100" s="2" t="str">
        <f>recipe!C100
</f>
        <v>갈갈이 풍면</v>
      </c>
      <c r="B100" s="2" t="str">
        <f>IFERROR(__xludf.DUMMYFUNCTION("TRIM(
  REGEXEXTRACT(
    raw!A100,
    ""(?s)●\s*조리 방법(.*)""
  )
)
"),"1. 믹서에 황태채, 새우가루, 홍합가루, 고춧가루를 넣고 간다.
2. 1에 토마토, 할라피뇨, 매실 장아찌, 마늘 장아찌, 매실액, 올리브 오일을 넣고 간다.
3. 삼겹살에 후추 간을 해서 굽는다.
4. 엔젤헤어를 삶는다.
5. 면을 건져 찬물에 헹군다.
6. 접시에 적당한 크기로 자른 삼겹살을 얹는다.
7. 6에 면, 토마토 소스를 올려 완성한다.")</f>
        <v>1. 믹서에 황태채, 새우가루, 홍합가루, 고춧가루를 넣고 간다.
2. 1에 토마토, 할라피뇨, 매실 장아찌, 마늘 장아찌, 매실액, 올리브 오일을 넣고 간다.
3. 삼겹살에 후추 간을 해서 굽는다.
4. 엔젤헤어를 삶는다.
5. 면을 건져 찬물에 헹군다.
6. 접시에 적당한 크기로 자른 삼겹살을 얹는다.
7. 6에 면, 토마토 소스를 올려 완성한다.</v>
      </c>
    </row>
    <row r="101">
      <c r="A101" s="2" t="str">
        <f>recipe!C101
</f>
        <v>한식 브런찜</v>
      </c>
      <c r="B101" s="2" t="str">
        <f>IFERROR(__xludf.DUMMYFUNCTION("TRIM(
  REGEXEXTRACT(
    raw!A101,
    ""(?s)●\s*조리 방법(.*)""
  )
)
"),"1. 끓는 물에 된장을 풀고 요리술을 넣어 끓인다.
2. 찜기에 솔잎을 올리고 굴비채를 찐다.
3. 즉석밥을 전자레인지에 넣고 익힌다.
4. 끓는 물에 소금을 넣고 눈개승마를 데친다.
5. 데친 눈개승마를 차가운 물에 담가 놓는다.
6. 다진 마늘, 다진 파, 된장, 아가베 시럽을 섞는다.
7. 6에 고춧가루, 깨를 갈아 넣어 나물 양념을 만든다.
8. 물기를 뺀 눈개승마에 나물 양념과 참기름을 넣고 무친다.
9. 접시에 밥과 나물을 올린"&amp;"다.
10. 대파, 양조간장, 유자청, 아가베 시럽, 물을 섞어 굴비채 양념을 만든다.
11. 찐 굴비채를 접시에 담고 굴비채 양념을 올려 완성한다.")</f>
        <v>1. 끓는 물에 된장을 풀고 요리술을 넣어 끓인다.
2. 찜기에 솔잎을 올리고 굴비채를 찐다.
3. 즉석밥을 전자레인지에 넣고 익힌다.
4. 끓는 물에 소금을 넣고 눈개승마를 데친다.
5. 데친 눈개승마를 차가운 물에 담가 놓는다.
6. 다진 마늘, 다진 파, 된장, 아가베 시럽을 섞는다.
7. 6에 고춧가루, 깨를 갈아 넣어 나물 양념을 만든다.
8. 물기를 뺀 눈개승마에 나물 양념과 참기름을 넣고 무친다.
9. 접시에 밥과 나물을 올린다.
10. 대파, 양조간장, 유자청, 아가베 시럽, 물을 섞어 굴비채 양념을 만든다.
11. 찐 굴비채를 접시에 담고 굴비채 양념을 올려 완성한다.</v>
      </c>
    </row>
    <row r="102">
      <c r="A102" s="2" t="str">
        <f>recipe!C102
</f>
        <v>연복풍 덮밥</v>
      </c>
      <c r="B102" s="2" t="str">
        <f>IFERROR(__xludf.DUMMYFUNCTION("TRIM(
  REGEXEXTRACT(
    raw!A102,
    ""(?s)●\s*조리 방법(.*)""
  )
)
"),"1. 팬에 식용유와 참기름을 두른 후 다진 마늘, 다진 생강을 넣어 볶는다.
2. 1에 길게 썬 대파를 넣어 볶는다.
3. 간장, 고춧가루, 게맛살을 넣고 함께 볶는다.
4. 고량주를 넣어 볶는다.
5. 팽이버섯을 넣어 볶는다.
6. 전분물을 넣어준다.
7. 달걀 프라이를 만든다.
8. 즉석밥을 전자레인지에 데운다.
9. 달걀 프라이에 물을 조금 붓고 뚜껑을 닫아 익힌다.
10. 접시에 즉석밥을 담고 볶은 재료와 달걀 프라이를 올린다.")</f>
        <v>1. 팬에 식용유와 참기름을 두른 후 다진 마늘, 다진 생강을 넣어 볶는다.
2. 1에 길게 썬 대파를 넣어 볶는다.
3. 간장, 고춧가루, 게맛살을 넣고 함께 볶는다.
4. 고량주를 넣어 볶는다.
5. 팽이버섯을 넣어 볶는다.
6. 전분물을 넣어준다.
7. 달걀 프라이를 만든다.
8. 즉석밥을 전자레인지에 데운다.
9. 달걀 프라이에 물을 조금 붓고 뚜껑을 닫아 익힌다.
10. 접시에 즉석밥을 담고 볶은 재료와 달걀 프라이를 올린다.</v>
      </c>
    </row>
    <row r="103">
      <c r="A103" s="2" t="str">
        <f>recipe!C103
</f>
        <v>윌나잇까스</v>
      </c>
      <c r="B103" s="2" t="str">
        <f>IFERROR(__xludf.DUMMYFUNCTION("TRIM(
  REGEXEXTRACT(
    raw!A103,
    ""(?s)●\s*조리 방법(.*)""
  )
)
"),"1. 큼직하게 썬 당근과 양파를 볶는다.
2. 1에 물을 붓고 끓여 채소 육수를 만든다.
3. 소고기 등심 위 아래로 비닐을 깔고 고기를 두드려 얇게 편다.
4. 고기에 칼집을 넣은 다음 소금, 후추 간을 한다.
5. 버터와 밀가루를 볶아 루를 만든다.
6. 다진 양파를 볶다가 레몬즙과 채소 육수를 넣는다.
7. 6에 루를 넣어 레몬 소스를 만든다.
8. 고기에 밀가루-달걀-빵가루 순으로 튀김옷을 입혀 굽는다.
9. 기름 두른 팬에 팽이버"&amp;"섯을 볶는다.
10. 고기와 버섯에 버터를 넣어준다.
11. 고기에 버터를 끼얹으며 굽는다.
12. 접시에 레몬 소스를 붓고 돈가스, 볶은 팽이버섯을 올려 낸다.")</f>
        <v>1. 큼직하게 썬 당근과 양파를 볶는다.
2. 1에 물을 붓고 끓여 채소 육수를 만든다.
3. 소고기 등심 위 아래로 비닐을 깔고 고기를 두드려 얇게 편다.
4. 고기에 칼집을 넣은 다음 소금, 후추 간을 한다.
5. 버터와 밀가루를 볶아 루를 만든다.
6. 다진 양파를 볶다가 레몬즙과 채소 육수를 넣는다.
7. 6에 루를 넣어 레몬 소스를 만든다.
8. 고기에 밀가루-달걀-빵가루 순으로 튀김옷을 입혀 굽는다.
9. 기름 두른 팬에 팽이버섯을 볶는다.
10. 고기와 버섯에 버터를 넣어준다.
11. 고기에 버터를 끼얹으며 굽는다.
12. 접시에 레몬 소스를 붓고 돈가스, 볶은 팽이버섯을 올려 낸다.</v>
      </c>
    </row>
    <row r="104">
      <c r="A104" s="2" t="str">
        <f>recipe!C104
</f>
        <v>이것이 원윌이닭</v>
      </c>
      <c r="B104" s="2" t="str">
        <f>IFERROR(__xludf.DUMMYFUNCTION("TRIM(
  REGEXEXTRACT(
    raw!A104,
    ""(?s)●\s*조리 방법(.*)""
  )
)
"),"1. 닭가슴살을 얇게 썬 다음 소금, 후추 간을 한다.
2. 닭가슴살을 비닐팩에 넣어 최대한 공기를 뺀 후 밀봉한다.
3. 비닐팩에 넣은 닭가슴살을 따뜻한 물에 넣어 익힌다.
4. 메밀라면을 익힌다.
5. 익힌 메밀라면은 얼음물에 담가둔다.
6. 알배추, 사과, 깻잎은 채 썰어 얼음물에 담가둔다.
7. 쌈무를 잘게 썰어둔다.
8. 익은 닭가슴살을 잘게 찢는다.
9. 물김치 국물에 사과 주스, 식초, 레몬즙, 설탕, 다진 마늘, 고추, 연겨"&amp;"자, 닭고기 육수를 섞는다.
10. 9에 얼음을 넣는다.
11. 그릇에 메밀라면과 닭고기, 채 썬 채소를 올리고 국물을 붓는다.")</f>
        <v>1. 닭가슴살을 얇게 썬 다음 소금, 후추 간을 한다.
2. 닭가슴살을 비닐팩에 넣어 최대한 공기를 뺀 후 밀봉한다.
3. 비닐팩에 넣은 닭가슴살을 따뜻한 물에 넣어 익힌다.
4. 메밀라면을 익힌다.
5. 익힌 메밀라면은 얼음물에 담가둔다.
6. 알배추, 사과, 깻잎은 채 썰어 얼음물에 담가둔다.
7. 쌈무를 잘게 썰어둔다.
8. 익은 닭가슴살을 잘게 찢는다.
9. 물김치 국물에 사과 주스, 식초, 레몬즙, 설탕, 다진 마늘, 고추, 연겨자, 닭고기 육수를 섞는다.
10. 9에 얼음을 넣는다.
11. 그릇에 메밀라면과 닭고기, 채 썬 채소를 올리고 국물을 붓는다.</v>
      </c>
    </row>
    <row r="105">
      <c r="A105" s="2" t="str">
        <f>recipe!C105
</f>
        <v>치킨 마요랑깨</v>
      </c>
      <c r="B105" s="2" t="str">
        <f>IFERROR(__xludf.DUMMYFUNCTION("TRIM(
  REGEXEXTRACT(
    raw!A105,
    ""(?s)●\s*조리 방법(.*)""
  )
)
"),"1. 닭가슴살을 길게 썰어 간장, 후추로 간을 한다.
2. 닭가슴살에 믹서에 간 김치, 으깬 마늘을 넣는다.
3. 깨와 밀가루를 섞어 준비한다.
4. 닭가슴살에 달걀물을 섞은 다음 3을 묻혀 준다.
5. 닭가슴살을 튀긴다.
6. 달걀 노른자에 허니 머스터드, 레몬즙을 넣고 거품기로 섞는다.
7. 올리브 오일을 조금씩 넣어가며 섞는다.
8. 소금을 조금 넣는다.
9. 접시에 튀긴 닭가슴살, 김치, 청양고추를 썰어 넣은 마요네즈를 같이 낸다.")</f>
        <v>1. 닭가슴살을 길게 썰어 간장, 후추로 간을 한다.
2. 닭가슴살에 믹서에 간 김치, 으깬 마늘을 넣는다.
3. 깨와 밀가루를 섞어 준비한다.
4. 닭가슴살에 달걀물을 섞은 다음 3을 묻혀 준다.
5. 닭가슴살을 튀긴다.
6. 달걀 노른자에 허니 머스터드, 레몬즙을 넣고 거품기로 섞는다.
7. 올리브 오일을 조금씩 넣어가며 섞는다.
8. 소금을 조금 넣는다.
9. 접시에 튀긴 닭가슴살, 김치, 청양고추를 썰어 넣은 마요네즈를 같이 낸다.</v>
      </c>
    </row>
    <row r="106">
      <c r="A106" s="2" t="str">
        <f>recipe!C106
</f>
        <v>감동의 더가니</v>
      </c>
      <c r="B106" s="2" t="str">
        <f>IFERROR(__xludf.DUMMYFUNCTION("TRIM(
  REGEXEXTRACT(
    raw!A106,
    ""(?s)●\s*조리 방법(.*)""
  )
)
"),"1. 새우 껍질을 벗긴다.
2. 새우 등에 칼집을 넣고 소금, 후추 간을 한다.
3. 새우에 밀가루를 묻힌 후 마늘을 볶던 팬에 굽는다.
4. 인스턴트 도가니탕을 끓인다.
5. 냄비에 레드와인을 넣고 졸인다.
6. 도가니탕에 졸인 레드와인, 더치커피를 넣고 끓여 소스를 만든다.
7. 6에 토마토 소스를 넣는다.
8. 설탕을 넣는다.
9. 버터에 밀가루를 묻힌 후 소스에 넣어 점도를 잡는다.
10. 즉석밥을 데운다.
11. 선드라이드 토"&amp;"마토를 잘게 다진 후 즉석밥, 올리브 오일과 섞는다.
12. 새우에 화이트 와인을 뿌린다.
13. 밥에 파슬리를 넣고 동그랗게 모양을 잡는다.
14. 접시에 밥과 새우를 올린다.
15. 소스를 붓고 미나리 잎으로 장식한 후, 레몬껍질을 갈아 올린다.")</f>
        <v>1. 새우 껍질을 벗긴다.
2. 새우 등에 칼집을 넣고 소금, 후추 간을 한다.
3. 새우에 밀가루를 묻힌 후 마늘을 볶던 팬에 굽는다.
4. 인스턴트 도가니탕을 끓인다.
5. 냄비에 레드와인을 넣고 졸인다.
6. 도가니탕에 졸인 레드와인, 더치커피를 넣고 끓여 소스를 만든다.
7. 6에 토마토 소스를 넣는다.
8. 설탕을 넣는다.
9. 버터에 밀가루를 묻힌 후 소스에 넣어 점도를 잡는다.
10. 즉석밥을 데운다.
11. 선드라이드 토마토를 잘게 다진 후 즉석밥, 올리브 오일과 섞는다.
12. 새우에 화이트 와인을 뿌린다.
13. 밥에 파슬리를 넣고 동그랗게 모양을 잡는다.
14. 접시에 밥과 새우를 올린다.
15. 소스를 붓고 미나리 잎으로 장식한 후, 레몬껍질을 갈아 올린다.</v>
      </c>
    </row>
    <row r="107">
      <c r="A107" s="2" t="str">
        <f>recipe!C107
</f>
        <v>치사의 사탑</v>
      </c>
      <c r="B107" s="2" t="str">
        <f>IFERROR(__xludf.DUMMYFUNCTION("TRIM(
  REGEXEXTRACT(
    raw!A107,
    ""(?s)●\s*조리 방법(.*)""
  )
)
"),"1. 버터를 두른 팬에 동그랗게 썬 사과를 굽는다.
2. 버터를 두른 팬에 살치살을 굽는다.
3. 원형틀을 놓고 사과-살치살-사과-살치살 순으로 쌓는다.
4. 3에 포트 와인과 레드 와인을 붓고 끓인다.
5. 적당히 졸여진 사과와 살치살을 접시에 옮겨 담는다.
6. 양파, 소시지, 베이컨, 할라피뇨를 볶는다.
7. 6에 토마토 소스와 베이크드 빈을 넣어 카술레를 만든다.
8. 팬에 레드와인을 붓고 다진 마늘, 표고 버섯, 케첩, 스리라차 소스를 넣는다."&amp;"
9. 8에 칠리 플레이크, 설탕, 버터를 넣어 레드 와인 소스를 만든다.
10. 사과와 살치살 위에 레드 와인 소스를 뿌리고 카술레를 따로 담는다.
11. 파슬리와 할라피뇨로 장식한다.")</f>
        <v>1. 버터를 두른 팬에 동그랗게 썬 사과를 굽는다.
2. 버터를 두른 팬에 살치살을 굽는다.
3. 원형틀을 놓고 사과-살치살-사과-살치살 순으로 쌓는다.
4. 3에 포트 와인과 레드 와인을 붓고 끓인다.
5. 적당히 졸여진 사과와 살치살을 접시에 옮겨 담는다.
6. 양파, 소시지, 베이컨, 할라피뇨를 볶는다.
7. 6에 토마토 소스와 베이크드 빈을 넣어 카술레를 만든다.
8. 팬에 레드와인을 붓고 다진 마늘, 표고 버섯, 케첩, 스리라차 소스를 넣는다.
9. 8에 칠리 플레이크, 설탕, 버터를 넣어 레드 와인 소스를 만든다.
10. 사과와 살치살 위에 레드 와인 소스를 뿌리고 카술레를 따로 담는다.
11. 파슬리와 할라피뇨로 장식한다.</v>
      </c>
    </row>
    <row r="108">
      <c r="A108" s="2" t="str">
        <f>recipe!C108
</f>
        <v>와인퐁당</v>
      </c>
      <c r="B108" s="2" t="str">
        <f>IFERROR(__xludf.DUMMYFUNCTION("TRIM(
  REGEXEXTRACT(
    raw!A108,
    ""(?s)●\s*조리 방법(.*)""
  )
)
"),"1. 스모크 치즈를 잘게 썬다.
2. 냄비에 화이트 와인을 붓고 스모크 치즈를 넣어 끓인다.
3. 2에 카망베르 치즈를 넣고 끓여 치즈 소스를 만든다.
4. 마늘, 애호박, 살치살을 그릴팬에 굽는다.
5. 손질한 새우를 그릴팬에 굽는다.
6. 치즈 소스를 체에 거른다.
7. 접시에 구운 애호박, 새우, 살치살을 담는다.
8. 애호박과 살치살 위에 칠리 플레이크를 뿌린다.
9. 새우 위에 로즈마리를 뿌린다.
10. 치즈 소스에 칠리 플레이"&amp;"크를 뿌려 함께 낸다.")</f>
        <v>1. 스모크 치즈를 잘게 썬다.
2. 냄비에 화이트 와인을 붓고 스모크 치즈를 넣어 끓인다.
3. 2에 카망베르 치즈를 넣고 끓여 치즈 소스를 만든다.
4. 마늘, 애호박, 살치살을 그릴팬에 굽는다.
5. 손질한 새우를 그릴팬에 굽는다.
6. 치즈 소스를 체에 거른다.
7. 접시에 구운 애호박, 새우, 살치살을 담는다.
8. 애호박과 살치살 위에 칠리 플레이크를 뿌린다.
9. 새우 위에 로즈마리를 뿌린다.
10. 치즈 소스에 칠리 플레이크를 뿌려 함께 낸다.</v>
      </c>
    </row>
    <row r="109">
      <c r="A109" s="2" t="str">
        <f>recipe!C109
</f>
        <v>우와한 양갈비</v>
      </c>
      <c r="B109" s="2" t="str">
        <f>IFERROR(__xludf.DUMMYFUNCTION("TRIM(
  REGEXEXTRACT(
    raw!A109,
    ""(?s)●\s*조리 방법(.*)""
  )
)
"),"1. 사과와 애호박을 잘게 다진다.
2. 베이크드 빈을 물에 헹군다.
3. 베이컨을 잘게 다진다.
4. 버터를 두른 팬에 다진 재료들과 베이크드 빈, 블랙 올리브를 넣고 볶는다.
5. 양갈비에 소금, 후추 간을 한다.
6. 레드 와인에 다진 표고 버섯, 다진 마늘을 넣고 끓인다.
7. 6에 소금, 설탕을 넣고 끓인다.
8. 재료를 걸러낸 끓인 레드 와인을 볶던 채소에 붓는다.
9. 식용유를 두른 팬에 양갈비를 굽는다.
10. 접시 위에 "&amp;"구운 양갈비를 놓고 레스팅한다.
11. 양갈비를 굽던 팬에 포트 와인을 부어 알코올을 날린다.
12. 끓인 포트 와인에 로즈마리를 넣는다.
13. 12에 버터와 후추를 넣고 졸여 포트 와인 소스를 만든다.
14. 볶은 채소 위에 양갈비를 올린다.
15. 양갈비 위에 포트 와인 소스를 두른다.
16. 파슬리와 칠리 플레이크를 뿌린다.
17. 한 쪽에 양꼬치 분말 소스를 곁들여 낸다.")</f>
        <v>1. 사과와 애호박을 잘게 다진다.
2. 베이크드 빈을 물에 헹군다.
3. 베이컨을 잘게 다진다.
4. 버터를 두른 팬에 다진 재료들과 베이크드 빈, 블랙 올리브를 넣고 볶는다.
5. 양갈비에 소금, 후추 간을 한다.
6. 레드 와인에 다진 표고 버섯, 다진 마늘을 넣고 끓인다.
7. 6에 소금, 설탕을 넣고 끓인다.
8. 재료를 걸러낸 끓인 레드 와인을 볶던 채소에 붓는다.
9. 식용유를 두른 팬에 양갈비를 굽는다.
10. 접시 위에 구운 양갈비를 놓고 레스팅한다.
11. 양갈비를 굽던 팬에 포트 와인을 부어 알코올을 날린다.
12. 끓인 포트 와인에 로즈마리를 넣는다.
13. 12에 버터와 후추를 넣고 졸여 포트 와인 소스를 만든다.
14. 볶은 채소 위에 양갈비를 올린다.
15. 양갈비 위에 포트 와인 소스를 두른다.
16. 파슬리와 칠리 플레이크를 뿌린다.
17. 한 쪽에 양꼬치 분말 소스를 곁들여 낸다.</v>
      </c>
    </row>
    <row r="110">
      <c r="A110" s="2" t="str">
        <f>recipe!C110
</f>
        <v>이길 만두 하자냐</v>
      </c>
      <c r="B110" s="2" t="str">
        <f>IFERROR(__xludf.DUMMYFUNCTION("TRIM(
  REGEXEXTRACT(
    raw!A110,
    ""(?s)●\s*조리 방법(.*)""
  )
)
"),"1. 새우 물만두의 만두피와 만두소를 분리한다.
2. 배추김치를 다진다.
3. 버터를 두른 팬에 김치를 볶는다.
4. 방울토마토를 으깨어 넣는다.
5. 만두소를 으깨어 넣는다.
6. 고추장과 설탕을 넣어 볶는다.
7. 찬밥에 우유를 넣고 간다.
8. 7에 양송이 수프 통조림을 섞어 함께 끓인다.
9. 그릇에 볶은 김치&gt;만두피&gt;수프&gt;모차렐라 치즈를 얹고 전자레인지에 돌린다.")</f>
        <v>1. 새우 물만두의 만두피와 만두소를 분리한다.
2. 배추김치를 다진다.
3. 버터를 두른 팬에 김치를 볶는다.
4. 방울토마토를 으깨어 넣는다.
5. 만두소를 으깨어 넣는다.
6. 고추장과 설탕을 넣어 볶는다.
7. 찬밥에 우유를 넣고 간다.
8. 7에 양송이 수프 통조림을 섞어 함께 끓인다.
9. 그릇에 볶은 김치&gt;만두피&gt;수프&gt;모차렐라 치즈를 얹고 전자레인지에 돌린다.</v>
      </c>
    </row>
    <row r="111">
      <c r="A111" s="2" t="str">
        <f>recipe!C111
</f>
        <v>복꽃엔딩</v>
      </c>
      <c r="B111" s="2" t="str">
        <f>IFERROR(__xludf.DUMMYFUNCTION("TRIM(
  REGEXEXTRACT(
    raw!A111,
    ""(?s)●\s*조리 방법(.*)""
  )
)
"),"1. 팬에 기름을 두르고 한 번 살짝 닦는다.
2. 달걀에 전분, 소금을 섞는다.
3. 달군 팬에 달걀지단을 부친다.
4. 배추김치를 물에 한 번 헹군 뒤 잘게 다진다.
5. 양파, 표고버섯, 돼지고기를 잘게 썬다.
6. 살짝 데친 오징어를 잘게 썬다.
7. 팬에 기름을 두르고 양파와 돼지고기를 볶다가 간장을 넣는다.
8. 7에 김치, 표고버섯, 오징어를 넣어 함께 볶는다.
9. 굴소스를 넣는다.
10. 설탕을 넣는다.
11. 달걀지단"&amp;"에 볶은 재료를 올리고 김밥 말듯이 만다.
12. 11에 밀가루 푼 물을 바른 후 기름에 살짝 튀긴다.
13. 달걀춘권을 썰어 낸다.")</f>
        <v>1. 팬에 기름을 두르고 한 번 살짝 닦는다.
2. 달걀에 전분, 소금을 섞는다.
3. 달군 팬에 달걀지단을 부친다.
4. 배추김치를 물에 한 번 헹군 뒤 잘게 다진다.
5. 양파, 표고버섯, 돼지고기를 잘게 썬다.
6. 살짝 데친 오징어를 잘게 썬다.
7. 팬에 기름을 두르고 양파와 돼지고기를 볶다가 간장을 넣는다.
8. 7에 김치, 표고버섯, 오징어를 넣어 함께 볶는다.
9. 굴소스를 넣는다.
10. 설탕을 넣는다.
11. 달걀지단에 볶은 재료를 올리고 김밥 말듯이 만다.
12. 11에 밀가루 푼 물을 바른 후 기름에 살짝 튀긴다.
13. 달걀춘권을 썰어 낸다.</v>
      </c>
    </row>
    <row r="112">
      <c r="A112" s="2" t="str">
        <f>recipe!C112
</f>
        <v>맹모닝</v>
      </c>
      <c r="B112" s="2" t="str">
        <f>IFERROR(__xludf.DUMMYFUNCTION("TRIM(
  REGEXEXTRACT(
    raw!A112,
    ""(?s)●\s*조리 방법(.*)""
  )
)
"),"1. 꽁치 통조림의 국물과 건더기를 분리한다.
2. 꽁치를 반으로 자르고 오렌지 즙을 뿌려 재워둔다.
3. 꽁치에 레몬 식초를 뿌린다.
4. 재워둔 꽁치를 팬에 넣고 끓인다.
5. 4에 다진 양파와 소금을 넣고 볶는다.
6. 식빵을 토스트기에 넣어 굽는다.
7. 토마토를 얇게 썬다.
8. 꽁치 국물에 양송이 수프 통조림을 넣고 끓인다.
9. 8에 청양고추를 넣고, 우유를 부어 끓인다.
10. 식빵의 가장자리를 자른 후, 수프에 넣어 적신"&amp;"다.
11. 꽁치에 소금, 후추 간을 한다.
12. 꽁치에 다진 마늘을 넣는다.
13. 배추김치와 열무김치를 물에 헹군 후, 잘게 썬다.
14. 김치에 옥수수 통조림, 채 썬 당근, 마요네즈를 함께 넣어 버무린다.
15. 그릇에 김치 콘슬로우를 담고 다진 잣을 올린다.
16. 식빵에 볶은 꽁치를 올린 후, 수프에 적신 식빵을 올린다.
17. 16에 슬라이스 치즈, 토마토, 다진 피클을 얹고 식빵으로 덮는다.
18. 접시에 토스트와 김치 콘"&amp;"슬로우를 함께 낸다.")</f>
        <v>1. 꽁치 통조림의 국물과 건더기를 분리한다.
2. 꽁치를 반으로 자르고 오렌지 즙을 뿌려 재워둔다.
3. 꽁치에 레몬 식초를 뿌린다.
4. 재워둔 꽁치를 팬에 넣고 끓인다.
5. 4에 다진 양파와 소금을 넣고 볶는다.
6. 식빵을 토스트기에 넣어 굽는다.
7. 토마토를 얇게 썬다.
8. 꽁치 국물에 양송이 수프 통조림을 넣고 끓인다.
9. 8에 청양고추를 넣고, 우유를 부어 끓인다.
10. 식빵의 가장자리를 자른 후, 수프에 넣어 적신다.
11. 꽁치에 소금, 후추 간을 한다.
12. 꽁치에 다진 마늘을 넣는다.
13. 배추김치와 열무김치를 물에 헹군 후, 잘게 썬다.
14. 김치에 옥수수 통조림, 채 썬 당근, 마요네즈를 함께 넣어 버무린다.
15. 그릇에 김치 콘슬로우를 담고 다진 잣을 올린다.
16. 식빵에 볶은 꽁치를 올린 후, 수프에 적신 식빵을 올린다.
17. 16에 슬라이스 치즈, 토마토, 다진 피클을 얹고 식빵으로 덮는다.
18. 접시에 토스트와 김치 콘슬로우를 함께 낸다.</v>
      </c>
    </row>
    <row r="113">
      <c r="A113" s="2" t="str">
        <f>recipe!C113
</f>
        <v>LA 떡다져스</v>
      </c>
      <c r="B113" s="2" t="str">
        <f>IFERROR(__xludf.DUMMYFUNCTION("TRIM(
  REGEXEXTRACT(
    raw!A113,
    ""(?s)●\s*조리 방법(.*)""
  )
)
"),"1. 소고기를 잘게 썬다.
2. 간장, 설탕, 다진 마늘, 참기름, 깨를 섞어 간장 양념을 만든다.
3. 간장 양념에 다진 파를 넣고 섞는다.
4. 잘게 썬 소고기를 믹서에 간다.
5. 간 소고기와 간장 양념을 섞는다.
6. 떡국떡을 다진다.
7. 양념한 소고기와 다진 떡을 섞은 후, 한 덩이씩 떼어 뭉친다.
8. 동그랗게 반죽한 소고기를 팬에 굽는다.
9. 표고버섯, 관자구이 제품, 양파, 갈릭&amp;차이브 치즈, 대파를 썰어 둔다.
10."&amp;" 팬에 다진 마늘과 양파, 표고버섯, 대파, 갈릭&amp;차이브 치즈를 볶는다.
11. 10에 맛간장을 넣은 후, 관자구이 제품을 넣어 볶는다.
12. 볶은 재료들을 그릇에 담고, 모차렐라 치즈를 올려 전자레인지에 돌린다.
13. 철판에 떡갈비를 담고 잣을 올린다.
14. 떡갈비에 관자 버섯 볶음을 곁들인 후, 모차렐라 치즈를 올려 낸다.")</f>
        <v>1. 소고기를 잘게 썬다.
2. 간장, 설탕, 다진 마늘, 참기름, 깨를 섞어 간장 양념을 만든다.
3. 간장 양념에 다진 파를 넣고 섞는다.
4. 잘게 썬 소고기를 믹서에 간다.
5. 간 소고기와 간장 양념을 섞는다.
6. 떡국떡을 다진다.
7. 양념한 소고기와 다진 떡을 섞은 후, 한 덩이씩 떼어 뭉친다.
8. 동그랗게 반죽한 소고기를 팬에 굽는다.
9. 표고버섯, 관자구이 제품, 양파, 갈릭&amp;차이브 치즈, 대파를 썰어 둔다.
10. 팬에 다진 마늘과 양파, 표고버섯, 대파, 갈릭&amp;차이브 치즈를 볶는다.
11. 10에 맛간장을 넣은 후, 관자구이 제품을 넣어 볶는다.
12. 볶은 재료들을 그릇에 담고, 모차렐라 치즈를 올려 전자레인지에 돌린다.
13. 철판에 떡갈비를 담고 잣을 올린다.
14. 떡갈비에 관자 버섯 볶음을 곁들인 후, 모차렐라 치즈를 올려 낸다.</v>
      </c>
    </row>
    <row r="114">
      <c r="A114" s="2" t="str">
        <f>recipe!C114
</f>
        <v>혜.품.닭</v>
      </c>
      <c r="B114" s="2" t="str">
        <f>IFERROR(__xludf.DUMMYFUNCTION("TRIM(
  REGEXEXTRACT(
    raw!A114,
    ""(?s)●\s*조리 방법(.*)""
  )
)
"),"1. 닭가슴살 위아래로 비닐을 깔고 냄비로 두드려 얇게 편다.
2. 얇게 편 닭가슴살에 소금 간을 한다.
3. 리코타 치즈와 크림 치즈, 말린 크랜베리를 섞는다.
4. 3을 닭가슴살 위에 놓고 럭비공 모양으로 말아준다.
5. 찜기에 물과 화이트 와인을 넣고, 말아놓은 닭가슴살을 찐다.
6. 체에 가쓰오부시를 넣고 따뜻한 물을 부어 육수를 낸다.
7. 가쓰오부시 육수에 샤프란을 넣는다.
8. 생크림에 소금을 조금 넣고 끓인다.
9. 생크림에"&amp;" 샤프란을 넣은 육수를 넣고 소금 간을 해 끓인다.
10. 그릇에 찐 닭가슴살을 담고 샤프란 소스를 붓는다.
11. 파슬리를 올려 완성한다.")</f>
        <v>1. 닭가슴살 위아래로 비닐을 깔고 냄비로 두드려 얇게 편다.
2. 얇게 편 닭가슴살에 소금 간을 한다.
3. 리코타 치즈와 크림 치즈, 말린 크랜베리를 섞는다.
4. 3을 닭가슴살 위에 놓고 럭비공 모양으로 말아준다.
5. 찜기에 물과 화이트 와인을 넣고, 말아놓은 닭가슴살을 찐다.
6. 체에 가쓰오부시를 넣고 따뜻한 물을 부어 육수를 낸다.
7. 가쓰오부시 육수에 샤프란을 넣는다.
8. 생크림에 소금을 조금 넣고 끓인다.
9. 생크림에 샤프란을 넣은 육수를 넣고 소금 간을 해 끓인다.
10. 그릇에 찐 닭가슴살을 담고 샤프란 소스를 붓는다.
11. 파슬리를 올려 완성한다.</v>
      </c>
    </row>
    <row r="115">
      <c r="A115" s="2" t="str">
        <f>recipe!C115
</f>
        <v>커룽지</v>
      </c>
      <c r="B115" s="2" t="str">
        <f>IFERROR(__xludf.DUMMYFUNCTION("TRIM(
  REGEXEXTRACT(
    raw!A115,
    ""(?s)●\s*조리 방법(.*)""
  )
)
"),"1. 고추, 양파를 잘게 썰어 마늘과 함께 볶는다.
2. 페페론치노와 레드 페퍼를 넣어 볶는다.
3. 커리 가루, 코코넛 밀크, 생크림을 넣어 커리를 끓인다.
4. 방울토마토, 레드와인 식초를 넣는다.
5. 다마리 간장과 진간장을 넣는다.
6. 기름을 두른 팬에 레드 커리 페이스트를 볶는다.
7. 커리에 볶은 커리 페이스트를 넣는다.
8. 설탕, 커리 가루를 넣고 함께 끓인다.
9. 요거트를 넣는다.
10. 끓인 커리를 믹서에 갈아준 뒤"&amp;", 다시 끓인다.
11. 닭가슴살을 잘게 썬다.
12. 닭가슴살에 소금과 커리 가루를 묻힌 뒤, 커리에 넣어 함께 끓인다.
13. 레몬즙을 넣는다.
14. 그릇에 누룽지를 깔고, 커리를 붓는다.
15. 그라나파다노 치즈를 갈아 올린 뒤, 다진 바질을 올린다.
16. 올리브 오일을 둘러 완성한다.")</f>
        <v>1. 고추, 양파를 잘게 썰어 마늘과 함께 볶는다.
2. 페페론치노와 레드 페퍼를 넣어 볶는다.
3. 커리 가루, 코코넛 밀크, 생크림을 넣어 커리를 끓인다.
4. 방울토마토, 레드와인 식초를 넣는다.
5. 다마리 간장과 진간장을 넣는다.
6. 기름을 두른 팬에 레드 커리 페이스트를 볶는다.
7. 커리에 볶은 커리 페이스트를 넣는다.
8. 설탕, 커리 가루를 넣고 함께 끓인다.
9. 요거트를 넣는다.
10. 끓인 커리를 믹서에 갈아준 뒤, 다시 끓인다.
11. 닭가슴살을 잘게 썬다.
12. 닭가슴살에 소금과 커리 가루를 묻힌 뒤, 커리에 넣어 함께 끓인다.
13. 레몬즙을 넣는다.
14. 그릇에 누룽지를 깔고, 커리를 붓는다.
15. 그라나파다노 치즈를 갈아 올린 뒤, 다진 바질을 올린다.
16. 올리브 오일을 둘러 완성한다.</v>
      </c>
    </row>
    <row r="116">
      <c r="A116" s="2" t="str">
        <f>recipe!C116
</f>
        <v>아빠손 피자</v>
      </c>
      <c r="B116" s="2" t="str">
        <f>IFERROR(__xludf.DUMMYFUNCTION("TRIM(
  REGEXEXTRACT(
    raw!A116,
    ""(?s)●\s*조리 방법(.*)""
  )
)
"),"1. 애호박, 파프리카, 느타리 버섯을 손질한다.
2. 손질한 채소에 올리브 오일, 소금을 넣고 섞는다.
3. 채소를 그릴팬에 굽는다.
4. 채소에 소금, 후추로 간을 한다.
5. 마늘을 올리브 오일에 볶는다.
6. 볶은 마늘을 우유에 넣고 함께 끓인다.
7. 6을 믹서에 넣고 간 다음, 리코타 치즈를 넣어 마늘 크림 스프레드를 만든다.
8. 토르티야를 구운 뒤 마늘 크림 스프레드를 바른다.
9. 구운 채소를 올린다.
10. 고르곤졸라 치즈, 생크림, "&amp;"올리고당을 섞어 소스를 만든다.
11. 구운 채소 위에 소스를 뿌린 뒤, 다진 양상추를 올린다.
12. 채 썬 사과와 다진 마카다미아를 올린다.
13. 말린 크랜베리를 올려 완성한다.")</f>
        <v>1. 애호박, 파프리카, 느타리 버섯을 손질한다.
2. 손질한 채소에 올리브 오일, 소금을 넣고 섞는다.
3. 채소를 그릴팬에 굽는다.
4. 채소에 소금, 후추로 간을 한다.
5. 마늘을 올리브 오일에 볶는다.
6. 볶은 마늘을 우유에 넣고 함께 끓인다.
7. 6을 믹서에 넣고 간 다음, 리코타 치즈를 넣어 마늘 크림 스프레드를 만든다.
8. 토르티야를 구운 뒤 마늘 크림 스프레드를 바른다.
9. 구운 채소를 올린다.
10. 고르곤졸라 치즈, 생크림, 올리고당을 섞어 소스를 만든다.
11. 구운 채소 위에 소스를 뿌린 뒤, 다진 양상추를 올린다.
12. 채 썬 사과와 다진 마카다미아를 올린다.
13. 말린 크랜베리를 올려 완성한다.</v>
      </c>
    </row>
    <row r="117">
      <c r="A117" s="2" t="str">
        <f>recipe!C117
</f>
        <v>따라미소</v>
      </c>
      <c r="B117" s="2" t="str">
        <f>IFERROR(__xludf.DUMMYFUNCTION("TRIM(
  REGEXEXTRACT(
    raw!A117,
    ""(?s)●\s*조리 방법(.*)""
  )
)
"),"1. 달걀 흰자와 노른자를 분리한다.
2. 달걀 흰자를 냉동실에 넣어둔다.
3. 리코타 치즈에 달걀 노른자와 바닐라 오일을 넣는다.
4. 3에 설탕을 넣고 섞는다.
5. 생크림으로 거품을 낸다.
6. 차가워진 달걀 흰자에 설탕을 넣어가며 머랭을 친다.
7. 레이디핑거 쿠키를 썰어 딸기잼과 섞는다.
8. 키위를 얇게 썬다.
9. 달걀 노른자를 섞은 리코타 치즈, 거품을 낸 생크림, 머랭을 섞어 크림을 만든다.
10. 컵에 크림&gt;키위&gt;크림&gt;"&amp;"쿠키를 섞은 딸기잼&gt;크림 순으로 올린다.
11. 표면을 평평하게 만든 후, 코코아 파우더를 뿌린다.
12. 체리, 사과로 장식해서 낸다.")</f>
        <v>1. 달걀 흰자와 노른자를 분리한다.
2. 달걀 흰자를 냉동실에 넣어둔다.
3. 리코타 치즈에 달걀 노른자와 바닐라 오일을 넣는다.
4. 3에 설탕을 넣고 섞는다.
5. 생크림으로 거품을 낸다.
6. 차가워진 달걀 흰자에 설탕을 넣어가며 머랭을 친다.
7. 레이디핑거 쿠키를 썰어 딸기잼과 섞는다.
8. 키위를 얇게 썬다.
9. 달걀 노른자를 섞은 리코타 치즈, 거품을 낸 생크림, 머랭을 섞어 크림을 만든다.
10. 컵에 크림&gt;키위&gt;크림&gt;쿠키를 섞은 딸기잼&gt;크림 순으로 올린다.
11. 표면을 평평하게 만든 후, 코코아 파우더를 뿌린다.
12. 체리, 사과로 장식해서 낸다.</v>
      </c>
    </row>
    <row r="118">
      <c r="A118" s="2" t="str">
        <f>recipe!C118
</f>
        <v>흥.칩.풍</v>
      </c>
      <c r="B118" s="2" t="str">
        <f>IFERROR(__xludf.DUMMYFUNCTION("TRIM(
  REGEXEXTRACT(
    raw!A118,
    ""(?s)●\s*조리 방법(.*)""
  )
)
"),"1. 플레인 치즈와 바나나, 설탕을 섞은 뒤 갈아준다.
2. 생크림, 설탕을 섞어 거품을 낸다.
3. 2에 갈아놓은 치즈와 바나나를 섞어 바나나 크림을 만든다.
4. 바나나 크림을 냉동실에 넣어 차갑게 만든다.
5. 라이스 페이퍼를 튀겨 칩을 만든다.
6. 접시에 블루베리 퓌레를 바른다.
7. 퓌레 위에 라이스 페이퍼 칩을 올린다.
8. 칩 위에 바나나 크림, 딸기를 올린다.
9. 설탕과 물을 끓여 시럽을 만든 뒤, 포크로 가늘고 길게 늘"&amp;"어뜨린다.
10. 9를 동그랗게 뭉친 뒤, 바나나 크림 위에 올려 완성한다.")</f>
        <v>1. 플레인 치즈와 바나나, 설탕을 섞은 뒤 갈아준다.
2. 생크림, 설탕을 섞어 거품을 낸다.
3. 2에 갈아놓은 치즈와 바나나를 섞어 바나나 크림을 만든다.
4. 바나나 크림을 냉동실에 넣어 차갑게 만든다.
5. 라이스 페이퍼를 튀겨 칩을 만든다.
6. 접시에 블루베리 퓌레를 바른다.
7. 퓌레 위에 라이스 페이퍼 칩을 올린다.
8. 칩 위에 바나나 크림, 딸기를 올린다.
9. 설탕과 물을 끓여 시럽을 만든 뒤, 포크로 가늘고 길게 늘어뜨린다.
10. 9를 동그랗게 뭉친 뒤, 바나나 크림 위에 올려 완성한다.</v>
      </c>
    </row>
    <row r="119">
      <c r="A119" s="2" t="str">
        <f>recipe!C119
</f>
        <v>이롤슈가</v>
      </c>
      <c r="B119" s="2" t="str">
        <f>IFERROR(__xludf.DUMMYFUNCTION("TRIM(
  REGEXEXTRACT(
    raw!A119,
    ""(?s)●\s*조리 방법(.*)""
  )
)
"),"1. 오븐을 예열한다.
2. 전자레인지에 버터를 넣어 녹인다.
3. 설탕(종이컵 1/2컵)과 커피 리큐어(한 큰술)를 섞는다.
4. 3에 녹인 버터(종이컵 1/2컵)를 넣고 섞는다.
5. 소금과 달걀 두 개를 넣고 섞는다.
6. 박력분(소주 종이컵 2컵)을 넣고 섞는다.
7. 유산지 위에 반죽을 부어 오븐에 넣고 익힌다.
8. 설탕, 생크림을 섞어 거품을 낸다.
9. 구워진 케이크 시트를 네모난 모양으로 자른다.
10. 요거트, 조청을 "&amp;"섞어 케이크 시트에 바른다.
11. 잘게 썬 사과와 딸기를 올린 뒤 생크림을 얹는다.
12. 11을 돌돌 말아준 다음, 한입 크기로 썬다.
13. 접시에 생크림을 깔고 롤케이크를 올린다.
14. 다진 아몬드를 뿌려준다.
15. 설탕과 전분을 믹서에 넣고 갈아 슈거파우더를 만든다.
16. 롤케이크 위에 슈거파우더를 뿌려 완성한다.")</f>
        <v>1. 오븐을 예열한다.
2. 전자레인지에 버터를 넣어 녹인다.
3. 설탕(종이컵 1/2컵)과 커피 리큐어(한 큰술)를 섞는다.
4. 3에 녹인 버터(종이컵 1/2컵)를 넣고 섞는다.
5. 소금과 달걀 두 개를 넣고 섞는다.
6. 박력분(소주 종이컵 2컵)을 넣고 섞는다.
7. 유산지 위에 반죽을 부어 오븐에 넣고 익힌다.
8. 설탕, 생크림을 섞어 거품을 낸다.
9. 구워진 케이크 시트를 네모난 모양으로 자른다.
10. 요거트, 조청을 섞어 케이크 시트에 바른다.
11. 잘게 썬 사과와 딸기를 올린 뒤 생크림을 얹는다.
12. 11을 돌돌 말아준 다음, 한입 크기로 썬다.
13. 접시에 생크림을 깔고 롤케이크를 올린다.
14. 다진 아몬드를 뿌려준다.
15. 설탕과 전분을 믹서에 넣고 갈아 슈거파우더를 만든다.
16. 롤케이크 위에 슈거파우더를 뿌려 완성한다.</v>
      </c>
    </row>
    <row r="120">
      <c r="A120" s="2" t="str">
        <f>recipe!C120
</f>
        <v>나이스 춘권</v>
      </c>
      <c r="B120" s="2" t="str">
        <f>IFERROR(__xludf.DUMMYFUNCTION("TRIM(
  REGEXEXTRACT(
    raw!A120,
    ""(?s)●\s*조리 방법(.*)""
  )
)
"),"1. 대파를 썰어 팬에 볶는다.
2. 차돌박이를 다진 뒤 소금, 후추 간을 한다.
3. 대파를 볶던 팬에 차돌박이, 표고버섯을 넣고 볶는다.
4. 3에 죽순을 넣어 함께 볶는다.
5. 콩나물을 잘게 썰어 넣는다.
6. 굴소스를 넣는다.
7. 다진 마늘, 다진 고추를 넣는다.
8. 설탕, 식초, 맛술을 넣어 볶는다.
9. 간장을 넣는다.
10. 레몬즙, 해선장, 다진 고추, 다진 마늘을 섞어 소스를 만든다.
11. 뜨거운 물에 라이스 페이퍼를 넣고 불린다"&amp;".
12. 라이스 페이퍼에 볶은 재료를 놓고 말아준 뒤, 달걀물을 묻혀 고정시킨다.
13. 12를 기름에 튀긴다.
14. 접시에 샐러드 채소를 담고, 춘권을 잘라 올린 후 소스를 곁들여 낸다.")</f>
        <v>1. 대파를 썰어 팬에 볶는다.
2. 차돌박이를 다진 뒤 소금, 후추 간을 한다.
3. 대파를 볶던 팬에 차돌박이, 표고버섯을 넣고 볶는다.
4. 3에 죽순을 넣어 함께 볶는다.
5. 콩나물을 잘게 썰어 넣는다.
6. 굴소스를 넣는다.
7. 다진 마늘, 다진 고추를 넣는다.
8. 설탕, 식초, 맛술을 넣어 볶는다.
9. 간장을 넣는다.
10. 레몬즙, 해선장, 다진 고추, 다진 마늘을 섞어 소스를 만든다.
11. 뜨거운 물에 라이스 페이퍼를 넣고 불린다.
12. 라이스 페이퍼에 볶은 재료를 놓고 말아준 뒤, 달걀물을 묻혀 고정시킨다.
13. 12를 기름에 튀긴다.
14. 접시에 샐러드 채소를 담고, 춘권을 잘라 올린 후 소스를 곁들여 낸다.</v>
      </c>
    </row>
    <row r="121">
      <c r="A121" s="2" t="str">
        <f>recipe!C121
</f>
        <v>오리감자 너엇~!</v>
      </c>
      <c r="B121" s="2" t="str">
        <f>IFERROR(__xludf.DUMMYFUNCTION("TRIM(
  REGEXEXTRACT(
    raw!A121,
    ""(?s)●\s*조리 방법(.*)""
  )
)
"),"1. 오이와 토마토를 썰어둔다.
2. 적당한 크기로 썬 감자와 달걀을 삶는다.
3. 밀가루, 어니언 파우더, 물, 소금을 섞어 튀김옷을 만든다.
4. 양파를 동그란 모양으로 썰어 튀김옷을 입힌다.
5. 마요네즈에 다진 양파, 레몬즙, 파슬리를 넣는다.
6. 5에 올리고당을 넣고 섞어 타르타르 소스를 만든다.
7. 훈제오리를 굽는다.
8. 튀김옷을 입힌 양파를 기름에 튀긴다.
9. 구운 훈제오리를 잘게 썬다.
10. 간장, 들기름, 올리브"&amp;" 오일, 파슬리, 레몬즙, 다진 마늘, 식초를 넣어 간장 소스를 만든다.
11. 접시에 토마토와 오이를 깔고 양파튀김을 올린다.
12. 잘게 썬 훈제오리를 타르타르 소스와 섞어 양파튀김 속을 채운다.
13. 파슬리와 올리브 오일, 간장 소스를 뿌린다.
14. 다진 아몬드와 호두를 뿌려 낸다.")</f>
        <v>1. 오이와 토마토를 썰어둔다.
2. 적당한 크기로 썬 감자와 달걀을 삶는다.
3. 밀가루, 어니언 파우더, 물, 소금을 섞어 튀김옷을 만든다.
4. 양파를 동그란 모양으로 썰어 튀김옷을 입힌다.
5. 마요네즈에 다진 양파, 레몬즙, 파슬리를 넣는다.
6. 5에 올리고당을 넣고 섞어 타르타르 소스를 만든다.
7. 훈제오리를 굽는다.
8. 튀김옷을 입힌 양파를 기름에 튀긴다.
9. 구운 훈제오리를 잘게 썬다.
10. 간장, 들기름, 올리브 오일, 파슬리, 레몬즙, 다진 마늘, 식초를 넣어 간장 소스를 만든다.
11. 접시에 토마토와 오이를 깔고 양파튀김을 올린다.
12. 잘게 썬 훈제오리를 타르타르 소스와 섞어 양파튀김 속을 채운다.
13. 파슬리와 올리브 오일, 간장 소스를 뿌린다.
14. 다진 아몬드와 호두를 뿌려 낸다.</v>
      </c>
    </row>
    <row r="122">
      <c r="A122" s="2" t="str">
        <f>recipe!C122
</f>
        <v>행사의 완자님</v>
      </c>
      <c r="B122" s="2" t="str">
        <f>IFERROR(__xludf.DUMMYFUNCTION("TRIM(
  REGEXEXTRACT(
    raw!A122,
    ""(?s)●\s*조리 방법(.*)""
  )
)
"),"1. 삼겹살을 적당한 크기로 썬다.
2. 믹서에 삼겹살, 새우, 달걀 노른자, 소금, 후추를 넣고 간다.
3. 2에 청국장을 넣고 함께 갈아 완자 반죽을 만든다.
4. 완자 반죽에 양배추를 잘게 썰어 넣는다.
5. 물에 헹군 김치를 잘게 썰어 완자 반죽에 넣는다.
6. 번데기 통조림 국물에 번데기와 버터를 넣어 볶는다.
7. 채 썬 파, 씨를 뺀 고추, 채 썬 양배추를 넣는다.
8. 7에 소금, 후추, 고추기름을 넣고 볶는다.
9. 고춧가"&amp;"루를 넣어 함께 볶는다.
10. 전분에 탄산수를 넣어 튀김옷을 만든다.
11. 동그랗게 뭉친 반죽에 전분 &gt; 튀김옷을 입혀 기름에 튀긴다.
12. 마요네즈, 다진 마늘, 핫소스, 유자청, 탄산수를 섞어 소스를 만든다.
13. 접시에 번데기 채소 볶음을 담고 완자를 올린 후 소스를 곁들여 낸다.")</f>
        <v>1. 삼겹살을 적당한 크기로 썬다.
2. 믹서에 삼겹살, 새우, 달걀 노른자, 소금, 후추를 넣고 간다.
3. 2에 청국장을 넣고 함께 갈아 완자 반죽을 만든다.
4. 완자 반죽에 양배추를 잘게 썰어 넣는다.
5. 물에 헹군 김치를 잘게 썰어 완자 반죽에 넣는다.
6. 번데기 통조림 국물에 번데기와 버터를 넣어 볶는다.
7. 채 썬 파, 씨를 뺀 고추, 채 썬 양배추를 넣는다.
8. 7에 소금, 후추, 고추기름을 넣고 볶는다.
9. 고춧가루를 넣어 함께 볶는다.
10. 전분에 탄산수를 넣어 튀김옷을 만든다.
11. 동그랗게 뭉친 반죽에 전분 &gt; 튀김옷을 입혀 기름에 튀긴다.
12. 마요네즈, 다진 마늘, 핫소스, 유자청, 탄산수를 섞어 소스를 만든다.
13. 접시에 번데기 채소 볶음을 담고 완자를 올린 후 소스를 곁들여 낸다.</v>
      </c>
    </row>
    <row r="123">
      <c r="A123" s="2" t="str">
        <f>recipe!C123
</f>
        <v>막창 한 번 믿어봐~</v>
      </c>
      <c r="B123" s="2" t="str">
        <f>IFERROR(__xludf.DUMMYFUNCTION("TRIM(
  REGEXEXTRACT(
    raw!A123,
    ""(?s)●\s*조리 방법(.*)""
  )
)
"),"1. 물에 막창을 삶은 육수를 섞는다.
2. 1에 잘게 썬 막창, 우유를 넣고 끓여 수프를 만든다.
3. 다진 마늘과 식초를 섞는다.
4. 올리브 오일에 버터를 녹인다.
5. 4에 레드 페퍼를 넣어 고추기름을 만든다.
6. 수프에 고추기름을 넣고 끓인다.
7. 그릇에 수프를 담고 대파를 올린다.
8. 마늘 식초를 곁들여낸다.")</f>
        <v>1. 물에 막창을 삶은 육수를 섞는다.
2. 1에 잘게 썬 막창, 우유를 넣고 끓여 수프를 만든다.
3. 다진 마늘과 식초를 섞는다.
4. 올리브 오일에 버터를 녹인다.
5. 4에 레드 페퍼를 넣어 고추기름을 만든다.
6. 수프에 고추기름을 넣고 끓인다.
7. 그릇에 수프를 담고 대파를 올린다.
8. 마늘 식초를 곁들여낸다.</v>
      </c>
    </row>
    <row r="124">
      <c r="A124" s="2" t="str">
        <f>recipe!C124
</f>
        <v>김마삼</v>
      </c>
      <c r="B124" s="2" t="str">
        <f>IFERROR(__xludf.DUMMYFUNCTION("TRIM(
  REGEXEXTRACT(
    raw!A124,
    ""(?s)●\s*조리 방법(.*)""
  )
)
"),"1. 끓는 물에 당면을 삶는다.
2. 명란젓을 물에 헹군다.
3. 껍질을 제거한 명란젓과 갈릭 디핑소스를 섞는다.
4. 삶은 당면을 찬물에 헹군다.
5. 당면에 간장, 소금, 후추를 넣어 섞는다.
6. 슬라이스 체다 치즈와 김밥용 김을 자른다.
7. 첫 번째 김말이 : 당면 + 치즈를 넣고 돌돌 만다.
8. 두 번째 김말이 : 당면 + 새우를 넣고 돌돌 만다.
9. 김말이에 밀가루를 묻힌다.
10. 튀김가루와 물을 섞어 튀김옷을 만든다."&amp;"
11. 김말이에 튀김옷을 입혀 기름에 튀긴다.
12. 튀김옷을 뿌려 눈꽃모양을 만든다.
13. 접시에 소스를 담고 김말이를 올린다.")</f>
        <v>1. 끓는 물에 당면을 삶는다.
2. 명란젓을 물에 헹군다.
3. 껍질을 제거한 명란젓과 갈릭 디핑소스를 섞는다.
4. 삶은 당면을 찬물에 헹군다.
5. 당면에 간장, 소금, 후추를 넣어 섞는다.
6. 슬라이스 체다 치즈와 김밥용 김을 자른다.
7. 첫 번째 김말이 : 당면 + 치즈를 넣고 돌돌 만다.
8. 두 번째 김말이 : 당면 + 새우를 넣고 돌돌 만다.
9. 김말이에 밀가루를 묻힌다.
10. 튀김가루와 물을 섞어 튀김옷을 만든다.
11. 김말이에 튀김옷을 입혀 기름에 튀긴다.
12. 튀김옷을 뿌려 눈꽃모양을 만든다.
13. 접시에 소스를 담고 김말이를 올린다.</v>
      </c>
    </row>
    <row r="125">
      <c r="A125" s="2" t="str">
        <f>recipe!C125
</f>
        <v>누르삼</v>
      </c>
      <c r="B125" s="2" t="str">
        <f>IFERROR(__xludf.DUMMYFUNCTION("TRIM(
  REGEXEXTRACT(
    raw!A125,
    ""(?s)●\s*조리 방법(.*)""
  )
)
"),"1. 당근과 양파를 얇게 썰어 올리브 오일에 볶는다.
2. 1에 적당한 크기로 썬 막창을 넣어 함께 볶는다.
3. 소금, 후추 간을 한다.
4. 레드 페퍼, 토마토, 브로콜리를 넣어 함께 볶는다.
5. 토마토 소스를 넣어 끓인다.
6. 베이컨을 굽는다.
7. 베이컨 기름에 달걀 스크램블을 만든다.
8. 올리브 오일과 참기름을 두른 팬에 명란젓을 굽는다.
9. 누룽지를 기름에 튀긴다.
10. 남은 누룽지를 잘게 부숴 기름에 튀긴다.
11. 10에 설탕을 "&amp;"묻힌 뒤 그릇에 담는다.
12. 튀긴 누룽지에 파르메산 치즈가루를 묻힌다.
13. 첫 번째 누룽지 : 치즈 + 달걀 스크램블+베이컨을 올린다.
14. 두 번째 누룽지 : 치즈 + 토마토 막창 스튜를 올린다.
15. 세 번째 누룽지 : 구운 명란젓 + 다진 대파 + 울외 장아찌를 올린다.
16. 세 가지 누룽지를 함께 담아 완성한다.")</f>
        <v>1. 당근과 양파를 얇게 썰어 올리브 오일에 볶는다.
2. 1에 적당한 크기로 썬 막창을 넣어 함께 볶는다.
3. 소금, 후추 간을 한다.
4. 레드 페퍼, 토마토, 브로콜리를 넣어 함께 볶는다.
5. 토마토 소스를 넣어 끓인다.
6. 베이컨을 굽는다.
7. 베이컨 기름에 달걀 스크램블을 만든다.
8. 올리브 오일과 참기름을 두른 팬에 명란젓을 굽는다.
9. 누룽지를 기름에 튀긴다.
10. 남은 누룽지를 잘게 부숴 기름에 튀긴다.
11. 10에 설탕을 묻힌 뒤 그릇에 담는다.
12. 튀긴 누룽지에 파르메산 치즈가루를 묻힌다.
13. 첫 번째 누룽지 : 치즈 + 달걀 스크램블+베이컨을 올린다.
14. 두 번째 누룽지 : 치즈 + 토마토 막창 스튜를 올린다.
15. 세 번째 누룽지 : 구운 명란젓 + 다진 대파 + 울외 장아찌를 올린다.
16. 세 가지 누룽지를 함께 담아 완성한다.</v>
      </c>
    </row>
    <row r="126">
      <c r="A126" s="2" t="str">
        <f>recipe!C126
</f>
        <v>만두렀써니</v>
      </c>
      <c r="B126" s="2" t="str">
        <f>IFERROR(__xludf.DUMMYFUNCTION("TRIM(
  REGEXEXTRACT(
    raw!A126,
    ""(?s)●\s*조리 방법(.*)""
  )
)
"),"1. 우유에 설렁탕 국물, 버터를 넣고 끓여 크림 소스를 만든다.
2. 팬에 소고기 등심을 넣고 소금, 후추를 뿌려 굽는다.
3. 2에 잘게 썬 양파를 넣어 볶는다.
4. 끓는 물에 밀싹, 소금을 넣어 살짝 데친다.
5. 소고기 등심을 볶던 팬에 데친 밀싹을 넣어 함께 볶는다.
6. 5를 핸드 블렌더로 갈아 만두소를 만든다.
7. 만두소에 파르메산 치즈를 갈아 넣는다.
8. 밀가루, 달걀을 섞어 반죽을 만든다.
9. 반죽을 밀대로 얇게 펴"&amp;"서 만두피를 만든다.
10. 만두피를 정사각형으로 자른 뒤, 가장자리에 물을 발라준다.
11. 만두피 위에 만두소를 얹은 뒤, 동그랗게 빚는다.
12. 끓는 물에 만두를 넣어 익힌다.
13. 버터를 두른 팬에 다진 양파를 넣고, 크림 소스를 부어 끓인다.
14. 크림 소스에 만두를 넣은 뒤, 다진 밀싹을 뿌려준다.
15. 만두를 그릇에 옮겨 담고 파르메산 치즈를 갈아 올린다.")</f>
        <v>1. 우유에 설렁탕 국물, 버터를 넣고 끓여 크림 소스를 만든다.
2. 팬에 소고기 등심을 넣고 소금, 후추를 뿌려 굽는다.
3. 2에 잘게 썬 양파를 넣어 볶는다.
4. 끓는 물에 밀싹, 소금을 넣어 살짝 데친다.
5. 소고기 등심을 볶던 팬에 데친 밀싹을 넣어 함께 볶는다.
6. 5를 핸드 블렌더로 갈아 만두소를 만든다.
7. 만두소에 파르메산 치즈를 갈아 넣는다.
8. 밀가루, 달걀을 섞어 반죽을 만든다.
9. 반죽을 밀대로 얇게 펴서 만두피를 만든다.
10. 만두피를 정사각형으로 자른 뒤, 가장자리에 물을 발라준다.
11. 만두피 위에 만두소를 얹은 뒤, 동그랗게 빚는다.
12. 끓는 물에 만두를 넣어 익힌다.
13. 버터를 두른 팬에 다진 양파를 넣고, 크림 소스를 부어 끓인다.
14. 크림 소스에 만두를 넣은 뒤, 다진 밀싹을 뿌려준다.
15. 만두를 그릇에 옮겨 담고 파르메산 치즈를 갈아 올린다.</v>
      </c>
    </row>
    <row r="127">
      <c r="A127" s="2" t="str">
        <f>recipe!C127
</f>
        <v>오겹시대</v>
      </c>
      <c r="B127" s="2" t="str">
        <f>IFERROR(__xludf.DUMMYFUNCTION("TRIM(
  REGEXEXTRACT(
    raw!A127,
    ""(?s)●\s*조리 방법(.*)""
  )
)
"),"1. 마늘, 파, 당근, 양파를 손질한다.
2. 냄비에 기름을 두른 뒤, 채소를 넣고 물을 부어 육수를 낸다.
3. 살라미를 다진다.
4. 마늘, 파, 양배추를 잘게 자른다.
5. 팬에 살라미와 채소를 넣고 볶은 뒤 소금, 후추로 간을 한다.
6. 5에 채소 육수, 레몬즙을 넣어가며 볶는다.
7. 사과즙에 시나몬 설탕을 넣어 졸인다.
8. 볶던 채소에 사과 소스를 넣어준다.
9. 오겹살 비계에 칼집을 낸 뒤 소금, 후추를 뿌려준다.
10"&amp;". 칼집을 낸 오겹살을 굽는다.
11. 오겹살 비계에 사과 소스를 발라가며 다시 굽는다.
12. 오븐 팬에 채소 볶음을 깔고 오겹살을 올린다.
13. 12에 사과 소스를 뿌린 뒤, 오븐에 넣어 다시 익힌다.
14. 밀싹을 다진다.
15. 접시에 채소 볶음을 올린다.
16. 채소 볶음 위에 사과 소스를 뿌리고, 오겹살을 올린다.
17. 다진 밀싹, 레몬즙을 뿌려 완성한다.")</f>
        <v>1. 마늘, 파, 당근, 양파를 손질한다.
2. 냄비에 기름을 두른 뒤, 채소를 넣고 물을 부어 육수를 낸다.
3. 살라미를 다진다.
4. 마늘, 파, 양배추를 잘게 자른다.
5. 팬에 살라미와 채소를 넣고 볶은 뒤 소금, 후추로 간을 한다.
6. 5에 채소 육수, 레몬즙을 넣어가며 볶는다.
7. 사과즙에 시나몬 설탕을 넣어 졸인다.
8. 볶던 채소에 사과 소스를 넣어준다.
9. 오겹살 비계에 칼집을 낸 뒤 소금, 후추를 뿌려준다.
10. 칼집을 낸 오겹살을 굽는다.
11. 오겹살 비계에 사과 소스를 발라가며 다시 굽는다.
12. 오븐 팬에 채소 볶음을 깔고 오겹살을 올린다.
13. 12에 사과 소스를 뿌린 뒤, 오븐에 넣어 다시 익힌다.
14. 밀싹을 다진다.
15. 접시에 채소 볶음을 올린다.
16. 채소 볶음 위에 사과 소스를 뿌리고, 오겹살을 올린다.
17. 다진 밀싹, 레몬즙을 뿌려 완성한다.</v>
      </c>
    </row>
    <row r="128">
      <c r="A128" s="2" t="str">
        <f>recipe!C128
</f>
        <v>코드네임 써니</v>
      </c>
      <c r="B128" s="2" t="str">
        <f>IFERROR(__xludf.DUMMYFUNCTION("TRIM(
  REGEXEXTRACT(
    raw!A128,
    ""(?s)●\s*조리 방법(.*)""
  )
)
"),"1. 냄비에 올리브 오일을 가득 따른 뒤, 레몬 껍질을 넣어준다.
2. 1에 대구를 넣어 중불로 익힌다.
3. 설렁탕 국물에 샤프란을 넣어 끓인다.
4. 3에 잘게 썬 감자, 소금을 넣는다.
5. 살라미를 썰어 전자레인지에 넣고 돌린다.
6. 팬에 파르메산 치즈를 갈아서 넣은 뒤, 잘게 썬 밀싹을 올려 굽는다.
7. 익힌 대구에 레몬 껍질을 갈아 올린다.
8. 레몬즙, 올리브 오일, 꿀, 데이츠 시럽, 데이츠, 소금, 후추를 넣어 소스를 만"&amp;"든다.
9. 접시에 데이츠 소스를 올린다.
10. 샤프란 소스에 졸인 감자를 올린다.
11. 감자 위에 대구를 올린다.
12. 구운 살라미를 얹는다.
13. 데이츠 소스를 뿌린 뒤, 밀싹을 올려 완성한다.")</f>
        <v>1. 냄비에 올리브 오일을 가득 따른 뒤, 레몬 껍질을 넣어준다.
2. 1에 대구를 넣어 중불로 익힌다.
3. 설렁탕 국물에 샤프란을 넣어 끓인다.
4. 3에 잘게 썬 감자, 소금을 넣는다.
5. 살라미를 썰어 전자레인지에 넣고 돌린다.
6. 팬에 파르메산 치즈를 갈아서 넣은 뒤, 잘게 썬 밀싹을 올려 굽는다.
7. 익힌 대구에 레몬 껍질을 갈아 올린다.
8. 레몬즙, 올리브 오일, 꿀, 데이츠 시럽, 데이츠, 소금, 후추를 넣어 소스를 만든다.
9. 접시에 데이츠 소스를 올린다.
10. 샤프란 소스에 졸인 감자를 올린다.
11. 감자 위에 대구를 올린다.
12. 구운 살라미를 얹는다.
13. 데이츠 소스를 뿌린 뒤, 밀싹을 올려 완성한다.</v>
      </c>
    </row>
    <row r="129">
      <c r="A129" s="2" t="str">
        <f>recipe!C129
</f>
        <v>오시지</v>
      </c>
      <c r="B129" s="2" t="str">
        <f>IFERROR(__xludf.DUMMYFUNCTION("TRIM(
  REGEXEXTRACT(
    raw!A129,
    ""(?s)●\s*조리 방법(.*)""
  )
)
"),"1. 오징어를 손질한다.
2. 팬에 버터, 다진 마늘을 넣고 볶는다.
3. 오징어에 칼집을 낸 뒤 후추, 설탕, 고춧가루를 뿌린다.
4. 믹서에 케이퍼, 볶은 버터와 다진 마늘, 오징어를 넣어 함께 갈아준다.
5. 종이호일 위에 오징어 반죽을 올린 뒤 소시지 모양으로 돌돌 말아준다.
6. 찜기에 소주를 넣은 뒤, 오징어 반죽을 찐다.
7. 냄비에 맛술, 간장, 오렌지 주스, 다진 생강을 넣어 졸인다.
8. 7에 전분물을 넣는다.
9. 오렌지 소스를 체에"&amp;" 거른다.
10. 오징어 소시지의 종이호일을 벗겨내고 굽는다.
11. 잘게 썬 양배추를 볶는다.
12. 달군 팬에 볶은 양배추를 올린 뒤, 오징어 소시지를 올린다.
13. 오징어 소시지 위에 오렌지 소스를 뿌린다.
14. 마요네즈를 뿌린다.
15. 잘게 썬 파를 올리고, 후추를 뿌려 완성한다.")</f>
        <v>1. 오징어를 손질한다.
2. 팬에 버터, 다진 마늘을 넣고 볶는다.
3. 오징어에 칼집을 낸 뒤 후추, 설탕, 고춧가루를 뿌린다.
4. 믹서에 케이퍼, 볶은 버터와 다진 마늘, 오징어를 넣어 함께 갈아준다.
5. 종이호일 위에 오징어 반죽을 올린 뒤 소시지 모양으로 돌돌 말아준다.
6. 찜기에 소주를 넣은 뒤, 오징어 반죽을 찐다.
7. 냄비에 맛술, 간장, 오렌지 주스, 다진 생강을 넣어 졸인다.
8. 7에 전분물을 넣는다.
9. 오렌지 소스를 체에 거른다.
10. 오징어 소시지의 종이호일을 벗겨내고 굽는다.
11. 잘게 썬 양배추를 볶는다.
12. 달군 팬에 볶은 양배추를 올린 뒤, 오징어 소시지를 올린다.
13. 오징어 소시지 위에 오렌지 소스를 뿌린다.
14. 마요네즈를 뿌린다.
15. 잘게 썬 파를 올리고, 후추를 뿌려 완성한다.</v>
      </c>
    </row>
    <row r="130">
      <c r="A130" s="2" t="str">
        <f>recipe!C130
</f>
        <v>나이스 투 미튜</v>
      </c>
      <c r="B130" s="2" t="str">
        <f>IFERROR(__xludf.DUMMYFUNCTION("TRIM(
  REGEXEXTRACT(
    raw!A130,
    ""(?s)●\s*조리 방법(.*)""
  )
)
"),"1. 물에 잘게 부순 면과 분말수프를 넣어 끓인다.
2. 감자칩을 잘게 부순다.
3. 달걀물과 밀가루를 준비한다.
4. 야채참치의 기름을 제거한다.
5. 야채참치에 소금, 후추, 버터를 섞은 후, 동그랗게 뭉친다.
6. 익은 면을 건진 후, 찬물에 헹군다.
7. 참치볼에 면을 감싸 동그랗게 뭉친 후, 밀가루를 묻힌다.
8. 7에 달걀물→감자칩 순으로 튀김옷을 입힌다.
9. 참치볼을 기름에 튀긴다.
10. 면을 기름에 넣어 튀긴다.
11"&amp;". 접시에 레몬을 잘게 썰어 얹고, 케첩과 마요네즈를 뿌린다.
12. 접시에 참치볼을 얹은 후, 방울토마토로 장식한다.
13. 참치볼과 튀긴 면을 함께 낸다.")</f>
        <v>1. 물에 잘게 부순 면과 분말수프를 넣어 끓인다.
2. 감자칩을 잘게 부순다.
3. 달걀물과 밀가루를 준비한다.
4. 야채참치의 기름을 제거한다.
5. 야채참치에 소금, 후추, 버터를 섞은 후, 동그랗게 뭉친다.
6. 익은 면을 건진 후, 찬물에 헹군다.
7. 참치볼에 면을 감싸 동그랗게 뭉친 후, 밀가루를 묻힌다.
8. 7에 달걀물→감자칩 순으로 튀김옷을 입힌다.
9. 참치볼을 기름에 튀긴다.
10. 면을 기름에 넣어 튀긴다.
11. 접시에 레몬을 잘게 썰어 얹고, 케첩과 마요네즈를 뿌린다.
12. 접시에 참치볼을 얹은 후, 방울토마토로 장식한다.
13. 참치볼과 튀긴 면을 함께 낸다.</v>
      </c>
    </row>
    <row r="131">
      <c r="A131" s="2" t="str">
        <f>recipe!C131
</f>
        <v>복침개</v>
      </c>
      <c r="B131" s="2" t="str">
        <f>IFERROR(__xludf.DUMMYFUNCTION("TRIM(
  REGEXEXTRACT(
    raw!A131,
    ""(?s)●\s*조리 방법(.*)""
  )
)
"),"1. 햄을 잘게 썬다.
2. 양파, 대파, 당근을 잘게 썰어 준비한다.
3. 우동면을 기름에 넣어 튀긴다.
4. 튀긴 우동면을 건져낸 후, 다시 기름에 넣어 납작하게 튀긴다.
5. 잘게 썰어 놓은 햄을 튀긴다.
6. 햄을 체에 밭쳐 기름을 뺀다.
7. 기름을 두른 팬에 다진 마늘과 손질한 채소를 넣어 볶는다.
8. 볶던 채소에 우동 액상소스와 물을 넣어 끓인다.
9. 8에 튀긴 햄을 넣어 함께 볶는다.
10. 전분물을 풀어 농도를 맞춘다"&amp;".
11. 튀긴 우동면을 적당한 크기로 잘라 접시에 담는다.
12. 채소&amp;햄 볶음에 참기름을 넣는다.
13. 튀긴 우동면 위에 채소&amp;햄 볶음을 얹어 낸다.")</f>
        <v>1. 햄을 잘게 썬다.
2. 양파, 대파, 당근을 잘게 썰어 준비한다.
3. 우동면을 기름에 넣어 튀긴다.
4. 튀긴 우동면을 건져낸 후, 다시 기름에 넣어 납작하게 튀긴다.
5. 잘게 썰어 놓은 햄을 튀긴다.
6. 햄을 체에 밭쳐 기름을 뺀다.
7. 기름을 두른 팬에 다진 마늘과 손질한 채소를 넣어 볶는다.
8. 볶던 채소에 우동 액상소스와 물을 넣어 끓인다.
9. 8에 튀긴 햄을 넣어 함께 볶는다.
10. 전분물을 풀어 농도를 맞춘다.
11. 튀긴 우동면을 적당한 크기로 잘라 접시에 담는다.
12. 채소&amp;햄 볶음에 참기름을 넣는다.
13. 튀긴 우동면 위에 채소&amp;햄 볶음을 얹어 낸다.</v>
      </c>
    </row>
    <row r="132">
      <c r="A132" s="2" t="str">
        <f>recipe!C132
</f>
        <v>토달토달</v>
      </c>
      <c r="B132" s="2" t="str">
        <f>IFERROR(__xludf.DUMMYFUNCTION("TRIM(
  REGEXEXTRACT(
    raw!A132,
    ""(?s)●\s*조리 방법(.*)""
  )
)
"),"1. 마늘을 으깬다.
2. 팬에 식용유와 참기름을 두른 후, 으깬 마늘을 볶는다.
3. 비닐팩에 방울토마토를 넣고 으깬다.
4. 볶던 마늘에 으깬 방울토마토, 간장, 식초를 넣고 끓인다.
5. 맛술을 넣어 함께 끓인다.
6. 식빵을 깍둑썰기한 후, 팬에 굽는다.
7. 토마토탕에 곰탕라면의 분말수프를 넣고 함께 끓인다.
8. 8에 전분물을 풀어 농도를 맞춰준다.
9. 달걀을 볼에 깨트린 후 거품기로 곱게 푼다.
10. 토마토탕에 달걀물을 "&amp;"천천히 풀어가며 끓인다.
11. 그릇에 토마토 달걀탕을 부은 후, 구운 식빵을 함께 낸다.")</f>
        <v>1. 마늘을 으깬다.
2. 팬에 식용유와 참기름을 두른 후, 으깬 마늘을 볶는다.
3. 비닐팩에 방울토마토를 넣고 으깬다.
4. 볶던 마늘에 으깬 방울토마토, 간장, 식초를 넣고 끓인다.
5. 맛술을 넣어 함께 끓인다.
6. 식빵을 깍둑썰기한 후, 팬에 굽는다.
7. 토마토탕에 곰탕라면의 분말수프를 넣고 함께 끓인다.
8. 8에 전분물을 풀어 농도를 맞춰준다.
9. 달걀을 볼에 깨트린 후 거품기로 곱게 푼다.
10. 토마토탕에 달걀물을 천천히 풀어가며 끓인다.
11. 그릇에 토마토 달걀탕을 부은 후, 구운 식빵을 함께 낸다.</v>
      </c>
    </row>
    <row r="133">
      <c r="A133" s="2" t="str">
        <f>recipe!C133
</f>
        <v>아육동</v>
      </c>
      <c r="B133" s="2" t="str">
        <f>IFERROR(__xludf.DUMMYFUNCTION("TRIM(
  REGEXEXTRACT(
    raw!A133,
    ""(?s)●\s*조리 방법(.*)""
  )
)
"),"1. 양파, 마늘, 당근, 대파를 손질한다.
2. 기름을 두른 팬에 손질한 채소를 넣고 볶는다.
3. 믹서기에 육포를 넣고 간다.
4. 볶던 채소에 육포가루를 넣고 함께 볶는다.
5. 소주를 부어 함께 볶는다.
6. 5에 뜨거운 물을 붓고 끓여 육수를 낸다.
7. 장조림 통조림의 국물과 건더기를 분리한다.
8. 장조림을 잘게 찢는다.
9. 밀가루에 소금, 물을 넣고 섞어 반죽을 만든다.
10. 끓는 기름에 반죽을 부어 튀긴다.
11. "&amp;"텐카스를 잘게 부순 후, 그릇에 담는다.
12. 깻잎 장아찌, 참기름, 다진 마늘을 섞은 후, 그릇에 담는다.
13. 대파를 잘게 썰어 물에 담가 아린맛을 뺀 후, 그릇에 담는다.
14. 육수에 장조림 국물과 청양고추를 넣는다.
15. 끓는 물에 우동면을 삶는다.
16. 육수에 설탕, 소금을 넣는다.
17. 그릇에 우동면을 담고 육수를 부은 후, 잘게 찢은 장조림을 얹어낸다.
18. 잘게 썬 대파, 양념한 깻잎 장아찌, 텐카스를 곁들여 낸다"&amp;".")</f>
        <v>1. 양파, 마늘, 당근, 대파를 손질한다.
2. 기름을 두른 팬에 손질한 채소를 넣고 볶는다.
3. 믹서기에 육포를 넣고 간다.
4. 볶던 채소에 육포가루를 넣고 함께 볶는다.
5. 소주를 부어 함께 볶는다.
6. 5에 뜨거운 물을 붓고 끓여 육수를 낸다.
7. 장조림 통조림의 국물과 건더기를 분리한다.
8. 장조림을 잘게 찢는다.
9. 밀가루에 소금, 물을 넣고 섞어 반죽을 만든다.
10. 끓는 기름에 반죽을 부어 튀긴다.
11. 텐카스를 잘게 부순 후, 그릇에 담는다.
12. 깻잎 장아찌, 참기름, 다진 마늘을 섞은 후, 그릇에 담는다.
13. 대파를 잘게 썰어 물에 담가 아린맛을 뺀 후, 그릇에 담는다.
14. 육수에 장조림 국물과 청양고추를 넣는다.
15. 끓는 물에 우동면을 삶는다.
16. 육수에 설탕, 소금을 넣는다.
17. 그릇에 우동면을 담고 육수를 부은 후, 잘게 찢은 장조림을 얹어낸다.
18. 잘게 썬 대파, 양념한 깻잎 장아찌, 텐카스를 곁들여 낸다.</v>
      </c>
    </row>
    <row r="134">
      <c r="A134" s="2" t="str">
        <f>recipe!C134
</f>
        <v>뽀빠이롤</v>
      </c>
      <c r="B134" s="2" t="str">
        <f>IFERROR(__xludf.DUMMYFUNCTION("TRIM(
  REGEXEXTRACT(
    raw!A134,
    ""(?s)●\s*조리 방법(.*)""
  )
)
"),"1. 접시를 냉동실에 넣어둔다.
2. 달걀, 소금, 우유, 탄산수를 섞어준다.
3. 2에 냉동 시금치를 넣고 핸드 블렌더로 갈아준다.
4. 곱게 간 재료들에 밀가루를 섞어 반죽을 만든다.
5. 기름을 두른 팬에 시금치 반죽을 얇게 부친다.
6. 훈제 연어를 으깨듯이 잘게 부순다.
7. 크림 치즈, 페타 치즈, 플레인 요거트를 섞어 치즈 소스를 만든다.
8. 냉동실에서 꺼낸 접시 위에 구운 시금치 반죽을 올려 식힌다.
9. 구운 시금치 반죽"&amp;"에 치즈 소스를 바른다.
10. 9에 훈제 연어살을 올린 후 돌돌 말아준다.
11. 시금치롤을 냉동실에 넣어 식힌다.
12. 플레인 요거트, 마요네즈, 꿀을 섞어 드레싱을 만든 후 샐러드 채소와 버무린다.
13. 접시에 샐러드를 담는다.
14. 시금치롤을 썰어 접시에 올린 후 치즈 소스를 뿌려 완성한다.")</f>
        <v>1. 접시를 냉동실에 넣어둔다.
2. 달걀, 소금, 우유, 탄산수를 섞어준다.
3. 2에 냉동 시금치를 넣고 핸드 블렌더로 갈아준다.
4. 곱게 간 재료들에 밀가루를 섞어 반죽을 만든다.
5. 기름을 두른 팬에 시금치 반죽을 얇게 부친다.
6. 훈제 연어를 으깨듯이 잘게 부순다.
7. 크림 치즈, 페타 치즈, 플레인 요거트를 섞어 치즈 소스를 만든다.
8. 냉동실에서 꺼낸 접시 위에 구운 시금치 반죽을 올려 식힌다.
9. 구운 시금치 반죽에 치즈 소스를 바른다.
10. 9에 훈제 연어살을 올린 후 돌돌 말아준다.
11. 시금치롤을 냉동실에 넣어 식힌다.
12. 플레인 요거트, 마요네즈, 꿀을 섞어 드레싱을 만든 후 샐러드 채소와 버무린다.
13. 접시에 샐러드를 담는다.
14. 시금치롤을 썰어 접시에 올린 후 치즈 소스를 뿌려 완성한다.</v>
      </c>
    </row>
    <row r="135">
      <c r="A135" s="2" t="str">
        <f>recipe!C135
</f>
        <v>부드러어</v>
      </c>
      <c r="B135" s="2" t="str">
        <f>IFERROR(__xludf.DUMMYFUNCTION("TRIM(
  REGEXEXTRACT(
    raw!A135,
    ""(?s)●\s*조리 방법(.*)""
  )
)
"),"1. 달걀을 푼 다음 소금, 후추로 간을 한다.
2. 살라미를 적당한 크기로 썬다.
3. 냄비에 올리브 오일, 살라미, 우유를 넣어 함께 끓인다.
4. 끓인 재료들을 핸드 블렌더로 갈아준다.
5. 4를 체에 밭쳐 건더기를 분리한 후, 달걀물과 함께 섞는다.
6. 소금으로 간을 한 후, 버터를 바른 원형틀에 달걀물을 붓는다.
7. 원형틀에 랩을 씌운 후 구멍을 낸다.
8. 7을 찜통에 넣어 찐다.
9. 방울양배추를 찜통에 넣어 함께 찐다.
"&amp;"
10. 대구살을 적당한 크기로 썬 다음 소금, 후추로 간을 한다.
11. 대구살에 밀가루를 묻혀 기름을 두른 팬에 굽는다.
12. 11에 화이트 와인을 부어준다.
13. 꿀을 넣는다.
14. 레몬즙을 넣는다.
15. 버터, 잘게 썬 방울토마토를 넣어 조린다.
16. 대파를 채 썬 다음 기름에 튀긴다.
17. 접시에 달걀찜을 올린 후 방울양배추 잎을 곁들인다.
18. 달걀찜 위에 대구살, 방울토마토를 올린 후 소스를 부어준다.
19. 튀"&amp;"긴 대파를 올려 완성한다.")</f>
        <v>1. 달걀을 푼 다음 소금, 후추로 간을 한다.
2. 살라미를 적당한 크기로 썬다.
3. 냄비에 올리브 오일, 살라미, 우유를 넣어 함께 끓인다.
4. 끓인 재료들을 핸드 블렌더로 갈아준다.
5. 4를 체에 밭쳐 건더기를 분리한 후, 달걀물과 함께 섞는다.
6. 소금으로 간을 한 후, 버터를 바른 원형틀에 달걀물을 붓는다.
7. 원형틀에 랩을 씌운 후 구멍을 낸다.
8. 7을 찜통에 넣어 찐다.
9. 방울양배추를 찜통에 넣어 함께 찐다.
10. 대구살을 적당한 크기로 썬 다음 소금, 후추로 간을 한다.
11. 대구살에 밀가루를 묻혀 기름을 두른 팬에 굽는다.
12. 11에 화이트 와인을 부어준다.
13. 꿀을 넣는다.
14. 레몬즙을 넣는다.
15. 버터, 잘게 썬 방울토마토를 넣어 조린다.
16. 대파를 채 썬 다음 기름에 튀긴다.
17. 접시에 달걀찜을 올린 후 방울양배추 잎을 곁들인다.
18. 달걀찜 위에 대구살, 방울토마토를 올린 후 소스를 부어준다.
19. 튀긴 대파를 올려 완성한다.</v>
      </c>
    </row>
    <row r="136">
      <c r="A136" s="2" t="str">
        <f>recipe!C136
</f>
        <v>오린기</v>
      </c>
      <c r="B136" s="2" t="str">
        <f>IFERROR(__xludf.DUMMYFUNCTION("TRIM(
  REGEXEXTRACT(
    raw!A136,
    ""(?s)●\s*조리 방법(.*)""
  )
)
"),"1. 양파를 채 썰어 얼음물에 담가둔다.
2. 감자 전분과 옥수수 전분을 7:3의 비율로 섞는다.
3. 2에 물을 넣으면서 섞어준다.
4. 식용유를 넣어 섞는다.
5. 달걀을 풀어 반죽에 넣고 섞는다.
6. 물에 불린 반건조 오징어에 칼집을 낸다.
7. 반건조 오징어를 적당한 크기로 썬다.
8. 반건조 오징어에 반죽을 묻힌 후 기름에 튀긴다.
9. 마요네즈, 코코넛 밀크, 레몬즙, 설탕, 고추냉이를 섞어 소스를 만든다.
10. 양파의 물"&amp;"기를 제거한 후 접시에 담는다.
11. 양파 위에 오징어 튀김을 올린 후, 소스를 부어 완성한다.")</f>
        <v>1. 양파를 채 썰어 얼음물에 담가둔다.
2. 감자 전분과 옥수수 전분을 7:3의 비율로 섞는다.
3. 2에 물을 넣으면서 섞어준다.
4. 식용유를 넣어 섞는다.
5. 달걀을 풀어 반죽에 넣고 섞는다.
6. 물에 불린 반건조 오징어에 칼집을 낸다.
7. 반건조 오징어를 적당한 크기로 썬다.
8. 반건조 오징어에 반죽을 묻힌 후 기름에 튀긴다.
9. 마요네즈, 코코넛 밀크, 레몬즙, 설탕, 고추냉이를 섞어 소스를 만든다.
10. 양파의 물기를 제거한 후 접시에 담는다.
11. 양파 위에 오징어 튀김을 올린 후, 소스를 부어 완성한다.</v>
      </c>
    </row>
    <row r="137">
      <c r="A137" s="2" t="str">
        <f>recipe!C137
</f>
        <v>허니버터징</v>
      </c>
      <c r="B137" s="2" t="str">
        <f>IFERROR(__xludf.DUMMYFUNCTION("TRIM(
  REGEXEXTRACT(
    raw!A137,
    ""(?s)●\s*조리 방법(.*)""
  )
)
"),"1. 그릇(오븐용)을 오븐에 넣어 데운다.
2. 반건조 오징어를 잘게 자른다.
3. 끓는 물에 소금을 넣은 후 브로콜리를 데친다.
4. 애호박, 양파, 레몬, 방울양배추, 마늘, 쪽파, 고추 등 채소를 손질한다.
5. 손질한 채소들을 팬에 굽는다.
6. 데운 그릇에 구운 채소들을 담은 후, 오븐에 넣어 다시 굽는다.
7. 끓는 물에 반건조 오징어를 넣고 익힌다.
8. 매실청, 꿀, 쯔유, 후추, 버터, 파슬리를 섞어 소스를 만든다.
9. "&amp;"익힌 반건조 오징어를 소스에 넣고 끓인다.
10. 오븐에서 그릇을 꺼낸 후 반건조 오징어를 담고 소스를 붓는다.
11. 10을 오븐에 넣고 다시 굽는다.
12. 잘게 썬 대파, 양파를 볶는다.
13. 12에 쯔유, 달걀물을 부은 후 즉석밥을 넣어 함께 볶는다.
14. 후추로 간을 한 후 볶음밥을 컵에 담는다.
15. 오이지의 물기를 뺀 후, 대파를 다져 함께 섞는다.
16. 15에 다진 마늘, 참기름, 깨를 넣어 무친다.
17. 오븐에서 "&amp;"구운 재료들을 꺼낸 후, 볶음밥을 함께 담아낸다.")</f>
        <v>1. 그릇(오븐용)을 오븐에 넣어 데운다.
2. 반건조 오징어를 잘게 자른다.
3. 끓는 물에 소금을 넣은 후 브로콜리를 데친다.
4. 애호박, 양파, 레몬, 방울양배추, 마늘, 쪽파, 고추 등 채소를 손질한다.
5. 손질한 채소들을 팬에 굽는다.
6. 데운 그릇에 구운 채소들을 담은 후, 오븐에 넣어 다시 굽는다.
7. 끓는 물에 반건조 오징어를 넣고 익힌다.
8. 매실청, 꿀, 쯔유, 후추, 버터, 파슬리를 섞어 소스를 만든다.
9. 익힌 반건조 오징어를 소스에 넣고 끓인다.
10. 오븐에서 그릇을 꺼낸 후 반건조 오징어를 담고 소스를 붓는다.
11. 10을 오븐에 넣고 다시 굽는다.
12. 잘게 썬 대파, 양파를 볶는다.
13. 12에 쯔유, 달걀물을 부은 후 즉석밥을 넣어 함께 볶는다.
14. 후추로 간을 한 후 볶음밥을 컵에 담는다.
15. 오이지의 물기를 뺀 후, 대파를 다져 함께 섞는다.
16. 15에 다진 마늘, 참기름, 깨를 넣어 무친다.
17. 오븐에서 구운 재료들을 꺼낸 후, 볶음밥을 함께 담아낸다.</v>
      </c>
    </row>
    <row r="138">
      <c r="A138" s="2" t="str">
        <f>recipe!C138
</f>
        <v>납작 탕수육</v>
      </c>
      <c r="B138" s="2" t="str">
        <f>IFERROR(__xludf.DUMMYFUNCTION("TRIM(
  REGEXEXTRACT(
    raw!A138,
    ""(?s)●\s*조리 방법(.*)""
  )
)
"),"1. 대파의 뿌리를 제거한 후 껍질을 벗긴다.
2. 식용유에 대파, 고춧가루를 넣고 끓인다.
3. 등심을 칼등으로 두드려준다.
4. 전분, 찹쌀가루, 물, 달걀물, 식용유를 섞어 튀김옷을 만든다.
5. 등심에 튀김옷을 입힌 후 기름에 튀긴다.
6. 끓인 재료들을 체에 밭쳐 기름만 걸러낸다.
7. 당근, 양파, 고추를 얇게 썬다.
8. 마늘을 다지고, 대파를 썰어둔다.
9. 고추기름에 다진 마늘, 대파, 고추를 넣어 볶는다.
10. 9에 양파, 당근, 간"&amp;"장을 넣어 함께 볶는다.
11. 토마토소스를 넣는다.
12. 물, 설탕, 굴소스를 넣는다.
13. 레몬즙을 넣은 다음, 전분물을 풀어 농도를 맞춘다.
14. 튀긴 등심을 먹기 좋은 크기로 썰어 접시에 담는다.
15. 탕수육 소스를 따로 담아 고기와 함께 낸다.")</f>
        <v>1. 대파의 뿌리를 제거한 후 껍질을 벗긴다.
2. 식용유에 대파, 고춧가루를 넣고 끓인다.
3. 등심을 칼등으로 두드려준다.
4. 전분, 찹쌀가루, 물, 달걀물, 식용유를 섞어 튀김옷을 만든다.
5. 등심에 튀김옷을 입힌 후 기름에 튀긴다.
6. 끓인 재료들을 체에 밭쳐 기름만 걸러낸다.
7. 당근, 양파, 고추를 얇게 썬다.
8. 마늘을 다지고, 대파를 썰어둔다.
9. 고추기름에 다진 마늘, 대파, 고추를 넣어 볶는다.
10. 9에 양파, 당근, 간장을 넣어 함께 볶는다.
11. 토마토소스를 넣는다.
12. 물, 설탕, 굴소스를 넣는다.
13. 레몬즙을 넣은 다음, 전분물을 풀어 농도를 맞춘다.
14. 튀긴 등심을 먹기 좋은 크기로 썰어 접시에 담는다.
15. 탕수육 소스를 따로 담아 고기와 함께 낸다.</v>
      </c>
    </row>
    <row r="139">
      <c r="A139" s="2" t="str">
        <f>recipe!C139
</f>
        <v>샐러드 올리오</v>
      </c>
      <c r="B139" s="2" t="str">
        <f>IFERROR(__xludf.DUMMYFUNCTION("TRIM(
  REGEXEXTRACT(
    raw!A139,
    ""(?s)●\s*조리 방법(.*)""
  )
)
"),"1. 마늘을 편으로 썬다.
2. 그릴팬에 얇게 썬 애호박을 올리고 후추를 뿌려 굽는다.
3. 토마토를 적당한 크기로 썰어 둔다.
4. 끓는 물에 소금을 넣고 면을 삶는다.
5. 올리브 오일을 두른 팬에 마늘을 넣어 볶는다.
6. 5에 면수를 넣어 볶는다.
7. 레몬즙, 올리브 오일, 설탕을 섞어 레몬 드레싱을 만든다.
8. 팬에 삶은 면을 넣어 함께 볶는다.
9. 8에 구운 호박을 넣어 함께 볶는다.
10. 접시에 파스타를 담는다.
1"&amp;"1. 파스타 위에 토마토와 새싹 채소를 올린다.
12. 레몬 드레싱을 뿌린다.
13. 고다 치즈를 갈아서 올린다.
14. 바질을 올려 완성한다.")</f>
        <v>1. 마늘을 편으로 썬다.
2. 그릴팬에 얇게 썬 애호박을 올리고 후추를 뿌려 굽는다.
3. 토마토를 적당한 크기로 썰어 둔다.
4. 끓는 물에 소금을 넣고 면을 삶는다.
5. 올리브 오일을 두른 팬에 마늘을 넣어 볶는다.
6. 5에 면수를 넣어 볶는다.
7. 레몬즙, 올리브 오일, 설탕을 섞어 레몬 드레싱을 만든다.
8. 팬에 삶은 면을 넣어 함께 볶는다.
9. 8에 구운 호박을 넣어 함께 볶는다.
10. 접시에 파스타를 담는다.
11. 파스타 위에 토마토와 새싹 채소를 올린다.
12. 레몬 드레싱을 뿌린다.
13. 고다 치즈를 갈아서 올린다.
14. 바질을 올려 완성한다.</v>
      </c>
    </row>
    <row r="140">
      <c r="A140" s="2" t="str">
        <f>recipe!C140
</f>
        <v>소고기 냉부</v>
      </c>
      <c r="B140" s="2" t="str">
        <f>IFERROR(__xludf.DUMMYFUNCTION("TRIM(
  REGEXEXTRACT(
    raw!A140,
    ""(?s)●\s*조리 방법(.*)""
  )
)
"),"1. 무, 당근을 채 썬다.
2. 다시마로 육수를 낸다.
3. 육수에 소금을 넣고 무, 당근을 넣어 데친다.
4. 애호박, 양배추, 청경채를 손질한다.
5. 손질한 채소를 육수에 넣어 데친다.
6. 참깨, 마요네즈, 간장, 설탕, 식초를 섞는다.
7. 6을 핸드 블렌더로 갈아 참깨 소스를 만든다.
8. 달걀 노른자, 일본 된장, 간장, 통마늘을 섞은 후 핸드 블렌더로 갈아준다.
9. 8에 식초, 다진 마늘, 설탕을 넣어 된장 소스를 만든다"&amp;".
10. 된장 소스와 참깨 소스를 그릇에 담는다.
11. 데친 채소들을 얼음물에 담가둔다.
12. 소고기를 잘게 썬 후, 육수에 넣어 살짝 익힌다.
13. 익힌 소고기를 얼음물에 담가둔다.
14. 접시에 물기를 뺀 채소들을 올린다.
15. 채소 위에 차갑게 식힌 소고기를 올린다.
16. 소고기 위에 참기름을 두르고, 소스들을 함께 낸다.")</f>
        <v>1. 무, 당근을 채 썬다.
2. 다시마로 육수를 낸다.
3. 육수에 소금을 넣고 무, 당근을 넣어 데친다.
4. 애호박, 양배추, 청경채를 손질한다.
5. 손질한 채소를 육수에 넣어 데친다.
6. 참깨, 마요네즈, 간장, 설탕, 식초를 섞는다.
7. 6을 핸드 블렌더로 갈아 참깨 소스를 만든다.
8. 달걀 노른자, 일본 된장, 간장, 통마늘을 섞은 후 핸드 블렌더로 갈아준다.
9. 8에 식초, 다진 마늘, 설탕을 넣어 된장 소스를 만든다.
10. 된장 소스와 참깨 소스를 그릇에 담는다.
11. 데친 채소들을 얼음물에 담가둔다.
12. 소고기를 잘게 썬 후, 육수에 넣어 살짝 익힌다.
13. 익힌 소고기를 얼음물에 담가둔다.
14. 접시에 물기를 뺀 채소들을 올린다.
15. 채소 위에 차갑게 식힌 소고기를 올린다.
16. 소고기 위에 참기름을 두르고, 소스들을 함께 낸다.</v>
      </c>
    </row>
    <row r="141">
      <c r="A141" s="2" t="str">
        <f>recipe!C141
</f>
        <v>채면차림</v>
      </c>
      <c r="B141" s="2" t="str">
        <f>IFERROR(__xludf.DUMMYFUNCTION("TRIM(
  REGEXEXTRACT(
    raw!A141,
    ""(?s)●\s*조리 방법(.*)""
  )
)
"),"1. 채끝살을 두드려 얇게 편다.
2. 채끝살의 표면에 소금, 후추, 고춧가루를 묻힌다.
3. 채끝살의 한쪽 면만 살짝 굽는다.
4. 접시에 구운 고기를 올리고 올리브 오일을 뿌린 후, 냉동실에 넣어 식힌다.
5. 두릅 장아찌, 마늘 장아찌, 올리브 오일, 레몬즙을 섞는다.
6. 5를 핸드 블렌더로 갈아 두릅소스를 만든다.
7. 고구마, 당근, 무를 필러로 얇게 썬 후, 반을 접어 면처럼 가늘게 썰어준다.
8. 대파를 가늘게 채 썬다.
9"&amp;". 채소면을 찬물에 담가둔다.
10. 올리브 오일과 버터를 두른 팬에 잘게 썬 마늘, 양파를 볶는다.
11. 10에 채소면을 넣어 함께 볶는다.
12. 채소면에 소금, 후추, 간장으로 간을 한다.
13. 냉동실에 넣어둔 채끝살을 꺼낸 후, 나머지 한쪽 면을 살짝 구워준다.
14. 접시에 채끝살을 얹은 후, 그 위에 볶은 채소면을 올린다.
15. 레몬&amp;산수유청, 올리브 오일, 레몬즙을 섞어 드레싱을 만든다.
16. 15에 새싹 채소를 버무려 "&amp;"샐러드를 만든다.
17. 채소면 위에 샐러드를 올린다.
18. 두릅 소스를 뿌린 후 두릅 장아찌를 곁들인다.
19. 견과류를 뿌려 완성한다.")</f>
        <v>1. 채끝살을 두드려 얇게 편다.
2. 채끝살의 표면에 소금, 후추, 고춧가루를 묻힌다.
3. 채끝살의 한쪽 면만 살짝 굽는다.
4. 접시에 구운 고기를 올리고 올리브 오일을 뿌린 후, 냉동실에 넣어 식힌다.
5. 두릅 장아찌, 마늘 장아찌, 올리브 오일, 레몬즙을 섞는다.
6. 5를 핸드 블렌더로 갈아 두릅소스를 만든다.
7. 고구마, 당근, 무를 필러로 얇게 썬 후, 반을 접어 면처럼 가늘게 썰어준다.
8. 대파를 가늘게 채 썬다.
9. 채소면을 찬물에 담가둔다.
10. 올리브 오일과 버터를 두른 팬에 잘게 썬 마늘, 양파를 볶는다.
11. 10에 채소면을 넣어 함께 볶는다.
12. 채소면에 소금, 후추, 간장으로 간을 한다.
13. 냉동실에 넣어둔 채끝살을 꺼낸 후, 나머지 한쪽 면을 살짝 구워준다.
14. 접시에 채끝살을 얹은 후, 그 위에 볶은 채소면을 올린다.
15. 레몬&amp;산수유청, 올리브 오일, 레몬즙을 섞어 드레싱을 만든다.
16. 15에 새싹 채소를 버무려 샐러드를 만든다.
17. 채소면 위에 샐러드를 올린다.
18. 두릅 소스를 뿌린 후 두릅 장아찌를 곁들인다.
19. 견과류를 뿌려 완성한다.</v>
      </c>
    </row>
    <row r="142">
      <c r="A142" s="2" t="str">
        <f>recipe!C142
</f>
        <v>보아 씨, 초면입니다</v>
      </c>
      <c r="B142" s="2" t="str">
        <f>IFERROR(__xludf.DUMMYFUNCTION("TRIM(
  REGEXEXTRACT(
    raw!A142,
    ""(?s)●\s*조리 방법(.*)""
  )
)
"),"1. 끓는 물에 소면을 삶는다.
2. 익힌 면을 얼음물에 헹군다.
3. 면의 물기를 제거한 뒤, 기름을 두른 팬에 넣고 지진다.
4. 양파, 대파, 청양고추, 표고버섯을 잘게 썬다.
5. 기름을 두른 팬에 대파를 넣어 볶는다.
6. 소고기 안심을 얇게 썰어 넣는다.
7. 소금, 다진 마늘을 넣는다.
8. 얇게 썬 오징어와 손질한 채소를 넣고 함께 볶는다.
9. 소금, 후추, 맛술을 넣는다.
10. 간장과 물을 넣고 끓인다.
11. 밀폐"&amp;"용기에 고춧가루, 으깬 마늘, 기름을 넣는다.
12. 11을 전자레인지에 넣고 돌린다.
13. 1분, 30초, 30초씩 끊어서 돌린다.
14. 미나리를 적당한 크기로 썰어 넣는다.
15. 참기름을 넣는다.
16. 소스에 전분물을 넣어 농도를 맞춘다.
17. 면을 적당한 크기로 썬다.
18. 그릇에 면을 담고 소스를 올린 뒤, 고추기름을 뿌린다.
19. 파채를 올린 뒤, 끓인 기름을 둘러 완성한다.")</f>
        <v>1. 끓는 물에 소면을 삶는다.
2. 익힌 면을 얼음물에 헹군다.
3. 면의 물기를 제거한 뒤, 기름을 두른 팬에 넣고 지진다.
4. 양파, 대파, 청양고추, 표고버섯을 잘게 썬다.
5. 기름을 두른 팬에 대파를 넣어 볶는다.
6. 소고기 안심을 얇게 썰어 넣는다.
7. 소금, 다진 마늘을 넣는다.
8. 얇게 썬 오징어와 손질한 채소를 넣고 함께 볶는다.
9. 소금, 후추, 맛술을 넣는다.
10. 간장과 물을 넣고 끓인다.
11. 밀폐용기에 고춧가루, 으깬 마늘, 기름을 넣는다.
12. 11을 전자레인지에 넣고 돌린다.
13. 1분, 30초, 30초씩 끊어서 돌린다.
14. 미나리를 적당한 크기로 썰어 넣는다.
15. 참기름을 넣는다.
16. 소스에 전분물을 넣어 농도를 맞춘다.
17. 면을 적당한 크기로 썬다.
18. 그릇에 면을 담고 소스를 올린 뒤, 고추기름을 뿌린다.
19. 파채를 올린 뒤, 끓인 기름을 둘러 완성한다.</v>
      </c>
    </row>
    <row r="143">
      <c r="A143" s="2" t="str">
        <f>recipe!C143
</f>
        <v>최.면.석</v>
      </c>
      <c r="B143" s="2" t="str">
        <f>IFERROR(__xludf.DUMMYFUNCTION("TRIM(
  REGEXEXTRACT(
    raw!A143,
    ""(?s)●\s*조리 방법(.*)""
  )
)
"),"1. 밀가루와 달걀을 섞어 반죽을 만든다.
2. 반죽을 밀대로 얇게 민다.
3. 얇게 민 반죽을 접은 다음, 가늘게 썰어 면을 만든다.
4. 끓는 물에 면을 넣고 삶는다.
5. 청양고추, 아스파라거스, 마늘을 잘게 썬다.
6. 팬에 손질한 채소를 넣고 볶는다.
7. 6에 새우를 넣은 뒤 소금, 후추, 화이트 와인을 넣어 함께 볶는다.
8. 새우를 볶던 팬에 멸치육수, 카레가루를 넣어 소스를 만든다.
9. 카레소스에 익힌 면을 넣어 함께 볶"&amp;"는다.
10. 올리브 오일을 넣는다.
11. 그릇에 완성된 요리를 담아낸다.")</f>
        <v>1. 밀가루와 달걀을 섞어 반죽을 만든다.
2. 반죽을 밀대로 얇게 민다.
3. 얇게 민 반죽을 접은 다음, 가늘게 썰어 면을 만든다.
4. 끓는 물에 면을 넣고 삶는다.
5. 청양고추, 아스파라거스, 마늘을 잘게 썬다.
6. 팬에 손질한 채소를 넣고 볶는다.
7. 6에 새우를 넣은 뒤 소금, 후추, 화이트 와인을 넣어 함께 볶는다.
8. 새우를 볶던 팬에 멸치육수, 카레가루를 넣어 소스를 만든다.
9. 카레소스에 익힌 면을 넣어 함께 볶는다.
10. 올리브 오일을 넣는다.
11. 그릇에 완성된 요리를 담아낸다.</v>
      </c>
    </row>
    <row r="144">
      <c r="A144" s="2" t="str">
        <f>recipe!C144
</f>
        <v>맛있게 자시오</v>
      </c>
      <c r="B144" s="2" t="str">
        <f>IFERROR(__xludf.DUMMYFUNCTION("TRIM(
  REGEXEXTRACT(
    raw!A144,
    ""(?s)●\s*조리 방법(.*)""
  )
)
"),"1. 냉면육수에 청양고추, 표고버섯을 넣어 끓인다.
2. 잣을 볶은 다음 핸드 블렌더로 갈아준다.
3. 끓인 재료들을 체에 밭쳐 육수만 걸러낸다.
4. 갈아놓은 잣에 육수를 섞은 뒤, 함께 갈아 잣소스를 만든다.
5. 잣소스를 체에 거른 뒤, 후추로 간을 한다.
6. 소고기 안심을 깍둑썰기 한 뒤, 카레가루를 골고루 묻힌다.
7. 카레가루로 양념한 소고기 안심을 굽는다.
8. 끓는 물에 새우, 레몬을 넣어 데친다.
9. 팬에 데친 새우와 "&amp;"레몬을 넣어 굽는다.
10. 9에 버터, 소금, 후추를 넣어 함께 볶는다.
11. 접시에 잣소스를 바르고 소고기 안심, 새우를 올린 뒤 쑥갓으로 장식한다.
12. 고춧가루를 뿌려 완성한다.")</f>
        <v>1. 냉면육수에 청양고추, 표고버섯을 넣어 끓인다.
2. 잣을 볶은 다음 핸드 블렌더로 갈아준다.
3. 끓인 재료들을 체에 밭쳐 육수만 걸러낸다.
4. 갈아놓은 잣에 육수를 섞은 뒤, 함께 갈아 잣소스를 만든다.
5. 잣소스를 체에 거른 뒤, 후추로 간을 한다.
6. 소고기 안심을 깍둑썰기 한 뒤, 카레가루를 골고루 묻힌다.
7. 카레가루로 양념한 소고기 안심을 굽는다.
8. 끓는 물에 새우, 레몬을 넣어 데친다.
9. 팬에 데친 새우와 레몬을 넣어 굽는다.
10. 9에 버터, 소금, 후추를 넣어 함께 볶는다.
11. 접시에 잣소스를 바르고 소고기 안심, 새우를 올린 뒤 쑥갓으로 장식한다.
12. 고춧가루를 뿌려 완성한다.</v>
      </c>
    </row>
    <row r="145">
      <c r="A145" s="2" t="str">
        <f>recipe!C145
</f>
        <v>옥돔이 맛있돔</v>
      </c>
      <c r="B145" s="2" t="str">
        <f>IFERROR(__xludf.DUMMYFUNCTION("TRIM(
  REGEXEXTRACT(
    raw!A145,
    ""(?s)●\s*조리 방법(.*)""
  )
)
"),"1. 즉석밥에 멸치육수를 붓고 전자레인지에 넣어 데운다.
2. 냄비에 멸치육수를 넣고 끓인다.
3. 옥돔의 살만 발라낸다.
4. 옥돔살에 소금, 후추로 밑간을 한 뒤, 기름을 두른 팬에 굽는다.
5. 양파, 대파, 마늘을 다진다.
6. 옥돔살을 굽던 팬에 다진 채소를 넣은 뒤, 맛술을 넣고 볶는다.
7. 6에 멸치육수를 붓고 끓인다.
8. 멸치육수를 넣어 데운 밥을 넣고 함께 끓인다.
9. 8을 핸드 블렌더로 곱게 간다.
10. 곱게 간"&amp;" 옥돔죽을 냄비에 붓고 끓인다.
11. 북어채를 믹서에 넣고 곱게 갈아 북어보푸라기를 만든다.
12. 북어보푸라기에 부순 참깨를 넣는다.
13. 설탕, 참기름, 소금을 섞은 뒤, 북어보푸라기에 양념이 배도록 무친다.
14. 양념한 북어보푸라기를 동그랗게 뭉친 뒤 접시에 담는다.
15. 고추 장아찌를 썰어 접시에 담는다.
16. 그릇에 옥돔죽을 담고 채 썬 깻잎을 올린다.
17. 옥돔죽에 북어보푸라기, 고추장아찌를 곁들여 낸다.")</f>
        <v>1. 즉석밥에 멸치육수를 붓고 전자레인지에 넣어 데운다.
2. 냄비에 멸치육수를 넣고 끓인다.
3. 옥돔의 살만 발라낸다.
4. 옥돔살에 소금, 후추로 밑간을 한 뒤, 기름을 두른 팬에 굽는다.
5. 양파, 대파, 마늘을 다진다.
6. 옥돔살을 굽던 팬에 다진 채소를 넣은 뒤, 맛술을 넣고 볶는다.
7. 6에 멸치육수를 붓고 끓인다.
8. 멸치육수를 넣어 데운 밥을 넣고 함께 끓인다.
9. 8을 핸드 블렌더로 곱게 간다.
10. 곱게 간 옥돔죽을 냄비에 붓고 끓인다.
11. 북어채를 믹서에 넣고 곱게 갈아 북어보푸라기를 만든다.
12. 북어보푸라기에 부순 참깨를 넣는다.
13. 설탕, 참기름, 소금을 섞은 뒤, 북어보푸라기에 양념이 배도록 무친다.
14. 양념한 북어보푸라기를 동그랗게 뭉친 뒤 접시에 담는다.
15. 고추 장아찌를 썰어 접시에 담는다.
16. 그릇에 옥돔죽을 담고 채 썬 깻잎을 올린다.
17. 옥돔죽에 북어보푸라기, 고추장아찌를 곁들여 낸다.</v>
      </c>
    </row>
    <row r="146">
      <c r="A146" s="2" t="str">
        <f>recipe!C146
</f>
        <v>키스 버거</v>
      </c>
      <c r="B146" s="2" t="str">
        <f>IFERROR(__xludf.DUMMYFUNCTION("TRIM(
  REGEXEXTRACT(
    raw!A146,
    ""(?s)●\s*조리 방법(.*)""
  )
)
"),"1. 버터를 두른 팬에 적당한 크기로 썬 베이컨을 굽는다.
2. 껍질을 벗긴 새우를 팬에 넣고 함께 굽는다.
3. 2에 바질, 후추, 소금을 뿌린다.
4. 버터를 두른 팬에 소시지, 소고기 안심을 굽는다.
5. 소고기 안심에 바질을 뿌려 굽는다.
6. 사과, 양파, 오이 장아찌, 고추 장아찌를 잘게 다진다.
7. 마요네즈와 올리브 오일을 섞은 뒤, 다진 재료들을 넣고 섞는다.
8. 레몬즙을 뿌린다.
9. 구운 새우, 베이컨, 소시지를 잘게 썰어 넣는다."&amp;"
10. 진저 시럽을 넣은 뒤, 골고루 섞어준다.
11. 훈제 닭가슴살에 버터를 발라 굽는다.
12. 소고기 안심 &gt; 소스에 버무린 재료들 &gt; 소고기 안심 순으로 올린다.
13. 닭가슴살 &gt; 소스에 버무린 재료들 &gt; 명이나물 &gt; 닭가슴살 순으로 올린다.")</f>
        <v>1. 버터를 두른 팬에 적당한 크기로 썬 베이컨을 굽는다.
2. 껍질을 벗긴 새우를 팬에 넣고 함께 굽는다.
3. 2에 바질, 후추, 소금을 뿌린다.
4. 버터를 두른 팬에 소시지, 소고기 안심을 굽는다.
5. 소고기 안심에 바질을 뿌려 굽는다.
6. 사과, 양파, 오이 장아찌, 고추 장아찌를 잘게 다진다.
7. 마요네즈와 올리브 오일을 섞은 뒤, 다진 재료들을 넣고 섞는다.
8. 레몬즙을 뿌린다.
9. 구운 새우, 베이컨, 소시지를 잘게 썰어 넣는다.
10. 진저 시럽을 넣은 뒤, 골고루 섞어준다.
11. 훈제 닭가슴살에 버터를 발라 굽는다.
12. 소고기 안심 &gt; 소스에 버무린 재료들 &gt; 소고기 안심 순으로 올린다.
13. 닭가슴살 &gt; 소스에 버무린 재료들 &gt; 명이나물 &gt; 닭가슴살 순으로 올린다.</v>
      </c>
    </row>
    <row r="147">
      <c r="A147" s="2" t="str">
        <f>recipe!C147
</f>
        <v>소시지 달콤하시지</v>
      </c>
      <c r="B147" s="2" t="str">
        <f>IFERROR(__xludf.DUMMYFUNCTION("TRIM(
  REGEXEXTRACT(
    raw!A147,
    ""(?s)●\s*조리 방법(.*)""
  )
)
"),"1. 소시지를 잘게 다진다.
2. 새우의 껍질을 벗긴 뒤 잘게 다진다.
3. 팬에 다진 소시지와 새우를 넣고 볶는다.
4. 소금과 으깬 마늘을 넣는다.
5. 다진 양파를 넣는다.
6. 만가닥버섯을 잘게 썰어 넣고 함께 볶는다.
7. 양파를 한 꺼풀 벗긴 뒤, 그대로 기름에 튀긴다.
8. 베이컨을 굽는다.
9. 버터에 밀가루를 넣어 볶다가 우유를 조금씩 부어 베샤멜 소스를 만든다.
10. 베샤멜 소스에 구운 베이컨을 다져 넣는다.
11."&amp;" 10에 소금, 후추, 레몬즙을 넣는다.
12. 튀긴 양파에 볶은 재료를 넣고 돌돌 말아준다.
13. 팬에 양파롤을 올린 뒤, 발사믹 크림을 뿌려 굽는다.
14. 대파를 채썰어 기름에 튀긴다.
15. 그릇에 베샤멜 소스를 담는다.
16. 소스 위에 구운 양파롤을 얹은 뒤, 튀긴 파채를 올린다.
17. 발사믹 크림을 뿌려 완성한다.")</f>
        <v>1. 소시지를 잘게 다진다.
2. 새우의 껍질을 벗긴 뒤 잘게 다진다.
3. 팬에 다진 소시지와 새우를 넣고 볶는다.
4. 소금과 으깬 마늘을 넣는다.
5. 다진 양파를 넣는다.
6. 만가닥버섯을 잘게 썰어 넣고 함께 볶는다.
7. 양파를 한 꺼풀 벗긴 뒤, 그대로 기름에 튀긴다.
8. 베이컨을 굽는다.
9. 버터에 밀가루를 넣어 볶다가 우유를 조금씩 부어 베샤멜 소스를 만든다.
10. 베샤멜 소스에 구운 베이컨을 다져 넣는다.
11. 10에 소금, 후추, 레몬즙을 넣는다.
12. 튀긴 양파에 볶은 재료를 넣고 돌돌 말아준다.
13. 팬에 양파롤을 올린 뒤, 발사믹 크림을 뿌려 굽는다.
14. 대파를 채썰어 기름에 튀긴다.
15. 그릇에 베샤멜 소스를 담는다.
16. 소스 위에 구운 양파롤을 얹은 뒤, 튀긴 파채를 올린다.
17. 발사믹 크림을 뿌려 완성한다.</v>
      </c>
    </row>
    <row r="148">
      <c r="A148" s="2" t="str">
        <f>recipe!C148
</f>
        <v>소고기가 살아있네~</v>
      </c>
      <c r="B148" s="2" t="str">
        <f>IFERROR(__xludf.DUMMYFUNCTION("TRIM(
  REGEXEXTRACT(
    raw!A148,
    ""(?s)●\s*조리 방법(.*)""
  )
)
"),"1. 소고기 안심을 잘게 다진다.
2. 양파와 청양고추를 잘게 다진다.
3. 다진 안심과 채소들을 섞은 뒤 후추를 뿌린다.
4. 3에 소금, 올리브 오일, 핫소스, 케첩, 머스터드, 레몬즙을 넣고 골고루 섞는다.
5. 오이 장아찌를 잘게 다져 넣는다.
6. 육회에 달걀 노른자를 넣어 섞은 뒤, 냉동실에 넣어둔다.
7. 쌈채소를 먹기 좋은 크기로 썬다.
8. 다진 양파와 유자청을 섞는다.
9. 8에 올리브 오일, 발사믹 식초, 후추를 섞어 "&amp;"드레싱을 만든다.
10. 채소와 드레싱을 섞어 샐러드를 만든다.
11. 원형틀을 이용해 육회를 접시에 담고, 샐러드를 곁들인다.
12. 발사믹 크림과 파슬리를 뿌려 완성한다.")</f>
        <v>1. 소고기 안심을 잘게 다진다.
2. 양파와 청양고추를 잘게 다진다.
3. 다진 안심과 채소들을 섞은 뒤 후추를 뿌린다.
4. 3에 소금, 올리브 오일, 핫소스, 케첩, 머스터드, 레몬즙을 넣고 골고루 섞는다.
5. 오이 장아찌를 잘게 다져 넣는다.
6. 육회에 달걀 노른자를 넣어 섞은 뒤, 냉동실에 넣어둔다.
7. 쌈채소를 먹기 좋은 크기로 썬다.
8. 다진 양파와 유자청을 섞는다.
9. 8에 올리브 오일, 발사믹 식초, 후추를 섞어 드레싱을 만든다.
10. 채소와 드레싱을 섞어 샐러드를 만든다.
11. 원형틀을 이용해 육회를 접시에 담고, 샐러드를 곁들인다.
12. 발사믹 크림과 파슬리를 뿌려 완성한다.</v>
      </c>
    </row>
    <row r="149">
      <c r="A149" s="2" t="str">
        <f>recipe!C149
</f>
        <v>족발 먹을 곤약?</v>
      </c>
      <c r="B149" s="2" t="str">
        <f>IFERROR(__xludf.DUMMYFUNCTION("TRIM(
  REGEXEXTRACT(
    raw!A149,
    ""(?s)●\s*조리 방법(.*)""
  )
)
"),"1. 곤약을 길게 썬다.
2. 길게 썬 곤약을 끓는 물에 데친다.
3. 고춧가루, 간장, 유자청, 다진 마늘을 섞어 양념장을 만든다.
4. 데친 곤약을 건져서 차가운 물로 식힌다.
5. 꼬치에 곤약과 족발을 번갈아 끼운다.
6. 족발&amp;곤약 꼬치에 양념장을 발라 굽는다.
7. 족발&amp;곤약 꼬치와 상추를 함께 낸다.")</f>
        <v>1. 곤약을 길게 썬다.
2. 길게 썬 곤약을 끓는 물에 데친다.
3. 고춧가루, 간장, 유자청, 다진 마늘을 섞어 양념장을 만든다.
4. 데친 곤약을 건져서 차가운 물로 식힌다.
5. 꼬치에 곤약과 족발을 번갈아 끼운다.
6. 족발&amp;곤약 꼬치에 양념장을 발라 굽는다.
7. 족발&amp;곤약 꼬치와 상추를 함께 낸다.</v>
      </c>
    </row>
    <row r="150">
      <c r="A150" s="2" t="str">
        <f>recipe!C150
</f>
        <v>술푸자냐</v>
      </c>
      <c r="B150" s="2" t="str">
        <f>IFERROR(__xludf.DUMMYFUNCTION("TRIM(
  REGEXEXTRACT(
    raw!A150,
    ""(?s)●\s*조리 방법(.*)""
  )
)
"),"1. 방울토마토를 믹서에 간다.
2. 불린 미역을 잘게 다진 뒤, 크림치즈와 섞는다.
3. 2에 소금, 후추로 간을 한다.
4. 술떡을 얇게 썬다.
5. 컵에 술떡&gt;미역&amp;크림치즈&gt;간 토마토&gt;술떡&gt;미역&amp;크림치즈&gt;에멘탈 치즈&gt;체다 치즈&gt;간 토마토&gt;미역&amp;크림치즈&gt;술떡&gt;에멘탈 치즈&gt;생모차렐라 치즈 순으로 쌓는다.
6. 컵에 랩을 씌워 전자레인지에 넣고, 치즈가 녹을 정도로 돌린다.
7. 술떡라자냐 위에 에멘탈 치즈, 김, 하몬으로 장식한다.
8. 토치로 표면을"&amp;" 살짝 그을린다.
9. 파르메산 치즈를 뿌려 완성한다.")</f>
        <v>1. 방울토마토를 믹서에 간다.
2. 불린 미역을 잘게 다진 뒤, 크림치즈와 섞는다.
3. 2에 소금, 후추로 간을 한다.
4. 술떡을 얇게 썬다.
5. 컵에 술떡&gt;미역&amp;크림치즈&gt;간 토마토&gt;술떡&gt;미역&amp;크림치즈&gt;에멘탈 치즈&gt;체다 치즈&gt;간 토마토&gt;미역&amp;크림치즈&gt;술떡&gt;에멘탈 치즈&gt;생모차렐라 치즈 순으로 쌓는다.
6. 컵에 랩을 씌워 전자레인지에 넣고, 치즈가 녹을 정도로 돌린다.
7. 술떡라자냐 위에 에멘탈 치즈, 김, 하몬으로 장식한다.
8. 토치로 표면을 살짝 그을린다.
9. 파르메산 치즈를 뿌려 완성한다.</v>
      </c>
    </row>
    <row r="151">
      <c r="A151" s="2" t="str">
        <f>recipe!C151
</f>
        <v>새로운 샐러드와 수란잔</v>
      </c>
      <c r="B151" s="2" t="str">
        <f>IFERROR(__xludf.DUMMYFUNCTION("TRIM(
  REGEXEXTRACT(
    raw!A151,
    ""(?s)●\s*조리 방법(.*)""
  )
)
"),"1. 방울토마토는 꼭지 부분을 썰어 손질해 놓는다.
2. 불린 미역을 적당한 크기로 썰어 끓는 물에 데친 뒤, 차가운 물에 담가둔다.
3. 끓는 물에 방울토마토를 데친다.
4. 데친 방울토마토의 껍질을 벗긴다.
5. 끓는 물에 식초를 넣은 뒤, 달걀을 깨트려 넣어 수란을 만든다.
6. 올리브 오일, 화이트 와인, 소금, 후추, 레몬즙을 섞어 드레싱을 만든다.
7. 데친 미역에 드레싱을 버무려준다.
8. 올리브 오일에 버터, 다진 마늘, 소금"&amp;", 후추를 넣고 살짝 태우듯이 볶는다.
9. 생모차렐라 치즈, 방울토마토, 드레싱을 섞어 샐러드를 만든다.
10. 접시에 드레싱에 버무린 미역을 깔고, 샐러드를 올린다.
11. 샐러드 위에 그린 올리브, 다진 견과류, 하몬을 올린다.
12. 수란을 올린다.
13. 뵈르 누아제트를 뿌려 완성한다.")</f>
        <v>1. 방울토마토는 꼭지 부분을 썰어 손질해 놓는다.
2. 불린 미역을 적당한 크기로 썰어 끓는 물에 데친 뒤, 차가운 물에 담가둔다.
3. 끓는 물에 방울토마토를 데친다.
4. 데친 방울토마토의 껍질을 벗긴다.
5. 끓는 물에 식초를 넣은 뒤, 달걀을 깨트려 넣어 수란을 만든다.
6. 올리브 오일, 화이트 와인, 소금, 후추, 레몬즙을 섞어 드레싱을 만든다.
7. 데친 미역에 드레싱을 버무려준다.
8. 올리브 오일에 버터, 다진 마늘, 소금, 후추를 넣고 살짝 태우듯이 볶는다.
9. 생모차렐라 치즈, 방울토마토, 드레싱을 섞어 샐러드를 만든다.
10. 접시에 드레싱에 버무린 미역을 깔고, 샐러드를 올린다.
11. 샐러드 위에 그린 올리브, 다진 견과류, 하몬을 올린다.
12. 수란을 올린다.
13. 뵈르 누아제트를 뿌려 완성한다.</v>
      </c>
    </row>
    <row r="152">
      <c r="A152" s="2" t="str">
        <f>recipe!C152
</f>
        <v>별미 리소토</v>
      </c>
      <c r="B152" s="2" t="str">
        <f>IFERROR(__xludf.DUMMYFUNCTION("TRIM(
  REGEXEXTRACT(
    raw!A152,
    ""(?s)●\s*조리 방법(.*)""
  )
)
"),"1. 냄비에 손질한 양파와 당근, 올리브 오일을 넣고 볶는다.
2. 1에 물을 붓고 끓여 채소 육수를 만든다.
3. 기름을 두른 팬에 하몬, 으깬 마늘을 넣고 볶는다.
4. 차돌박이를 잘게 썰어 팬에 넣고 함께 볶는다.
5. 불린 미역을 잘게 썰어 넣고, 참기름을 더한다.
6. 볶던 재료에 채소 육수를 넣은 뒤, 블렌더에 담는다.
7. 6에 파르메산 치즈를 넣고 곱게 갈아준다.
8. 기름을 두른 팬에 하몬, 차돌박이, 대파, 소금을 넣고 볶는다.
9. "&amp;"8에 다진 마늘, 즉석밥을 넣고 함께 볶아 리소토를 만든다.
10. 리소토에 채소 육수와 갈아놓은 재료들을 넣고 함께 볶는다.
11. 리소토에 파르메산 치즈를 넣어가며 볶는다.
12. 잘게 썬 미역을 채소 육수에 넣어 데친다.
13. 리소토에 버터와 다진 견과류를 넣는다.
14. 리소토에 데친 미역을 넣고 함께 볶는다.
15. 다진 방울토마토, 크림치즈, 다진 견과류를 섞어 동그랗게 뭉친다.
16. 그릇에 리소토를 담고, 15를 올려 완성한다.")</f>
        <v>1. 냄비에 손질한 양파와 당근, 올리브 오일을 넣고 볶는다.
2. 1에 물을 붓고 끓여 채소 육수를 만든다.
3. 기름을 두른 팬에 하몬, 으깬 마늘을 넣고 볶는다.
4. 차돌박이를 잘게 썰어 팬에 넣고 함께 볶는다.
5. 불린 미역을 잘게 썰어 넣고, 참기름을 더한다.
6. 볶던 재료에 채소 육수를 넣은 뒤, 블렌더에 담는다.
7. 6에 파르메산 치즈를 넣고 곱게 갈아준다.
8. 기름을 두른 팬에 하몬, 차돌박이, 대파, 소금을 넣고 볶는다.
9. 8에 다진 마늘, 즉석밥을 넣고 함께 볶아 리소토를 만든다.
10. 리소토에 채소 육수와 갈아놓은 재료들을 넣고 함께 볶는다.
11. 리소토에 파르메산 치즈를 넣어가며 볶는다.
12. 잘게 썬 미역을 채소 육수에 넣어 데친다.
13. 리소토에 버터와 다진 견과류를 넣는다.
14. 리소토에 데친 미역을 넣고 함께 볶는다.
15. 다진 방울토마토, 크림치즈, 다진 견과류를 섞어 동그랗게 뭉친다.
16. 그릇에 리소토를 담고, 15를 올려 완성한다.</v>
      </c>
    </row>
    <row r="153">
      <c r="A153" s="2" t="str">
        <f>recipe!C153
</f>
        <v>이 참외 비빔면</v>
      </c>
      <c r="B153" s="2" t="str">
        <f>IFERROR(__xludf.DUMMYFUNCTION("TRIM(
  REGEXEXTRACT(
    raw!A153,
    ""(?s)●\s*조리 방법(.*)""
  )
)
"),"1. 참외를 반으로 잘라 씨를 빼낸 뒤 얇게 썬다.
2. 참외에 소금, 식초, 설탕을 넣고 살짝 절인다.
3. 불린 미역을 잘게 썰어 소금을 넣은 끓는 물에 데친다.
4. 데친 미역을 얼음물에 넣어 헹군다.
5. 감자라면의 면을 익힌 뒤, 얼음물에 넣어 헹군다.
6. 양파, 고추, 대파, 마늘을 손질한다.
7. 고추장, 고춧가루, 설탕, 식초, 다진 마늘, 간장, 생강즙, 참기름을 섞어 양념장을 만든다.
8. 달걀을 풀어 지단을 부친다.
"&amp;"9. 면과 미역의 물기를 짠 뒤, 손질해 놓은 채소와 섞어준다.
10. 절인 참외의 물기를 짠 뒤, 9와 함께 섞는다.
11. 양념장을 넣고 골고루 비빈 뒤, 깨를 뿌린다.
12. 그릇에 완성된 비빔면을 담는다.
13. 비빔면 위에 채 썬 지단을 올려 완성한다.")</f>
        <v>1. 참외를 반으로 잘라 씨를 빼낸 뒤 얇게 썬다.
2. 참외에 소금, 식초, 설탕을 넣고 살짝 절인다.
3. 불린 미역을 잘게 썰어 소금을 넣은 끓는 물에 데친다.
4. 데친 미역을 얼음물에 넣어 헹군다.
5. 감자라면의 면을 익힌 뒤, 얼음물에 넣어 헹군다.
6. 양파, 고추, 대파, 마늘을 손질한다.
7. 고추장, 고춧가루, 설탕, 식초, 다진 마늘, 간장, 생강즙, 참기름을 섞어 양념장을 만든다.
8. 달걀을 풀어 지단을 부친다.
9. 면과 미역의 물기를 짠 뒤, 손질해 놓은 채소와 섞어준다.
10. 절인 참외의 물기를 짠 뒤, 9와 함께 섞는다.
11. 양념장을 넣고 골고루 비빈 뒤, 깨를 뿌린다.
12. 그릇에 완성된 비빔면을 담는다.
13. 비빔면 위에 채 썬 지단을 올려 완성한다.</v>
      </c>
    </row>
    <row r="154">
      <c r="A154" s="2" t="str">
        <f>recipe!C154
</f>
        <v>넘사복</v>
      </c>
      <c r="B154" s="2" t="str">
        <f>IFERROR(__xludf.DUMMYFUNCTION("TRIM(
  REGEXEXTRACT(
    raw!A154,
    ""(?s)●\s*조리 방법(.*)""
  )
)
"),"1. 닭가슴살을 얇게 저민 뒤 기름에 튀긴다.
2. 낙지를 끓는 물에 데친 뒤 얼음물에 담가 식힌다.
3. 아스파라거스를 데친 뒤 얼음물에 담가 식힌다.
4. 아스파라거스를 먹기 좋은 크기로 썰고, 오이는 채 썰어 준비한다.
5. 튀긴 닭가슴살을 얇고 긴 모양으로 썬다.
6. 땅콩버터, 물, 굴소스, 두반장, 설탕, 매운 냉면양념을 섞어 소스를 만든다.
7. 닭가슴살, 채소, 낙지를 섞은 뒤 소스를 넣고 버무려 접시에 담는다.
8. 소면을 "&amp;"삶은 뒤 얼음물에 헹군다.
9. 물기를 뺀 소면에 고추기름, 굴소스, 매운 냉면양념을 넣고 버무린다.
10. 접시에 양념한 소면을 올린다.
11. 기름을 두른 팬에 잣을 볶는다.
12. 볶은 잣을 올려 완성한다.")</f>
        <v>1. 닭가슴살을 얇게 저민 뒤 기름에 튀긴다.
2. 낙지를 끓는 물에 데친 뒤 얼음물에 담가 식힌다.
3. 아스파라거스를 데친 뒤 얼음물에 담가 식힌다.
4. 아스파라거스를 먹기 좋은 크기로 썰고, 오이는 채 썰어 준비한다.
5. 튀긴 닭가슴살을 얇고 긴 모양으로 썬다.
6. 땅콩버터, 물, 굴소스, 두반장, 설탕, 매운 냉면양념을 섞어 소스를 만든다.
7. 닭가슴살, 채소, 낙지를 섞은 뒤 소스를 넣고 버무려 접시에 담는다.
8. 소면을 삶은 뒤 얼음물에 헹군다.
9. 물기를 뺀 소면에 고추기름, 굴소스, 매운 냉면양념을 넣고 버무린다.
10. 접시에 양념한 소면을 올린다.
11. 기름을 두른 팬에 잣을 볶는다.
12. 볶은 잣을 올려 완성한다.</v>
      </c>
    </row>
    <row r="155">
      <c r="A155" s="2" t="str">
        <f>recipe!C155
</f>
        <v>풍살기</v>
      </c>
      <c r="B155" s="2" t="str">
        <f>IFERROR(__xludf.DUMMYFUNCTION("TRIM(
  REGEXEXTRACT(
    raw!A155,
    ""(?s)●\s*조리 방법(.*)""
  )
)
"),"1. 냄비에 설탕과 물을 넣고 졸여 시럽을 만든다.
2. 달걀 노른자에 박력분, 설탕을 넣고 섞는다.
3. 2에 우유, 레몬즙을 섞은 뒤 전자레인지에 넣고 돌려 커스터드 크림을 만든다.
4. 커스터드 크림이 뭉치지 않게 풀어준 다음, 다시 전자레인지에 돌리는 과정을 반복한다.
5. 달걀 흰자는 거품을 낸다.
6. 5에 시럽을 부어가며 이탈리안 머랭을 만든다.
7. 달걀에 설탕, 소금을 넣고 곱게 푼다.
8. 식빵을 달걀물에 적신 뒤, 버터를"&amp;" 두른 팬에 굽는다.
9. 이탈리안 머랭에 커스터드 크림을 섞어 시부스트 크림을 만든다.
10. 얼음물에 시부스트 크림이 담긴 볼을 담가 식힌다.
11. 프렌치토스트 위에 시부스트 크림을 얹는다.
12. 블루베리를 올려 완성한다.")</f>
        <v>1. 냄비에 설탕과 물을 넣고 졸여 시럽을 만든다.
2. 달걀 노른자에 박력분, 설탕을 넣고 섞는다.
3. 2에 우유, 레몬즙을 섞은 뒤 전자레인지에 넣고 돌려 커스터드 크림을 만든다.
4. 커스터드 크림이 뭉치지 않게 풀어준 다음, 다시 전자레인지에 돌리는 과정을 반복한다.
5. 달걀 흰자는 거품을 낸다.
6. 5에 시럽을 부어가며 이탈리안 머랭을 만든다.
7. 달걀에 설탕, 소금을 넣고 곱게 푼다.
8. 식빵을 달걀물에 적신 뒤, 버터를 두른 팬에 굽는다.
9. 이탈리안 머랭에 커스터드 크림을 섞어 시부스트 크림을 만든다.
10. 얼음물에 시부스트 크림이 담긴 볼을 담가 식힌다.
11. 프렌치토스트 위에 시부스트 크림을 얹는다.
12. 블루베리를 올려 완성한다.</v>
      </c>
    </row>
    <row r="156">
      <c r="A156" s="2" t="str">
        <f>recipe!C156
</f>
        <v>요거닭</v>
      </c>
      <c r="B156" s="2" t="str">
        <f>IFERROR(__xludf.DUMMYFUNCTION("TRIM(
  REGEXEXTRACT(
    raw!A156,
    ""(?s)●\s*조리 방법(.*)""
  )
)
"),"1. 애호박을 썰어 기름에 튀긴다.
2. 기름을 두른 팬에 훈제 닭가슴살을 굽는다.
3. 달걀물에 모차렐라 치즈, 후추, 소금, 그릭 요거트, 바질, 다진 청양고추를 넣고 섞는다.
4. 구운 닭가슴살에 3을 바른 뒤, 예열된 오븐에 넣어 굽는다.
5. 그릭 요거트와 잘게 썬 딜, 다진 마늘, 소금을 섞어 요거트 소스를 만든다.
6. 샐러드 채소에 올리브 오일, 레몬즙을 넣고 섞은 뒤 접시에 담는다.
7. 원형틀을 이용해 요거트 소스 &gt; 튀긴 "&amp;"애호박 &gt; 요거트 소스 순으로 쌓는다.
8. 잘게 썬 오이와 플레인 요거트를 섞은 뒤 소금으로 간을 한다.
9. 8에 물을 붓고 다진 딜, 다진 마늘을 섞어 타라토르를 만든다.
10. 그릇에 타라토르를 담고 잣, 다진 딜, 올리브 오일을 더한다.
11. 핸드 블렌더에 바질, 올리브 오일, 잣을 넣고 갈아 바질 페스토를 만든다.
12. 요거트 소스 위에 바질 페스토를 뿌린다.
13. 접시에 구운 닭가슴살을 올려 완성한다.")</f>
        <v>1. 애호박을 썰어 기름에 튀긴다.
2. 기름을 두른 팬에 훈제 닭가슴살을 굽는다.
3. 달걀물에 모차렐라 치즈, 후추, 소금, 그릭 요거트, 바질, 다진 청양고추를 넣고 섞는다.
4. 구운 닭가슴살에 3을 바른 뒤, 예열된 오븐에 넣어 굽는다.
5. 그릭 요거트와 잘게 썬 딜, 다진 마늘, 소금을 섞어 요거트 소스를 만든다.
6. 샐러드 채소에 올리브 오일, 레몬즙을 넣고 섞은 뒤 접시에 담는다.
7. 원형틀을 이용해 요거트 소스 &gt; 튀긴 애호박 &gt; 요거트 소스 순으로 쌓는다.
8. 잘게 썬 오이와 플레인 요거트를 섞은 뒤 소금으로 간을 한다.
9. 8에 물을 붓고 다진 딜, 다진 마늘을 섞어 타라토르를 만든다.
10. 그릇에 타라토르를 담고 잣, 다진 딜, 올리브 오일을 더한다.
11. 핸드 블렌더에 바질, 올리브 오일, 잣을 넣고 갈아 바질 페스토를 만든다.
12. 요거트 소스 위에 바질 페스토를 뿌린다.
13. 접시에 구운 닭가슴살을 올려 완성한다.</v>
      </c>
    </row>
    <row r="157">
      <c r="A157" s="2" t="str">
        <f>recipe!C157
</f>
        <v>가지가지 한다</v>
      </c>
      <c r="B157" s="2" t="str">
        <f>IFERROR(__xludf.DUMMYFUNCTION("TRIM(
  REGEXEXTRACT(
    raw!A157,
    ""(?s)●\s*조리 방법(.*)""
  )
)
"),"1. 가지를 길게 반으로 자른 뒤, 기름을 두른 팬에 굽는다.
2. 구운 가지에 칼집을 낸 뒤 다시 굽는다.
3. 냄비에 홀토마토, 마늘, 양파, 올리브 오일, 앤초비, 바질, 방울토마토를 넣고 끓인다.
4. 끓인 재료들을 믹서에 넣고 갈아 토마토 소스를 만든다.
5. 오븐팬에 구운 가지를 얹고 토마토 소스를 바른다.
6. 말린 토마토와 올리브 오일을 섞은 뒤, 핸드 블렌더로 갈아준다.
7. 6을 토마토 소스 위에 얹는다.
8. 다진 페페론"&amp;"치노, 고르곤졸라 치즈, 모차렐라 치즈를 가지 위에 올린다.
9. 예열된 오븐에 양념한 가지를 넣고 굽는다.
10. 버터를 두른 팬에 불린 포르치니 버섯을 볶는다.
11. 포르치니 버섯에 소금, 후추, 로즈마리를 넣어 함께 볶는다.
12. 샐러드 채소에 레몬즙, 올리브 오일, 소금, 후추를 넣는다.
13. 12에 볶은 포르치니 버섯을 넣고 버무린 뒤, 접시에 담는다.
14. 방울토마토와 아스파라거스를 팬에 굽는다.
15. 샐러드 위에 가지구"&amp;"이를 올린다.
16. 구운 방울토마토와 아스파라거스를 곁들인다.
17. 말린 토마토를 잘게 다져 올린다.")</f>
        <v>1. 가지를 길게 반으로 자른 뒤, 기름을 두른 팬에 굽는다.
2. 구운 가지에 칼집을 낸 뒤 다시 굽는다.
3. 냄비에 홀토마토, 마늘, 양파, 올리브 오일, 앤초비, 바질, 방울토마토를 넣고 끓인다.
4. 끓인 재료들을 믹서에 넣고 갈아 토마토 소스를 만든다.
5. 오븐팬에 구운 가지를 얹고 토마토 소스를 바른다.
6. 말린 토마토와 올리브 오일을 섞은 뒤, 핸드 블렌더로 갈아준다.
7. 6을 토마토 소스 위에 얹는다.
8. 다진 페페론치노, 고르곤졸라 치즈, 모차렐라 치즈를 가지 위에 올린다.
9. 예열된 오븐에 양념한 가지를 넣고 굽는다.
10. 버터를 두른 팬에 불린 포르치니 버섯을 볶는다.
11. 포르치니 버섯에 소금, 후추, 로즈마리를 넣어 함께 볶는다.
12. 샐러드 채소에 레몬즙, 올리브 오일, 소금, 후추를 넣는다.
13. 12에 볶은 포르치니 버섯을 넣고 버무린 뒤, 접시에 담는다.
14. 방울토마토와 아스파라거스를 팬에 굽는다.
15. 샐러드 위에 가지구이를 올린다.
16. 구운 방울토마토와 아스파라거스를 곁들인다.
17. 말린 토마토를 잘게 다져 올린다.</v>
      </c>
    </row>
    <row r="158">
      <c r="A158" s="2" t="str">
        <f>recipe!C158
</f>
        <v>명란 한주먹</v>
      </c>
      <c r="B158" s="2" t="str">
        <f>IFERROR(__xludf.DUMMYFUNCTION("TRIM(
  REGEXEXTRACT(
    raw!A158,
    ""(?s)●\s*조리 방법(.*)""
  )
)
"),"1. 즉석밥을 전자레인지에 넣어 데운다.
2. 다진 생강과 간장을 섞는다.
3. 간장에 유자청의 유자를 다져 넣는다.
4. 3에 식초, 다진 마늘, 올리브 오일, 다진 파, 설탕, 레몬즙을 섞어 간장소스를 만든다.
5. 마른 팬에 잔멸치와 간장을 넣어 볶는다.
6. 밥에 볶은 잔멸치를 넣고 섞는다.
7. 6에 참기름, 명란젓을 넣고 섞는다.
8. 채 썬 양파에 전분을 묻힌 뒤, 기름에 튀긴다.
9. 간장소스에 후추와 들기름을 넣는다.
1"&amp;"0. 간장소스에 물을 넣는다.
11. 동그랗게 주먹밥을 만든 뒤, 전분을 묻혀 기름에 튀긴다.
12. 그릇에 튀긴 양파, 튀긴 주먹밥을 담는다.
13. 주먹밥 위에 다진 견과류를 뿌린 뒤, 간장소스를 두른다.
14. 채 썬 파를 올린다.
15. 올리브 오일과 후추를 뿌려 완성한다.")</f>
        <v>1. 즉석밥을 전자레인지에 넣어 데운다.
2. 다진 생강과 간장을 섞는다.
3. 간장에 유자청의 유자를 다져 넣는다.
4. 3에 식초, 다진 마늘, 올리브 오일, 다진 파, 설탕, 레몬즙을 섞어 간장소스를 만든다.
5. 마른 팬에 잔멸치와 간장을 넣어 볶는다.
6. 밥에 볶은 잔멸치를 넣고 섞는다.
7. 6에 참기름, 명란젓을 넣고 섞는다.
8. 채 썬 양파에 전분을 묻힌 뒤, 기름에 튀긴다.
9. 간장소스에 후추와 들기름을 넣는다.
10. 간장소스에 물을 넣는다.
11. 동그랗게 주먹밥을 만든 뒤, 전분을 묻혀 기름에 튀긴다.
12. 그릇에 튀긴 양파, 튀긴 주먹밥을 담는다.
13. 주먹밥 위에 다진 견과류를 뿌린 뒤, 간장소스를 두른다.
14. 채 썬 파를 올린다.
15. 올리브 오일과 후추를 뿌려 완성한다.</v>
      </c>
    </row>
    <row r="159">
      <c r="A159" s="2" t="str">
        <f>recipe!C159
</f>
        <v>다 이 김</v>
      </c>
      <c r="B159" s="2" t="str">
        <f>IFERROR(__xludf.DUMMYFUNCTION("TRIM(
  REGEXEXTRACT(
    raw!A159,
    ""(?s)●\s*조리 방법(.*)""
  )
)
"),"1. 김을 잘게 찢어 물에 불린다.
2. 기름을 두른 팬에 다진 마늘, 채 썬 양파를 넣고 볶는다.
3. 잘게 썬 파, 고춧가루, 맛술을 넣고 함께 볶는다.
4. 참치액, 식초, 물에 불린 김과 물을 넣고 함께 끓인다.
5. 참기름을 넣는다.
6. 그릇에 김 수프와 밥을 따로 담아낸다.")</f>
        <v>1. 김을 잘게 찢어 물에 불린다.
2. 기름을 두른 팬에 다진 마늘, 채 썬 양파를 넣고 볶는다.
3. 잘게 썬 파, 고춧가루, 맛술을 넣고 함께 볶는다.
4. 참치액, 식초, 물에 불린 김과 물을 넣고 함께 끓인다.
5. 참기름을 넣는다.
6. 그릇에 김 수프와 밥을 따로 담아낸다.</v>
      </c>
    </row>
    <row r="160">
      <c r="A160" s="2" t="str">
        <f>recipe!C160
</f>
        <v>동파면</v>
      </c>
      <c r="B160" s="2" t="str">
        <f>IFERROR(__xludf.DUMMYFUNCTION("TRIM(
  REGEXEXTRACT(
    raw!A160,
    ""(?s)●\s*조리 방법(.*)""
  )
)
"),"1. 청양고추는 잘게 썰고, 파는 채 썬 뒤 차가운 물에 담가둔다.
2. 기름을 두른 팬에 으깬 마늘을 넣어 볶는다.
3. 동치미에 들어있던 고추, 무를 잘게 썰어 넣고 함께 볶는다.
4. 청양고추, 설탕을 넣어 함께 볶는다.
5. 끓는 물에 소금을 넣은 뒤, 파스타면을 넣어 익힌다.
6. 볶던 재료에 후추, 동치미 국물을 넣어 동치미 소스를 만든다.
7. 찬물에 담가뒀던 파를 넣는다.
8. 버터를 넣는다.
9. 팬에 익힌 면을 넣고, 동"&amp;"치미 소스와 섞는다.
10. 조미료를 넣는다.
11. 그릇에 파스타를 담아 완성한다.")</f>
        <v>1. 청양고추는 잘게 썰고, 파는 채 썬 뒤 차가운 물에 담가둔다.
2. 기름을 두른 팬에 으깬 마늘을 넣어 볶는다.
3. 동치미에 들어있던 고추, 무를 잘게 썰어 넣고 함께 볶는다.
4. 청양고추, 설탕을 넣어 함께 볶는다.
5. 끓는 물에 소금을 넣은 뒤, 파스타면을 넣어 익힌다.
6. 볶던 재료에 후추, 동치미 국물을 넣어 동치미 소스를 만든다.
7. 찬물에 담가뒀던 파를 넣는다.
8. 버터를 넣는다.
9. 팬에 익힌 면을 넣고, 동치미 소스와 섞는다.
10. 조미료를 넣는다.
11. 그릇에 파스타를 담아 완성한다.</v>
      </c>
    </row>
    <row r="161">
      <c r="A161" s="2" t="str">
        <f>recipe!C161
</f>
        <v>커리업</v>
      </c>
      <c r="B161" s="2" t="str">
        <f>IFERROR(__xludf.DUMMYFUNCTION("TRIM(
  REGEXEXTRACT(
    raw!A161,
    ""(?s)●\s*조리 방법(.*)""
  )
)
"),"1. 반건조 우럭은 껍질과 뼈를 제거한 뒤, 먹기 좋은 크기로 썬다.
2. 자두를 전자레인지에 넣어 익힌다.
3. 기름을 두른 팬에 다진 생강, 파, 손질한 우럭을 넣고 볶는다.
4. 카레가루, 고춧가루를 넣고 함께 볶는다.
5. 후추, 청주, 맛술을 넣어 끓인다.
6. 카레에 익힌 자두를 넣는다.
7. 두유를 넣고 함께 끓인다.
8. 즉석밥을 전자레인지에 넣어 데운다.
9. 카레에 버터를 넣는다.
10. 파를 가늘게 채 썬 뒤, 찬물에"&amp;" 헹군다.
11. 그릇에 밥을 담고 카레를 곁들인 뒤, 채 썬 파를 올려 완성한다.")</f>
        <v>1. 반건조 우럭은 껍질과 뼈를 제거한 뒤, 먹기 좋은 크기로 썬다.
2. 자두를 전자레인지에 넣어 익힌다.
3. 기름을 두른 팬에 다진 생강, 파, 손질한 우럭을 넣고 볶는다.
4. 카레가루, 고춧가루를 넣고 함께 볶는다.
5. 후추, 청주, 맛술을 넣어 끓인다.
6. 카레에 익힌 자두를 넣는다.
7. 두유를 넣고 함께 끓인다.
8. 즉석밥을 전자레인지에 넣어 데운다.
9. 카레에 버터를 넣는다.
10. 파를 가늘게 채 썬 뒤, 찬물에 헹군다.
11. 그릇에 밥을 담고 카레를 곁들인 뒤, 채 썬 파를 올려 완성한다.</v>
      </c>
    </row>
    <row r="162">
      <c r="A162" s="2" t="str">
        <f>recipe!C162
</f>
        <v>복면완자</v>
      </c>
      <c r="B162" s="2" t="str">
        <f>IFERROR(__xludf.DUMMYFUNCTION("TRIM(
  REGEXEXTRACT(
    raw!A162,
    ""(?s)●\s*조리 방법(.*)""
  )
)
"),"1. 돼지안심과 양파를 잘게 썬다.
2. 잘게 썬 돼지안심과 양파를 곱게 다진다.
3. 두부를 으깬다.
4. 끓는 물에 소면을 넣고 삶는다.
5. 다진 돼지안심과 양파, 으깬 두부, 전분, 소금을 섞는다.
6. 5에 달걀물을 넣어 반죽한다.
7. 완자 반죽을 동그랗게 떼어 끓는 물에 넣고 익힌다.
8. 삶은 소면을 찬물에 넣어 헹군다.
9. 물에 고추장을 푼다.
10. 9에 설탕, 우유를 넣어 물회 육수를 만든다.
11. 기름을 두른 "&amp;"팬에 파, 으깬 마늘, 채 썬 당근, 양파를 넣고 볶는다.
12. 그릇에 물기를 뺀 소면을 담고 얼음을 올린다.
13. 소면 위에 익힌 완자를 올린다.
14. 물회 육수를 붓는다.
15. 볶은 채소를 올려 완성한다.")</f>
        <v>1. 돼지안심과 양파를 잘게 썬다.
2. 잘게 썬 돼지안심과 양파를 곱게 다진다.
3. 두부를 으깬다.
4. 끓는 물에 소면을 넣고 삶는다.
5. 다진 돼지안심과 양파, 으깬 두부, 전분, 소금을 섞는다.
6. 5에 달걀물을 넣어 반죽한다.
7. 완자 반죽을 동그랗게 떼어 끓는 물에 넣고 익힌다.
8. 삶은 소면을 찬물에 넣어 헹군다.
9. 물에 고추장을 푼다.
10. 9에 설탕, 우유를 넣어 물회 육수를 만든다.
11. 기름을 두른 팬에 파, 으깬 마늘, 채 썬 당근, 양파를 넣고 볶는다.
12. 그릇에 물기를 뺀 소면을 담고 얼음을 올린다.
13. 소면 위에 익힌 완자를 올린다.
14. 물회 육수를 붓는다.
15. 볶은 채소를 올려 완성한다.</v>
      </c>
    </row>
    <row r="163">
      <c r="A163" s="2" t="str">
        <f>recipe!C163
</f>
        <v>돈 워리 비 해피</v>
      </c>
      <c r="B163" s="2" t="str">
        <f>IFERROR(__xludf.DUMMYFUNCTION("TRIM(
  REGEXEXTRACT(
    raw!A163,
    ""(?s)●\s*조리 방법(.*)""
  )
)
"),"1. 식빵을 갈아서 빵가루를 만든다.
2. 돼지안심을 적당한 크기로 썬 뒤, 블렌더로 갈아준다.
3. 간 돼지안심과 리코타 치즈를 섞는다.
4. 3에 소금, 후추를 뿌리고 섞은 뒤, 동그랗게 빚는다.
5. 동그랗게 빚은 고기에 밀가루&gt;달걀물&gt;빵가루 순으로 묻힌다.
6. 5에 스모크 치즈를 갈아 올린 뒤, 빵가루로 덮는다.
7. 버터를 두른 팬에 돈가스를 올려 굽는다.
8. 불린 표고버섯을 다진 뒤, 버터를 두른 팬에 넣고 볶는다.
9. 팬"&amp;"에 다진 적양파, 즉석밥을 넣는다.
10. 9에 얼그레이 티백을 우려낸 물을 넣고 끓인다.
11. 화이트 소스, 스모크 치즈, 소금, 후추를 넣고 볶는다.
12. 팬에 볶은 표고버섯을 넣고 스모크 치즈, 화이트 소스를 넣어 볶는다.
13. 돈가스 위에 12를 얹어준다.
14. 모차렐라 슬라이스 치즈를 얹는다.
15. 리소토에 파르메산 치즈를 넣는다.
16. 토치로 돈가스 위에 올린 치즈의 표면을 그을린다.
17. 치즈 위에 바질을 뿌린다."&amp;"
18. 접시에 돈가스와 리소토를 올려 완성한다.")</f>
        <v>1. 식빵을 갈아서 빵가루를 만든다.
2. 돼지안심을 적당한 크기로 썬 뒤, 블렌더로 갈아준다.
3. 간 돼지안심과 리코타 치즈를 섞는다.
4. 3에 소금, 후추를 뿌리고 섞은 뒤, 동그랗게 빚는다.
5. 동그랗게 빚은 고기에 밀가루&gt;달걀물&gt;빵가루 순으로 묻힌다.
6. 5에 스모크 치즈를 갈아 올린 뒤, 빵가루로 덮는다.
7. 버터를 두른 팬에 돈가스를 올려 굽는다.
8. 불린 표고버섯을 다진 뒤, 버터를 두른 팬에 넣고 볶는다.
9. 팬에 다진 적양파, 즉석밥을 넣는다.
10. 9에 얼그레이 티백을 우려낸 물을 넣고 끓인다.
11. 화이트 소스, 스모크 치즈, 소금, 후추를 넣고 볶는다.
12. 팬에 볶은 표고버섯을 넣고 스모크 치즈, 화이트 소스를 넣어 볶는다.
13. 돈가스 위에 12를 얹어준다.
14. 모차렐라 슬라이스 치즈를 얹는다.
15. 리소토에 파르메산 치즈를 넣는다.
16. 토치로 돈가스 위에 올린 치즈의 표면을 그을린다.
17. 치즈 위에 바질을 뿌린다.
18. 접시에 돈가스와 리소토를 올려 완성한다.</v>
      </c>
    </row>
    <row r="164">
      <c r="A164" s="2" t="str">
        <f>recipe!C164
</f>
        <v>연어가 똠얌꽁냥</v>
      </c>
      <c r="B164" s="2" t="str">
        <f>IFERROR(__xludf.DUMMYFUNCTION("TRIM(
  REGEXEXTRACT(
    raw!A164,
    ""(?s)●\s*조리 방법(.*)""
  )
)
"),"1. 연어대가리에 소금을 뿌리고 토치로 살짝 익힌다.
2. 끓는 물에 연어대가리를 넣고 삶는다.
3. 끓는 물에 똠얌 페이스트를 넣고 끓인다.
4. 3에 익힌 연어대가리, 소금을 넣고 끓인다.
5. 국물에 카옌페퍼 가루, 연어볼, 다진 레몬그라스, 파프리카를 넣는다.
6. 태국고추를 잘게 썰어 넣는다.
7. 연유를 넣는다.
8. 레몬즙을 넣는다.
9. 적당한 크기로 썬 적양파, 다진 생강, 파를 넣고 끓인다.
10. 연어살에 팟타이 페이"&amp;"스트를 바른 뒤, 버터를 두른 팬에 굽는다.
11. 국물에 필리핀 라면과 수프를 넣고 끓인 뒤, 후추를 뿌린다.
12. 그릇에 국물과 건더기를 담고 후추, 잘게 썬 파를 올려 완성한다.")</f>
        <v>1. 연어대가리에 소금을 뿌리고 토치로 살짝 익힌다.
2. 끓는 물에 연어대가리를 넣고 삶는다.
3. 끓는 물에 똠얌 페이스트를 넣고 끓인다.
4. 3에 익힌 연어대가리, 소금을 넣고 끓인다.
5. 국물에 카옌페퍼 가루, 연어볼, 다진 레몬그라스, 파프리카를 넣는다.
6. 태국고추를 잘게 썰어 넣는다.
7. 연유를 넣는다.
8. 레몬즙을 넣는다.
9. 적당한 크기로 썬 적양파, 다진 생강, 파를 넣고 끓인다.
10. 연어살에 팟타이 페이스트를 바른 뒤, 버터를 두른 팬에 굽는다.
11. 국물에 필리핀 라면과 수프를 넣고 끓인 뒤, 후추를 뿌린다.
12. 그릇에 국물과 건더기를 담고 후추, 잘게 썬 파를 올려 완성한다.</v>
      </c>
    </row>
    <row r="165">
      <c r="A165" s="2" t="str">
        <f>recipe!C165
</f>
        <v>삼겹살 팟티</v>
      </c>
      <c r="B165" s="2" t="str">
        <f>IFERROR(__xludf.DUMMYFUNCTION("TRIM(
  REGEXEXTRACT(
    raw!A165,
    ""(?s)●\s*조리 방법(.*)""
  )
)
"),"1. 불린 당면을 적당한 길이로 썬다.
2. 간장을 넣고 끓인 물에 당면을 넣고 삶는다.
3. 통삼겹살을 필러로 얇게 썬다.
4. 샌드위치용 햄을 잘게 썬다.
5. 당근, 양파를 채 썰고 마늘은 으깬다.
6. 파와 고추를 얇게 채 썬다.
7. 기름을 두른 팬에 똠얌 페이스트, 그린 커리 페이스트, 다진 레몬그라스를 넣고 볶는다.
8. 7에 올리브 오일, 다진 생강을 넣고 볶아 양념을 만든다.
9. 다른 팬에 기름을 두르고 으깬 마늘, 양파"&amp;", 얇게 썬 삼겹살을 넣고 볶는다.
10. 9에 샌드위치용 햄, 당근, 고추, 파를 넣는다.
11. 그린 커리 페이스트, 볶아둔 양념을 넣고 함께 볶는다.
12. 연유, 물을 붓고 볶는다.
13. 태국고추를 잘게 다져 넣고 볶는다.
14. 삶은 당면을 넣고 볶는다.
15. 채 썬 두부를 넣고 함께 볶는다.")</f>
        <v>1. 불린 당면을 적당한 길이로 썬다.
2. 간장을 넣고 끓인 물에 당면을 넣고 삶는다.
3. 통삼겹살을 필러로 얇게 썬다.
4. 샌드위치용 햄을 잘게 썬다.
5. 당근, 양파를 채 썰고 마늘은 으깬다.
6. 파와 고추를 얇게 채 썬다.
7. 기름을 두른 팬에 똠얌 페이스트, 그린 커리 페이스트, 다진 레몬그라스를 넣고 볶는다.
8. 7에 올리브 오일, 다진 생강을 넣고 볶아 양념을 만든다.
9. 다른 팬에 기름을 두르고 으깬 마늘, 양파, 얇게 썬 삼겹살을 넣고 볶는다.
10. 9에 샌드위치용 햄, 당근, 고추, 파를 넣는다.
11. 그린 커리 페이스트, 볶아둔 양념을 넣고 함께 볶는다.
12. 연유, 물을 붓고 볶는다.
13. 태국고추를 잘게 다져 넣고 볶는다.
14. 삶은 당면을 넣고 볶는다.
15. 채 썬 두부를 넣고 함께 볶는다.</v>
      </c>
    </row>
    <row r="166">
      <c r="A166" s="2" t="str">
        <f>recipe!C166
</f>
        <v>돔 샤카라카</v>
      </c>
      <c r="B166" s="2" t="str">
        <f>IFERROR(__xludf.DUMMYFUNCTION("TRIM(
  REGEXEXTRACT(
    raw!A166,
    ""(?s)●\s*조리 방법(.*)""
  )
)
"),"1. 끓는 물에 옥돔대가리, 파, 양파를 넣고 끓인다.
2. 1에 옥돔뼈, 통후추를 넣고 끓여 육수를 낸다.
3. 옥돔을 손질해 살만 발라낸다.
4. 달걀 흰자만 분리해 거품을 낸다.
5. 거품을 낸 달걀 흰자에 양파, 당근, 옥돔살, 토마토를 넣고 섞는다.
6. 냄비에 옥돔 육수, 5를 넣어 함께 끓인다.
7. 다진 마늘, 달걀 노른자, 레몬즙, 올리브 오일, 소금, 후추를 섞는다.
8. 7에 다진 애플망고, 올리고당을 섞어 소스를 만든다"&amp;".
9. 소금, 후추 간을 한 옥돔살을 기름을 두른 팬에 굽는다.
10. 달걀 흰자와 채소, 옥돔살을 넣고 끓인 육수를 체에 밭쳐 건더기를 거른 뒤, 옥돔뼈로 낸 육수와 합쳐 다시 끓인다.
11. 그릇에 국물을 담고, 구운 옥돔살을 올린다.
12. 잘게 썬 파, 소스를 올려 완성한다.")</f>
        <v>1. 끓는 물에 옥돔대가리, 파, 양파를 넣고 끓인다.
2. 1에 옥돔뼈, 통후추를 넣고 끓여 육수를 낸다.
3. 옥돔을 손질해 살만 발라낸다.
4. 달걀 흰자만 분리해 거품을 낸다.
5. 거품을 낸 달걀 흰자에 양파, 당근, 옥돔살, 토마토를 넣고 섞는다.
6. 냄비에 옥돔 육수, 5를 넣어 함께 끓인다.
7. 다진 마늘, 달걀 노른자, 레몬즙, 올리브 오일, 소금, 후추를 섞는다.
8. 7에 다진 애플망고, 올리고당을 섞어 소스를 만든다.
9. 소금, 후추 간을 한 옥돔살을 기름을 두른 팬에 굽는다.
10. 달걀 흰자와 채소, 옥돔살을 넣고 끓인 육수를 체에 밭쳐 건더기를 거른 뒤, 옥돔뼈로 낸 육수와 합쳐 다시 끓인다.
11. 그릇에 국물을 담고, 구운 옥돔살을 올린다.
12. 잘게 썬 파, 소스를 올려 완성한다.</v>
      </c>
    </row>
    <row r="167">
      <c r="A167" s="2" t="str">
        <f>recipe!C167
</f>
        <v>베스트 오브 베스튜</v>
      </c>
      <c r="B167" s="2" t="str">
        <f>IFERROR(__xludf.DUMMYFUNCTION("TRIM(
  REGEXEXTRACT(
    raw!A167,
    ""(?s)●\s*조리 방법(.*)""
  )
)
"),"1. 돼지고기를 큼직하게 썰어 소금, 후추 간을 한다.
2. 돼지고기에 밀가루를 묻힌 뒤, 기름을 두른 팬에 굽는다.
3. 압력 밥솥에 배추김치 국물, 애플망고, 소불고기 양념을 넣어 끓인다.
4. 3에 표고버섯가루, 코코넛 워터를 넣어 끓인다.
5. 돼지고기를 굽던 팬에 유자맛 소주를 넣어 잡내를 날린다.
6. 구운 돼지고기를 압력솥에 넣어 익힌다.
7. 팬에 배추김치 국물, 애플망고, 다진 배추김치를 넣고 끓인다.
8. 7에 소불고기 양"&amp;"념, 후추를 넣고 끓여 소스를 만든다.
9. 소스에 다진 토마토, 코코넛 워터를 넣고 끓인다.
10. 익힌 돼지고기를 팬에 한 번 더 굽는다.
11. 유자맛 소주를 부어 잡내를 날린다.
12. 돼지고기에 소스를 부어 함께 끓인다.
13. 따뜻하게 데운 그릇에 스튜를 담는다.
14. 스튜에 깨를 뿌려 완성한다.")</f>
        <v>1. 돼지고기를 큼직하게 썰어 소금, 후추 간을 한다.
2. 돼지고기에 밀가루를 묻힌 뒤, 기름을 두른 팬에 굽는다.
3. 압력 밥솥에 배추김치 국물, 애플망고, 소불고기 양념을 넣어 끓인다.
4. 3에 표고버섯가루, 코코넛 워터를 넣어 끓인다.
5. 돼지고기를 굽던 팬에 유자맛 소주를 넣어 잡내를 날린다.
6. 구운 돼지고기를 압력솥에 넣어 익힌다.
7. 팬에 배추김치 국물, 애플망고, 다진 배추김치를 넣고 끓인다.
8. 7에 소불고기 양념, 후추를 넣고 끓여 소스를 만든다.
9. 소스에 다진 토마토, 코코넛 워터를 넣고 끓인다.
10. 익힌 돼지고기를 팬에 한 번 더 굽는다.
11. 유자맛 소주를 부어 잡내를 날린다.
12. 돼지고기에 소스를 부어 함께 끓인다.
13. 따뜻하게 데운 그릇에 스튜를 담는다.
14. 스튜에 깨를 뿌려 완성한다.</v>
      </c>
    </row>
    <row r="168">
      <c r="A168" s="2" t="str">
        <f>recipe!C168
</f>
        <v>화채 얼쑤</v>
      </c>
      <c r="B168" s="2" t="str">
        <f>IFERROR(__xludf.DUMMYFUNCTION("TRIM(
  REGEXEXTRACT(
    raw!A168,
    ""(?s)●\s*조리 방법(.*)""
  )
)
"),"1. 오미자 원액, 칼라만시 원액, 코코넛 워터, 탄산수, 꿀을 섞어 화채국물을 만든다.
2. 화채국물을 냉동실에 넣어둔다.
3. 청포도를 얇게 썰고, 참외는 필러로 얇게 벗겨낸 뒤 채 썬다.
4. 얼음물에 설탕, 레몬즙을 넣고, 손질한 과일을 담가둔다.
5. 애플망고, 복숭아도 채 썰어 얼음물에 담가둔다.
6. 옥수수 전분에 따뜻한 물을 넣고 익반죽을 한다.
7. 반죽을 쟁반 바닥에 얇게 깔리게 부은 뒤, 쟁반을 끓는 물 위에 띄운다.
8"&amp;". 반죽의 표면에 물기가 없어지면 쟁반째 끓는 물 속에 넣어 완전히 익힌다.
9. 반죽이 투명해지면 쟁반을 꺼내 얼음물에 담근다.
10. 차갑게 식힌 반죽을 채 썰어 면을 만든다.
11. 그릇에 채 썬 과일들을 담는다.
12. 얼음을 갈아 그릇에 담고, 화채국물과 면을 넣는다.
13. 피스타치오를 으깬 뒤 뿌려준다.")</f>
        <v>1. 오미자 원액, 칼라만시 원액, 코코넛 워터, 탄산수, 꿀을 섞어 화채국물을 만든다.
2. 화채국물을 냉동실에 넣어둔다.
3. 청포도를 얇게 썰고, 참외는 필러로 얇게 벗겨낸 뒤 채 썬다.
4. 얼음물에 설탕, 레몬즙을 넣고, 손질한 과일을 담가둔다.
5. 애플망고, 복숭아도 채 썰어 얼음물에 담가둔다.
6. 옥수수 전분에 따뜻한 물을 넣고 익반죽을 한다.
7. 반죽을 쟁반 바닥에 얇게 깔리게 부은 뒤, 쟁반을 끓는 물 위에 띄운다.
8. 반죽의 표면에 물기가 없어지면 쟁반째 끓는 물 속에 넣어 완전히 익힌다.
9. 반죽이 투명해지면 쟁반을 꺼내 얼음물에 담근다.
10. 차갑게 식힌 반죽을 채 썰어 면을 만든다.
11. 그릇에 채 썬 과일들을 담는다.
12. 얼음을 갈아 그릇에 담고, 화채국물과 면을 넣는다.
13. 피스타치오를 으깬 뒤 뿌려준다.</v>
      </c>
    </row>
    <row r="169">
      <c r="A169" s="2" t="str">
        <f>recipe!C169
</f>
        <v>오 마이 갓토</v>
      </c>
      <c r="B169" s="2" t="str">
        <f>IFERROR(__xludf.DUMMYFUNCTION("TRIM(
  REGEXEXTRACT(
    raw!A169,
    ""(?s)●\s*조리 방법(.*)""
  )
)
"),"1. 끓는 물에 소금을 넣고 파스타면을 삶는다.
2. 기름을 두른 팬에 미니 파프리카를 굽는다.
3. 갈치는 얇게 포를 뜬 뒤, 팬에 넣어 굽는다.
4. 토치로 미니 파프리카의 표면을 태운다.
5. 믹서에 발사믹 식초와 쯔유를 넣는다.
6. 미니 파프리카의 껍질을 벗긴 뒤, 믹서에 넣는다.
7. 믹서에 으깬 마늘, 다진 양파를 넣고 함께 갈아 소스를 만든다.
8. 소스에 참기름을 넣고 다시 한 번 갈아준다.
9. 삶은 파스타면을 찬물에 헹"&amp;"군다.
10. 파스타면과 소스, 잘게 썬 파를 함께 버무린다.
11. 접시에 양념한 파스타면을 담고 구운 갈치를 올린다.
12. 물에 씻은 갓김치와 낫토를 섞은 뒤, 갈치 위에 올린다.
13. 소스를 뿌린다.
14. 잘게 썬 파, 김을 올린다.
15. 달걀 노른자를 올린다.")</f>
        <v>1. 끓는 물에 소금을 넣고 파스타면을 삶는다.
2. 기름을 두른 팬에 미니 파프리카를 굽는다.
3. 갈치는 얇게 포를 뜬 뒤, 팬에 넣어 굽는다.
4. 토치로 미니 파프리카의 표면을 태운다.
5. 믹서에 발사믹 식초와 쯔유를 넣는다.
6. 미니 파프리카의 껍질을 벗긴 뒤, 믹서에 넣는다.
7. 믹서에 으깬 마늘, 다진 양파를 넣고 함께 갈아 소스를 만든다.
8. 소스에 참기름을 넣고 다시 한 번 갈아준다.
9. 삶은 파스타면을 찬물에 헹군다.
10. 파스타면과 소스, 잘게 썬 파를 함께 버무린다.
11. 접시에 양념한 파스타면을 담고 구운 갈치를 올린다.
12. 물에 씻은 갓김치와 낫토를 섞은 뒤, 갈치 위에 올린다.
13. 소스를 뿌린다.
14. 잘게 썬 파, 김을 올린다.
15. 달걀 노른자를 올린다.</v>
      </c>
    </row>
    <row r="170">
      <c r="A170" s="2" t="str">
        <f>recipe!C170
</f>
        <v>갈쌈만두</v>
      </c>
      <c r="B170" s="2" t="str">
        <f>IFERROR(__xludf.DUMMYFUNCTION("TRIM(
  REGEXEXTRACT(
    raw!A170,
    ""(?s)●\s*조리 방법(.*)""
  )
)
"),"1. 밀가루에 소금, 따뜻한 물을 넣어 익반죽을 한다.
2. 내장을 제거한 갈치를 익힌다.
3. 그린빈을 잘게 다진 뒤, 물기를 제거한다.
4. 표고버섯, 양파, 파를 잘게 다진다.
5. 다진 재료들에 쯔유, 식용유를 넣고 섞는다.
6. 5에 갈치의 살만 발라 넣고 섞어 만두소를 만든다.
7. 반죽을 적당한 크기로 나눈 뒤, 밀대로 밀어 만두피를 만든다.
8. 만두피에 만두소를 넣고 빚는다.
9. 기름을 두른 팬에 만두를 넣고 굽는다.
"&amp;"10. 팬에 물을 붓고 뚜껑을 덮어 만두 속까지 익혀준다.")</f>
        <v>1. 밀가루에 소금, 따뜻한 물을 넣어 익반죽을 한다.
2. 내장을 제거한 갈치를 익힌다.
3. 그린빈을 잘게 다진 뒤, 물기를 제거한다.
4. 표고버섯, 양파, 파를 잘게 다진다.
5. 다진 재료들에 쯔유, 식용유를 넣고 섞는다.
6. 5에 갈치의 살만 발라 넣고 섞어 만두소를 만든다.
7. 반죽을 적당한 크기로 나눈 뒤, 밀대로 밀어 만두피를 만든다.
8. 만두피에 만두소를 넣고 빚는다.
9. 기름을 두른 팬에 만두를 넣고 굽는다.
10. 팬에 물을 붓고 뚜껑을 덮어 만두 속까지 익혀준다.</v>
      </c>
    </row>
    <row r="171">
      <c r="A171" s="2" t="str">
        <f>recipe!C171
</f>
        <v>판타스틱 어묵</v>
      </c>
      <c r="B171" s="2" t="str">
        <f>IFERROR(__xludf.DUMMYFUNCTION("TRIM(
  REGEXEXTRACT(
    raw!A171,
    ""(?s)●\s*조리 방법(.*)""
  )
)
"),"1. 오징어를 잘게 썰어 핸드 블렌더에 넣는다.
2. 1에 푸아그라 트러플 파테, 레몬&amp;소금이 들어간 고춧가루, 소금, 후추, 고춧가루, 깨를 넣어 간다.
3. 달걀 껍질을 반으로 가른다.
4. 반으로 가른 달걀 껍질에 어묵반죽을 담는다.
5. 어묵반죽 안에 각각 명란젓, 카망베르 치즈, 푸아그라 트러플 파테를 넣어 속을 채운다.
6. 접시에 밀가루를 깔고, 어묵반죽을 넣은 달걀 껍질을 세운 뒤 전자레인지에 넣고 돌린다.
7. 팬에 기름과 버"&amp;"터를 두른 뒤, 어묵반죽을 넣고 익힌다.
8. 접시에 어묵을 담고 첫 번째 어묵 위에 캐비아, 채 썬 파를 올린다.
9. 두 번째 어묵에는 푸아그라 트러플 파테, 딸기잼을 올린다.
10. 세 번째 어묵에는 트러플과 꿀, 카망베르 치즈를 올린다.")</f>
        <v>1. 오징어를 잘게 썰어 핸드 블렌더에 넣는다.
2. 1에 푸아그라 트러플 파테, 레몬&amp;소금이 들어간 고춧가루, 소금, 후추, 고춧가루, 깨를 넣어 간다.
3. 달걀 껍질을 반으로 가른다.
4. 반으로 가른 달걀 껍질에 어묵반죽을 담는다.
5. 어묵반죽 안에 각각 명란젓, 카망베르 치즈, 푸아그라 트러플 파테를 넣어 속을 채운다.
6. 접시에 밀가루를 깔고, 어묵반죽을 넣은 달걀 껍질을 세운 뒤 전자레인지에 넣고 돌린다.
7. 팬에 기름과 버터를 두른 뒤, 어묵반죽을 넣고 익힌다.
8. 접시에 어묵을 담고 첫 번째 어묵 위에 캐비아, 채 썬 파를 올린다.
9. 두 번째 어묵에는 푸아그라 트러플 파테, 딸기잼을 올린다.
10. 세 번째 어묵에는 트러플과 꿀, 카망베르 치즈를 올린다.</v>
      </c>
    </row>
    <row r="172">
      <c r="A172" s="2" t="str">
        <f>recipe!C172
</f>
        <v>분짜지용</v>
      </c>
      <c r="B172" s="2" t="str">
        <f>IFERROR(__xludf.DUMMYFUNCTION("TRIM(
  REGEXEXTRACT(
    raw!A172,
    ""(?s)●\s*조리 방법(.*)""
  )
)
"),"1. 얇게 썬 삼겹살에 고추, 양파, 다진 마늘, 레몬즙, 피시소스를 넣는다.
2. 1에 설탕을 넣고 버무린다.
3. 팬에 설탕을 얇게 깔고 녹여 캐러멜화한다.
4. 3에 양념한 삼겹살을 넣고 굽는다.
5. 볼에 피시소스, 설탕, 레몬즙, 다진 마늘, 다진 양파, 고추를 넣는다.
6. 5에 물을 부어 육수를 만든다.
7. 끓는 물에 메밀 라면을 넣고 삶는다.
8. 찬물에 헹군 면을 접시에 담는다.
9. 면에 구운 삼겹살을 곁들인다.
10"&amp;". 육수를 따로 담아낸다.")</f>
        <v>1. 얇게 썬 삼겹살에 고추, 양파, 다진 마늘, 레몬즙, 피시소스를 넣는다.
2. 1에 설탕을 넣고 버무린다.
3. 팬에 설탕을 얇게 깔고 녹여 캐러멜화한다.
4. 3에 양념한 삼겹살을 넣고 굽는다.
5. 볼에 피시소스, 설탕, 레몬즙, 다진 마늘, 다진 양파, 고추를 넣는다.
6. 5에 물을 부어 육수를 만든다.
7. 끓는 물에 메밀 라면을 넣고 삶는다.
8. 찬물에 헹군 면을 접시에 담는다.
9. 면에 구운 삼겹살을 곁들인다.
10. 육수를 따로 담아낸다.</v>
      </c>
    </row>
    <row r="173">
      <c r="A173" s="2" t="str">
        <f>recipe!C173
</f>
        <v>양싸퀴진</v>
      </c>
      <c r="B173" s="2" t="str">
        <f>IFERROR(__xludf.DUMMYFUNCTION("TRIM(
  REGEXEXTRACT(
    raw!A173,
    ""(?s)●\s*조리 방법(.*)""
  )
)
"),"1. 장어흑마늘즙을 끓인다.
2. 삼겹살에 소금, 후추 간을 하고 팬에 굽는다.
3. 장어흑마늘즙에 다진 생강, 설탕, 소금, 후추를 넣고 끓여 소스를 만든다.
4. 전복을 손질한다.
5. 끓는 물에 소금을 넣고 전복을 삶는다.
6. 팬에 그린빈과 채 썬 능이버섯을 넣고 함께 굽는다.
7. 소스에 삶은 전복을 넣고, 소스를 끼얹어가며 조린다.
8. 소스에 트러플을 잘게 다져 넣고 함께 끓인다.
9. 접시에 소스를 담고 능이버섯과 그린빈을 "&amp;"올린다.
10. 구운 삼겹살과 전복, 트러플을 올린다.
11. 올리브 오일을 뿌려 완성한다.")</f>
        <v>1. 장어흑마늘즙을 끓인다.
2. 삼겹살에 소금, 후추 간을 하고 팬에 굽는다.
3. 장어흑마늘즙에 다진 생강, 설탕, 소금, 후추를 넣고 끓여 소스를 만든다.
4. 전복을 손질한다.
5. 끓는 물에 소금을 넣고 전복을 삶는다.
6. 팬에 그린빈과 채 썬 능이버섯을 넣고 함께 굽는다.
7. 소스에 삶은 전복을 넣고, 소스를 끼얹어가며 조린다.
8. 소스에 트러플을 잘게 다져 넣고 함께 끓인다.
9. 접시에 소스를 담고 능이버섯과 그린빈을 올린다.
10. 구운 삼겹살과 전복, 트러플을 올린다.
11. 올리브 오일을 뿌려 완성한다.</v>
      </c>
    </row>
    <row r="174">
      <c r="A174" s="2" t="str">
        <f>recipe!C174
</f>
        <v>텐미닛 수프</v>
      </c>
      <c r="B174" s="2" t="str">
        <f>IFERROR(__xludf.DUMMYFUNCTION("TRIM(
  REGEXEXTRACT(
    raw!A174,
    ""(?s)●\s*조리 방법(.*)""
  )
)
"),"1. 꼬리곰탕을 체에 걸러 냄비에 넣고 끓인다.
2. 버터에 밀가루를 넣고 볶아 루를 만든다.
3. 팬에 기름을 두르고 채 썬 양파를 볶는다.
4. 꼬리곰탕에 알감자조림을 넣고 끓인다.
5. 양파를 볶던 팬에 소시지를 넣고, 후추를 뿌려 굽는다.
6. 꼬리곰탕에서 건져낸 알감자를 팬에 넣고 함께 볶는다.
7. 팬에 꼬리곰탕과 크림 치즈를 넣고 끓인다.
8. 7에 루를 넣어 농도를 조절한다.
9. 끓인 재료들을 믹서에 넣고 꼬리곰탕을 조금 "&amp;"부은 뒤 갈아준다.
10. 그릇에 망고푸딩을 담고 잘게 썬 크랜베리를 올린다.
11. 믹서에 간 수프를 체에 밭쳐 곱게 내린다.
12. 따뜻하게 데운 주전자에 수프를 담은 뒤, 망고푸딩과 함께 낸다.")</f>
        <v>1. 꼬리곰탕을 체에 걸러 냄비에 넣고 끓인다.
2. 버터에 밀가루를 넣고 볶아 루를 만든다.
3. 팬에 기름을 두르고 채 썬 양파를 볶는다.
4. 꼬리곰탕에 알감자조림을 넣고 끓인다.
5. 양파를 볶던 팬에 소시지를 넣고, 후추를 뿌려 굽는다.
6. 꼬리곰탕에서 건져낸 알감자를 팬에 넣고 함께 볶는다.
7. 팬에 꼬리곰탕과 크림 치즈를 넣고 끓인다.
8. 7에 루를 넣어 농도를 조절한다.
9. 끓인 재료들을 믹서에 넣고 꼬리곰탕을 조금 부은 뒤 갈아준다.
10. 그릇에 망고푸딩을 담고 잘게 썬 크랜베리를 올린다.
11. 믹서에 간 수프를 체에 밭쳐 곱게 내린다.
12. 따뜻하게 데운 주전자에 수프를 담은 뒤, 망고푸딩과 함께 낸다.</v>
      </c>
    </row>
    <row r="175">
      <c r="A175" s="2" t="str">
        <f>recipe!C175
</f>
        <v>10분 스테이크 맛있찬오</v>
      </c>
      <c r="B175" s="2" t="str">
        <f>IFERROR(__xludf.DUMMYFUNCTION("TRIM(
  REGEXEXTRACT(
    raw!A175,
    ""(?s)●\s*조리 방법(.*)""
  )
)
"),"1. 소고기 안심에 소금, 후추 간을 한다.
2. 팬에 올리브 오일을 넉넉하게 두르고 소고기 안심, 대파, 햄을 넣고 굽는다.
3. 다진 마늘, 진간장, 꿀, 홀그레인 머스터드, 참기름을 섞어 소스를 만든다.
4. 알감자조림에 카망베르 치즈, 꿀, 소스를 넣고 섞는다.
5. 그릇에 4를 담는다.
6. 안심 스테이크 위에 구운 파, 소스를 올린다.
7. 그릇에 안심 스테이크를 담고 소스를 뿌려 완성한다.")</f>
        <v>1. 소고기 안심에 소금, 후추 간을 한다.
2. 팬에 올리브 오일을 넉넉하게 두르고 소고기 안심, 대파, 햄을 넣고 굽는다.
3. 다진 마늘, 진간장, 꿀, 홀그레인 머스터드, 참기름을 섞어 소스를 만든다.
4. 알감자조림에 카망베르 치즈, 꿀, 소스를 넣고 섞는다.
5. 그릇에 4를 담는다.
6. 안심 스테이크 위에 구운 파, 소스를 올린다.
7. 그릇에 안심 스테이크를 담고 소스를 뿌려 완성한다.</v>
      </c>
    </row>
    <row r="176">
      <c r="A176" s="2" t="str">
        <f>recipe!C176
</f>
        <v>영광의 바지락</v>
      </c>
      <c r="B176" s="2" t="str">
        <f>IFERROR(__xludf.DUMMYFUNCTION("TRIM(
  REGEXEXTRACT(
    raw!A176,
    ""(?s)●\s*조리 방법(.*)""
  )
)
"),"1. 냄비에 올리브 오일을 두르고 통마늘, 대파, 당근, 양파, 감자, 통후추를 넣은 뒤 물을 부어 끓인다.
2. 팬에 올리브 오일을 두르고 으깬 마늘, 바지락을 넣어 볶는다.
3. 2에 화이트 와인과 채소육수를 부어 끓인다.
4. 양파, 감자, 대파를 잘게 다진다.
5. 기름을 두른 팬에 햄을 굽는다.
6. 5에 다진 재료들을 넣고 소금, 후추 간을 해서 함께 볶는다.
7. 구운 햄을 꺼낸다.
8. 채소를 볶던 팬에 바지락을 넣고 함께 볶는다.
9. "&amp;"팬에 버터를 두르고 밀가루를 볶아 루를 만든다.
10. 루와 채소육수를 섞은 뒤, 채소와 바지락을 볶던 팬에 부어 함께 끓인다.
11. 10에 우유를 넣고 끓인다.
12. 마늘과 함께 볶아둔 바지락을 넣은 뒤 더 끓여준다.
13. 잘게 썬 전복을 굽는다.
14. 빵을 굽는다.
15. 그릇에 바지락 차우더를 담고 구운 전복과 빵을 올려 낸다.")</f>
        <v>1. 냄비에 올리브 오일을 두르고 통마늘, 대파, 당근, 양파, 감자, 통후추를 넣은 뒤 물을 부어 끓인다.
2. 팬에 올리브 오일을 두르고 으깬 마늘, 바지락을 넣어 볶는다.
3. 2에 화이트 와인과 채소육수를 부어 끓인다.
4. 양파, 감자, 대파를 잘게 다진다.
5. 기름을 두른 팬에 햄을 굽는다.
6. 5에 다진 재료들을 넣고 소금, 후추 간을 해서 함께 볶는다.
7. 구운 햄을 꺼낸다.
8. 채소를 볶던 팬에 바지락을 넣고 함께 볶는다.
9. 팬에 버터를 두르고 밀가루를 볶아 루를 만든다.
10. 루와 채소육수를 섞은 뒤, 채소와 바지락을 볶던 팬에 부어 함께 끓인다.
11. 10에 우유를 넣고 끓인다.
12. 마늘과 함께 볶아둔 바지락을 넣은 뒤 더 끓여준다.
13. 잘게 썬 전복을 굽는다.
14. 빵을 굽는다.
15. 그릇에 바지락 차우더를 담고 구운 전복과 빵을 올려 낸다.</v>
      </c>
    </row>
    <row r="177">
      <c r="A177" s="2" t="str">
        <f>recipe!C177
</f>
        <v>파워 비어 롤</v>
      </c>
      <c r="B177" s="2" t="str">
        <f>IFERROR(__xludf.DUMMYFUNCTION("TRIM(
  REGEXEXTRACT(
    raw!A177,
    ""(?s)●\s*조리 방법(.*)""
  )
)
"),"1. 소고기 안심을 고기망치로 두드려 얇게 편다.
2. 1에 소금, 후추로 간을 한다.
3. 얇게 펼친 소고기 안심에 카망베르 치즈, 말린 크랜베리, 크림 치즈를 넣고 만다.
4. 안심롤을 이쑤시개로 고정한 후, 기름을 두른 팬에 통마늘과 함께 굽는다.
5. 구운 통마늘을 꺼낸다.
6. 햄을 채 썰어 팬에 볶는다.
7. 팬에 설탕을 뿌린다.
8. 올리브 오일과 밀가루를 넣어 함께 볶는다.
9. 흑맥주를 붓고 끓여 소스를 만든다.
10. "&amp;"소스에 월계수잎과 꿀을 넣는다.
11. 알감자조림을 전자레인지에 넣어 데운다.
12. 안심롤을 먹기 좋은 크기로 썰어 그릇에 담는다.
13. 소스에 버터를 넣고 녹인 뒤, 안심롤 위에 뿌린다.
14. 데운 알감자조림을 가니쉬로 곁들인다.")</f>
        <v>1. 소고기 안심을 고기망치로 두드려 얇게 편다.
2. 1에 소금, 후추로 간을 한다.
3. 얇게 펼친 소고기 안심에 카망베르 치즈, 말린 크랜베리, 크림 치즈를 넣고 만다.
4. 안심롤을 이쑤시개로 고정한 후, 기름을 두른 팬에 통마늘과 함께 굽는다.
5. 구운 통마늘을 꺼낸다.
6. 햄을 채 썰어 팬에 볶는다.
7. 팬에 설탕을 뿌린다.
8. 올리브 오일과 밀가루를 넣어 함께 볶는다.
9. 흑맥주를 붓고 끓여 소스를 만든다.
10. 소스에 월계수잎과 꿀을 넣는다.
11. 알감자조림을 전자레인지에 넣어 데운다.
12. 안심롤을 먹기 좋은 크기로 썰어 그릇에 담는다.
13. 소스에 버터를 넣고 녹인 뒤, 안심롤 위에 뿌린다.
14. 데운 알감자조림을 가니쉬로 곁들인다.</v>
      </c>
    </row>
    <row r="178">
      <c r="A178" s="2" t="str">
        <f>recipe!C178
</f>
        <v>새로 깐풍치킨</v>
      </c>
      <c r="B178" s="2" t="str">
        <f>IFERROR(__xludf.DUMMYFUNCTION("TRIM(
  REGEXEXTRACT(
    raw!A178,
    ""(?s)●\s*조리 방법(.*)""
  )
)
"),"1. 프라이드 치킨의 튀김옷 부분을 벗겨낸다.
2. 튀김옷을 벗겨낸 프라이드 치킨에 밀가루를 묻혀 다시 튀긴다.
3. 채 썬 양파와 다진 마늘을 섞는다.
4. 3에 설탕, 간장, 물, 식초, 굴소스를 넣어 깐풍소스를 만든다.
5. 깐풍소스에 후추, 레몬즙을 넣는다.
6. 파와 청양고추를 잘게 썰어 기름을 두른 팬에 볶는다.
7. 튀긴 프라이드 치킨의 기름을 뺀다.
8. 그릇에 프라이드 치킨을 담고 볶은 파, 청양고추를 올린다.
9. 프라이"&amp;"드 치킨 위에 깐풍소스를 올려 완성한다.")</f>
        <v>1. 프라이드 치킨의 튀김옷 부분을 벗겨낸다.
2. 튀김옷을 벗겨낸 프라이드 치킨에 밀가루를 묻혀 다시 튀긴다.
3. 채 썬 양파와 다진 마늘을 섞는다.
4. 3에 설탕, 간장, 물, 식초, 굴소스를 넣어 깐풍소스를 만든다.
5. 깐풍소스에 후추, 레몬즙을 넣는다.
6. 파와 청양고추를 잘게 썰어 기름을 두른 팬에 볶는다.
7. 튀긴 프라이드 치킨의 기름을 뺀다.
8. 그릇에 프라이드 치킨을 담고 볶은 파, 청양고추를 올린다.
9. 프라이드 치킨 위에 깐풍소스를 올려 완성한다.</v>
      </c>
    </row>
    <row r="179">
      <c r="A179" s="2" t="str">
        <f>recipe!C179
</f>
        <v>피자 말아또</v>
      </c>
      <c r="B179" s="2" t="str">
        <f>IFERROR(__xludf.DUMMYFUNCTION("TRIM(
  REGEXEXTRACT(
    raw!A179,
    ""(?s)●\s*조리 방법(.*)""
  )
)
"),"1. 다진 파, 다진 마늘, 진간장, 설탕, 참기름을 섞어 양념을 만든다.
2. 불고기를 양념에 버무린 뒤, 오레가노를 넣어 섞는다.
3. 피자조각의 끝부분을 잘라내고 반을 자른 뒤, 네모난 모양으로 합친다.
4. 달걀물에 소금을 넣는다.
5. 버터를 두른 팬에 달걀지단을 부친다.
6. 달걀지단의 한쪽 면만 익힌 뒤, 위에 피자를 올린다.
7. 양파와 파를 잘게 썰어 팬에 넣고 소금, 후추 간을 해서 볶는다.
8. 7에 잘게 썬 살라미, 버"&amp;"터를 넣고 함께 볶는다.
9. 피자 위에 볶은 재료들을 올린다.
10. 불고기를 팬에 볶는다.
11. 볶은 불고기를 피자 위에 올린 뒤, 달걀지단으로 돌돌 말아준다.
12. 피자달걀말이를 그릴팬에 올려 굽는다.
13. 피자달걀말이를 썰어 접시에 담아낸다.")</f>
        <v>1. 다진 파, 다진 마늘, 진간장, 설탕, 참기름을 섞어 양념을 만든다.
2. 불고기를 양념에 버무린 뒤, 오레가노를 넣어 섞는다.
3. 피자조각의 끝부분을 잘라내고 반을 자른 뒤, 네모난 모양으로 합친다.
4. 달걀물에 소금을 넣는다.
5. 버터를 두른 팬에 달걀지단을 부친다.
6. 달걀지단의 한쪽 면만 익힌 뒤, 위에 피자를 올린다.
7. 양파와 파를 잘게 썰어 팬에 넣고 소금, 후추 간을 해서 볶는다.
8. 7에 잘게 썬 살라미, 버터를 넣고 함께 볶는다.
9. 피자 위에 볶은 재료들을 올린다.
10. 불고기를 팬에 볶는다.
11. 볶은 불고기를 피자 위에 올린 뒤, 달걀지단으로 돌돌 말아준다.
12. 피자달걀말이를 그릴팬에 올려 굽는다.
13. 피자달걀말이를 썰어 접시에 담아낸다.</v>
      </c>
    </row>
    <row r="180">
      <c r="A180" s="2" t="str">
        <f>recipe!C180
</f>
        <v>후룩국</v>
      </c>
      <c r="B180" s="2" t="str">
        <f>IFERROR(__xludf.DUMMYFUNCTION("TRIM(
  REGEXEXTRACT(
    raw!A180,
    ""(?s)●\s*조리 방법(.*)""
  )
)
"),"1. 끓는 물에 소금을 넣은 뒤, 파르팔레(리본모양 파스타)를 넣고 삶는다.
2. 믹서기에 양파, 파, 소금, 다진 마늘, 다진 생강, 식용유, 고체카레를 넣고 간다.
3. 항정살을 적당한 크기로 썰어 팬에 넣고 볶는다.
4. 믹서에 간 재료들을 항정살과 함께 볶는다.
5. 쇠젓가락에 파를 꽂아 불에 직접 굽는다.
6. 볶던 재료에 물을 부어 함께 끓인다.
7. 6에 삶은 파르팔레를 넣고 소금으로 간을 한다.
8. 라임즙을 넣는다.
9. "&amp;"그릇에 건더기와 국물을 담고 구운 파를 올려 완성한다.")</f>
        <v>1. 끓는 물에 소금을 넣은 뒤, 파르팔레(리본모양 파스타)를 넣고 삶는다.
2. 믹서기에 양파, 파, 소금, 다진 마늘, 다진 생강, 식용유, 고체카레를 넣고 간다.
3. 항정살을 적당한 크기로 썰어 팬에 넣고 볶는다.
4. 믹서에 간 재료들을 항정살과 함께 볶는다.
5. 쇠젓가락에 파를 꽂아 불에 직접 굽는다.
6. 볶던 재료에 물을 부어 함께 끓인다.
7. 6에 삶은 파르팔레를 넣고 소금으로 간을 한다.
8. 라임즙을 넣는다.
9. 그릇에 건더기와 국물을 담고 구운 파를 올려 완성한다.</v>
      </c>
    </row>
    <row r="181">
      <c r="A181" s="2" t="str">
        <f>recipe!C181
</f>
        <v>고새 한 그릇</v>
      </c>
      <c r="B181" s="2" t="str">
        <f>IFERROR(__xludf.DUMMYFUNCTION("TRIM(
  REGEXEXTRACT(
    raw!A181,
    ""(?s)●\s*조리 방법(.*)""
  )
)
"),"1. 냄비에 마늘, 파, 다진 생강, 양파를 넣고 볶는다.
2. 다른 냄비에 물과 치킨스톡을 넣고 끓여 육수를 낸다.
3. 볶은 채소에 육수를 넣어 함께 끓인다.
4. 칵테일 새우를 믹서에 넣고 간다.
5. 육수를 체에 걸러 맑은 육수만 받아낸다.
6. 다진 칵테일 새우에 달걀 흰자, 소금, 후추, 전분을 넣어 완자 반죽을 만든다.
7. 완자 반죽을 먹기 좋은 크기로 떼어 육수에 넣고 익힌다.
8. 육수에 칵테일 새우를 넣고 익힌다.
9."&amp;" 8에 전분물을 넣어 농도를 조절한 뒤, 소금으로 간을 한다.
10. 체에 다진 마늘, 다진 생강, 고춧가루를 올린 뒤 끓인 식용유를 부어 고추기름을 낸다.
11. 국물에 달걀물을 풀어준다.
12. 그릇에 새우완자와 국물을 담고 고추기름, 잘게 썬 파를 올려 낸다.")</f>
        <v>1. 냄비에 마늘, 파, 다진 생강, 양파를 넣고 볶는다.
2. 다른 냄비에 물과 치킨스톡을 넣고 끓여 육수를 낸다.
3. 볶은 채소에 육수를 넣어 함께 끓인다.
4. 칵테일 새우를 믹서에 넣고 간다.
5. 육수를 체에 걸러 맑은 육수만 받아낸다.
6. 다진 칵테일 새우에 달걀 흰자, 소금, 후추, 전분을 넣어 완자 반죽을 만든다.
7. 완자 반죽을 먹기 좋은 크기로 떼어 육수에 넣고 익힌다.
8. 육수에 칵테일 새우를 넣고 익힌다.
9. 8에 전분물을 넣어 농도를 조절한 뒤, 소금으로 간을 한다.
10. 체에 다진 마늘, 다진 생강, 고춧가루를 올린 뒤 끓인 식용유를 부어 고추기름을 낸다.
11. 국물에 달걀물을 풀어준다.
12. 그릇에 새우완자와 국물을 담고 고추기름, 잘게 썬 파를 올려 낸다.</v>
      </c>
    </row>
    <row r="182">
      <c r="A182" s="2" t="str">
        <f>recipe!C182
</f>
        <v>야밤엔 복쌈</v>
      </c>
      <c r="B182" s="2" t="str">
        <f>IFERROR(__xludf.DUMMYFUNCTION("TRIM(
  REGEXEXTRACT(
    raw!A182,
    ""(?s)●\s*조리 방법(.*)""
  )
)
"),"1. 기름을 두른 팬에 잘게 자른 현미국수면을 넣어 튀긴다.
2. 튀긴 면을 체에 밭쳐 기름을 뺀다.
3. 양배추의 심을 잘게 다진다.
4. 채끝살을 잘게 다진다.
5. 고추, 아스파라거스, 파, 마늘, 불린 표고버섯을 잘게 다진다.
6. 팬에 다진 파와 마늘, 채끝살을 넣은 뒤 간장을 넣어 볶는다.
7. 6에 나머지 채소, 쯔유, 해선장을 넣고 볶는다.
8. 참기름을 넣는다.
9. 물전분을 넣은 뒤 후추를 넣는다.
10. 접시에 튀긴 "&amp;"면을 담는다.
11. 면 위에 볶은 재료들을 얹는다.
12. 양배추 잎을 곁들여 낸다.")</f>
        <v>1. 기름을 두른 팬에 잘게 자른 현미국수면을 넣어 튀긴다.
2. 튀긴 면을 체에 밭쳐 기름을 뺀다.
3. 양배추의 심을 잘게 다진다.
4. 채끝살을 잘게 다진다.
5. 고추, 아스파라거스, 파, 마늘, 불린 표고버섯을 잘게 다진다.
6. 팬에 다진 파와 마늘, 채끝살을 넣은 뒤 간장을 넣어 볶는다.
7. 6에 나머지 채소, 쯔유, 해선장을 넣고 볶는다.
8. 참기름을 넣는다.
9. 물전분을 넣은 뒤 후추를 넣는다.
10. 접시에 튀긴 면을 담는다.
11. 면 위에 볶은 재료들을 얹는다.
12. 양배추 잎을 곁들여 낸다.</v>
      </c>
    </row>
    <row r="183">
      <c r="A183" s="2" t="str">
        <f>recipe!C183
</f>
        <v>나물 버물 파스타</v>
      </c>
      <c r="B183" s="2" t="str">
        <f>IFERROR(__xludf.DUMMYFUNCTION("TRIM(
  REGEXEXTRACT(
    raw!A183,
    ""(?s)●\s*조리 방법(.*)""
  )
)
"),"1. 물에 소금을 넣고 끓인다.
2. 토마토를 잘게 썬다.
3. 팬에 올리브 오일을 두른 뒤, 편으로 썬 마늘과 소금을 넣고 볶는다.
4. 3에 잘게 썬 새우살을 넣고 볶는다.
5. 미니 파프리카의 겉면을 태운다.
6. 소금을 넣고 끓인 물에 파스타면을 삶는다.
7. 볶던 재료에 화이트 와인을 넣는다.
8. 7에 면수와 잘게 썬 토마토를 넣어 볶는다.
9. 올리브 오일을 두른 팬에 다진 마늘, 삶은 고구마 줄기를 넣고 볶는다.
10. 9"&amp;"에 소금, 아욱을 넣고 함께 볶는다.
11. 겉면을 태운 미니 파프리카의 껍질을 벗긴다.
12. 미니 파프리카를 잘게 썬다.
13. 아스파라거스를 잘게 썰어 끓는 물에 살짝 데친다.
14. 팬에 삶은 면과 데친 아스파라거스, 볶은 나물들을 넣고 볶는다.
15. 잘게 썬 미니 파프리카를 파스타에 넣는다.
16. 파스타에 소금 간을 한다.
17. 파스타에 루꼴라를 넣어 섞는다.
18. 접시에 파스타를 담아낸다.")</f>
        <v>1. 물에 소금을 넣고 끓인다.
2. 토마토를 잘게 썬다.
3. 팬에 올리브 오일을 두른 뒤, 편으로 썬 마늘과 소금을 넣고 볶는다.
4. 3에 잘게 썬 새우살을 넣고 볶는다.
5. 미니 파프리카의 겉면을 태운다.
6. 소금을 넣고 끓인 물에 파스타면을 삶는다.
7. 볶던 재료에 화이트 와인을 넣는다.
8. 7에 면수와 잘게 썬 토마토를 넣어 볶는다.
9. 올리브 오일을 두른 팬에 다진 마늘, 삶은 고구마 줄기를 넣고 볶는다.
10. 9에 소금, 아욱을 넣고 함께 볶는다.
11. 겉면을 태운 미니 파프리카의 껍질을 벗긴다.
12. 미니 파프리카를 잘게 썬다.
13. 아스파라거스를 잘게 썰어 끓는 물에 살짝 데친다.
14. 팬에 삶은 면과 데친 아스파라거스, 볶은 나물들을 넣고 볶는다.
15. 잘게 썬 미니 파프리카를 파스타에 넣는다.
16. 파스타에 소금 간을 한다.
17. 파스타에 루꼴라를 넣어 섞는다.
18. 접시에 파스타를 담아낸다.</v>
      </c>
    </row>
    <row r="184">
      <c r="A184" s="2" t="str">
        <f>recipe!C184
</f>
        <v>스윗 펌킨</v>
      </c>
      <c r="B184" s="2" t="str">
        <f>IFERROR(__xludf.DUMMYFUNCTION("TRIM(
  REGEXEXTRACT(
    raw!A184,
    ""(?s)●\s*조리 방법(.*)""
  )
)
"),"1. 껍질을 벗긴 단호박을 강판을 이용해 채 썬다.
2. 채 썬 단호박에 올리브 오일을 넣고 볶는다.
3. 다진 호두, 코코넛 오일, 버터, 채 썬 사과, 건포도를 넣고 함께 볶는다.
4. 3에 설탕을 넣어 볶는다.
5. 따뜻한 물에 라이스페이퍼를 담가 부드럽게 만든다.
6. 라이스페이퍼에 볶은 재료를 얹고 모양을 잡아 단호박쌈을 만든다.
7. 단호박쌈 위에 설탕을 뿌린 뒤, 오븐에 넣어 굽는다.
8. 핸드 블렌더에 전분과 설탕을 넣고 갈아"&amp;" 슈거파우더를 만든다.
9. 단호박쌈 위에 슈거파우더를 뿌린다.
10. 각종 베리를 얹어 완성한다.")</f>
        <v>1. 껍질을 벗긴 단호박을 강판을 이용해 채 썬다.
2. 채 썬 단호박에 올리브 오일을 넣고 볶는다.
3. 다진 호두, 코코넛 오일, 버터, 채 썬 사과, 건포도를 넣고 함께 볶는다.
4. 3에 설탕을 넣어 볶는다.
5. 따뜻한 물에 라이스페이퍼를 담가 부드럽게 만든다.
6. 라이스페이퍼에 볶은 재료를 얹고 모양을 잡아 단호박쌈을 만든다.
7. 단호박쌈 위에 설탕을 뿌린 뒤, 오븐에 넣어 굽는다.
8. 핸드 블렌더에 전분과 설탕을 넣고 갈아 슈거파우더를 만든다.
9. 단호박쌈 위에 슈거파우더를 뿌린다.
10. 각종 베리를 얹어 완성한다.</v>
      </c>
    </row>
    <row r="185">
      <c r="A185" s="2" t="str">
        <f>recipe!C185
</f>
        <v>해물 달라고 졸라</v>
      </c>
      <c r="B185" s="2" t="str">
        <f>IFERROR(__xludf.DUMMYFUNCTION("TRIM(
  REGEXEXTRACT(
    raw!A185,
    ""(?s)●\s*조리 방법(.*)""
  )
)
"),"1. 버터를 전자레인지에 넣어 녹인다.
2. 새우의 머리와 껍질을 제거한다.
3. 녹인 버터의 표면에 떠오른 거품과 불순물을 걷어낸다.
4. 정제 버터(맑은 액체 부분)를 팬에 두른 뒤 다진 마늘, 새우 머리를 넣고 볶는다.
5. 새우의 향이 버터에 배면 새우 머리를 꺼낸다.
6. 팬에 가지, 양송이버섯, 새우살, 고르곤졸라 치즈를 넣고 볶는다.
7. 해물모듬을 넣고 볶는다.
8. 화이트 와인, 으깬 마늘, 소금을 넣고 볶는다.
9. 사과"&amp;"는 채 썰고, 토르티야는 적당한 크기로 썬다.
10. 접시에 토르티야와 채 썬 사과를 담고, 볶은 해물은 따로 담아낸다.
11. 볶은 해물에 후추를 뿌려 완성한다.")</f>
        <v>1. 버터를 전자레인지에 넣어 녹인다.
2. 새우의 머리와 껍질을 제거한다.
3. 녹인 버터의 표면에 떠오른 거품과 불순물을 걷어낸다.
4. 정제 버터(맑은 액체 부분)를 팬에 두른 뒤 다진 마늘, 새우 머리를 넣고 볶는다.
5. 새우의 향이 버터에 배면 새우 머리를 꺼낸다.
6. 팬에 가지, 양송이버섯, 새우살, 고르곤졸라 치즈를 넣고 볶는다.
7. 해물모듬을 넣고 볶는다.
8. 화이트 와인, 으깬 마늘, 소금을 넣고 볶는다.
9. 사과는 채 썰고, 토르티야는 적당한 크기로 썬다.
10. 접시에 토르티야와 채 썬 사과를 담고, 볶은 해물은 따로 담아낸다.
11. 볶은 해물에 후추를 뿌려 완성한다.</v>
      </c>
    </row>
    <row r="186">
      <c r="A186" s="2" t="str">
        <f>recipe!C186
</f>
        <v>낭만 시래기</v>
      </c>
      <c r="B186" s="2" t="str">
        <f>IFERROR(__xludf.DUMMYFUNCTION("TRIM(
  REGEXEXTRACT(
    raw!A186,
    ""(?s)●\s*조리 방법(.*)""
  )
)
"),"1. 전복 내장에 맛술과 청주를 넣고 데친다.
2. 믹서에 데친 전복 내장, 간장, 식초를 넣고 갈아준다.
3. 으깬 마늘, 채 썬 파, 다진 생강, 고춧가루, 식용유를 섞는다.
4. 3을 전자레인지에 넣고 돌려 고추기름을 만든다.
5. 시래기, 양파, 고추를 잘게 썬다.
6. 5에 다진 마늘을 섞은 뒤, 팬에 넣고 볶는다.
7. 가늘게 채 썬 파와 간장을 넣고 함께 볶는다.
8. 믹서에 간 전복내장소스를 체에 밭쳐 거른다.
9. 볶던 시"&amp;"래기에 간장과 소금을 넣는다.
10. 전복내장소스에 고추기름, 참기름을 넣고 섞는다.
11. 밥 위에 볶은 시래기를 올리고 참깨를 뿌린다
12. 시래기 덮밥과 전복내장소스를 함께 낸다.")</f>
        <v>1. 전복 내장에 맛술과 청주를 넣고 데친다.
2. 믹서에 데친 전복 내장, 간장, 식초를 넣고 갈아준다.
3. 으깬 마늘, 채 썬 파, 다진 생강, 고춧가루, 식용유를 섞는다.
4. 3을 전자레인지에 넣고 돌려 고추기름을 만든다.
5. 시래기, 양파, 고추를 잘게 썬다.
6. 5에 다진 마늘을 섞은 뒤, 팬에 넣고 볶는다.
7. 가늘게 채 썬 파와 간장을 넣고 함께 볶는다.
8. 믹서에 간 전복내장소스를 체에 밭쳐 거른다.
9. 볶던 시래기에 간장과 소금을 넣는다.
10. 전복내장소스에 고추기름, 참기름을 넣고 섞는다.
11. 밥 위에 볶은 시래기를 올리고 참깨를 뿌린다
12. 시래기 덮밥과 전복내장소스를 함께 낸다.</v>
      </c>
    </row>
    <row r="187">
      <c r="A187" s="2" t="str">
        <f>recipe!C187
</f>
        <v>낙엽 두부</v>
      </c>
      <c r="B187" s="2" t="str">
        <f>IFERROR(__xludf.DUMMYFUNCTION("TRIM(
  REGEXEXTRACT(
    raw!A187,
    ""(?s)●\s*조리 방법(.*)""
  )
)
"),"1. 우유를 끓인다.
2. 찐 고구마의 껍질을 벗기고 으깬 뒤, 우유에 넣는다.
3. 2에 크림치즈를 넣고 함께 끓인다.
4. 끓이던 재료에 소금, 후추, 올리브 오일을 넣은 뒤 믹서에 넣고 간다.
5. 기름을 두른 팬에 길게 썬 두부를 굽는다.
6. 5에 잘게 썬 파와 양파를 넣는다.
7. 팬에 물을 붓고 간장, 고춧가루를 넣는다.
8. 7에 올리고당, 참기름, 다진 마늘을 넣고 조린다.
9. 기름을 두른 팬에 잘게 썬 양파와 파를 넣고"&amp;" 볶는다.
10. 잘게 썬 채끝 등심을 팬에 넣고 함께 볶는다.
11. 잘게 썬 고추를 넣고 후추로 간을 한다.
12. 두부를 조리던 팬에 달걀노른자를 넣어 반숙으로 익힌다.
13. 조린 두부와 볶은 채끝등심을 번갈아 가며 쌓는다.
14. 13의 위에 반숙으로 익힌 달걀노른자를 얹는다.
15. 접시에 고구마크림소스를 바르고 층층이 쌓은 두부와 채끝등심을 얹는다.
16. 두부조림소스를 뿌려 마무리한다.")</f>
        <v>1. 우유를 끓인다.
2. 찐 고구마의 껍질을 벗기고 으깬 뒤, 우유에 넣는다.
3. 2에 크림치즈를 넣고 함께 끓인다.
4. 끓이던 재료에 소금, 후추, 올리브 오일을 넣은 뒤 믹서에 넣고 간다.
5. 기름을 두른 팬에 길게 썬 두부를 굽는다.
6. 5에 잘게 썬 파와 양파를 넣는다.
7. 팬에 물을 붓고 간장, 고춧가루를 넣는다.
8. 7에 올리고당, 참기름, 다진 마늘을 넣고 조린다.
9. 기름을 두른 팬에 잘게 썬 양파와 파를 넣고 볶는다.
10. 잘게 썬 채끝 등심을 팬에 넣고 함께 볶는다.
11. 잘게 썬 고추를 넣고 후추로 간을 한다.
12. 두부를 조리던 팬에 달걀노른자를 넣어 반숙으로 익힌다.
13. 조린 두부와 볶은 채끝등심을 번갈아 가며 쌓는다.
14. 13의 위에 반숙으로 익힌 달걀노른자를 얹는다.
15. 접시에 고구마크림소스를 바르고 층층이 쌓은 두부와 채끝등심을 얹는다.
16. 두부조림소스를 뿌려 마무리한다.</v>
      </c>
    </row>
    <row r="188">
      <c r="A188" s="2" t="str">
        <f>recipe!C188
</f>
        <v>쑥테이크</v>
      </c>
      <c r="B188" s="2" t="str">
        <f>IFERROR(__xludf.DUMMYFUNCTION("TRIM(
  REGEXEXTRACT(
    raw!A188,
    ""(?s)●\s*조리 방법(.*)""
  )
)
"),"1. 볶은 땅콩가루와 크림치즈를 섞는다.
2. 쑥, 잣, 파르메산 치즈, 마늘, 고추, 올리브 오일, 소금, 후추를 함께 갈아 쑥페스토를 만든다.
3. 물에 불린 표고버섯의 기둥을 떼고, 안쪽 부분에 땅콩크림치즈를 넣어 채운다.
4. 땅콩크림치즈 위에 쑥페스토를 바른다.
5. 기름을 두른 팬에 속을 채운 표고버섯을 굽는다.
6. 다른 팬에 기름을 두르고 으깬 마늘, 고춧가루를 넣는다.
7. 6에 소금, 후추 간을 한 채끝등심을 넣고 버터를 끼"&amp;"얹어가며 굽는다.
8. 구운 표고버섯에 파르메산 치즈를 뿌린 뒤, 토치를 이용해 표면을 굽는다.
9. 그릇에 구운 채끝등심과 표고버섯을 담는다.
10. 쑥페스토에 설탕, 파르메산 치즈를 넣고 섞는다.
11. 쑥페스토 소스를 곁들인다.")</f>
        <v>1. 볶은 땅콩가루와 크림치즈를 섞는다.
2. 쑥, 잣, 파르메산 치즈, 마늘, 고추, 올리브 오일, 소금, 후추를 함께 갈아 쑥페스토를 만든다.
3. 물에 불린 표고버섯의 기둥을 떼고, 안쪽 부분에 땅콩크림치즈를 넣어 채운다.
4. 땅콩크림치즈 위에 쑥페스토를 바른다.
5. 기름을 두른 팬에 속을 채운 표고버섯을 굽는다.
6. 다른 팬에 기름을 두르고 으깬 마늘, 고춧가루를 넣는다.
7. 6에 소금, 후추 간을 한 채끝등심을 넣고 버터를 끼얹어가며 굽는다.
8. 구운 표고버섯에 파르메산 치즈를 뿌린 뒤, 토치를 이용해 표면을 굽는다.
9. 그릇에 구운 채끝등심과 표고버섯을 담는다.
10. 쑥페스토에 설탕, 파르메산 치즈를 넣고 섞는다.
11. 쑥페스토 소스를 곁들인다.</v>
      </c>
    </row>
    <row r="189">
      <c r="A189" s="2" t="str">
        <f>recipe!C189
</f>
        <v>최면육회</v>
      </c>
      <c r="B189" s="2" t="str">
        <f>IFERROR(__xludf.DUMMYFUNCTION("TRIM(
  REGEXEXTRACT(
    raw!A189,
    ""(?s)●\s*조리 방법(.*)""
  )
)
"),"1. 채끝등심을 고기망치로 두드려 얇게 편다.
2. 명란젓을 물에 씻은 뒤 속만 발라낸다.
3. 명란젓과 크림치즈를 섞은 뒤 후추를 뿌린다.
4. 얇게 편 채끝등심을 원형틀을 이용해 동그랗게 찍어낸다.
5. 동그란 채끝등심 위에 명란크림치즈를 올린 뒤 반으로 접어 붙인다.
6. 끓는 물에 소금을 넣고 소면을 삶는다.
7. 땅콩소스, 올리브 오일, 간장을 섞어 소스를 만든다.
8. 삶은 소면을 찬물에 헹군다.
9. 사과를 잘게 채 썬다.
"&amp;"10. 물기를 제거한 소면에 올리브 오일, 후추, 만들어 둔 소스를 넣고 섞는다.
11. 접시에 양념한 면과 채 썬 사과, 명란크림치즈가 들어간 채끝등심을 올린다.")</f>
        <v>1. 채끝등심을 고기망치로 두드려 얇게 편다.
2. 명란젓을 물에 씻은 뒤 속만 발라낸다.
3. 명란젓과 크림치즈를 섞은 뒤 후추를 뿌린다.
4. 얇게 편 채끝등심을 원형틀을 이용해 동그랗게 찍어낸다.
5. 동그란 채끝등심 위에 명란크림치즈를 올린 뒤 반으로 접어 붙인다.
6. 끓는 물에 소금을 넣고 소면을 삶는다.
7. 땅콩소스, 올리브 오일, 간장을 섞어 소스를 만든다.
8. 삶은 소면을 찬물에 헹군다.
9. 사과를 잘게 채 썬다.
10. 물기를 제거한 소면에 올리브 오일, 후추, 만들어 둔 소스를 넣고 섞는다.
11. 접시에 양념한 면과 채 썬 사과, 명란크림치즈가 들어간 채끝등심을 올린다.</v>
      </c>
    </row>
    <row r="190">
      <c r="A190" s="2" t="str">
        <f>recipe!C190
</f>
        <v>터치 마이 주꾸미</v>
      </c>
      <c r="B190" s="2" t="str">
        <f>IFERROR(__xludf.DUMMYFUNCTION("TRIM(
  REGEXEXTRACT(
    raw!A190,
    ""(?s)●\s*조리 방법(.*)""
  )
)
"),"1. 주꾸미에 소금을 뿌리고 문질러 깨끗하게 씻는다.
2. 유자청에 레몬즙을 짜 넣는다.
3. 즙을 짜고 난 레몬을 끓는 물에 넣는다.
4. 레몬을 넣고 끓인 물에 주꾸미를 데친다.
5. 데친 주꾸미를 얼음에 넣고 식힌다.
6. 완두콩 통조림을 체에 밭쳐 물기를 빼고 냄비에 넣어 우유와 함께 끓인다.
7. 시금치 무침을 물에 헹궈 6에 넣고 함께 끓인다.
8. 끓인 우유와 완두콩, 시금치를 핸드블렌더에 넣고 갈아 퓌레를 만든다.
9. 퓌레"&amp;"를 체에 밭쳐 내린다.
10. 레몬즙을 넣은 유자청을 핸드블렌더로 간다.
11. 양파장아찌를 잘게 다진다.
12. 핸드블렌더로 간 유자청에 올리브 오일, 소금, 다진 양파장아찌를 넣어 드레싱을 만든다.
13. 차게 식힌 주꾸미를 적당한 크기로 썰어 꿀, 후추와 함께 버무린다.
14. 접시에 그린 퓌레를 얇게 깐다.
15. 그린 퓌레 위에 주꾸미를 올린다.
16. 주꾸미 위에 드레싱을 뿌리고 레몬껍질을 갈아 올려 완성한다.")</f>
        <v>1. 주꾸미에 소금을 뿌리고 문질러 깨끗하게 씻는다.
2. 유자청에 레몬즙을 짜 넣는다.
3. 즙을 짜고 난 레몬을 끓는 물에 넣는다.
4. 레몬을 넣고 끓인 물에 주꾸미를 데친다.
5. 데친 주꾸미를 얼음에 넣고 식힌다.
6. 완두콩 통조림을 체에 밭쳐 물기를 빼고 냄비에 넣어 우유와 함께 끓인다.
7. 시금치 무침을 물에 헹궈 6에 넣고 함께 끓인다.
8. 끓인 우유와 완두콩, 시금치를 핸드블렌더에 넣고 갈아 퓌레를 만든다.
9. 퓌레를 체에 밭쳐 내린다.
10. 레몬즙을 넣은 유자청을 핸드블렌더로 간다.
11. 양파장아찌를 잘게 다진다.
12. 핸드블렌더로 간 유자청에 올리브 오일, 소금, 다진 양파장아찌를 넣어 드레싱을 만든다.
13. 차게 식힌 주꾸미를 적당한 크기로 썰어 꿀, 후추와 함께 버무린다.
14. 접시에 그린 퓌레를 얇게 깐다.
15. 그린 퓌레 위에 주꾸미를 올린다.
16. 주꾸미 위에 드레싱을 뿌리고 레몬껍질을 갈아 올려 완성한다.</v>
      </c>
    </row>
    <row r="191">
      <c r="A191" s="2" t="str">
        <f>recipe!C191
</f>
        <v>리소토 먹어보라</v>
      </c>
      <c r="B191" s="2" t="str">
        <f>IFERROR(__xludf.DUMMYFUNCTION("TRIM(
  REGEXEXTRACT(
    raw!A191,
    ""(?s)●\s*조리 방법(.*)""
  )
)
"),"1. 당근, 양파, 대파를 썰어 넣고 채소육수를 만든다.
2. 채소육수에 단호박과 손질한 단호박 껍질을 넣고 끓인다.
3. 팬에 블루베리즙과 설탕을 넣고 졸여 소스를 만든다.
4. 기름을 두른 팬에 다진 양파와 잘게 썬 단호박을 넣고 볶는다.
5. 팬에 채소육수를 부어 끓인다.
6. 채소육수를 불에서 내리고 불린 강낭콩을 데친다.
7. 파, 마늘을 다지고 살치살을 잘게 썬다.
8. 올리브 오일을 두른 팬에 파와 마늘을 볶는다.
9. 파, "&amp;"마늘을 볶은 팬에 잘게 썬 살치살, 데친 강낭콩, 소금, 후추를 넣고 볶는다.
10. 채소육수를 부어 끓인 양파와 단호박을 핸드블렌더로 갈아 단호박 육수를 만든다.
11. 볶은 살치살과 강낭콩에 블루베리 소스를 넣고 섞는다.
12. 기름을 두른 팬에 으깬 마늘, 잘게 썬 살치살, 즉석밥을 넣고 볶는다.
13. 채소육수에 넣고 삶은 단호박을 잘게 썰어 12에 넣고 단호박 육수를 붓고 끓여 리소토를 만든다.
14. 리소토에 소금간을 하고 파르메산 "&amp;"치즈를 넣는다.
15. 리소토에 버터를 넣는다.
16. 파르메산 치즈를 넣어 농도를 조절한다.
17. 체다&amp;모차렐라 치즈를 넣는다.
18. 그릇에 리소토를 담는다.
19. 리소토 위에 블루베리 소스를 넣은 살치살과 강낭콩을 올려 완성한다.")</f>
        <v>1. 당근, 양파, 대파를 썰어 넣고 채소육수를 만든다.
2. 채소육수에 단호박과 손질한 단호박 껍질을 넣고 끓인다.
3. 팬에 블루베리즙과 설탕을 넣고 졸여 소스를 만든다.
4. 기름을 두른 팬에 다진 양파와 잘게 썬 단호박을 넣고 볶는다.
5. 팬에 채소육수를 부어 끓인다.
6. 채소육수를 불에서 내리고 불린 강낭콩을 데친다.
7. 파, 마늘을 다지고 살치살을 잘게 썬다.
8. 올리브 오일을 두른 팬에 파와 마늘을 볶는다.
9. 파, 마늘을 볶은 팬에 잘게 썬 살치살, 데친 강낭콩, 소금, 후추를 넣고 볶는다.
10. 채소육수를 부어 끓인 양파와 단호박을 핸드블렌더로 갈아 단호박 육수를 만든다.
11. 볶은 살치살과 강낭콩에 블루베리 소스를 넣고 섞는다.
12. 기름을 두른 팬에 으깬 마늘, 잘게 썬 살치살, 즉석밥을 넣고 볶는다.
13. 채소육수에 넣고 삶은 단호박을 잘게 썰어 12에 넣고 단호박 육수를 붓고 끓여 리소토를 만든다.
14. 리소토에 소금간을 하고 파르메산 치즈를 넣는다.
15. 리소토에 버터를 넣는다.
16. 파르메산 치즈를 넣어 농도를 조절한다.
17. 체다&amp;모차렐라 치즈를 넣는다.
18. 그릇에 리소토를 담는다.
19. 리소토 위에 블루베리 소스를 넣은 살치살과 강낭콩을 올려 완성한다.</v>
      </c>
    </row>
    <row r="192">
      <c r="A192" s="2" t="str">
        <f>recipe!C192
</f>
        <v>기세등등갈비</v>
      </c>
      <c r="B192" s="2" t="str">
        <f>IFERROR(__xludf.DUMMYFUNCTION("TRIM(
  REGEXEXTRACT(
    raw!A192,
    ""(?s)●\s*조리 방법(.*)""
  )
)
"),"1. 등갈비에 간장, 설탕, 청주, 후추를 넣고 양념한다.
2. 대파는 적당한 크기로 썰고, 마늘은 으깨어 양념한 등갈비와 섞는다.
3. 불린 찹쌀을 체에 밭쳐 물기를 빼고 핸드블렌더로 간다.
4. 핸드블렌더로 간 찹쌀에 소금간을 한다.
5. 4에 고춧가루를 넣고 섞는다.
6. 간을 한 찹쌀에 양념한 등갈비를 넣고 버무린다.
7. 찜기에 찹쌀을 입힌 등갈비를 넣고 찐다.
8. 양파, 오이를 채 썰고 마늘은 다져서 섞는다.
9. 섞은 채소에"&amp;" 물, 식초, 간장, 설탕을 2:2:1:1의 비율로 섞어 소스를 만든다.
10. 소스에 레몬즙과 참기름을 더한다.
11. 10에 후추와 소금을 넣는다.
12. 양념한 채소와 등갈비를 각각 담아낸다.")</f>
        <v>1. 등갈비에 간장, 설탕, 청주, 후추를 넣고 양념한다.
2. 대파는 적당한 크기로 썰고, 마늘은 으깨어 양념한 등갈비와 섞는다.
3. 불린 찹쌀을 체에 밭쳐 물기를 빼고 핸드블렌더로 간다.
4. 핸드블렌더로 간 찹쌀에 소금간을 한다.
5. 4에 고춧가루를 넣고 섞는다.
6. 간을 한 찹쌀에 양념한 등갈비를 넣고 버무린다.
7. 찜기에 찹쌀을 입힌 등갈비를 넣고 찐다.
8. 양파, 오이를 채 썰고 마늘은 다져서 섞는다.
9. 섞은 채소에 물, 식초, 간장, 설탕을 2:2:1:1의 비율로 섞어 소스를 만든다.
10. 소스에 레몬즙과 참기름을 더한다.
11. 10에 후추와 소금을 넣는다.
12. 양념한 채소와 등갈비를 각각 담아낸다.</v>
      </c>
    </row>
    <row r="193">
      <c r="A193" s="2" t="str">
        <f>recipe!C193
</f>
        <v>등갈빈</v>
      </c>
      <c r="B193" s="2" t="str">
        <f>IFERROR(__xludf.DUMMYFUNCTION("TRIM(
  REGEXEXTRACT(
    raw!A193,
    ""(?s)●\s*조리 방법(.*)""
  )
)
"),"1. 등갈비에서 살을 반 정도 분리해 손질한다.
2. 떼어낸 등갈비살에 이쑤시개를 꽂아 고정한다.
3. 등갈비에 올리브 오일, 후추, 간장, 소금으로 양념한다.
4. 양념한 등갈비를 그릴팬에 굽는다.
5. 김밥용 햄과 고추, 마늘을 팬에 넣고 함께 굽는다.
6. 강낭콩 통조림을 체에 밭쳐 물기를 뺀다.
7. 물기를 뺀 강낭콩 통조림에 옥수수 통조림을 넣는다.
8. 7에 양파, 부추, 오이장아찌를 다져 넣어 샐러드를 만든다.
9. 샐러드에 "&amp;"등갈비 양념, 케첩, 소금, 후추를 넣어 양념한다.
10. 양념한 샐러드에 구운 고추와 김밥용 햄을 잘게 잘라 넣고 섞는다.
11. 원형틀을 이용해 접시에 샐러드를 담는다.
12. 버터를 전자레인지에 넣고 녹인다.
13. 녹인 버터, 올리브 오일, 레몬즙을 섞어 소스를 만든다.
14. 14에에 핫소스를 넣는다.
15. 접시에 등갈비를 담고 다진 부추와 소스를 곁들인다.")</f>
        <v>1. 등갈비에서 살을 반 정도 분리해 손질한다.
2. 떼어낸 등갈비살에 이쑤시개를 꽂아 고정한다.
3. 등갈비에 올리브 오일, 후추, 간장, 소금으로 양념한다.
4. 양념한 등갈비를 그릴팬에 굽는다.
5. 김밥용 햄과 고추, 마늘을 팬에 넣고 함께 굽는다.
6. 강낭콩 통조림을 체에 밭쳐 물기를 뺀다.
7. 물기를 뺀 강낭콩 통조림에 옥수수 통조림을 넣는다.
8. 7에 양파, 부추, 오이장아찌를 다져 넣어 샐러드를 만든다.
9. 샐러드에 등갈비 양념, 케첩, 소금, 후추를 넣어 양념한다.
10. 양념한 샐러드에 구운 고추와 김밥용 햄을 잘게 잘라 넣고 섞는다.
11. 원형틀을 이용해 접시에 샐러드를 담는다.
12. 버터를 전자레인지에 넣고 녹인다.
13. 녹인 버터, 올리브 오일, 레몬즙을 섞어 소스를 만든다.
14. 14에에 핫소스를 넣는다.
15. 접시에 등갈비를 담고 다진 부추와 소스를 곁들인다.</v>
      </c>
    </row>
    <row r="194">
      <c r="A194" s="2" t="str">
        <f>recipe!C194
</f>
        <v>짱짱면</v>
      </c>
      <c r="B194" s="2" t="str">
        <f>IFERROR(__xludf.DUMMYFUNCTION("TRIM(
  REGEXEXTRACT(
    raw!A194,
    ""(?s)●\s*조리 방법(.*)""
  )
)
"),"1. 대파, 양파를 잘게 썬다.
2. 냉이를 잘게 썬다.
3. 삼겹살을 잘게 썬다.
4. 창난젓을 잘게 썬다.
5. 기름을 두른 팬에 대파, 다진 마늘, 간장을 넣고 볶는다.
6. 5에 된장과 꿀을 넣고 함께 볶는다.
7. 끓는 물에 탄탄면 면을 넣고 삶는다.
8. 기름을 두른 팬에 잘게 썬 삼겹살, 다진 마늘을 넣고 볶는다.
9. 8에 소주를 넣어 볶는다.
10. 삼겹살을 볶던 팬에 다진 양파, 대파, 창난젓을 넣어 함께 볶는다.
1"&amp;"1. 10에 볶아둔 된장을 넣고 섞는다.
12. 잘게 썬 냉이를 넣고 함께 볶는다.
13. 전분물을 넣어 농도를 조절한다.
14. 찬물에 헹군 면을 그릇에 담는다.
15. 면 위에 유니된장짜장 소스를 붓는다.
16. 깨를 뿌려 완성한다.")</f>
        <v>1. 대파, 양파를 잘게 썬다.
2. 냉이를 잘게 썬다.
3. 삼겹살을 잘게 썬다.
4. 창난젓을 잘게 썬다.
5. 기름을 두른 팬에 대파, 다진 마늘, 간장을 넣고 볶는다.
6. 5에 된장과 꿀을 넣고 함께 볶는다.
7. 끓는 물에 탄탄면 면을 넣고 삶는다.
8. 기름을 두른 팬에 잘게 썬 삼겹살, 다진 마늘을 넣고 볶는다.
9. 8에 소주를 넣어 볶는다.
10. 삼겹살을 볶던 팬에 다진 양파, 대파, 창난젓을 넣어 함께 볶는다.
11. 10에 볶아둔 된장을 넣고 섞는다.
12. 잘게 썬 냉이를 넣고 함께 볶는다.
13. 전분물을 넣어 농도를 조절한다.
14. 찬물에 헹군 면을 그릇에 담는다.
15. 면 위에 유니된장짜장 소스를 붓는다.
16. 깨를 뿌려 완성한다.</v>
      </c>
    </row>
    <row r="195">
      <c r="A195" s="2" t="str">
        <f>recipe!C195
</f>
        <v>리소토 위~아래 곱창</v>
      </c>
      <c r="B195" s="2" t="str">
        <f>IFERROR(__xludf.DUMMYFUNCTION("TRIM(
  REGEXEXTRACT(
    raw!A195,
    ""(?s)●\s*조리 방법(.*)""
  )
)
"),"1. 삼겹살에 소금 간을 해서 굽는다.
2. 기름을 두른 팬에 양파, 대파를 잘게 썰어 넣고 볶는다.
3. 양념곱창을 물에 헹군 뒤 잘게 썬다.
4. 양파와 대파를 볶던 팬에 잘게 썬 곱창을 넣고 함께 볶는다.
5. 4에 다진 마늘을 넣는다.
6. 볶던 재료에 사골육수를 넣고 끓인다.
7. 6에 데우지 않은 즉석밥을 넣고 함께 끓인다.
8. 소금, 후추로 간을 한다.
9. 삼겹살에 후추를 뿌린 뒤 다진 마늘, 레몬청, 버터를 넣어 굽는다."&amp;"
10. 버터를 두른 팬에 달걀물을 부어 스크램블 에그를 만든다.
11. 리소토에 잘게 썬 대파를 넣는다.
12. 리소토에 참기름을 넣는다.
13. 원형틀을 이용해 접시에 리소토를 담는다.
14. 리소토 위에 스크램블 에그를 올린다.
15. 스크램블 에그 위에 구운 삼겹살을 올린다.
16. 잘게 썬 대파를 올려 완성한다.")</f>
        <v>1. 삼겹살에 소금 간을 해서 굽는다.
2. 기름을 두른 팬에 양파, 대파를 잘게 썰어 넣고 볶는다.
3. 양념곱창을 물에 헹군 뒤 잘게 썬다.
4. 양파와 대파를 볶던 팬에 잘게 썬 곱창을 넣고 함께 볶는다.
5. 4에 다진 마늘을 넣는다.
6. 볶던 재료에 사골육수를 넣고 끓인다.
7. 6에 데우지 않은 즉석밥을 넣고 함께 끓인다.
8. 소금, 후추로 간을 한다.
9. 삼겹살에 후추를 뿌린 뒤 다진 마늘, 레몬청, 버터를 넣어 굽는다.
10. 버터를 두른 팬에 달걀물을 부어 스크램블 에그를 만든다.
11. 리소토에 잘게 썬 대파를 넣는다.
12. 리소토에 참기름을 넣는다.
13. 원형틀을 이용해 접시에 리소토를 담는다.
14. 리소토 위에 스크램블 에그를 올린다.
15. 스크램블 에그 위에 구운 삼겹살을 올린다.
16. 잘게 썬 대파를 올려 완성한다.</v>
      </c>
    </row>
    <row r="196">
      <c r="A196" s="2" t="str">
        <f>recipe!C196
</f>
        <v>풍기명란 토스트</v>
      </c>
      <c r="B196" s="2" t="str">
        <f>IFERROR(__xludf.DUMMYFUNCTION("TRIM(
  REGEXEXTRACT(
    raw!A196,
    ""(?s)●\s*조리 방법(.*)""
  )
)
"),"1. 칼등을 이용해 명란젓의 속만 발라낸다.
2. 팬에 명란젓과 달걀노른자를 넣는다.
3. 2에 밀가루와 우유를 넣고, 뭉치지 않게 저어주며 끓여 명란 커스터드를 만든다.
4. 명란 커스터드에 잘게 다진 양파, 청양고추를 넣고 섞는다.
5. 편으로 썬 마늘을 기름에 튀긴다.
6. 튀긴 마늘을 건져 기름기를 뺀다.
7. 명란 커스터드에 소금으로 간을 한다.
8. 식빵을 토스트기에 넣고 굽는다.
9. 명란 커스터드에 마요네즈를 섞는다.
10"&amp;". 식빵에 명란마요 커스터드, 튀긴 마늘을 올린다.")</f>
        <v>1. 칼등을 이용해 명란젓의 속만 발라낸다.
2. 팬에 명란젓과 달걀노른자를 넣는다.
3. 2에 밀가루와 우유를 넣고, 뭉치지 않게 저어주며 끓여 명란 커스터드를 만든다.
4. 명란 커스터드에 잘게 다진 양파, 청양고추를 넣고 섞는다.
5. 편으로 썬 마늘을 기름에 튀긴다.
6. 튀긴 마늘을 건져 기름기를 뺀다.
7. 명란 커스터드에 소금으로 간을 한다.
8. 식빵을 토스트기에 넣고 굽는다.
9. 명란 커스터드에 마요네즈를 섞는다.
10. 식빵에 명란마요 커스터드, 튀긴 마늘을 올린다.</v>
      </c>
    </row>
    <row r="197">
      <c r="A197" s="2" t="str">
        <f>recipe!C197
</f>
        <v>창난하니?</v>
      </c>
      <c r="B197" s="2" t="str">
        <f>IFERROR(__xludf.DUMMYFUNCTION("TRIM(
  REGEXEXTRACT(
    raw!A197,
    ""(?s)●\s*조리 방법(.*)""
  )
)
"),"1. 삼겹살을 손질한 뒤, 얇게 썬다.
2. 얇게 썬 삼겹살에 소금, 후추 간을 해서 굽는다.
3. 대파를 적당한 크기로 썰어 삼겹살과 함께 굽는다.
4. 창난젓을 물에 살짝 헹군다.
5. 물에 헹군 창난젓을 삼겹살과 함께 볶는다.
6. 5에 다진 마늘, 청주를 넣는다.
7. 볶은 재료들에 물, 간장을 넣고 끓인다.
8. 대파의 흰 부분을 가늘게 채 썰어 물에 담가둔다.
9. 소금을 넣고 끓인 물에 탄탄면 면을 넣고 삶는다.
10. 삶은"&amp;" 면을 얼음물에 넣고 헹군다.
11. 국물에 참기름을 넣는다.
12. 그릇에 면을 담고 국물을 부은 뒤, 채 썬 대파를 올려 완성한다.")</f>
        <v>1. 삼겹살을 손질한 뒤, 얇게 썬다.
2. 얇게 썬 삼겹살에 소금, 후추 간을 해서 굽는다.
3. 대파를 적당한 크기로 썰어 삼겹살과 함께 굽는다.
4. 창난젓을 물에 살짝 헹군다.
5. 물에 헹군 창난젓을 삼겹살과 함께 볶는다.
6. 5에 다진 마늘, 청주를 넣는다.
7. 볶은 재료들에 물, 간장을 넣고 끓인다.
8. 대파의 흰 부분을 가늘게 채 썰어 물에 담가둔다.
9. 소금을 넣고 끓인 물에 탄탄면 면을 넣고 삶는다.
10. 삶은 면을 얼음물에 넣고 헹군다.
11. 국물에 참기름을 넣는다.
12. 그릇에 면을 담고 국물을 부은 뒤, 채 썬 대파를 올려 완성한다.</v>
      </c>
    </row>
    <row r="198">
      <c r="A198" s="2" t="str">
        <f>recipe!C198
</f>
        <v>입에 불레리나</v>
      </c>
      <c r="B198" s="2" t="str">
        <f>IFERROR(__xludf.DUMMYFUNCTION("TRIM(
  REGEXEXTRACT(
    raw!A198,
    ""(?s)●\s*조리 방법(.*)""
  )
)
"),"1. 물에 양파, 레몬, 대파를 넣고 끓여 채소육수를 만든다.
2. 1에 손질한 전복을 넣고 삶는다.
3. 채소육수 파우더를 넣는다.
4. 두부의 물기를 제거하고 으깬 뒤, 마른 팬에 넣고 볶는다.
5. 두부에 강황가루를 넣어 함께 볶는다.
6. 낙지와 새우를 잘게 썬다.
7. 기름을 두른 팬에 다진 마늘과 양파, 낙지, 새우를 넣고 볶는다.
8. 화이트 와인, 채소육수 파우더, 고춧가루를 넣는다.
9. 다진 청양고추, 핫소스를 넣는다.
"&amp;"
10. 와사비를 넣어 함께 볶는다.
11. 채소육수와 꿀, 간장, 강황가루를 넣고 볶는다.
12. 달걀물을 넣어 스크램블을 만든 뒤 섞어준다.
13. 접시에 삶은 전복과 볶은 두부를 올린다.
14. 두부 위에 볶은 재료들을 올려 완성한다.")</f>
        <v>1. 물에 양파, 레몬, 대파를 넣고 끓여 채소육수를 만든다.
2. 1에 손질한 전복을 넣고 삶는다.
3. 채소육수 파우더를 넣는다.
4. 두부의 물기를 제거하고 으깬 뒤, 마른 팬에 넣고 볶는다.
5. 두부에 강황가루를 넣어 함께 볶는다.
6. 낙지와 새우를 잘게 썬다.
7. 기름을 두른 팬에 다진 마늘과 양파, 낙지, 새우를 넣고 볶는다.
8. 화이트 와인, 채소육수 파우더, 고춧가루를 넣는다.
9. 다진 청양고추, 핫소스를 넣는다.
10. 와사비를 넣어 함께 볶는다.
11. 채소육수와 꿀, 간장, 강황가루를 넣고 볶는다.
12. 달걀물을 넣어 스크램블을 만든 뒤 섞어준다.
13. 접시에 삶은 전복과 볶은 두부를 올린다.
14. 두부 위에 볶은 재료들을 올려 완성한다.</v>
      </c>
    </row>
    <row r="199">
      <c r="A199" s="2" t="str">
        <f>recipe!C199
</f>
        <v>불새닭</v>
      </c>
      <c r="B199" s="2" t="str">
        <f>IFERROR(__xludf.DUMMYFUNCTION("TRIM(
  REGEXEXTRACT(
    raw!A199,
    ""(?s)●\s*조리 방법(.*)""
  )
)
"),"1. 기름을 두른 팬에 대파를 넣고 볶는다.
2. 닭가슴살은 포를 떠서 소금으로 밑간을 한다.
3. 대파와 닭가슴살을 함께 볶는다.
4. 3에 새우를 넣고 함께 볶는다.
5. 석쇠에 청양고추를 넣고 굽는다.
6. 양파를 잘게 다진다.
7. 구운 청양고추의 탄 부분을 살짝 벗겨내고 복숭아잼과 섞은 뒤 함께 갈아준다.
8. 7에 마요네즈, 간장, 설탕을 넣고 갈아 소스를 만든다.
9. 다진 양파와 소스를 섞는다.
10. 월남쌈용 채소를 적당"&amp;"한 크기로 썬다.
11. 새우는 잘게 썰고, 닭가슴살은 잘게 찢어 놓는다.
12. 새우와 닭가슴살을 채소와 섞은 뒤, 소스에 버무린다.
13. 올리브 오일을 두른 팬에 빵을 굽는다.
14. 구운 빵 위에 채 썬 양파, 소스에 버무린 재료들을 올린다.
15. 채 썬 깻잎과 청양고추를 올려 완성한다.")</f>
        <v>1. 기름을 두른 팬에 대파를 넣고 볶는다.
2. 닭가슴살은 포를 떠서 소금으로 밑간을 한다.
3. 대파와 닭가슴살을 함께 볶는다.
4. 3에 새우를 넣고 함께 볶는다.
5. 석쇠에 청양고추를 넣고 굽는다.
6. 양파를 잘게 다진다.
7. 구운 청양고추의 탄 부분을 살짝 벗겨내고 복숭아잼과 섞은 뒤 함께 갈아준다.
8. 7에 마요네즈, 간장, 설탕을 넣고 갈아 소스를 만든다.
9. 다진 양파와 소스를 섞는다.
10. 월남쌈용 채소를 적당한 크기로 썬다.
11. 새우는 잘게 썰고, 닭가슴살은 잘게 찢어 놓는다.
12. 새우와 닭가슴살을 채소와 섞은 뒤, 소스에 버무린다.
13. 올리브 오일을 두른 팬에 빵을 굽는다.
14. 구운 빵 위에 채 썬 양파, 소스에 버무린 재료들을 올린다.
15. 채 썬 깻잎과 청양고추를 올려 완성한다.</v>
      </c>
    </row>
    <row r="200">
      <c r="A200" s="2" t="str">
        <f>recipe!C200
</f>
        <v>유 캔 플라이롤</v>
      </c>
      <c r="B200" s="2" t="str">
        <f>IFERROR(__xludf.DUMMYFUNCTION("TRIM(
  REGEXEXTRACT(
    raw!A200,
    ""(?s)●\s*조리 방법(.*)""
  )
)
"),"1. 끓는 물에 소금을 넣고 펜네를 삶는다.
2. 연어를 얇게 썬다.
3. 바나나를 얇게 썰어 팬에 굽는다.
4. 아보카도는 껍질을 벗기고 잘게 썬다.
5. 김발에 비닐을 깔고 연어를 올린 뒤, 잘게 썬 아보카도를 올린다.
6. 케일과 오이를 잘게 썰어 연어 위에 올린다.
7. 구운 바나나를 올리고 후추를 뿌린 뒤, 돌돌 말아 연어롤을 만든다.
8. 연어롤을 냉동실에 넣어둔다.
9. 플레인 요거트, 블루베리잼, 딸기잼, 레몬즙을 섞어 소스"&amp;"를 만든다.
10. 요거트 소스를 체에 밭쳐 곱게 내린다.
11. 접시에 요거트 소스를 올린다.
12. 냉동실에 넣어뒀던 연어롤을 꺼내 먹기 좋은 크기로 썬다.
13. 삶은 펜네를 찬물에 식힌다.
14. 펜네를 얇게 썰어 연어롤 위에 올린다.")</f>
        <v>1. 끓는 물에 소금을 넣고 펜네를 삶는다.
2. 연어를 얇게 썬다.
3. 바나나를 얇게 썰어 팬에 굽는다.
4. 아보카도는 껍질을 벗기고 잘게 썬다.
5. 김발에 비닐을 깔고 연어를 올린 뒤, 잘게 썬 아보카도를 올린다.
6. 케일과 오이를 잘게 썰어 연어 위에 올린다.
7. 구운 바나나를 올리고 후추를 뿌린 뒤, 돌돌 말아 연어롤을 만든다.
8. 연어롤을 냉동실에 넣어둔다.
9. 플레인 요거트, 블루베리잼, 딸기잼, 레몬즙을 섞어 소스를 만든다.
10. 요거트 소스를 체에 밭쳐 곱게 내린다.
11. 접시에 요거트 소스를 올린다.
12. 냉동실에 넣어뒀던 연어롤을 꺼내 먹기 좋은 크기로 썬다.
13. 삶은 펜네를 찬물에 식힌다.
14. 펜네를 얇게 썰어 연어롤 위에 올린다.</v>
      </c>
    </row>
    <row r="201">
      <c r="A201" s="2" t="str">
        <f>recipe!C201
</f>
        <v>연어 타다익선</v>
      </c>
      <c r="B201" s="2" t="str">
        <f>IFERROR(__xludf.DUMMYFUNCTION("TRIM(
  REGEXEXTRACT(
    raw!A201,
    ""(?s)●\s*조리 방법(.*)""
  )
)
"),"1. 냄비에 간장, 맛술, 청주, 설탕, 꿀을 넣고 끓여 데리야키 소스를 만든다.
2. 방울토마토의 꼭지를 제거하고 끓는 물에 넣어 데친다.
3. 데친 방울토마토를 얼음물에 담가 식힌다.
4. 잘게 썬 두부를 끓는 물에 넣어 데친 뒤, 얼음물에 담가 식힌다.
5. 양파를 잘게 썰어 찬물에 담가둔다.
6. 아보카도를 반으로 가르고 씨를 빼낸다.
7. 아보카도에 칼집을 넣은 뒤 팬에 올려 굽는다.
8. 올리브 오일, 소금, 식초, 꿀, 와사비,"&amp;" 간장을 섞어 와사비 드레싱을 만든다.
9. 연어에 쇠꼬치를 꽂은 뒤, 소금을 뿌린다.
10. 연어를 직화해 겉면만 살짝 익힌다.
11. 직화한 연어를 얼음물에 담가둔다.
12. 연어의 물기를 제거한다.
13. 두부의 물기를 제거한 뒤 와사비 드레싱과 섞는다.
14. 13에 껍질을 제거한 방울토마토를 잘게 썰어 넣는다.
15. 찬물에 담가둔 양파를 넣는다.
16. 구운 아보카도의 껍질을 벗긴 뒤 잘게 썰어 넣어 샐러드를 완성한다.
17."&amp;" 연어를 얇게 썰어 접시에 담고 샐러드를 곁들인다.
18. 구운 아보카도에 데리야키 소스를 붓는다.
19. 데리야키 소스를 곁들인 아보카도를 접시에 함께 담아낸다.")</f>
        <v>1. 냄비에 간장, 맛술, 청주, 설탕, 꿀을 넣고 끓여 데리야키 소스를 만든다.
2. 방울토마토의 꼭지를 제거하고 끓는 물에 넣어 데친다.
3. 데친 방울토마토를 얼음물에 담가 식힌다.
4. 잘게 썬 두부를 끓는 물에 넣어 데친 뒤, 얼음물에 담가 식힌다.
5. 양파를 잘게 썰어 찬물에 담가둔다.
6. 아보카도를 반으로 가르고 씨를 빼낸다.
7. 아보카도에 칼집을 넣은 뒤 팬에 올려 굽는다.
8. 올리브 오일, 소금, 식초, 꿀, 와사비, 간장을 섞어 와사비 드레싱을 만든다.
9. 연어에 쇠꼬치를 꽂은 뒤, 소금을 뿌린다.
10. 연어를 직화해 겉면만 살짝 익힌다.
11. 직화한 연어를 얼음물에 담가둔다.
12. 연어의 물기를 제거한다.
13. 두부의 물기를 제거한 뒤 와사비 드레싱과 섞는다.
14. 13에 껍질을 제거한 방울토마토를 잘게 썰어 넣는다.
15. 찬물에 담가둔 양파를 넣는다.
16. 구운 아보카도의 껍질을 벗긴 뒤 잘게 썰어 넣어 샐러드를 완성한다.
17. 연어를 얇게 썰어 접시에 담고 샐러드를 곁들인다.
18. 구운 아보카도에 데리야키 소스를 붓는다.
19. 데리야키 소스를 곁들인 아보카도를 접시에 함께 담아낸다.</v>
      </c>
    </row>
    <row r="202">
      <c r="A202" s="2" t="str">
        <f>recipe!C202
</f>
        <v>햄복한 밥</v>
      </c>
      <c r="B202" s="2" t="str">
        <f>IFERROR(__xludf.DUMMYFUNCTION("TRIM(
  REGEXEXTRACT(
    raw!A202,
    ""(?s)●\s*조리 방법(.*)""
  )
)
"),"1. 전자레인지에 즉석밥을 넣고 돌린다.
2. 햄을 넓적하게 썰어 기름에 지진다.
3. 양파, 당근, 대파를 잘게 썬다.
4. 햄을 체에 밭쳐 기름을 뺀 뒤, 잘게 썬다.
5. 기름을 두른 팬에 달걀물, 잘게 썬 채소를 넣고 함께 볶는다.
6. 5에 즉석밥을 넣고 함께 볶는다.
7. 기름을 두른 팬에 소금을 넣은 달걀물을 넣고 넓게 부친다.
8. 볶음밥에 잘게 썬 채소와 햄을 넣어 함께 볶는다.
9. 그릇에 햄볶음밥을 담는다.
10. 햄"&amp;"볶음밥 위에 부친 달걀을 올린다.
11. 양파는 채 썰고 마늘과 파는 잘게 다진 뒤, 팬에 넣고 간장을 더해 볶는다.
12. 볶은 채소에 소시지와 차돌박이를 넣고 함께 볶는다.
13. 볶던 재료에 물을 넣는다.
14. 13에 간장으로 간을 한다.
15. 전분물을 넣어 농도를 조절한다.
16. 달걀 위에 볶은 재료를 부어 완성한다.")</f>
        <v>1. 전자레인지에 즉석밥을 넣고 돌린다.
2. 햄을 넓적하게 썰어 기름에 지진다.
3. 양파, 당근, 대파를 잘게 썬다.
4. 햄을 체에 밭쳐 기름을 뺀 뒤, 잘게 썬다.
5. 기름을 두른 팬에 달걀물, 잘게 썬 채소를 넣고 함께 볶는다.
6. 5에 즉석밥을 넣고 함께 볶는다.
7. 기름을 두른 팬에 소금을 넣은 달걀물을 넣고 넓게 부친다.
8. 볶음밥에 잘게 썬 채소와 햄을 넣어 함께 볶는다.
9. 그릇에 햄볶음밥을 담는다.
10. 햄볶음밥 위에 부친 달걀을 올린다.
11. 양파는 채 썰고 마늘과 파는 잘게 다진 뒤, 팬에 넣고 간장을 더해 볶는다.
12. 볶은 채소에 소시지와 차돌박이를 넣고 함께 볶는다.
13. 볶던 재료에 물을 넣는다.
14. 13에 간장으로 간을 한다.
15. 전분물을 넣어 농도를 조절한다.
16. 달걀 위에 볶은 재료를 부어 완성한다.</v>
      </c>
    </row>
    <row r="203">
      <c r="A203" s="2" t="str">
        <f>recipe!C203
</f>
        <v>불량식풍</v>
      </c>
      <c r="B203" s="2" t="str">
        <f>IFERROR(__xludf.DUMMYFUNCTION("TRIM(
  REGEXEXTRACT(
    raw!A203,
    ""(?s)●\s*조리 방법(.*)""
  )
)
"),"1. 핸드블렌더에 즉석밥, 달걀, 밀가루, 전분, 맥주, 소금, 후추, 설탕을 넣고 갈아 반죽을 만든다.
2. 햄을 적당한 크기로 썬다.
3. 주둥이 부분을 잘라낸 패트병에 반죽을 담는다.
4. 햄에 나무젓가락을 꽂는다.
5. 햄에 반죽을 묻힌 뒤 기름에 튀긴다.
6. 핫도그를 건져 기름을 뺀다.
7. 한 번 튀겨낸 핫도그에 밀가루&gt;달걀&gt;참깨 순으로 튀김옷을 입힌다.
8. 튀김옷을 입힌 핫도그를 다시 한 번 기름에 튀긴다.
9. 간장, 마"&amp;"요네즈, 다진 마늘, 후추를 섞어 소스를 만든다.
10. 소스에 연겨자를 넣고 섞는다.
11. 소스와 핫도그를 따로 담는다.
12. 소스에 설탕을 넣고 섞는다.")</f>
        <v>1. 핸드블렌더에 즉석밥, 달걀, 밀가루, 전분, 맥주, 소금, 후추, 설탕을 넣고 갈아 반죽을 만든다.
2. 햄을 적당한 크기로 썬다.
3. 주둥이 부분을 잘라낸 패트병에 반죽을 담는다.
4. 햄에 나무젓가락을 꽂는다.
5. 햄에 반죽을 묻힌 뒤 기름에 튀긴다.
6. 핫도그를 건져 기름을 뺀다.
7. 한 번 튀겨낸 핫도그에 밀가루&gt;달걀&gt;참깨 순으로 튀김옷을 입힌다.
8. 튀김옷을 입힌 핫도그를 다시 한 번 기름에 튀긴다.
9. 간장, 마요네즈, 다진 마늘, 후추를 섞어 소스를 만든다.
10. 소스에 연겨자를 넣고 섞는다.
11. 소스와 핫도그를 따로 담는다.
12. 소스에 설탕을 넣고 섞는다.</v>
      </c>
    </row>
    <row r="204">
      <c r="A204" s="2" t="str">
        <f>recipe!C204
</f>
        <v>3점 슛테이크</v>
      </c>
      <c r="B204" s="2" t="str">
        <f>IFERROR(__xludf.DUMMYFUNCTION("TRIM(
  REGEXEXTRACT(
    raw!A204,
    ""(?s)●\s*조리 방법(.*)""
  )
)
"),"1. 손질한 양파, 당근으로 채소육수를 끓인다.
2. 석쇠에 대파를 넣고 겉면을 태우듯이 굽는다.
3. 올리브 오일을 두른 팬에 당근과 양파를 넣고 소금을 뿌려 볶는다.
4. 비닐팩에 등심을 넣고 고기망치로 두드려 얇게 편다.
5. 얇게 편 등심에 소금, 후추 간을 한 뒤 밀가루를 묻힌다.
6. 올리브 오일을 두른 팬에 밀가루를 묻힌 등심을 굽는다.
7. 채소육수의 채소만 건진다.
8. 대파의 탄 겉면을 벗겨낸다.
9. 접시에 건져낸 채소, 대파를 올리"&amp;"고 파르메산 치즈를 뿌려 전자레인지에 넣고 돌린다.
10. 볶던 당근과 양파에 채소육수를 넣고, 구워둔 등심을 넣어 조린다.
11. 10에 버터와 소금을 넣어 소스를 만든다.
12. 접시에 조린 채소와 소스를 담는다.
13. 채소 위에 구운 등심을 올리고 소스를 두른다.
14. 파르메산 치즈를 뿌려 구운 대파를 올리고 후추를 뿌려 완성한다.")</f>
        <v>1. 손질한 양파, 당근으로 채소육수를 끓인다.
2. 석쇠에 대파를 넣고 겉면을 태우듯이 굽는다.
3. 올리브 오일을 두른 팬에 당근과 양파를 넣고 소금을 뿌려 볶는다.
4. 비닐팩에 등심을 넣고 고기망치로 두드려 얇게 편다.
5. 얇게 편 등심에 소금, 후추 간을 한 뒤 밀가루를 묻힌다.
6. 올리브 오일을 두른 팬에 밀가루를 묻힌 등심을 굽는다.
7. 채소육수의 채소만 건진다.
8. 대파의 탄 겉면을 벗겨낸다.
9. 접시에 건져낸 채소, 대파를 올리고 파르메산 치즈를 뿌려 전자레인지에 넣고 돌린다.
10. 볶던 당근과 양파에 채소육수를 넣고, 구워둔 등심을 넣어 조린다.
11. 10에 버터와 소금을 넣어 소스를 만든다.
12. 접시에 조린 채소와 소스를 담는다.
13. 채소 위에 구운 등심을 올리고 소스를 두른다.
14. 파르메산 치즈를 뿌려 구운 대파를 올리고 후추를 뿌려 완성한다.</v>
      </c>
    </row>
    <row r="205">
      <c r="A205" s="2" t="str">
        <f>recipe!C205
</f>
        <v>아이스테키</v>
      </c>
      <c r="B205" s="2" t="str">
        <f>IFERROR(__xludf.DUMMYFUNCTION("TRIM(
  REGEXEXTRACT(
    raw!A205,
    ""(?s)●\s*조리 방법(.*)""
  )
)
"),"1. 끓는 물에 달걀을 넣고 삶는다.
2. 냄비에 올리브 오일, 다진 마늘, 마카다미아 아이스크림을 넣고 끓여 소스를 만든다.
3. 아이스크림 소스에 후추, 소금, 간장을 넣고 끓인다.
4. 기름을 두른 팬에 잘게 썬 대파와 양파를 구운 뒤 꺼내서 기름을 제거한다.
5. 기름을 두른 팬에 채끝살, 다진 마늘을 넣고 소금, 후추 간을 해 굽는다.
6. 삶은 달걀을 건져 얼음물에 담가둔다.
7. 삶은 달걀의 노른자와 흰자를 분리해 각각 체에 밭쳐"&amp;" 곱게 내린다.
8. 접시에 아이스크림 소스를 담는다.
9. 채끝 스테이크 위에 곱게 내린 달걀 흰자와 노른자를 올린다.
10. 9에 잘게 썬 대파를 올린다.
11. 아이스크림 소스 위에 스테이크를 올린다.
12. 구운 대파와 양파를 곁들인다.")</f>
        <v>1. 끓는 물에 달걀을 넣고 삶는다.
2. 냄비에 올리브 오일, 다진 마늘, 마카다미아 아이스크림을 넣고 끓여 소스를 만든다.
3. 아이스크림 소스에 후추, 소금, 간장을 넣고 끓인다.
4. 기름을 두른 팬에 잘게 썬 대파와 양파를 구운 뒤 꺼내서 기름을 제거한다.
5. 기름을 두른 팬에 채끝살, 다진 마늘을 넣고 소금, 후추 간을 해 굽는다.
6. 삶은 달걀을 건져 얼음물에 담가둔다.
7. 삶은 달걀의 노른자와 흰자를 분리해 각각 체에 밭쳐 곱게 내린다.
8. 접시에 아이스크림 소스를 담는다.
9. 채끝 스테이크 위에 곱게 내린 달걀 흰자와 노른자를 올린다.
10. 9에 잘게 썬 대파를 올린다.
11. 아이스크림 소스 위에 스테이크를 올린다.
12. 구운 대파와 양파를 곁들인다.</v>
      </c>
    </row>
    <row r="206">
      <c r="A206" s="2" t="str">
        <f>recipe!C206
</f>
        <v>가슴이 심쿵해</v>
      </c>
      <c r="B206" s="2" t="str">
        <f>IFERROR(__xludf.DUMMYFUNCTION("TRIM(
  REGEXEXTRACT(
    raw!A206,
    ""●\s*조리\s*방법([\s\S]*)""
  )
)
"),"1. 닭가슴살을 얇게 포를 뜬다.
2. 얇게 포를 뜬 닭가슴살에 후추, 소금, 올리브 오일로 밑간을 한다.
3. 팬에 호일을 깔고 파슬리, 설탕을 넣어 연기를 낸다.
4. 석쇠 위에 밑간을 한 닭가슴살을 올리고 뚜껑을 덮어 훈제를 한다.
5. 애호박, 양파를 썰어 팬에 볶는다.
6. 올리브 오일, 발사믹 드레싱, 꿀을 섞는다.
7. 6에 소금, 후추, 다진 마늘을 넣은 뒤 애호박, 양파를 넣고 버무려 샐러드를 만든다.
"&amp;"
8. 접시에 훈제한 닭가슴살과 샐러드를 담아 완성한다.")</f>
        <v>1. 닭가슴살을 얇게 포를 뜬다.
2. 얇게 포를 뜬 닭가슴살에 후추, 소금, 올리브 오일로 밑간을 한다.
3. 팬에 호일을 깔고 파슬리, 설탕을 넣어 연기를 낸다.
4. 석쇠 위에 밑간을 한 닭가슴살을 올리고 뚜껑을 덮어 훈제를 한다.
5. 애호박, 양파를 썰어 팬에 볶는다.
6. 올리브 오일, 발사믹 드레싱, 꿀을 섞는다.
7. 6에 소금, 후추, 다진 마늘을 넣은 뒤 애호박, 양파를 넣고 버무려 샐러드를 만든다.
8. 접시에 훈제한 닭가슴살과 샐러드를 담아 완성한다.</v>
      </c>
    </row>
    <row r="207">
      <c r="A207" s="2" t="str">
        <f>recipe!C207
</f>
        <v>돈달돈달 + 여보 밥 안 안치니?</v>
      </c>
      <c r="B207" s="2" t="str">
        <f>IFERROR(__xludf.DUMMYFUNCTION("TRIM(
  REGEXEXTRACT(
    raw!A207,
    ""●\s*조리\s*방법([\s\S]*)""
  )
)
"),"1. 마늘을 다진다.
2. 즉석밥을 전자레인지에 넣고 돌린다.
3. 식용유와 참기름을 두른 팬에 다진 마늘을 넣고 볶는다.
4. 지퍼백에 방울토마토를 넣고 으깬다.
5. 마늘을 볶던 팬에 으깬 방울토마토를 넣고 함께 볶는다.
6. 식빵을 썰어 마른 팬에 굽는다.
7. 볶던 재료에 식초, 맛술을 넣는다.
8. 7에 물, 간장, 곰탕라면 분말수프를 넣고 끓인다.
9. 전분, 달걀, 물을 섞는다.
10. 밥에 "&amp;"멸치볶음을 넣어 주먹밥을 만든다.
11. 주먹밥에 달걀전분물을 묻혀 기름에 튀긴다.
12. 토마토탕에 달걀전분물을 넣고 저어준다.
13. 그릇에 토마토 달걀탕을 부은 뒤, 구운 식빵을 올린다.
14. 튀긴 주먹밥에 깨를 묻혀 낸다.")</f>
        <v>1. 마늘을 다진다.
2. 즉석밥을 전자레인지에 넣고 돌린다.
3. 식용유와 참기름을 두른 팬에 다진 마늘을 넣고 볶는다.
4. 지퍼백에 방울토마토를 넣고 으깬다.
5. 마늘을 볶던 팬에 으깬 방울토마토를 넣고 함께 볶는다.
6. 식빵을 썰어 마른 팬에 굽는다.
7. 볶던 재료에 식초, 맛술을 넣는다.
8. 7에 물, 간장, 곰탕라면 분말수프를 넣고 끓인다.
9. 전분, 달걀, 물을 섞는다.
10. 밥에 멸치볶음을 넣어 주먹밥을 만든다.
11. 주먹밥에 달걀전분물을 묻혀 기름에 튀긴다.
12. 토마토탕에 달걀전분물을 넣고 저어준다.
13. 그릇에 토마토 달걀탕을 부은 뒤, 구운 식빵을 올린다.
14. 튀긴 주먹밥에 깨를 묻혀 낸다.</v>
      </c>
    </row>
    <row r="208">
      <c r="A208" s="2" t="str">
        <f>recipe!C208
</f>
        <v>이런 돈장</v>
      </c>
      <c r="B208" s="2" t="str">
        <f>IFERROR(__xludf.DUMMYFUNCTION("TRIM(
  REGEXEXTRACT(
    raw!A208,
    ""●\s*조리\s*방법([\s\S]*)""
  )
)
"),"1. 껍질을 벗긴 배를 강판에 간다.
2. 1에 간 양파, 된장, 꿀, 생강즙, 다진 마늘을 넣고 섞어 양념을 만든다.
3. 불고기용 돼지고기를 적당한 크기로 썰어 양념에 넣고 잘 버무린다.
4. 3에 깨를 넣어 섞는다.
5. 물에 헹군 갓김치에 참기름, 다진 마늘, 깨, 꿀을 넣어 무친다.
6. 깍둑썰기한 두부를 끓는 물에 넣어 데친다.
7. 기름을 두른 팬에 양념한 돼지고기를 볶는다.
8. 7에 후추를 넣는다.
"&amp;"
9. 볶은 돼지고기를 석쇠로 옮긴다.
10. 달군 팬에 술을 넣고 불을 붙인 뒤, 볶은 돼지고기를 직화한다.
11. 팬에 남은 고기와 직화한 뒤 남은 육즙을 합친다.
12. 11에 잘게 썬 부추와 애호박을 넣고 볶아 소스를 만든다.
13. 접시에 데친 두부와 갓김치, 볶은 돼지고기를 담은 뒤 소스를 뿌린다.
14. 부추를 올려 완성한다.")</f>
        <v>1. 껍질을 벗긴 배를 강판에 간다.
2. 1에 간 양파, 된장, 꿀, 생강즙, 다진 마늘을 넣고 섞어 양념을 만든다.
3. 불고기용 돼지고기를 적당한 크기로 썰어 양념에 넣고 잘 버무린다.
4. 3에 깨를 넣어 섞는다.
5. 물에 헹군 갓김치에 참기름, 다진 마늘, 깨, 꿀을 넣어 무친다.
6. 깍둑썰기한 두부를 끓는 물에 넣어 데친다.
7. 기름을 두른 팬에 양념한 돼지고기를 볶는다.
8. 7에 후추를 넣는다.
9. 볶은 돼지고기를 석쇠로 옮긴다.
10. 달군 팬에 술을 넣고 불을 붙인 뒤, 볶은 돼지고기를 직화한다.
11. 팬에 남은 고기와 직화한 뒤 남은 육즙을 합친다.
12. 11에 잘게 썬 부추와 애호박을 넣고 볶아 소스를 만든다.
13. 접시에 데친 두부와 갓김치, 볶은 돼지고기를 담은 뒤 소스를 뿌린다.
14. 부추를 올려 완성한다.</v>
      </c>
    </row>
    <row r="209">
      <c r="A209" s="2" t="str">
        <f>recipe!C209
</f>
        <v>허세우</v>
      </c>
      <c r="B209" s="2" t="str">
        <f>IFERROR(__xludf.DUMMYFUNCTION("TRIM(
  REGEXEXTRACT(
    raw!A209,
    ""●\s*조리\s*방법([\s\S]*)""
  )
)
"),"1. 감자를 잘게 썰어 우유, 물과 함께 냄비에 넣고 끓인다.
2. 1에 북어를 잘게 잘라 넣고 함께 끓인다.
3. 새우의 머리를 떼어낸다.
4. 손질한 새우를 반으로 가른다.
5. 종이호일 사이에 새우를 넣고 밀대로 두드려 얇게 편다.
6. 라이스 페이퍼 사이에 새우를 넣는다.
7. 기름을 두른 팬에 라이스 페이퍼를 넣고 튀긴다.
8. 새우를 끼운 라이스 페이퍼를 기름에 튀긴다.
9. 채 썬 대파를 기름에 볶"&amp;"아 파기름을 낸다.
10. 파기름에 새우 머리를 넣고 볶은 뒤, 체에 밭쳐 기름만 걸러낸다.
11. 우유와 함께 삶은 감자를 핸드블렌더에 넣고 버터, 간장을 넣고 갈아 매시드 포테이토를 만든다.
12. 11에 우유를 넣고 볶는다.
13. 접시에 매시드 포테이토를 담는다.
14. 13에 새우를 끼워 튀긴 라이스 페이퍼를 올린다.
15. 튀긴 라이스 페이퍼를 부순 뒤, 뿌려준다.
16. 과일간장, 새우 머리를 볶아 향을"&amp;" 낸 기름을 뿌린다.")</f>
        <v>1. 감자를 잘게 썰어 우유, 물과 함께 냄비에 넣고 끓인다.
2. 1에 북어를 잘게 잘라 넣고 함께 끓인다.
3. 새우의 머리를 떼어낸다.
4. 손질한 새우를 반으로 가른다.
5. 종이호일 사이에 새우를 넣고 밀대로 두드려 얇게 편다.
6. 라이스 페이퍼 사이에 새우를 넣는다.
7. 기름을 두른 팬에 라이스 페이퍼를 넣고 튀긴다.
8. 새우를 끼운 라이스 페이퍼를 기름에 튀긴다.
9. 채 썬 대파를 기름에 볶아 파기름을 낸다.
10. 파기름에 새우 머리를 넣고 볶은 뒤, 체에 밭쳐 기름만 걸러낸다.
11. 우유와 함께 삶은 감자를 핸드블렌더에 넣고 버터, 간장을 넣고 갈아 매시드 포테이토를 만든다.
12. 11에 우유를 넣고 볶는다.
13. 접시에 매시드 포테이토를 담는다.
14. 13에 새우를 끼워 튀긴 라이스 페이퍼를 올린다.
15. 튀긴 라이스 페이퍼를 부순 뒤, 뿌려준다.
16. 과일간장, 새우 머리를 볶아 향을 낸 기름을 뿌린다.</v>
      </c>
    </row>
    <row r="210">
      <c r="A210" s="2" t="str">
        <f>recipe!C210
</f>
        <v>단칼국수</v>
      </c>
      <c r="B210" s="2" t="str">
        <f>IFERROR(__xludf.DUMMYFUNCTION("TRIM(
  REGEXEXTRACT(
    raw!A210,
    ""●\s*조리\s*방법([\s\S]*)""
  )
)
"),"1. 기름을 두른 팬에 필리핀식 새우젓과 라유를 넣고 볶는다.
2. 1에 대파, 다진 마늘, 불고기용 돼지고기를 넣고 함께 볶는다.
3. 볶던 재료에 고춧가루를 뿌린다.
4. 소금을 넣은 끓는 물에 칼국수면을 넣고 삶는다.
5. 파프리카와 새송이버섯을 적당한 크기로 썰어 팬에 넣고 볶는다.
6. 5에 면수를 넣어 볶는다.
7. 땅콩버터를 넣는다.
8. 라유, 소금, 후추를 넣는다.
9. 부추, 청양고추, 레몬즙"&amp;"을 넣는다.
10. 삶은 칼국수면을 찬물에 헹궈 식힌다.
11. 그릇에 면을 담고 볶은 재료들을 올린 뒤, 레몬즙을 둘러 완성한다.")</f>
        <v>1. 기름을 두른 팬에 필리핀식 새우젓과 라유를 넣고 볶는다.
2. 1에 대파, 다진 마늘, 불고기용 돼지고기를 넣고 함께 볶는다.
3. 볶던 재료에 고춧가루를 뿌린다.
4. 소금을 넣은 끓는 물에 칼국수면을 넣고 삶는다.
5. 파프리카와 새송이버섯을 적당한 크기로 썰어 팬에 넣고 볶는다.
6. 5에 면수를 넣어 볶는다.
7. 땅콩버터를 넣는다.
8. 라유, 소금, 후추를 넣는다.
9. 부추, 청양고추, 레몬즙을 넣는다.
10. 삶은 칼국수면을 찬물에 헹궈 식힌다.
11. 그릇에 면을 담고 볶은 재료들을 올린 뒤, 레몬즙을 둘러 완성한다.</v>
      </c>
    </row>
    <row r="211">
      <c r="A211" s="2" t="str">
        <f>recipe!C211
</f>
        <v>맛있소면</v>
      </c>
      <c r="B211" s="2" t="str">
        <f>IFERROR(__xludf.DUMMYFUNCTION("TRIM(
  REGEXEXTRACT(
    raw!A211,
    ""●\s*조리\s*방법([\s\S]*)""
  )
)
"),"1. 불고기용 돼지고기와 베이컨을 잘게 썰어 기름을 두른 팬에 넣고 볶는다.
2. 1에 잘게 썬 양파, 새송이버섯을 넣고 함께 볶는다.
3. 볶던 재료에 후추를 뿌린다.
4. 끓는 물에 소금을 넣고, 소면을 삶는다.
5. 물, 간장, 소금, 식초를 섞어 국물을 만든다.
6. 5에 갈아놓은 방울토마토와 마늘을 넣은 뒤, 설탕을 더한다.
7. 달걀노른자만 분리해 지단을 부친다.
8. 달걀지단을 말아서 채 썬다.
9"&amp;". 국물에 잘게 썬 부추를 넣고 섞는다.
10. 파프리카를 채 썰어 팬에 볶는다.
11. 애호박을 채 썰어 팬에 볶는다.
12. 삶은 소면을 찬물에 헹군다.
13. 그릇에 면을 담고, 달걀지단, 파프리카, 부추, 돼지고기와 베이컨을 고명으로 올린다.
14. 물에 헹군 김치와 애호박을 올린다.
15. 채 썬 양파를 올린 뒤, 국물을 부어 완성한다.")</f>
        <v>1. 불고기용 돼지고기와 베이컨을 잘게 썰어 기름을 두른 팬에 넣고 볶는다.
2. 1에 잘게 썬 양파, 새송이버섯을 넣고 함께 볶는다.
3. 볶던 재료에 후추를 뿌린다.
4. 끓는 물에 소금을 넣고, 소면을 삶는다.
5. 물, 간장, 소금, 식초를 섞어 국물을 만든다.
6. 5에 갈아놓은 방울토마토와 마늘을 넣은 뒤, 설탕을 더한다.
7. 달걀노른자만 분리해 지단을 부친다.
8. 달걀지단을 말아서 채 썬다.
9. 국물에 잘게 썬 부추를 넣고 섞는다.
10. 파프리카를 채 썰어 팬에 볶는다.
11. 애호박을 채 썰어 팬에 볶는다.
12. 삶은 소면을 찬물에 헹군다.
13. 그릇에 면을 담고, 달걀지단, 파프리카, 부추, 돼지고기와 베이컨을 고명으로 올린다.
14. 물에 헹군 김치와 애호박을 올린다.
15. 채 썬 양파를 올린 뒤, 국물을 부어 완성한다.</v>
      </c>
    </row>
    <row r="212">
      <c r="A212" s="2" t="str">
        <f>recipe!C212
</f>
        <v>갓김치치즈스마일</v>
      </c>
      <c r="B212" s="2" t="str">
        <f>IFERROR(__xludf.DUMMYFUNCTION("TRIM(
  REGEXEXTRACT(
    raw!A212,
    ""●\s*조리\s*방법([\s\S]*)""
  )
)
"),"1. 기름을 두른 팬에 달걀물을 부은 뒤, 스크램블 한다.
2. 스크램블 에그에 소금, 후추를 뿌린다.
3. 베이컨을 격자 모양으로 엮는다.
4. 베이컨 위에 스크램블 에그를 올린다.
5. 4에 에멘탈 치즈, 크림 치즈, 모차렐라 치즈를 올린다.
6. 치즈 위에 다시 한 번 스크램블 에그를 올린 뒤, 베이컨으로 여며 모양을 고정한다.
7. 기름을 두른 팬에 베이컨 치즈말이를 넣고 굽는다.
8. 버터를 두른 냄비에 소"&amp;"시지를 썰어 넣는다.
9. 8에 갓김치, 생크림, 단팥을 넣고 끓여 소스를 만든다.
10. 구운 베이컨 치즈말이를 전자레인지에 넣고 치즈가 녹을 때까지 돌린다.
11. 접시에 베이컨 치즈말이를 담고, 갓김치 소스를 따로 담아 낸다.
12. 파슬리를 뿌려 완성한다.")</f>
        <v>1. 기름을 두른 팬에 달걀물을 부은 뒤, 스크램블 한다.
2. 스크램블 에그에 소금, 후추를 뿌린다.
3. 베이컨을 격자 모양으로 엮는다.
4. 베이컨 위에 스크램블 에그를 올린다.
5. 4에 에멘탈 치즈, 크림 치즈, 모차렐라 치즈를 올린다.
6. 치즈 위에 다시 한 번 스크램블 에그를 올린 뒤, 베이컨으로 여며 모양을 고정한다.
7. 기름을 두른 팬에 베이컨 치즈말이를 넣고 굽는다.
8. 버터를 두른 냄비에 소시지를 썰어 넣는다.
9. 8에 갓김치, 생크림, 단팥을 넣고 끓여 소스를 만든다.
10. 구운 베이컨 치즈말이를 전자레인지에 넣고 치즈가 녹을 때까지 돌린다.
11. 접시에 베이컨 치즈말이를 담고, 갓김치 소스를 따로 담아 낸다.
12. 파슬리를 뿌려 완성한다.</v>
      </c>
    </row>
    <row r="213">
      <c r="A213" s="2" t="str">
        <f>recipe!C213
</f>
        <v>고풍격 디저트</v>
      </c>
      <c r="B213" s="2" t="str">
        <f>IFERROR(__xludf.DUMMYFUNCTION("TRIM(
  REGEXEXTRACT(
    raw!A213,
    ""●\s*조리\s*방법([\s\S]*)""
  )
)
"),"1. 냄비에 블루베리즙, 복분자 원액을 넣고 졸인다.
2. 냄비에 설탕과 물을 넣고 끓여 캐러멜라이징한다.
3. 볼에 달걀, 설탕, 우유를 넣고 섞어 플랑 반죽을 만든다.
4. 캐러멜라이징한 설탕을 그릇 바닥에 깔리도록 담는다.
5. 플랑 반죽을 체에 내려 그릇에 담는다.
6. 5를 전자레인지에 넣고 돌린다.
7. 생크림, 장미잼, 설탕을 섞어 크림을 만든다.
8. 접시를 뒤집어 플랑이 담긴 그릇 위에 올린 뒤, 다"&amp;"시 뒤집는다.
9. 접시에 블루베리 복분자 소스를 뿌린다.
10. 장미잼 크림을 곁들인다.
11. 플랑을 덮고 있던 그릇을 뺀다.")</f>
        <v>1. 냄비에 블루베리즙, 복분자 원액을 넣고 졸인다.
2. 냄비에 설탕과 물을 넣고 끓여 캐러멜라이징한다.
3. 볼에 달걀, 설탕, 우유를 넣고 섞어 플랑 반죽을 만든다.
4. 캐러멜라이징한 설탕을 그릇 바닥에 깔리도록 담는다.
5. 플랑 반죽을 체에 내려 그릇에 담는다.
6. 5를 전자레인지에 넣고 돌린다.
7. 생크림, 장미잼, 설탕을 섞어 크림을 만든다.
8. 접시를 뒤집어 플랑이 담긴 그릇 위에 올린 뒤, 다시 뒤집는다.
9. 접시에 블루베리 복분자 소스를 뿌린다.
10. 장미잼 크림을 곁들인다.
11. 플랑을 덮고 있던 그릇을 뺀다.</v>
      </c>
    </row>
    <row r="214">
      <c r="A214" s="2" t="str">
        <f>recipe!C214
</f>
        <v>배추 카르복나라</v>
      </c>
      <c r="B214" s="2" t="str">
        <f>IFERROR(__xludf.DUMMYFUNCTION("TRIM(
  REGEXEXTRACT(
    raw!A214,
    ""●\s*조리\s*방법([\s\S]*)""
  )
)
"),"1. 끓는 물에 배추를 넣고 데친다.
2. 물에 푸실리와 소금을 넣고 삶는다.
3. 데친 배추를 꺼내 찬물에 식힌 뒤, 먹기 좋은 크기로 썬다.
4. 팬에 올리브 오일을 두르고 마늘, 대파를 넣어 볶는다.
5. 4에 우유를 넣고 끓인다.
6. 생크림과 배추를 넣고 끓인다.
7. 삶은 푸실리를 팬에 넣은 뒤, 소금 간을 한다.
8. 올리브 오일을 두른 팬에 잘게 썬 베이컨을 볶은 뒤, 파스타에 넣고 섞는다.
9."&amp;" 그릇에 파스타를 담아 완성한다.")</f>
        <v>1. 끓는 물에 배추를 넣고 데친다.
2. 물에 푸실리와 소금을 넣고 삶는다.
3. 데친 배추를 꺼내 찬물에 식힌 뒤, 먹기 좋은 크기로 썬다.
4. 팬에 올리브 오일을 두르고 마늘, 대파를 넣어 볶는다.
5. 4에 우유를 넣고 끓인다.
6. 생크림과 배추를 넣고 끓인다.
7. 삶은 푸실리를 팬에 넣은 뒤, 소금 간을 한다.
8. 올리브 오일을 두른 팬에 잘게 썬 베이컨을 볶은 뒤, 파스타에 넣고 섞는다.
9. 그릇에 파스타를 담아 완성한다.</v>
      </c>
    </row>
    <row r="215">
      <c r="A215" s="2" t="str">
        <f>recipe!C215
</f>
        <v>샘(킴)표 탕수육</v>
      </c>
      <c r="B215" s="2" t="str">
        <f>IFERROR(__xludf.DUMMYFUNCTION("TRIM(
  REGEXEXTRACT(
    raw!A215,
    ""●\s*조리\s*방법([\s\S]*)""
  )
)
"),"1. 양파, 당근, 대파를 썬다.
2. 팬에 맛술, 간장, 물을 넣고 끓인다.
3. 불린 표고버섯의 기둥을 제거한다.
4. 팬에 표고버섯을 넣고 양념에 조린다.
5. 조린 표고버섯을 체에 밭쳐 버섯과 양념을 분리한다.
6. 식용유를 두른 팬에 고추, 양파, 당근, 대파를 넣고 볶는다.
7. 6에 청경채를 넣고 함께 볶는다.
8. 볶던 재료에 물을 붓고, 표고버섯 조린 양념을 넣어 소스를 만든다.
9. 소스에 식"&amp;"초, 설탕을 넣는다.
10. 밀가루와 전분을 섞은 뒤, 물을 넣고 저어가며 반죽한다.
11. 반죽을 묻힌 표고버섯을 기름에 튀긴다.
12. 소스에 전분물을 넣어 농도를 조절한다.
13. 그릇에 소스를 담은 뒤, 튀긴 표고버섯을 올려 완성한다.")</f>
        <v>1. 양파, 당근, 대파를 썬다.
2. 팬에 맛술, 간장, 물을 넣고 끓인다.
3. 불린 표고버섯의 기둥을 제거한다.
4. 팬에 표고버섯을 넣고 양념에 조린다.
5. 조린 표고버섯을 체에 밭쳐 버섯과 양념을 분리한다.
6. 식용유를 두른 팬에 고추, 양파, 당근, 대파를 넣고 볶는다.
7. 6에 청경채를 넣고 함께 볶는다.
8. 볶던 재료에 물을 붓고, 표고버섯 조린 양념을 넣어 소스를 만든다.
9. 소스에 식초, 설탕을 넣는다.
10. 밀가루와 전분을 섞은 뒤, 물을 넣고 저어가며 반죽한다.
11. 반죽을 묻힌 표고버섯을 기름에 튀긴다.
12. 소스에 전분물을 넣어 농도를 조절한다.
13. 그릇에 소스를 담은 뒤, 튀긴 표고버섯을 올려 완성한다.</v>
      </c>
    </row>
    <row r="216">
      <c r="A216" s="2" t="str">
        <f>recipe!C216
</f>
        <v>쓰리스타 풍코스</v>
      </c>
      <c r="B216" s="2" t="str">
        <f>IFERROR(__xludf.DUMMYFUNCTION("TRIM(
  REGEXEXTRACT(
    raw!A216,
    ""●\s*조리\s*방법([\s\S]*)""
  )
)
"),"1. 불린 반건조 오징어의 껍질을 벗긴다.
2. 껍질을 벗긴 반건조 오징어에 칼집을 낸다.
3. 올리브 오일을 두른 팬에 양파, 베이컨을 넣고 볶는다.
4. 3에 반건조 오징어 다리, 다진 마늘을 넣고 함께 볶는다.
5. 4에 소금, 후추로 간을 한 뒤, 양지 육수를 넣고 끓인다.
6. 잘게 썬 대파를 팬에 넣고 함께 끓인다.
7. 믹서기에 물기를 뺀 병아리콩과 우유를 넣고 간다.
8. 7에 들깨가루를 넣는다.
"&amp;"
9. 달군 팬에 버터를 녹인 뒤 달걀물, XO소스를 넣고 스크램블한다.
10. 스크램블 에그에 소금, 후추, 파슬리를 넣는다.
11. 게살 통조림을 체에 밭쳐 물기를 뺀다.
12. 물기를 뺀 게살에 레몬즙을 넣어 섞는다.
13. 데운 그릇에 원형틀을 이용해 스크램블 에그와 게살을 층층이 올린다.
14. 13에 올리브 오일을 둘러 에피타이저를 완성한다.
15. 병아리콩 수프에 후추, 올리브 오일, 우유, 소금을 넣고 섞는"&amp;"다.
16. 그릇에 병아리콩 수프를 담고, 올리브 오일과 파슬리를 뿌린다.
17. 올리브 오일을 두른 팬에 불린 반건조 오징어를 굽는다.
18. 볶던 재료에 구운 반건조 오징어를 넣고, 반건조 오징어를 굽고 남은 기름을 더한다.
19. 생크림과 설탕을 섞은 뒤, 핸드 블렌더로 갈아 샹티이 크림을 만든다.
20. 샹티이 크림에 화이트 트러플 오일을 넣고 섞는다.
21. 접시에 볶은 재료들과 반건조 오징어를 올린 뒤, 파슬리"&amp;"를 뿌려 메인 요리를 완성한다.
22. 그릇에 잘게 썬 고구마 말랭이를 담고, 샹티이 크림을 올려 디저트를 완성한다.")</f>
        <v>1. 불린 반건조 오징어의 껍질을 벗긴다.
2. 껍질을 벗긴 반건조 오징어에 칼집을 낸다.
3. 올리브 오일을 두른 팬에 양파, 베이컨을 넣고 볶는다.
4. 3에 반건조 오징어 다리, 다진 마늘을 넣고 함께 볶는다.
5. 4에 소금, 후추로 간을 한 뒤, 양지 육수를 넣고 끓인다.
6. 잘게 썬 대파를 팬에 넣고 함께 끓인다.
7. 믹서기에 물기를 뺀 병아리콩과 우유를 넣고 간다.
8. 7에 들깨가루를 넣는다.
9. 달군 팬에 버터를 녹인 뒤 달걀물, XO소스를 넣고 스크램블한다.
10. 스크램블 에그에 소금, 후추, 파슬리를 넣는다.
11. 게살 통조림을 체에 밭쳐 물기를 뺀다.
12. 물기를 뺀 게살에 레몬즙을 넣어 섞는다.
13. 데운 그릇에 원형틀을 이용해 스크램블 에그와 게살을 층층이 올린다.
14. 13에 올리브 오일을 둘러 에피타이저를 완성한다.
15. 병아리콩 수프에 후추, 올리브 오일, 우유, 소금을 넣고 섞는다.
16. 그릇에 병아리콩 수프를 담고, 올리브 오일과 파슬리를 뿌린다.
17. 올리브 오일을 두른 팬에 불린 반건조 오징어를 굽는다.
18. 볶던 재료에 구운 반건조 오징어를 넣고, 반건조 오징어를 굽고 남은 기름을 더한다.
19. 생크림과 설탕을 섞은 뒤, 핸드 블렌더로 갈아 샹티이 크림을 만든다.
20. 샹티이 크림에 화이트 트러플 오일을 넣고 섞는다.
21. 접시에 볶은 재료들과 반건조 오징어를 올린 뒤, 파슬리를 뿌려 메인 요리를 완성한다.
22. 그릇에 잘게 썬 고구마 말랭이를 담고, 샹티이 크림을 올려 디저트를 완성한다.</v>
      </c>
    </row>
    <row r="217">
      <c r="A217" s="2" t="str">
        <f>recipe!C217
</f>
        <v>미슐랭 쓰리스타는 게뿔</v>
      </c>
      <c r="B217" s="2" t="str">
        <f>IFERROR(__xludf.DUMMYFUNCTION("TRIM(
  REGEXEXTRACT(
    raw!A217,
    ""●\s*조리\s*방법([\s\S]*)""
  )
)
"),"1. 끓는 물에 소금, 올리브 오일을 넣고 오르초를 삶는다.
2. 소고기를 삼각형 모양으로 썬다.
3. 파슬리와 튀김가루를 섞은 뒤, 소고기에 묻힌다.
4. 3을 기름에 넣어 튀긴다.
5. 믹서기에 홀토마토, 티카 마살라 소스를 넣고 간다.
6. 팬에 물기를 뺀 게살, 오렌지 리큐르, 갈아놓은 소스를 넣고 끓인다.
7. 작은 냄비에 면수를 담고, 비프 스톡을 넣어 육수를 끓인다.
8. 삶은 오르초를 체에 밭쳐 물기를"&amp;" 빼고, 소스와 섞는다.
9. 8에 코코넛 크림, 소금, 후추를 넣는다.
10. 핸드 블렌더에 라즈베리와 육수를 넣고 간다.
11. 10에 후추를 뿌린 뒤, 체에 밭쳐 곱게 내린다.
12. 그릇에 파스타를 담고, 튀긴 소고기를 꽂는다.
13. 라즈베리 소스를 곁들이고, 파슬리를 뿌려 완성한다.")</f>
        <v>1. 끓는 물에 소금, 올리브 오일을 넣고 오르초를 삶는다.
2. 소고기를 삼각형 모양으로 썬다.
3. 파슬리와 튀김가루를 섞은 뒤, 소고기에 묻힌다.
4. 3을 기름에 넣어 튀긴다.
5. 믹서기에 홀토마토, 티카 마살라 소스를 넣고 간다.
6. 팬에 물기를 뺀 게살, 오렌지 리큐르, 갈아놓은 소스를 넣고 끓인다.
7. 작은 냄비에 면수를 담고, 비프 스톡을 넣어 육수를 끓인다.
8. 삶은 오르초를 체에 밭쳐 물기를 빼고, 소스와 섞는다.
9. 8에 코코넛 크림, 소금, 후추를 넣는다.
10. 핸드 블렌더에 라즈베리와 육수를 넣고 간다.
11. 10에 후추를 뿌린 뒤, 체에 밭쳐 곱게 내린다.
12. 그릇에 파스타를 담고, 튀긴 소고기를 꽂는다.
13. 라즈베리 소스를 곁들이고, 파슬리를 뿌려 완성한다.</v>
      </c>
    </row>
    <row r="218">
      <c r="A218" s="2" t="str">
        <f>recipe!C218
</f>
        <v>로맨티스타 케이크</v>
      </c>
      <c r="B218" s="2" t="str">
        <f>IFERROR(__xludf.DUMMYFUNCTION("TRIM(
  REGEXEXTRACT(
    raw!A218,
    ""●\s*조리\s*방법([\s\S]*)""
  )
)
"),"1. 끓는 물에 소금을 넣고 파스타면을 삶는다.
2. 차돌박이를 다진다.
3. 베이컨과 팽이버섯을 적당한 크기로 썬다.
4. 백김치의 국물을 짜낸 뒤, 잘게 썬다.
5. 달걀물에 크림소스를 넣고 섞는다.
6. 두 개의 팬에 기름을 두른 뒤, 다진 마늘과 베이컨을 넣고 볶는다.
7. 팬에 차돌박이와 팽이버섯을 넣고 소금, 후추 간을 한다.
8. 파스타면을 건져 팬에 넣고 함께 볶는다.
9. 팬에 면수를 넣고, 잘"&amp;"게 다진 백김치를 넣는다.
10. 9에 크림소스를 섞은 달걀물을 부어 파스타 케이크의 시트를 만든다.
11. 접시를 이용해 케이크 시트를 뒤집어 익힌다.
12. 오징어 젓갈을 잘게 다진다.
13. 다진 오징어 젓갈과 크림치즈를 섞는다.
14. 접시에 구운 케이크 시트를 올린다.
15. 케이크 시트 위에 크림치즈와 섞은 오징어 젓갈을 바른다.
16. 15 위에 케이크 시트를 한 장 더 올려 파스타 케이크를 완성한다.
"&amp;"
17. 데친 칵테일 새우로 케이크를 장식한다.")</f>
        <v>1. 끓는 물에 소금을 넣고 파스타면을 삶는다.
2. 차돌박이를 다진다.
3. 베이컨과 팽이버섯을 적당한 크기로 썬다.
4. 백김치의 국물을 짜낸 뒤, 잘게 썬다.
5. 달걀물에 크림소스를 넣고 섞는다.
6. 두 개의 팬에 기름을 두른 뒤, 다진 마늘과 베이컨을 넣고 볶는다.
7. 팬에 차돌박이와 팽이버섯을 넣고 소금, 후추 간을 한다.
8. 파스타면을 건져 팬에 넣고 함께 볶는다.
9. 팬에 면수를 넣고, 잘게 다진 백김치를 넣는다.
10. 9에 크림소스를 섞은 달걀물을 부어 파스타 케이크의 시트를 만든다.
11. 접시를 이용해 케이크 시트를 뒤집어 익힌다.
12. 오징어 젓갈을 잘게 다진다.
13. 다진 오징어 젓갈과 크림치즈를 섞는다.
14. 접시에 구운 케이크 시트를 올린다.
15. 케이크 시트 위에 크림치즈와 섞은 오징어 젓갈을 바른다.
16. 15 위에 케이크 시트를 한 장 더 올려 파스타 케이크를 완성한다.
17. 데친 칵테일 새우로 케이크를 장식한다.</v>
      </c>
    </row>
    <row r="219">
      <c r="A219" s="2" t="str">
        <f>recipe!C219
</f>
        <v>마이 ♥ 케이크</v>
      </c>
      <c r="B219" s="2" t="str">
        <f>IFERROR(__xludf.DUMMYFUNCTION("TRIM(
  REGEXEXTRACT(
    raw!A219,
    ""●\s*조리\s*방법([\s\S]*)""
  )
)
"),"1. 인스턴트 카레를 체에 걸러 건더기와 소스를 분리한다.
2. 카레소스에 돈코츠 라면 수프, 물, 트러플 오일, 후추를 넣고 끓인다.
3. 달걀, 물, 크림소스, 핫케이크 가루를 섞어 핫케이크 반죽을 만든다.
4. 브로콜리, 대파, 파프리카, 팽이버섯을 잘게 썬다.
5. 끓는 물에 칵테일 새우와 잘게 썬 채소를 데친다.
6. 기름을 두른 팬에 핫케이크 반죽을 넣고 굽는다.
7. 데친 칵테일 새우와 채소에 트러플 오일, "&amp;"소금, 후추를 넣고 섞는다.
8. 구운 핫케이크를 원형틀로 눌러 동그란 모양으로 두 장을 찍어낸다.
9. 쇠꼬치를 불에 달군 뒤, 핫케이크 표면에 그림을 그린다.
10. 접시에 카레소스를 담은 뒤, 그림을 그리지 않은 핫케이크를 올린다.
11. 핫케이크 위에 양념한 칵테일 새우와 채소, 날치알을 올린다.
12. 11에 트러플 오일을 두른 뒤, 그림을 그린 핫케이크를 올린다.")</f>
        <v>1. 인스턴트 카레를 체에 걸러 건더기와 소스를 분리한다.
2. 카레소스에 돈코츠 라면 수프, 물, 트러플 오일, 후추를 넣고 끓인다.
3. 달걀, 물, 크림소스, 핫케이크 가루를 섞어 핫케이크 반죽을 만든다.
4. 브로콜리, 대파, 파프리카, 팽이버섯을 잘게 썬다.
5. 끓는 물에 칵테일 새우와 잘게 썬 채소를 데친다.
6. 기름을 두른 팬에 핫케이크 반죽을 넣고 굽는다.
7. 데친 칵테일 새우와 채소에 트러플 오일, 소금, 후추를 넣고 섞는다.
8. 구운 핫케이크를 원형틀로 눌러 동그란 모양으로 두 장을 찍어낸다.
9. 쇠꼬치를 불에 달군 뒤, 핫케이크 표면에 그림을 그린다.
10. 접시에 카레소스를 담은 뒤, 그림을 그리지 않은 핫케이크를 올린다.
11. 핫케이크 위에 양념한 칵테일 새우와 채소, 날치알을 올린다.
12. 11에 트러플 오일을 두른 뒤, 그림을 그린 핫케이크를 올린다.</v>
      </c>
    </row>
    <row r="220">
      <c r="A220" s="2" t="str">
        <f>recipe!C220
</f>
        <v>크림 속에 비친 파프리카</v>
      </c>
      <c r="B220" s="2" t="str">
        <f>IFERROR(__xludf.DUMMYFUNCTION("TRIM(
  REGEXEXTRACT(
    raw!A220,
    ""●\s*조리\s*방법([\s\S]*)""
  )
)
"),"1. 파프리카를 직화한다.
2. 구워져있는 삼치의 가시를 제거한다.
3. 팬에 으깬 마늘과 손질한 삼치를 넣은 뒤, 살을 으깨어가며 굽는다.
4. 콩나물을 잘게 다진다.
5. 다진 콩나물과 양파를 팬에 넣고 소금, 후추를 뿌려 볶는다.
6. 5에 간장과 맛술을 넣어 볶는다.
7. 팽이버섯을 적당한 크기로 썰어 채소를 볶던 팬에 넣고 함께 볶는다.
8. 즉석밥에 구운 삼치와 날치알을 넣는다.
9. 8에 참기름, "&amp;"볶던 채소를 넣고 섞는다.
10. 팬에 남은 구운 삼치에 화이트 와인을 넣고 볶는다.
11. 핸드블렌더에 구운 삼치와 물을 넣고 간다.
12. 갈아낸 삼치에 크림치즈와 물을 넣고 끓여 삼치 크림소스를 만든다.
13. 12에 레몬즙, 올리고당을 넣는다.
14. 접시에 삼치 크림소스를 담는다.
15. 구운 파프리카의 탄 부분을 벗겨낸다.
16. 길게 펼친 파프리카에 양념한 밥을 넣고 돌돌 만 뒤, 소스 위에 올린다.
"&amp;"
17. 잘게 썬 파를 올리고, 올리브 오일을 뿌린다.
18. 끓는 물에 달걀을 넣어 수란을 만든 뒤, 파프리카 위에 올린다.
19. 후추를 뿌려 완성한다.")</f>
        <v>1. 파프리카를 직화한다.
2. 구워져있는 삼치의 가시를 제거한다.
3. 팬에 으깬 마늘과 손질한 삼치를 넣은 뒤, 살을 으깨어가며 굽는다.
4. 콩나물을 잘게 다진다.
5. 다진 콩나물과 양파를 팬에 넣고 소금, 후추를 뿌려 볶는다.
6. 5에 간장과 맛술을 넣어 볶는다.
7. 팽이버섯을 적당한 크기로 썰어 채소를 볶던 팬에 넣고 함께 볶는다.
8. 즉석밥에 구운 삼치와 날치알을 넣는다.
9. 8에 참기름, 볶던 채소를 넣고 섞는다.
10. 팬에 남은 구운 삼치에 화이트 와인을 넣고 볶는다.
11. 핸드블렌더에 구운 삼치와 물을 넣고 간다.
12. 갈아낸 삼치에 크림치즈와 물을 넣고 끓여 삼치 크림소스를 만든다.
13. 12에 레몬즙, 올리고당을 넣는다.
14. 접시에 삼치 크림소스를 담는다.
15. 구운 파프리카의 탄 부분을 벗겨낸다.
16. 길게 펼친 파프리카에 양념한 밥을 넣고 돌돌 만 뒤, 소스 위에 올린다.
17. 잘게 썬 파를 올리고, 올리브 오일을 뿌린다.
18. 끓는 물에 달걀을 넣어 수란을 만든 뒤, 파프리카 위에 올린다.
19. 후추를 뿌려 완성한다.</v>
      </c>
    </row>
    <row r="221">
      <c r="A221" s="2" t="str">
        <f>recipe!C221
</f>
        <v>사장님 라이스 버거~</v>
      </c>
      <c r="B221" s="2" t="str">
        <f>IFERROR(__xludf.DUMMYFUNCTION("TRIM(
  REGEXEXTRACT(
    raw!A221,
    ""●\s*조리\s*방법([\s\S]*)""
  )
)
"),"1. 즉석밥을 전자레인지에 넣고 돌린다.
2. 차돌박이를 적당한 크기로 썬다.
3. 장조림 국물, 물, 꿀을 섞어 불고기 양념을 만든다.
4. 불고기 양념에 다진 파, 다진 마늘, 후추를 넣는다.
5. 차돌박이에 불고기 양념을 넣어 버무린다.
6. 팬에 양념한 차돌박이를 넣고 볶는다.
7. 즉석밥에 깨와 소금을 넣고 섞어 밑간을 한다.
8. 비닐팩에 밥을 넣은 뒤, 바닥을 제거한 종이그릇 안에 넣고 꾹꾹 눌러 모양을"&amp;" 잡는다.
9. 기름을 두른 팬에 모양을 잡은 밥을 굽는다.
10. 양상추를 채 썰어 차가운 물에 담가둔다.
11. 마요네즈, 된장, 트러플 오일, 참기름, 레몬즙, 꿀을 섞어 된장 아이올리를 만든다.
12. 양상추에 된장 아이올리를 넣고 버무린다.
13. 구운 밥 위에 차돌박이 불고기와 체다 치즈를 올린 뒤, 토치로 치즈를 녹인다.
14. 녹인 체다 치즈 위에 구운 밥을 올린다.
15. 된장 아이올리에 버무린 양상"&amp;"추를 곁들여 낸다.")</f>
        <v>1. 즉석밥을 전자레인지에 넣고 돌린다.
2. 차돌박이를 적당한 크기로 썬다.
3. 장조림 국물, 물, 꿀을 섞어 불고기 양념을 만든다.
4. 불고기 양념에 다진 파, 다진 마늘, 후추를 넣는다.
5. 차돌박이에 불고기 양념을 넣어 버무린다.
6. 팬에 양념한 차돌박이를 넣고 볶는다.
7. 즉석밥에 깨와 소금을 넣고 섞어 밑간을 한다.
8. 비닐팩에 밥을 넣은 뒤, 바닥을 제거한 종이그릇 안에 넣고 꾹꾹 눌러 모양을 잡는다.
9. 기름을 두른 팬에 모양을 잡은 밥을 굽는다.
10. 양상추를 채 썰어 차가운 물에 담가둔다.
11. 마요네즈, 된장, 트러플 오일, 참기름, 레몬즙, 꿀을 섞어 된장 아이올리를 만든다.
12. 양상추에 된장 아이올리를 넣고 버무린다.
13. 구운 밥 위에 차돌박이 불고기와 체다 치즈를 올린 뒤, 토치로 치즈를 녹인다.
14. 녹인 체다 치즈 위에 구운 밥을 올린다.
15. 된장 아이올리에 버무린 양상추를 곁들여 낸다.</v>
      </c>
    </row>
    <row r="222">
      <c r="A222" s="2" t="str">
        <f>recipe!C222
</f>
        <v>이탈리안 특급 파스타</v>
      </c>
      <c r="B222" s="2" t="str">
        <f>IFERROR(__xludf.DUMMYFUNCTION("TRIM(
  REGEXEXTRACT(
    raw!A222,
    ""●\s*조리\s*방법([\s\S]*)""
  )
)
"),"1. 양파를 잘게 다져 냄비에 넣고 볶는다.
2. 끓는 물에 소금을 넣은 뒤, 파스타면을 넣고 삶는다.
3. 길게 찢은 새송이버섯, 다진 마늘을 팬에 넣고 볶는다.
4. 우설을 얇게 썬 뒤, 3에 넣고 볶는다.
5. 팬에 화이트 와인을 부어 플람베한다.
6. 볶던 재료에 소금, 후추로 간을 한다.
7. 냄비에 우유와 레몬즙을 넣고 끓인다.
8. 볶던 양파에 토마토 소스, 후추를 넣고 끓인다.
9. 레몬즙을 넣고"&amp;" 끓인 우유를 면보에 걸러 물기를 빼 리코타 치즈를 만든다.
10. 우설을 볶던 팬에 토마토 소스를 넣는다.
11. 10에 파스타면을 넣는다.
12. 파스타에 올리브 오일, 설탕을 넣는다.
13. 접시에 파스타를 담은 뒤, 리코타 치즈를 올린다.
14. 토치로 리코타 치즈의 겉면을 살짝 그을린다.
15. 올리브 오일을 둘러 완성한다.")</f>
        <v>1. 양파를 잘게 다져 냄비에 넣고 볶는다.
2. 끓는 물에 소금을 넣은 뒤, 파스타면을 넣고 삶는다.
3. 길게 찢은 새송이버섯, 다진 마늘을 팬에 넣고 볶는다.
4. 우설을 얇게 썬 뒤, 3에 넣고 볶는다.
5. 팬에 화이트 와인을 부어 플람베한다.
6. 볶던 재료에 소금, 후추로 간을 한다.
7. 냄비에 우유와 레몬즙을 넣고 끓인다.
8. 볶던 양파에 토마토 소스, 후추를 넣고 끓인다.
9. 레몬즙을 넣고 끓인 우유를 면보에 걸러 물기를 빼 리코타 치즈를 만든다.
10. 우설을 볶던 팬에 토마토 소스를 넣는다.
11. 10에 파스타면을 넣는다.
12. 파스타에 올리브 오일, 설탕을 넣는다.
13. 접시에 파스타를 담은 뒤, 리코타 치즈를 올린다.
14. 토치로 리코타 치즈의 겉면을 살짝 그을린다.
15. 올리브 오일을 둘러 완성한다.</v>
      </c>
    </row>
    <row r="223">
      <c r="A223" s="2" t="str">
        <f>recipe!C223
</f>
        <v>당근 체인지업</v>
      </c>
      <c r="B223" s="2" t="str">
        <f>IFERROR(__xludf.DUMMYFUNCTION("TRIM(
  REGEXEXTRACT(
    raw!A223,
    ""●\s*조리\s*방법([\s\S]*)""
  )
)
"),"1. 소고기 안심에 소금을 뿌려 밑간을 한다.
2. 양파를 반으로 자른 뒤, 가운데 심 부분만 빼내어 팬에 굽는다.
3. 남은 양파와 소고기 안심을 채 썰어 기름을 두른 팬에 볶는다.
4. 3에 통후추를 으깨어 넣는다.
5. 소고기 안심과 양파를 볶던 팬에 레드와인을 넣는다.
6. 5에 꿀, 연겨자를 넣어 소스를 만든다.
7. 단면을 구운 양파를 접시에 담은 뒤, 전자레인지에 넣고 익힌다.
8. 당근을 얇게 썬다.
"&amp;"
9. 팬에 얇게 썬 당근, 버터, 불린 누룽지를 넣고 볶는다.
10. 9에 물을 부어 끓이면서 소금으로 간을 한다.
11. 10을 핸드블렌더에 넣고 간 뒤, 체에 걸러 퓌레를 만든다.
12. 기름을 두른 팬에 소금, 후추 간을 한 소고기 안심을 굽는다.
13. 전자레인지에서 익힌 양파를 꺼내 한 겹씩 분리한다.
14. 원형틀을 이용해 접시에 당근 퓌레를 담는다.
15. 소고기 안심 스테이크를 먹기 좋은 크기로 썬다."&amp;"
16. 당근 퓌레 위에 썰어놓은 스테이크를 올린 뒤, 양파로 장식한다.
17. 소스를 체에 밭쳐 건더기를 걸러낸다.
18. 접시에 소스를 두르고 후추를 뿌려 완성한다.")</f>
        <v>1. 소고기 안심에 소금을 뿌려 밑간을 한다.
2. 양파를 반으로 자른 뒤, 가운데 심 부분만 빼내어 팬에 굽는다.
3. 남은 양파와 소고기 안심을 채 썰어 기름을 두른 팬에 볶는다.
4. 3에 통후추를 으깨어 넣는다.
5. 소고기 안심과 양파를 볶던 팬에 레드와인을 넣는다.
6. 5에 꿀, 연겨자를 넣어 소스를 만든다.
7. 단면을 구운 양파를 접시에 담은 뒤, 전자레인지에 넣고 익힌다.
8. 당근을 얇게 썬다.
9. 팬에 얇게 썬 당근, 버터, 불린 누룽지를 넣고 볶는다.
10. 9에 물을 부어 끓이면서 소금으로 간을 한다.
11. 10을 핸드블렌더에 넣고 간 뒤, 체에 걸러 퓌레를 만든다.
12. 기름을 두른 팬에 소금, 후추 간을 한 소고기 안심을 굽는다.
13. 전자레인지에서 익힌 양파를 꺼내 한 겹씩 분리한다.
14. 원형틀을 이용해 접시에 당근 퓌레를 담는다.
15. 소고기 안심 스테이크를 먹기 좋은 크기로 썬다.
16. 당근 퓌레 위에 썰어놓은 스테이크를 올린 뒤, 양파로 장식한다.
17. 소스를 체에 밭쳐 건더기를 걸러낸다.
18. 접시에 소스를 두르고 후추를 뿌려 완성한다.</v>
      </c>
    </row>
    <row r="224">
      <c r="A224" s="2" t="str">
        <f>recipe!C224
</f>
        <v>입이 떡~갈비</v>
      </c>
      <c r="B224" s="2" t="str">
        <f>IFERROR(__xludf.DUMMYFUNCTION("TRIM(
  REGEXEXTRACT(
    raw!A224,
    ""●\s*조리\s*방법([\s\S]*)""
  )
)
"),"1. 볼에 매실고추장, 다진 마늘, 생강즙, 양파장아찌와 장아찌 국물을 함께 넣는다.
2. 1에 다진 고추장아찌, 맛술, 참기름, 깨, 꿀, 설탕, 다진 베트남 고추를 섞는다.
3. 핸드블렌더에 잘게 썬 소고기와 양념을 넣고 간다.
4. 3에 다진 양파, 대파, 고추, 참기름, 전분을 넣어 치댄다.
5. 새송이버섯을 도톰하게 편으로 썬 뒤, 직사각형 모양으로 썬다.
6. 직사각형으로 썬 새송이버섯을 양념한 고기로 감싼다.
"&amp;"
7. 6과 편으로 썬 새송이버섯을 팬에 넣고 굽는다.
8. 떡갈비에 버터를 끼얹어가며 굽는다.
9. 올리브 오일, 레몬즙을 섞은 뒤 채 썬 사과에 버무린다.
10. 접시에 떡갈비를 얹는다.
11. 떡갈비 위에 구운 새송이버섯을 올린다.
12. 양념한 채 썬 사과, 얇게 썬 밤을 올려 완성한다.")</f>
        <v>1. 볼에 매실고추장, 다진 마늘, 생강즙, 양파장아찌와 장아찌 국물을 함께 넣는다.
2. 1에 다진 고추장아찌, 맛술, 참기름, 깨, 꿀, 설탕, 다진 베트남 고추를 섞는다.
3. 핸드블렌더에 잘게 썬 소고기와 양념을 넣고 간다.
4. 3에 다진 양파, 대파, 고추, 참기름, 전분을 넣어 치댄다.
5. 새송이버섯을 도톰하게 편으로 썬 뒤, 직사각형 모양으로 썬다.
6. 직사각형으로 썬 새송이버섯을 양념한 고기로 감싼다.
7. 6과 편으로 썬 새송이버섯을 팬에 넣고 굽는다.
8. 떡갈비에 버터를 끼얹어가며 굽는다.
9. 올리브 오일, 레몬즙을 섞은 뒤 채 썬 사과에 버무린다.
10. 접시에 떡갈비를 얹는다.
11. 떡갈비 위에 구운 새송이버섯을 올린다.
12. 양념한 채 썬 사과, 얇게 썬 밤을 올려 완성한다.</v>
      </c>
    </row>
    <row r="225">
      <c r="A225" s="2" t="str">
        <f>recipe!C225
</f>
        <v>콩나물 팍팍 무쳤돔</v>
      </c>
      <c r="B225" s="2" t="str">
        <f>IFERROR(__xludf.DUMMYFUNCTION("TRIM(
  REGEXEXTRACT(
    raw!A225,
    ""●\s*조리\s*방법([\s\S]*)""
  )
)
"),"1. 옥돔의 뼈를 발라낸 뒤, 살을 손질한다.
2. 손질한 옥돔살에 칼집을 내고 적당한 크기로 썬다.
3. 2에 청주를 부어 비린내를 잡는다.
4. 손질한 낙지를 소금으로 비벼 씻은 뒤, 적당한 크기로 썬다.
5. 끓는 물에 소금을 넣고 콩나물을 삶는다.
6. 양파, 대파, 청양고추를 잘게 썬다.
7. 대파의 흰 부분을 채 썰어 찬물에 담가둔다.
8. 데친 콩나물을 찬물로 식힌다.
9. 낙지를 데친 뒤, 얼음물"&amp;"에 담가둔다.
10. 고춧가루(3), 고추장(1), 간장(2), 소금, 후추를 섞어 양념장을 만든다.
11. 양념장에 설탕(2), 청주, 다진 마늘, 다진 생강을 넣고 섞는다.
12. 즉석밥을 전자레인지에 넣고 돌린다.
13. 기름을 두른 팬에 손질한 채소, 데친 콩나물과 낙지를 넣은 뒤 양념장과 함께 볶는다.
14. 달걀 노른자, 얼음물, 밀가루를 섞어 튀김옷을 만든다.
15. 튀김옷을 입힌 옥돔을 기름에 튀긴다.
"&amp;"
16. 튀긴 옥돔을 건져 기름기를 뺀다.
17. 기름에 날달걀을 넣어 튀긴다.
18. 접시에 즉석밥을 담는다.
19. 옥돔 튀김과 낙지 콩나물찜을 올린다.
20. 날달걀 튀김을 얹어 완성한다.")</f>
        <v>1. 옥돔의 뼈를 발라낸 뒤, 살을 손질한다.
2. 손질한 옥돔살에 칼집을 내고 적당한 크기로 썬다.
3. 2에 청주를 부어 비린내를 잡는다.
4. 손질한 낙지를 소금으로 비벼 씻은 뒤, 적당한 크기로 썬다.
5. 끓는 물에 소금을 넣고 콩나물을 삶는다.
6. 양파, 대파, 청양고추를 잘게 썬다.
7. 대파의 흰 부분을 채 썰어 찬물에 담가둔다.
8. 데친 콩나물을 찬물로 식힌다.
9. 낙지를 데친 뒤, 얼음물에 담가둔다.
10. 고춧가루(3), 고추장(1), 간장(2), 소금, 후추를 섞어 양념장을 만든다.
11. 양념장에 설탕(2), 청주, 다진 마늘, 다진 생강을 넣고 섞는다.
12. 즉석밥을 전자레인지에 넣고 돌린다.
13. 기름을 두른 팬에 손질한 채소, 데친 콩나물과 낙지를 넣은 뒤 양념장과 함께 볶는다.
14. 달걀 노른자, 얼음물, 밀가루를 섞어 튀김옷을 만든다.
15. 튀김옷을 입힌 옥돔을 기름에 튀긴다.
16. 튀긴 옥돔을 건져 기름기를 뺀다.
17. 기름에 날달걀을 넣어 튀긴다.
18. 접시에 즉석밥을 담는다.
19. 옥돔 튀김과 낙지 콩나물찜을 올린다.
20. 날달걀 튀김을 얹어 완성한다.</v>
      </c>
    </row>
    <row r="226">
      <c r="A226" s="2" t="str">
        <f>recipe!C226
</f>
        <v>토마토 쓴다고 놀리지 말아요</v>
      </c>
      <c r="B226" s="2" t="str">
        <f>IFERROR(__xludf.DUMMYFUNCTION("TRIM(
  REGEXEXTRACT(
    raw!A226,
    ""●\s*조리\s*방법([\s\S]*)""
  )
)
"),"1. 냄비에 올리브 오일을 두른 뒤, 손질한 채소와 물을 넣고 끓여 채소 육수를 만든다.
2. 1에 게딱지를 넣고 함께 끓인다.
3. 팬에 잣을 넣고 볶는다.
4. 물기를 제거한 대구살을 핸드블렌더에 넣고 간다.
5. 4에 볶은 잣, 전분, 파르메산 치즈를 넣고 함께 간다.
6. 5에 물을 넣은 뒤 동그랗게 뭉친다.
7. 올리브 오일을 두른 팬에 올리브, 케이퍼, 마늘을 잘게 다져 넣고 볶는다.
8. 7에 게와 육수"&amp;"를 넣고 함께 볶는다.
9. 잘게 썬 선드라이 토마토와 올리브 오일을 넣고 함께 볶는다.
10. 올리브 오일을 두른 팬에 뭉친 대구살을 부친다.
11. 대구살 완자를 육수에 넣고 살짝 익힌 뒤, 팬에 넣고 마저 익힌다.
12. 팬에서 게를 건져낸다.
13. 그릇에 국물과 대구살 완자를 담는다.
14. 13 위에 부친 대구살을 다져 올린다.")</f>
        <v>1. 냄비에 올리브 오일을 두른 뒤, 손질한 채소와 물을 넣고 끓여 채소 육수를 만든다.
2. 1에 게딱지를 넣고 함께 끓인다.
3. 팬에 잣을 넣고 볶는다.
4. 물기를 제거한 대구살을 핸드블렌더에 넣고 간다.
5. 4에 볶은 잣, 전분, 파르메산 치즈를 넣고 함께 간다.
6. 5에 물을 넣은 뒤 동그랗게 뭉친다.
7. 올리브 오일을 두른 팬에 올리브, 케이퍼, 마늘을 잘게 다져 넣고 볶는다.
8. 7에 게와 육수를 넣고 함께 볶는다.
9. 잘게 썬 선드라이 토마토와 올리브 오일을 넣고 함께 볶는다.
10. 올리브 오일을 두른 팬에 뭉친 대구살을 부친다.
11. 대구살 완자를 육수에 넣고 살짝 익힌 뒤, 팬에 넣고 마저 익힌다.
12. 팬에서 게를 건져낸다.
13. 그릇에 국물과 대구살 완자를 담는다.
14. 13 위에 부친 대구살을 다져 올린다.</v>
      </c>
    </row>
    <row r="227">
      <c r="A227" s="2" t="str">
        <f>recipe!C227
</f>
        <v>밖으로 나가버리곤약</v>
      </c>
      <c r="B227" s="2" t="str">
        <f>IFERROR(__xludf.DUMMYFUNCTION("TRIM(
  REGEXEXTRACT(
    raw!A227,
    ""●\s*조리\s*방법([\s\S]*)""
  )
)
"),"1. 불고기용 소고기를 칼로 두드려 부드럽게 만든 뒤, 후추와 소금으로 밑간한다.
2. 고기의 질긴 부분을 제거하고 적당한 크기로 썬다.
3. 기름을 두른 압력솥에 손질한 채소와 고기를 넣고 볶는다.
4. 3에 카레가루를 넣고 볶는다.
5. 팬에 레드와인을 졸인다.
6. 볶던 재료에 졸인 와인과 돈가스 소스를 넣는다.
7. 6에 배즙을 넣는다.
8. 적당한 크기로 썬 배를 압력솥에 넣는다.
9. 압력솥의 뚜껑을"&amp;" 닫고 익힌다.
10. 표고버섯은 편으로 썰고, 애호박은 얇게 채 썬다.
11. 기름을 두른 팬에 표고버섯, 애호박, 후추를 넣고 볶는다.
12. 11에 물기를 뺀 실곤약과 간장을 넣고 볶은 뒤 접시에 담는다.
13. 익힌 재료에 버터와 트러플 꿀을 넣는다.
14. 소금을 넣은 끓는 물에 적당한 크기로 썬 아스파라거스를 데친다.
15. 실곤약 볶음 위에 익힌 고기와 채소를 올린다.
16. 졸인 국물을 부어 완성한다.")</f>
        <v>1. 불고기용 소고기를 칼로 두드려 부드럽게 만든 뒤, 후추와 소금으로 밑간한다.
2. 고기의 질긴 부분을 제거하고 적당한 크기로 썬다.
3. 기름을 두른 압력솥에 손질한 채소와 고기를 넣고 볶는다.
4. 3에 카레가루를 넣고 볶는다.
5. 팬에 레드와인을 졸인다.
6. 볶던 재료에 졸인 와인과 돈가스 소스를 넣는다.
7. 6에 배즙을 넣는다.
8. 적당한 크기로 썬 배를 압력솥에 넣는다.
9. 압력솥의 뚜껑을 닫고 익힌다.
10. 표고버섯은 편으로 썰고, 애호박은 얇게 채 썬다.
11. 기름을 두른 팬에 표고버섯, 애호박, 후추를 넣고 볶는다.
12. 11에 물기를 뺀 실곤약과 간장을 넣고 볶은 뒤 접시에 담는다.
13. 익힌 재료에 버터와 트러플 꿀을 넣는다.
14. 소금을 넣은 끓는 물에 적당한 크기로 썬 아스파라거스를 데친다.
15. 실곤약 볶음 위에 익힌 고기와 채소를 올린다.
16. 졸인 국물을 부어 완성한다.</v>
      </c>
    </row>
    <row r="228">
      <c r="A228" s="2" t="str">
        <f>recipe!C228
</f>
        <v>안심하그라탱</v>
      </c>
      <c r="B228" s="2" t="str">
        <f>IFERROR(__xludf.DUMMYFUNCTION("TRIM(
  REGEXEXTRACT(
    raw!A228,
    ""●\s*조리\s*방법([\s\S]*)""
  )
)
"),"1. 소금, 후추로 밑간을 한 닭안심살을 두드려 부드럽게 만든다.
2. 닭안심살에 올리브 오일을 뿌린 뒤, 그릴팬에 굽는다.
3. 생모차렐라 치즈와 흑토마토를 같은 두께로 썬다.
4. 그라탱 접시에 생모차렐라 치즈, 구운 닭안심살, 흑토마토를 겹겹이 놓는다.
5. 모차렐라 치즈를 갈아 올리고, 소금으로 간을 한다.
6. 5를 예열된 오븐에 넣고 굽는다.
7. 토마토를 돌려 깎아 껍질로 장미꽃 모양을 만든다.
8. 상"&amp;"추를 잘게 썬다.
9. 올리브로 토끼 모양을 만든다.
10. 올리브를 잘게 썬다.
11. 오븐에서 꺼낸 그라탱 위에 상추, 올리브로 만든 토끼, 토마토로 만든 꽃을 얹는다.
12. 잘게 썬 올리브와 데친 아스파라거스를 올려 완성한다.")</f>
        <v>1. 소금, 후추로 밑간을 한 닭안심살을 두드려 부드럽게 만든다.
2. 닭안심살에 올리브 오일을 뿌린 뒤, 그릴팬에 굽는다.
3. 생모차렐라 치즈와 흑토마토를 같은 두께로 썬다.
4. 그라탱 접시에 생모차렐라 치즈, 구운 닭안심살, 흑토마토를 겹겹이 놓는다.
5. 모차렐라 치즈를 갈아 올리고, 소금으로 간을 한다.
6. 5를 예열된 오븐에 넣고 굽는다.
7. 토마토를 돌려 깎아 껍질로 장미꽃 모양을 만든다.
8. 상추를 잘게 썬다.
9. 올리브로 토끼 모양을 만든다.
10. 올리브를 잘게 썬다.
11. 오븐에서 꺼낸 그라탱 위에 상추, 올리브로 만든 토끼, 토마토로 만든 꽃을 얹는다.
12. 잘게 썬 올리브와 데친 아스파라거스를 올려 완성한다.</v>
      </c>
    </row>
    <row r="229">
      <c r="A229" s="2" t="str">
        <f>recipe!C229
</f>
        <v>홍시 밭의 거위</v>
      </c>
      <c r="B229" s="2" t="str">
        <f>IFERROR(__xludf.DUMMYFUNCTION("TRIM(
  REGEXEXTRACT(
    raw!A229,
    ""●\s*조리\s*방법([\s\S]*)""
  )
)
"),"1. 홍시는 껍질을 벗기고 심과 씨를 발라낸다.
2. 홍시를 핸드블렌더에 넣고 곱게 간다.
3. 2를 체에 밭쳐 곱게 내린 뒤 소금, 후추로 간을 한다.
4. 찜기에 홍삼정과를 넣고 찐다.
5. 끓는 물에 소금을 넣고 아스파라거스를 데친다.
6. 데친 아스파라거스를 적당한 크기로 썬다.
7. 볼에 트러플 꿀, 트러플 오일, 후추, 데친 아스파라거스를 넣고 섞는다.
8. 허니 아몬드를 잘게 부순다.
9. 푸아그라"&amp;" 통조림을 적당한 크기로 썬 다음 트러플 소금을 뿌린다.
10. 원형틀을 이용해 상추를 동그란 모양으로 찍어낸다.
11. 찐 홍삼절편에 트러플 오일과 트러플 소금을 뿌린다.
12. 접시에 홍시 소스를 얇게 펼친다.
13. 홍시 소스 위에 푸아그라, 홍삼정과, 아스파라거스를 올린다.
14. 13 위에 동그랗게 손질한 상추를 올리고, 잘게 부순 허니 아몬드를 뿌려 완성한다.")</f>
        <v>1. 홍시는 껍질을 벗기고 심과 씨를 발라낸다.
2. 홍시를 핸드블렌더에 넣고 곱게 간다.
3. 2를 체에 밭쳐 곱게 내린 뒤 소금, 후추로 간을 한다.
4. 찜기에 홍삼정과를 넣고 찐다.
5. 끓는 물에 소금을 넣고 아스파라거스를 데친다.
6. 데친 아스파라거스를 적당한 크기로 썬다.
7. 볼에 트러플 꿀, 트러플 오일, 후추, 데친 아스파라거스를 넣고 섞는다.
8. 허니 아몬드를 잘게 부순다.
9. 푸아그라 통조림을 적당한 크기로 썬 다음 트러플 소금을 뿌린다.
10. 원형틀을 이용해 상추를 동그란 모양으로 찍어낸다.
11. 찐 홍삼절편에 트러플 오일과 트러플 소금을 뿌린다.
12. 접시에 홍시 소스를 얇게 펼친다.
13. 홍시 소스 위에 푸아그라, 홍삼정과, 아스파라거스를 올린다.
14. 13 위에 동그랗게 손질한 상추를 올리고, 잘게 부순 허니 아몬드를 뿌려 완성한다.</v>
      </c>
    </row>
    <row r="230">
      <c r="A230" s="2" t="str">
        <f>recipe!C230
</f>
        <v>장어 팔복채</v>
      </c>
      <c r="B230" s="2" t="str">
        <f>IFERROR(__xludf.DUMMYFUNCTION("TRIM(
  REGEXEXTRACT(
    raw!A230,
    ""●\s*조리\s*방법([\s\S]*)""
  )
)
"),"1. 끓는 물에 전복을 데친다.
2. 오징어에 칼집을 내고 적당한 크기로 썬다.
3. 새우는 머리와 껍질을 제거한 뒤, 등에 칼집을 낸다.
4. 데친 전복에 칼집을 낸 뒤, 잘게 썬다.
5. 장어에 칼집을 내고 적당한 크기로 썬다.
6. 기름에 대파, 고춧가루, 다진 생강을 넣고 끓인다.
7. 6을 체에 걸러 고추기름만 받아낸다.
8. 브로콜리, 파프리카, 표고버섯, 배추를 적당한 크기로 썬다.
9. 끓는 물에"&amp;" 청주를 넣은 뒤, 손질한 해산물과 채소를 넣고 데친다.
10. 대파, 마늘, 다진 생강, 고추를 손질한다.
11. 팬에 고추기름을 두르고 대파, 고추, 다진 마늘과 생강을 넣고 볶는다.
12. 데친 해산물과 채소를 체에 밭쳐 물기를 뺀 뒤, 팬에 넣어 함께 볶는다.
13. 12에 간장, 장어구이용 소스, 두반장을 넣고 볶는다.
14. 데친 전복을 넣고 함께 볶는다.
15. 전분물을 넣어 농도를 맞춘다.")</f>
        <v>1. 끓는 물에 전복을 데친다.
2. 오징어에 칼집을 내고 적당한 크기로 썬다.
3. 새우는 머리와 껍질을 제거한 뒤, 등에 칼집을 낸다.
4. 데친 전복에 칼집을 낸 뒤, 잘게 썬다.
5. 장어에 칼집을 내고 적당한 크기로 썬다.
6. 기름에 대파, 고춧가루, 다진 생강을 넣고 끓인다.
7. 6을 체에 걸러 고추기름만 받아낸다.
8. 브로콜리, 파프리카, 표고버섯, 배추를 적당한 크기로 썬다.
9. 끓는 물에 청주를 넣은 뒤, 손질한 해산물과 채소를 넣고 데친다.
10. 대파, 마늘, 다진 생강, 고추를 손질한다.
11. 팬에 고추기름을 두르고 대파, 고추, 다진 마늘과 생강을 넣고 볶는다.
12. 데친 해산물과 채소를 체에 밭쳐 물기를 뺀 뒤, 팬에 넣어 함께 볶는다.
13. 12에 간장, 장어구이용 소스, 두반장을 넣고 볶는다.
14. 데친 전복을 넣고 함께 볶는다.
15. 전분물을 넣어 농도를 맞춘다.</v>
      </c>
    </row>
    <row r="231">
      <c r="A231" s="2" t="str">
        <f>recipe!C231
</f>
        <v>트러플 메이커</v>
      </c>
      <c r="B231" s="2" t="str">
        <f>IFERROR(__xludf.DUMMYFUNCTION("TRIM(
  REGEXEXTRACT(
    raw!A231,
    ""●\s*조리\s*방법([\s\S]*)""
  )
)
"),"1. 볼에 달걀을 푼 뒤, 체에 밭쳐 곱게 내린다.
2. 팬에 달걀물을 붓고 젓가락으로 살살 휘젓는다.
3. 아랫면만 익힌 달걀을 팬을 기울여 한 쪽에 몰아놓고, 반대편 바닥을 두드리며 반달모양으로 만든다.
4. 달걀 사이에 화이트 트러플 페이스트를 넣어 감싸 오믈렛을 만든다.
5. 곡물빵을 석쇠에 넣고 직화로 굽는다.
6. 곡물빵에 올리브 오일을 뿌리고 다시 직화로 굽는다.
7. 버터를 중탕으로 녹여 정제버터를 만든다."&amp;"
8. 볼에 달걀 노른자, 나초 치즈를 넣고 섞으며 중탕한다.
9. 8에 정제버터를 조금씩 넣어가며 섞어 홀랜다이즈 소스를 만든다.
10. 홀랜다이즈 소스에 식초를 넣고 섞는다.
11. 접시에 구운 곡물빵을 담고 오믈렛을 올린다.
12. 오믈렛 위에 홀랜다이즈 소스를 얹는다.
13. 화이트 트러플을 갈아 올려 완성한다.")</f>
        <v>1. 볼에 달걀을 푼 뒤, 체에 밭쳐 곱게 내린다.
2. 팬에 달걀물을 붓고 젓가락으로 살살 휘젓는다.
3. 아랫면만 익힌 달걀을 팬을 기울여 한 쪽에 몰아놓고, 반대편 바닥을 두드리며 반달모양으로 만든다.
4. 달걀 사이에 화이트 트러플 페이스트를 넣어 감싸 오믈렛을 만든다.
5. 곡물빵을 석쇠에 넣고 직화로 굽는다.
6. 곡물빵에 올리브 오일을 뿌리고 다시 직화로 굽는다.
7. 버터를 중탕으로 녹여 정제버터를 만든다.
8. 볼에 달걀 노른자, 나초 치즈를 넣고 섞으며 중탕한다.
9. 8에 정제버터를 조금씩 넣어가며 섞어 홀랜다이즈 소스를 만든다.
10. 홀랜다이즈 소스에 식초를 넣고 섞는다.
11. 접시에 구운 곡물빵을 담고 오믈렛을 올린다.
12. 오믈렛 위에 홀랜다이즈 소스를 얹는다.
13. 화이트 트러플을 갈아 올려 완성한다.</v>
      </c>
    </row>
    <row r="232">
      <c r="A232" s="2" t="str">
        <f>recipe!C232
</f>
        <v>자연풍 주의보</v>
      </c>
      <c r="B232" s="2" t="str">
        <f>IFERROR(__xludf.DUMMYFUNCTION("TRIM(
  REGEXEXTRACT(
    raw!A232,
    ""●\s*조리\s*방법([\s\S]*)""
  )
)
"),"1. 파프리카를 직화한다.
2. 새우의 머리와 껍질을 제거한다.
3. 들기름을 두른 냄비에 새우 머리를 볶은 뒤, 우유를 부어 끓인다.
4. 3에 들깨가루를 넣어 들깨소스를 만든다.
5. 들깨소스에 소금으로 간을 한다.
6. 버터를 두른 팬에 잘게 썬 새우를 넣어 볶는다.
7. 6에 소금, 후추로 간을 한 뒤 화이트 와인을 넣는다.
8. 아보카도는 반으로 갈라 씨를 빼고, 껍질을 벗긴다.
9. 새우를 볶던 팬에"&amp;" 잘게 썬 아보카도를 넣고 함께 볶는다.
10. 9에 파르메산 치즈를 갈아 넣는다.
11. 토치로 파프리카의 겉면을 완전히 태운다.
12. 파프리카의 탄 부분을 깨끗이 씻어내고 씨를 빼낸다.
13. 파프리카 속에 치즈를 넣어 볶은 새우와 아보카도를 채워 넣는다.
14. 끓인 들깨소스를 체에 밭쳐 곱게 내린다.
15. 그릇에 들깨소스를 붓고 속을 채운 파프리카를 담아 완성한다.")</f>
        <v>1. 파프리카를 직화한다.
2. 새우의 머리와 껍질을 제거한다.
3. 들기름을 두른 냄비에 새우 머리를 볶은 뒤, 우유를 부어 끓인다.
4. 3에 들깨가루를 넣어 들깨소스를 만든다.
5. 들깨소스에 소금으로 간을 한다.
6. 버터를 두른 팬에 잘게 썬 새우를 넣어 볶는다.
7. 6에 소금, 후추로 간을 한 뒤 화이트 와인을 넣는다.
8. 아보카도는 반으로 갈라 씨를 빼고, 껍질을 벗긴다.
9. 새우를 볶던 팬에 잘게 썬 아보카도를 넣고 함께 볶는다.
10. 9에 파르메산 치즈를 갈아 넣는다.
11. 토치로 파프리카의 겉면을 완전히 태운다.
12. 파프리카의 탄 부분을 깨끗이 씻어내고 씨를 빼낸다.
13. 파프리카 속에 치즈를 넣어 볶은 새우와 아보카도를 채워 넣는다.
14. 끓인 들깨소스를 체에 밭쳐 곱게 내린다.
15. 그릇에 들깨소스를 붓고 속을 채운 파프리카를 담아 완성한다.</v>
      </c>
    </row>
    <row r="233">
      <c r="A233" s="2" t="str">
        <f>recipe!C233
</f>
        <v>마성의 해물면</v>
      </c>
      <c r="B233" s="2" t="str">
        <f>IFERROR(__xludf.DUMMYFUNCTION("TRIM(
  REGEXEXTRACT(
    raw!A233,
    ""●\s*조리\s*방법([\s\S]*)""
  )
)
"),"1. 마는 껍질을 벗겨 손질한다.
2. 오징어와 새우를 적당한 크기로 썬다.
3. 믹서기에 오징어, 새우, 마를 넣는다.
4. 3에 달걀 흰자, 성게알, 전분, 간장을 넣고 갈아 반죽을 만든다.
5. 전복의 내장을 떼어내고 적당한 크기로 썬다.
6. 마와 애호박을 채 썬다.
7. 손질한 전복, 마, 애호박을 끓는 물에 데친 뒤 얼음물에 담가둔다.
8. 비닐팩에 갈아놓은 반죽을 넣는다.
9. 비닐팩 모서리를 잘라 작게 구멍을 낸다.
10."&amp;" 끓는 물을 저어 회오리를 만든 뒤, 반죽을 짜 넣는다.
11. 익은 해물면을 건져낸 뒤, 얼음물에 담가둔다.
12. 성게알, 트러플 오일, 소금, 간장을 섞어 성게알 소스를 만든다.
13. 성게알 소스를 체에 밭쳐 곱게 내린다.
14. 볼에 데친 전복과 마, 애호박, 해물면을 담은 뒤 성게알 소스를 넣고 버무린다.
15. 성게알 소스에 버무린 해물면과 전복, 채소를 접시에 담는다.
16. 성게알을 올려 완성한다.")</f>
        <v>1. 마는 껍질을 벗겨 손질한다.
2. 오징어와 새우를 적당한 크기로 썬다.
3. 믹서기에 오징어, 새우, 마를 넣는다.
4. 3에 달걀 흰자, 성게알, 전분, 간장을 넣고 갈아 반죽을 만든다.
5. 전복의 내장을 떼어내고 적당한 크기로 썬다.
6. 마와 애호박을 채 썬다.
7. 손질한 전복, 마, 애호박을 끓는 물에 데친 뒤 얼음물에 담가둔다.
8. 비닐팩에 갈아놓은 반죽을 넣는다.
9. 비닐팩 모서리를 잘라 작게 구멍을 낸다.
10. 끓는 물을 저어 회오리를 만든 뒤, 반죽을 짜 넣는다.
11. 익은 해물면을 건져낸 뒤, 얼음물에 담가둔다.
12. 성게알, 트러플 오일, 소금, 간장을 섞어 성게알 소스를 만든다.
13. 성게알 소스를 체에 밭쳐 곱게 내린다.
14. 볼에 데친 전복과 마, 애호박, 해물면을 담은 뒤 성게알 소스를 넣고 버무린다.
15. 성게알 소스에 버무린 해물면과 전복, 채소를 접시에 담는다.
16. 성게알을 올려 완성한다.</v>
      </c>
    </row>
    <row r="234">
      <c r="A234" s="2" t="str">
        <f>recipe!C234
</f>
        <v>라자냐는 나자냐</v>
      </c>
      <c r="B234" s="2" t="str">
        <f>IFERROR(__xludf.DUMMYFUNCTION("TRIM(
  REGEXEXTRACT(
    raw!A234,
    ""●\s*조리\s*방법([\s\S]*)""
  )
)
"),"1. 끓는 물에 소금을 넣은 뒤, 라자냐를 넣고 삶는다.
2. 파프리카, 삶은 호박고지, 느타리버섯, 브로콜리, 양파, 가지를 잘게 썬다.
3. 닭다리살을 잘게 썬다.
4. 기름을 두른 팬에 으깬 마늘과 닭다리살을 넣고 볶는다.
5. 4에 소금, 후추로 간을 한 뒤 손질한 채소들을 넣고 함께 볶는다.
6. 팬에 버터와 밀가루를 넣고 볶아 루를 만든다.
7. 루에 우유와 파르메산 치즈를 갈아 넣어 베샤멜 소스를 만든다.
"&amp;"
8. 볼에 화이트 와인 식초, 토마토 소스, 설탕, 소금, 올리브 오일을 넣고 섞는다.
9. 8에 볶은 재료들을 넣고, 파르메산 치즈를 갈아 넣는다.
10. 오븐용 그릇에 라자냐 &gt; 베샤멜 소스 &gt; 토마토 소스에 버무린 재료들 순으로 켜켜이 쌓는다.
11. 10에 슬라이스 치즈를 올리고 베샤멜 소스를 뿌린다.
12. 파르메산 치즈를 갈아 올린 뒤, 예열한 오븐에 넣어 익힌다.
13. 오븐에서 라자냐를 꺼낸 뒤, 토치로 표면"&amp;"을 마저 익힌다.")</f>
        <v>1. 끓는 물에 소금을 넣은 뒤, 라자냐를 넣고 삶는다.
2. 파프리카, 삶은 호박고지, 느타리버섯, 브로콜리, 양파, 가지를 잘게 썬다.
3. 닭다리살을 잘게 썬다.
4. 기름을 두른 팬에 으깬 마늘과 닭다리살을 넣고 볶는다.
5. 4에 소금, 후추로 간을 한 뒤 손질한 채소들을 넣고 함께 볶는다.
6. 팬에 버터와 밀가루를 넣고 볶아 루를 만든다.
7. 루에 우유와 파르메산 치즈를 갈아 넣어 베샤멜 소스를 만든다.
8. 볼에 화이트 와인 식초, 토마토 소스, 설탕, 소금, 올리브 오일을 넣고 섞는다.
9. 8에 볶은 재료들을 넣고, 파르메산 치즈를 갈아 넣는다.
10. 오븐용 그릇에 라자냐 &gt; 베샤멜 소스 &gt; 토마토 소스에 버무린 재료들 순으로 켜켜이 쌓는다.
11. 10에 슬라이스 치즈를 올리고 베샤멜 소스를 뿌린다.
12. 파르메산 치즈를 갈아 올린 뒤, 예열한 오븐에 넣어 익힌다.
13. 오븐에서 라자냐를 꺼낸 뒤, 토치로 표면을 마저 익힌다.</v>
      </c>
    </row>
    <row r="235">
      <c r="A235" s="2" t="str">
        <f>recipe!C235
</f>
        <v>사랑햄</v>
      </c>
      <c r="B235" s="2" t="str">
        <f>IFERROR(__xludf.DUMMYFUNCTION("TRIM(
  REGEXEXTRACT(
    raw!A235,
    ""●\s*조리\s*방법([\s\S]*)""
  )
)
"),"1. 사과의 껍질을 깎은 뒤, 잘게 썬다.
2. 잘게 썬 사과를 냄비에 넣는다.
3. 사과를 넣은 냄비에 사과주스와 설탕을 넣고 조린다.
4. 3에 버터를 넣는다.
5. 냄비에 통조림 햄을 으깨어 넣고 함께 조린다.
6. 볼에 달걀, 밀가루, 설탕을 넣고 섞는다.
7. 6에 우유를 넣고 섞어 크레페 반죽을 만든다.
8. 달군 팬에 크레페 반죽을 부어 얇게 부친다.
9. 달걀프라이를 만들어 크레페 위에 올린다.
"&amp;"
10. 9에 조린 사과와 햄, 슬라이스 치즈를 올린다.
11. 크레페를 접어 재료들을 감싼다.
12. 재료를 감싼 크레페에 달걀물 &gt; 빵가루 순으로 튀김옷을 입힌다.
13. 튀김옷을 입힌 크레페를 기름에 넣고 튀긴다.
14. 튀겨낸 크레페를 접시에 담아낸다.")</f>
        <v>1. 사과의 껍질을 깎은 뒤, 잘게 썬다.
2. 잘게 썬 사과를 냄비에 넣는다.
3. 사과를 넣은 냄비에 사과주스와 설탕을 넣고 조린다.
4. 3에 버터를 넣는다.
5. 냄비에 통조림 햄을 으깨어 넣고 함께 조린다.
6. 볼에 달걀, 밀가루, 설탕을 넣고 섞는다.
7. 6에 우유를 넣고 섞어 크레페 반죽을 만든다.
8. 달군 팬에 크레페 반죽을 부어 얇게 부친다.
9. 달걀프라이를 만들어 크레페 위에 올린다.
10. 9에 조린 사과와 햄, 슬라이스 치즈를 올린다.
11. 크레페를 접어 재료들을 감싼다.
12. 재료를 감싼 크레페에 달걀물 &gt; 빵가루 순으로 튀김옷을 입힌다.
13. 튀김옷을 입힌 크레페를 기름에 넣고 튀긴다.
14. 튀겨낸 크레페를 접시에 담아낸다.</v>
      </c>
    </row>
    <row r="236">
      <c r="A236" s="2" t="str">
        <f>recipe!C236
</f>
        <v>가지 싸움에 새우등 터진다</v>
      </c>
      <c r="B236" s="2" t="str">
        <f>IFERROR(__xludf.DUMMYFUNCTION("TRIM(
  REGEXEXTRACT(
    raw!A236,
    ""●\s*조리\s*방법([\s\S]*)""
  )
)
"),"1. 가지를 편으로 썬다.
2. 편으로 썬 가지에 밀가루를 묻힌다.
3. 칵테일 새우의 꼬리를 제거한 뒤, 살을 으깬다.
4. 적당한 크기로 썬 소고기와 으깬 새우살을 함께 다진다.
5. 4에 감자 전분, 달걀물, 생강즙을 넣고 치댄다.
6. 밀가루를 묻힌 가지 사이에 소고기&amp;새우 반죽을 넣는다.
7. 감자 전분, 옥수수 전분, 달걀물, 물을 섞어 튀김옷을 만든다.
8. 소고기&amp;새우 반죽을 넣은 가지에 튀김옷을 입힌"&amp;"다.
9. 8을 기름에 넣고 튀긴다.
10. 볼에 마늘, 대파, 파프리카를 잘게 다져 넣는다.
11. 10에 간장, 식초, 물, 설탕(1:1:1:1)을 넣고 섞어 소스를 만든다.
12. 접시에 가지 튀김을 담고 소스를 뿌려 완성한다.")</f>
        <v>1. 가지를 편으로 썬다.
2. 편으로 썬 가지에 밀가루를 묻힌다.
3. 칵테일 새우의 꼬리를 제거한 뒤, 살을 으깬다.
4. 적당한 크기로 썬 소고기와 으깬 새우살을 함께 다진다.
5. 4에 감자 전분, 달걀물, 생강즙을 넣고 치댄다.
6. 밀가루를 묻힌 가지 사이에 소고기&amp;새우 반죽을 넣는다.
7. 감자 전분, 옥수수 전분, 달걀물, 물을 섞어 튀김옷을 만든다.
8. 소고기&amp;새우 반죽을 넣은 가지에 튀김옷을 입힌다.
9. 8을 기름에 넣고 튀긴다.
10. 볼에 마늘, 대파, 파프리카를 잘게 다져 넣는다.
11. 10에 간장, 식초, 물, 설탕(1:1:1:1)을 넣고 섞어 소스를 만든다.
12. 접시에 가지 튀김을 담고 소스를 뿌려 완성한다.</v>
      </c>
    </row>
    <row r="237">
      <c r="A237" s="2" t="str">
        <f>recipe!C237
</f>
        <v>대게 맛있는 따로 덮밥</v>
      </c>
      <c r="B237" s="2" t="str">
        <f>IFERROR(__xludf.DUMMYFUNCTION("TRIM(
  REGEXEXTRACT(
    raw!A237,
    ""●\s*조리\s*방법([\s\S]*)""
  )
)
"),"1. 기름을 두른 팬에 잘게 썬 양파를 넣고 볶는다.
2. 1에 삶은 호박고지를 넣고 함께 볶는다.
3. 잘게 썬 대파와 삶은 고사리, 다진 마늘을 팬에 넣고 함께 볶는다.
4. 채소를 볶던 팬에 물과 맛간장을 넣어 끓인다.
5. 4에 맛술과 올리고당을 넣어 함께 끓인다.
6. 표고버섯과 고추를 썰어 팬에 넣은 뒤, 후추를 뿌린다.
7. 즉석밥을 전자레인지에 넣고 돌린다.
8. 잘게 썬 대파를 얼음물에 담가둔다.
"&amp;"
9. 대게살과 삶은 문어의 물기를 제거한다.
10. 물기를 제거한 대게살과 삶은 문어를 기름에 튀긴다.
11. 채소를 넣어 끓인 덮밥 소스에 참기름을 넣는다.
12. 11에 달걀물을 풀어 넣는다.
13. 볼에 잘게 다진 삶은 시래기, 밥, 참기름을 넣고 섞는다.
14. 13에 소금으로 간을 한 뒤, 잘 섞어준다.
15. 원형틀을 이용해 그릇에 시래기밥을 담고 깨를 뿌린다.
16. 다른 접시에 원형틀을 이용해 덮밥"&amp;" 소스를 담는다.
17. 덮밥 소스 위에 튀긴 문어와 대게살, 채 썬 파를 올려 완성한다.")</f>
        <v>1. 기름을 두른 팬에 잘게 썬 양파를 넣고 볶는다.
2. 1에 삶은 호박고지를 넣고 함께 볶는다.
3. 잘게 썬 대파와 삶은 고사리, 다진 마늘을 팬에 넣고 함께 볶는다.
4. 채소를 볶던 팬에 물과 맛간장을 넣어 끓인다.
5. 4에 맛술과 올리고당을 넣어 함께 끓인다.
6. 표고버섯과 고추를 썰어 팬에 넣은 뒤, 후추를 뿌린다.
7. 즉석밥을 전자레인지에 넣고 돌린다.
8. 잘게 썬 대파를 얼음물에 담가둔다.
9. 대게살과 삶은 문어의 물기를 제거한다.
10. 물기를 제거한 대게살과 삶은 문어를 기름에 튀긴다.
11. 채소를 넣어 끓인 덮밥 소스에 참기름을 넣는다.
12. 11에 달걀물을 풀어 넣는다.
13. 볼에 잘게 다진 삶은 시래기, 밥, 참기름을 넣고 섞는다.
14. 13에 소금으로 간을 한 뒤, 잘 섞어준다.
15. 원형틀을 이용해 그릇에 시래기밥을 담고 깨를 뿌린다.
16. 다른 접시에 원형틀을 이용해 덮밥 소스를 담는다.
17. 덮밥 소스 위에 튀긴 문어와 대게살, 채 썬 파를 올려 완성한다.</v>
      </c>
    </row>
    <row r="238">
      <c r="A238" s="2" t="str">
        <f>recipe!C238
</f>
        <v>삼치렐라</v>
      </c>
      <c r="B238" s="2" t="str">
        <f>IFERROR(__xludf.DUMMYFUNCTION("TRIM(
  REGEXEXTRACT(
    raw!A238,
    ""●\s*조리\s*방법([\s\S]*)""
  )
)
"),"1. 삼치의 가시를 제거하고 껍질을 벗긴다.
2. 삼치에 소금, 후추, 레몬즙으로 밑간을 한다.
3. 호두를 잘게 다진다.
4. 밑간을 한 삼치에 밀가루&gt;달걀물&gt;다진 호두 순으로 튀김옷을 입힌다.
5. 튀김옷을 입힌 삼치를 기름에 넣고 튀긴다.
6. 버터를 두른 팬에 브로콜리를 넣고 굽는다.
7. 6에 편으로 썬 마늘, 물, 소금, 후추를 넣는다.
8. 파프리카는 윗부분을 잘라내고 씨를 빼낸다.
9. 다진 토마"&amp;"토와 마늘, 바질 페스토, 올리브 오일, 청양고추를 섞어 샐러드를 만든다.
10. 토마토 샐러드에 소금 간을 한 뒤, 파프리카 속에 담는다.
11. 튀긴 삼치의 기름기를 제거한다.
12. 접시에 토마토 샐러드, 익힌 브로콜리, 튀긴 삼치를 담는다.
13. 수제 요거트에 다진 실파, 소금, 다진 마늘, 마요네즈를 섞어 소스를 만든다.
14. 접시에 요거트 소스를 올려 완성한다.")</f>
        <v>1. 삼치의 가시를 제거하고 껍질을 벗긴다.
2. 삼치에 소금, 후추, 레몬즙으로 밑간을 한다.
3. 호두를 잘게 다진다.
4. 밑간을 한 삼치에 밀가루&gt;달걀물&gt;다진 호두 순으로 튀김옷을 입힌다.
5. 튀김옷을 입힌 삼치를 기름에 넣고 튀긴다.
6. 버터를 두른 팬에 브로콜리를 넣고 굽는다.
7. 6에 편으로 썬 마늘, 물, 소금, 후추를 넣는다.
8. 파프리카는 윗부분을 잘라내고 씨를 빼낸다.
9. 다진 토마토와 마늘, 바질 페스토, 올리브 오일, 청양고추를 섞어 샐러드를 만든다.
10. 토마토 샐러드에 소금 간을 한 뒤, 파프리카 속에 담는다.
11. 튀긴 삼치의 기름기를 제거한다.
12. 접시에 토마토 샐러드, 익힌 브로콜리, 튀긴 삼치를 담는다.
13. 수제 요거트에 다진 실파, 소금, 다진 마늘, 마요네즈를 섞어 소스를 만든다.
14. 접시에 요거트 소스를 올려 완성한다.</v>
      </c>
    </row>
    <row r="239">
      <c r="A239" s="2" t="str">
        <f>recipe!C239
</f>
        <v>개천에서 용 났새우</v>
      </c>
      <c r="B239" s="2" t="str">
        <f>IFERROR(__xludf.DUMMYFUNCTION("TRIM(
  REGEXEXTRACT(
    raw!A239,
    ""●\s*조리\s*방법([\s\S]*)""
  )
)
"),"1. 브로콜리를 적당한 크기로 썰어 소금을 넣은 끓는 물에 데친다.
2. 데친 브로콜리를 그릴팬에 굽는다.
3. 북어채에 기름을 두른 뒤, 전자레인지에 돌려 바삭하게 만든다.
4. 끓는 물에 라면을 삶는다.
5. 팬에 올리브 오일을 넉넉히 두른다.
6. 올리브 오일을 두른 팬에 두껍게 썬 마늘과 파를 넣고 볶아 향을 낸다.
7. 6에 새우와 다진 청양고추를 넣고 볶는다.
8. 양파를 잘게 다져 팬에 넣고 함께 볶는다"&amp;".
9. 그릇에 구운 브로콜리를 담는다.
10. 삶은 면을 체에 밭쳐 물기를 뺀다.
11. 면에 재료들의 향이 밴 기름을 넣고 버무린다.
12. 면을 그릇에 담는다.
13. 면 위에 볶은 재료들을 올린다.
14. 바삭해진 북어채를 핸드블렌더에 넣고 간다.
15. 곱게 간 북어채를 요리 위에 뿌려 완성한다.")</f>
        <v>1. 브로콜리를 적당한 크기로 썰어 소금을 넣은 끓는 물에 데친다.
2. 데친 브로콜리를 그릴팬에 굽는다.
3. 북어채에 기름을 두른 뒤, 전자레인지에 돌려 바삭하게 만든다.
4. 끓는 물에 라면을 삶는다.
5. 팬에 올리브 오일을 넉넉히 두른다.
6. 올리브 오일을 두른 팬에 두껍게 썬 마늘과 파를 넣고 볶아 향을 낸다.
7. 6에 새우와 다진 청양고추를 넣고 볶는다.
8. 양파를 잘게 다져 팬에 넣고 함께 볶는다.
9. 그릇에 구운 브로콜리를 담는다.
10. 삶은 면을 체에 밭쳐 물기를 뺀다.
11. 면에 재료들의 향이 밴 기름을 넣고 버무린다.
12. 면을 그릇에 담는다.
13. 면 위에 볶은 재료들을 올린다.
14. 바삭해진 북어채를 핸드블렌더에 넣고 간다.
15. 곱게 간 북어채를 요리 위에 뿌려 완성한다.</v>
      </c>
    </row>
    <row r="240">
      <c r="A240" s="2" t="str">
        <f>recipe!C240
</f>
        <v>부드럽끼</v>
      </c>
      <c r="B240" s="2" t="str">
        <f>IFERROR(__xludf.DUMMYFUNCTION("TRIM(
  REGEXEXTRACT(
    raw!A240,
    ""●\s*조리\s*방법([\s\S]*)""
  )
)
"),"1. 감자를 반으로 썰어 접시에 담는다.
2. 물에 적신 키친타올로 감자를 덮은 뒤, 전자레인지에 넣고 익힌다.
3. 냄비에 우유를 넣은 뒤, 꼬리곰탕을 체에 걸러 넣는다.
4. 3에 리코타 치즈, 카망베르 치즈를 넣고 끓여 크림소스를 만든다.
5. 크림소스에 소금, 후추를 넣어 간을 한다.
6. 크림소스를 핸드블렌더로 곱게 간 뒤, 다시 끓인다.
7. 팬에 버터를 두르고 잘게 썬 양파를 볶는다.
8. 양파를 볶던 "&amp;"팬에 크림소스를 부어 끓인다.
9. 익힌 감자의 껍질을 벗긴다.
10. 볼에 감자를 넣고 으깬 뒤, 얼음물 위에 얹어 식힌다.
11. 식힌 감자에 밀가루를 조금씩 넣으며 뇨키 반죽을 만든다.
12. 뇨키 반죽에 달걀노른자를 섞은 뒤, 길게 늘인다.
13. 뇨키 반죽을 적당한 크기로 썬 뒤, 포크로 눌러 홈을 만든다.
14. 끓는 물에 뇨키를 삶는다.
15. 크림소스에 삶은 뇨키를 넣어 끓인다.
16. 완성된 뇨"&amp;"키를 접시에 담아낸다.")</f>
        <v>1. 감자를 반으로 썰어 접시에 담는다.
2. 물에 적신 키친타올로 감자를 덮은 뒤, 전자레인지에 넣고 익힌다.
3. 냄비에 우유를 넣은 뒤, 꼬리곰탕을 체에 걸러 넣는다.
4. 3에 리코타 치즈, 카망베르 치즈를 넣고 끓여 크림소스를 만든다.
5. 크림소스에 소금, 후추를 넣어 간을 한다.
6. 크림소스를 핸드블렌더로 곱게 간 뒤, 다시 끓인다.
7. 팬에 버터를 두르고 잘게 썬 양파를 볶는다.
8. 양파를 볶던 팬에 크림소스를 부어 끓인다.
9. 익힌 감자의 껍질을 벗긴다.
10. 볼에 감자를 넣고 으깬 뒤, 얼음물 위에 얹어 식힌다.
11. 식힌 감자에 밀가루를 조금씩 넣으며 뇨키 반죽을 만든다.
12. 뇨키 반죽에 달걀노른자를 섞은 뒤, 길게 늘인다.
13. 뇨키 반죽을 적당한 크기로 썬 뒤, 포크로 눌러 홈을 만든다.
14. 끓는 물에 뇨키를 삶는다.
15. 크림소스에 삶은 뇨키를 넣어 끓인다.
16. 완성된 뇨키를 접시에 담아낸다.</v>
      </c>
    </row>
    <row r="241">
      <c r="A241" s="2" t="str">
        <f>recipe!C241
</f>
        <v>유아식망고땡!</v>
      </c>
      <c r="B241" s="2" t="str">
        <f>IFERROR(__xludf.DUMMYFUNCTION("TRIM(
  REGEXEXTRACT(
    raw!A241,
    ""●\s*조리\s*방법([\s\S]*)""
  )
)
"),"1. 프라이팬을 냉동실에 넣어 차갑게 만든다.
2. 즉석밥을 전자레인지에 넣고 돌린다.
3. 팬에 우유와 꿀을 넣고 끓여 연유처럼 만든다.
4. 3에 당근을 잘게 썰어 넣는다.
5. 망고를 곱게 간 뒤, 팬에 넣고 끓여 망고소스를 만든다.
6. 끓인 우유&amp;꿀에 밥을 넣고, 소금으로 간한다.
7. 6에 망고소스를 넣고 섞어 망고약밥을 만든다.
8. 호두를 잘게 다진다.
9. 다진 호두를 체에 밭쳐 곱게 내린 뒤,"&amp;" 망고약밥과 섞는다.
10. 차갑게 만든 프라이팬에 망고약밥을 넣고 얇게 편다.
11. 10을 다시 냉동실에 넣어 식힌다.
12. 대추와 잣을 잘게 다진다.
13. 냉동실에서 차게 식힌 망고약밥을 꺼낸다.
14. 접시에 망고소스를 담는다.
15. 숟가락으로 망고약밥의 모양을 잡은 뒤, 접시에 담는다.
16. 다진 잣과 대추를 곁들여 낸다.")</f>
        <v>1. 프라이팬을 냉동실에 넣어 차갑게 만든다.
2. 즉석밥을 전자레인지에 넣고 돌린다.
3. 팬에 우유와 꿀을 넣고 끓여 연유처럼 만든다.
4. 3에 당근을 잘게 썰어 넣는다.
5. 망고를 곱게 간 뒤, 팬에 넣고 끓여 망고소스를 만든다.
6. 끓인 우유&amp;꿀에 밥을 넣고, 소금으로 간한다.
7. 6에 망고소스를 넣고 섞어 망고약밥을 만든다.
8. 호두를 잘게 다진다.
9. 다진 호두를 체에 밭쳐 곱게 내린 뒤, 망고약밥과 섞는다.
10. 차갑게 만든 프라이팬에 망고약밥을 넣고 얇게 편다.
11. 10을 다시 냉동실에 넣어 식힌다.
12. 대추와 잣을 잘게 다진다.
13. 냉동실에서 차게 식힌 망고약밥을 꺼낸다.
14. 접시에 망고소스를 담는다.
15. 숟가락으로 망고약밥의 모양을 잡은 뒤, 접시에 담는다.
16. 다진 잣과 대추를 곁들여 낸다.</v>
      </c>
    </row>
    <row r="242">
      <c r="A242" s="2" t="str">
        <f>recipe!C242
</f>
        <v>요기조기 탕수</v>
      </c>
      <c r="B242" s="2" t="str">
        <f>IFERROR(__xludf.DUMMYFUNCTION("TRIM(
  REGEXEXTRACT(
    raw!A242,
    ""●\s*조리\s*방법([\s\S]*)""
  )
)
"),"1. 조기를 손질한다.
2. 조기 양쪽에 깊이 칼집을 낸다..
3. 칼집을 낸 조기에 감자전분을 묻힌다.
4. 조기 꼬리를 잡고 끓인 기름에 담근 뒤, 국자로 기름을 끼얹는다.
5. 조기의 모양이 잡히면 기름에 넣고 튀긴다.
6. 양파, 당근, 파, 청양고추를 채 썬다.
7. 팬에 채 썬 재료들과 간장, 후추, 물, 식초, 꿀, 불린 표고버섯채를 넣고 끓여 탕수소스를 만든다.
8. 전분과 물을 섞어 전분물을 만든다."&amp;"
9. 튀긴 조기를 건져 기름을 빼고, 접시에 올린다.
10. 탕수소스에 전분물을 넣어 농도를 조절한다.
11. 튀긴 조기 위에 탕수소스를 끼얹어 완성한다.")</f>
        <v>1. 조기를 손질한다.
2. 조기 양쪽에 깊이 칼집을 낸다..
3. 칼집을 낸 조기에 감자전분을 묻힌다.
4. 조기 꼬리를 잡고 끓인 기름에 담근 뒤, 국자로 기름을 끼얹는다.
5. 조기의 모양이 잡히면 기름에 넣고 튀긴다.
6. 양파, 당근, 파, 청양고추를 채 썬다.
7. 팬에 채 썬 재료들과 간장, 후추, 물, 식초, 꿀, 불린 표고버섯채를 넣고 끓여 탕수소스를 만든다.
8. 전분과 물을 섞어 전분물을 만든다.
9. 튀긴 조기를 건져 기름을 빼고, 접시에 올린다.
10. 탕수소스에 전분물을 넣어 농도를 조절한다.
11. 튀긴 조기 위에 탕수소스를 끼얹어 완성한다.</v>
      </c>
    </row>
    <row r="243">
      <c r="A243" s="2" t="str">
        <f>recipe!C243
</f>
        <v>뒤집었닭</v>
      </c>
      <c r="B243" s="2" t="str">
        <f>IFERROR(__xludf.DUMMYFUNCTION("TRIM(
  REGEXEXTRACT(
    raw!A243,
    ""●\s*조리\s*방법([\s\S]*)""
  )
)
"),"1. 반숙란의 노른자만 분리한다.
2. 핸드블렌더에 반숙란 노른자, 느타리버섯 볶음, 올리브, 소금, 고춧가루, 후추를 넣고 간다.
3. 닭날개 한 쪽에 칼집을 내 뼈와 살을 분리한 뒤, 살을 뒤집는다.
4. 뒤집은 닭날개 살 안에 핸드블렌더로 간 재료를 넣고 이쑤시개로 봉한다.
5. 재료를 채운 닭날개에 소금, 후추로 간을 하고, 기름을 두른 그릴팬에 굽는다.
6. 삶은 양배추를 채 썬다.
7. 볼에 채 썬 양배추를 담"&amp;"고, 총각김치 무를 갈아 넣는다.
8. 7에 다진 총각김치 무청과 올리브오일, 식초를 넣고 버무려 김치 코울슬러를 만든다.
9. 접시에 김치 코울슬러를 담는다.
10. 그릴팬에 굽던 닭날개에 맥주를 붓고 끓여 속까지 익힌다.
11. 닭날개를 고정한 이쑤시개를 뺀다.
12. 닭날개 뼈에 호일을 감싸고, 접시에 담는다.
13. 파슬리 가루를 뿌려 완성한다.")</f>
        <v>1. 반숙란의 노른자만 분리한다.
2. 핸드블렌더에 반숙란 노른자, 느타리버섯 볶음, 올리브, 소금, 고춧가루, 후추를 넣고 간다.
3. 닭날개 한 쪽에 칼집을 내 뼈와 살을 분리한 뒤, 살을 뒤집는다.
4. 뒤집은 닭날개 살 안에 핸드블렌더로 간 재료를 넣고 이쑤시개로 봉한다.
5. 재료를 채운 닭날개에 소금, 후추로 간을 하고, 기름을 두른 그릴팬에 굽는다.
6. 삶은 양배추를 채 썬다.
7. 볼에 채 썬 양배추를 담고, 총각김치 무를 갈아 넣는다.
8. 7에 다진 총각김치 무청과 올리브오일, 식초를 넣고 버무려 김치 코울슬러를 만든다.
9. 접시에 김치 코울슬러를 담는다.
10. 그릴팬에 굽던 닭날개에 맥주를 붓고 끓여 속까지 익힌다.
11. 닭날개를 고정한 이쑤시개를 뺀다.
12. 닭날개 뼈에 호일을 감싸고, 접시에 담는다.
13. 파슬리 가루를 뿌려 완성한다.</v>
      </c>
    </row>
    <row r="244">
      <c r="A244" s="2" t="str">
        <f>recipe!C244
</f>
        <v>명란 대파주이소</v>
      </c>
      <c r="B244" s="2" t="str">
        <f>IFERROR(__xludf.DUMMYFUNCTION("TRIM(
  REGEXEXTRACT(
    raw!A244,
    ""●\s*조리\s*방법([\s\S]*)""
  )
)
"),"1. 청양고추를 잘게 다진다.
2. 볼에 명란, 참깨, 다진 마늘, 다진 청양고추, 참기름을 넣고 섞는다.
3. 양념한 명란을 삶은 양배추 위에 놓고 돌돌 만다.
4. 양배추 명란 말이를 비닐팩에 담아 냉동실에 넣는다.
5. 대파를 얇게 썬다.
6. 팬에 올리브 오일을 넉넉히 두르고 얇게 썬 대파와 다진 청양고추를 넣고 파기름을 낸다.
7. 끓인 파기름을 체에 밭쳐 기름만 걸러낸다.
8. 채끝등심을 길게 썰고 소금,"&amp;" 후추, 고춧가루로 밑간을 한다.
9. 팬에 파기름을 두르고 밑간 한 채끝등심을 굽는다.
10. 대파를 갈라 심을 빼낸 후, 구운 채끝등심을 안에 넣어 감싼다.
11. 구운 채끝등심을 넣은 대파를 실로 묶어 고정한다.
12. 마른 팬에 11을 굽는다.
13. 냉동실에 넣어둔 양배추 명란 말이를 꺼내 적당한 크기로 썬다.
14. 불린 표고버섯채와 편으로 썬 마늘을 팬에 굽는다.
15. 채끝등심을 넣은 대파말이가 익으면"&amp;" 실을 제거하고 그릇에 담는다.
16. 양배추 명란 말이와 구운 표고버섯채를 곁들인다.
17. 올리브 오일과 후추를 뿌려 완성한다.")</f>
        <v>1. 청양고추를 잘게 다진다.
2. 볼에 명란, 참깨, 다진 마늘, 다진 청양고추, 참기름을 넣고 섞는다.
3. 양념한 명란을 삶은 양배추 위에 놓고 돌돌 만다.
4. 양배추 명란 말이를 비닐팩에 담아 냉동실에 넣는다.
5. 대파를 얇게 썬다.
6. 팬에 올리브 오일을 넉넉히 두르고 얇게 썬 대파와 다진 청양고추를 넣고 파기름을 낸다.
7. 끓인 파기름을 체에 밭쳐 기름만 걸러낸다.
8. 채끝등심을 길게 썰고 소금, 후추, 고춧가루로 밑간을 한다.
9. 팬에 파기름을 두르고 밑간 한 채끝등심을 굽는다.
10. 대파를 갈라 심을 빼낸 후, 구운 채끝등심을 안에 넣어 감싼다.
11. 구운 채끝등심을 넣은 대파를 실로 묶어 고정한다.
12. 마른 팬에 11을 굽는다.
13. 냉동실에 넣어둔 양배추 명란 말이를 꺼내 적당한 크기로 썬다.
14. 불린 표고버섯채와 편으로 썬 마늘을 팬에 굽는다.
15. 채끝등심을 넣은 대파말이가 익으면 실을 제거하고 그릇에 담는다.
16. 양배추 명란 말이와 구운 표고버섯채를 곁들인다.
17. 올리브 오일과 후추를 뿌려 완성한다.</v>
      </c>
    </row>
    <row r="245">
      <c r="A245" s="2" t="str">
        <f>recipe!C245
</f>
        <v>채끝과 당근</v>
      </c>
      <c r="B245" s="2" t="str">
        <f>IFERROR(__xludf.DUMMYFUNCTION("TRIM(
  REGEXEXTRACT(
    raw!A245,
    ""●\s*조리\s*방법([\s\S]*)""
  )
)
"),"1. 당근은 얇게 썬다.
2. 끓는 물에 얇게 썬 당근과 소금을 넣고 삶는다.
3. 2에 레몬즙을 넣는다.
4. 삶은 당근을 체에 밭쳐 물기를 뺀다.
5. 핸드블렌더에 삶은 당근과 버터를 넣고 갈아 퓌레를 만든다.
6. 당근 퓌레를 냄비에 담아 끓인다.
7. 삶은 양배추를 채 썰어 당근 퓌레에 넣는다.
8. 양배추를 넣은 당근 퓌레에 설탕과 레몬껍질을 갈아 넣는다.
9. 채끝등심을 비닐팩에 넣고 고기망치로 두드"&amp;"려 얇게 편다.
10. 얇게 편 채끝등심에 소금, 후추로 밑간을 한다.
11. 밑간을 한 채끝등심에 찹쌀가루를 뿌린다.
12. 양배추를 넣은 당근 퓌레에 소금으로 간을 한다.
13. 기름을 두른 팬에 찹쌀가루를 입힌 채끝등심을 굽는다.
14. 팬 한 쪽에 느타리버섯 볶음을 굽는다.
15. 고기와 느타리버섯 볶음을 굽던 팬에 레드와인을 붓고 끓인다.
16. 15에 꿀과 버터를 넣어 레드와인 소스를 만든다.
17."&amp;" 팬에 파슬리 가루를 뿌린다.
18. 접시에 양배추를 넣은 당근 퓌레를 담는다.
19. 레드와인 소스에 조린 채끝등심과 느타리버섯 볶음을 접시에 담아 완성한다.")</f>
        <v>1. 당근은 얇게 썬다.
2. 끓는 물에 얇게 썬 당근과 소금을 넣고 삶는다.
3. 2에 레몬즙을 넣는다.
4. 삶은 당근을 체에 밭쳐 물기를 뺀다.
5. 핸드블렌더에 삶은 당근과 버터를 넣고 갈아 퓌레를 만든다.
6. 당근 퓌레를 냄비에 담아 끓인다.
7. 삶은 양배추를 채 썰어 당근 퓌레에 넣는다.
8. 양배추를 넣은 당근 퓌레에 설탕과 레몬껍질을 갈아 넣는다.
9. 채끝등심을 비닐팩에 넣고 고기망치로 두드려 얇게 편다.
10. 얇게 편 채끝등심에 소금, 후추로 밑간을 한다.
11. 밑간을 한 채끝등심에 찹쌀가루를 뿌린다.
12. 양배추를 넣은 당근 퓌레에 소금으로 간을 한다.
13. 기름을 두른 팬에 찹쌀가루를 입힌 채끝등심을 굽는다.
14. 팬 한 쪽에 느타리버섯 볶음을 굽는다.
15. 고기와 느타리버섯 볶음을 굽던 팬에 레드와인을 붓고 끓인다.
16. 15에 꿀과 버터를 넣어 레드와인 소스를 만든다.
17. 팬에 파슬리 가루를 뿌린다.
18. 접시에 양배추를 넣은 당근 퓌레를 담는다.
19. 레드와인 소스에 조린 채끝등심과 느타리버섯 볶음을 접시에 담아 완성한다.</v>
      </c>
    </row>
    <row r="246">
      <c r="A246" s="2" t="str">
        <f>recipe!C246
</f>
        <v>위풍닭닭</v>
      </c>
      <c r="B246" s="2" t="str">
        <f>IFERROR(__xludf.DUMMYFUNCTION("TRIM(
  REGEXEXTRACT(
    raw!A246,
    ""●\s*조리\s*방법([\s\S]*)""
  )
)
"),"1. 끓는 물에 호두와 땅콩을 데친다.
2. 볼에 설탕과 고춧가루를 넣고 섞는다.
3. 2에 데친 견과류를 넣고 섞는다.
4. 오븐용 팬에 양념한 견과류를 담아 예열된 오븐에 굽는다.
5. 견과류를 데친 물에 양파, 당근, 대파를 넣고 끓여 채소육수를 만든다.
6. 오븐에 구운 견과류를 핸드블렌더에 간다.
7. 기름을 두른 팬에 양파를 굽고, 소금, 후추로 간한다.
8. 오븐용 팬에 구운 양파를 담고, 간 견과류를 "&amp;"얹는다.
9. 팬에 포트와인을 붓고, 잘게 썬 말린 대추를 넣고 끓여 소스를 만든다.
10. 견과류를 얹은 구운 양파 위에 포트와인 소스를 뿌리고 오븐에 굽는다.
11. 생닭의 닭다리살만 발라낸다.
12. 기름을 두른 팬에 닭다리살을 굽고, 소금과 후추로 간한다.
13. 팬 한 쪽에 적당한 크기로 썬 대파의 흰 부분을 굽는다.
14. 포트와인 소스에 채소육수를 넣는다.
15. 포트와인 소스에 잘게 썬 사과, 버터, "&amp;"꿀을 넣고 조린다.
16. 접시에 견과류를 올린 구운 양파와 구운 대파를 올린다.
17. 접시에 구운 닭다리살을 얹고, 포트와인 소스를 곁들여 완성한다.")</f>
        <v>1. 끓는 물에 호두와 땅콩을 데친다.
2. 볼에 설탕과 고춧가루를 넣고 섞는다.
3. 2에 데친 견과류를 넣고 섞는다.
4. 오븐용 팬에 양념한 견과류를 담아 예열된 오븐에 굽는다.
5. 견과류를 데친 물에 양파, 당근, 대파를 넣고 끓여 채소육수를 만든다.
6. 오븐에 구운 견과류를 핸드블렌더에 간다.
7. 기름을 두른 팬에 양파를 굽고, 소금, 후추로 간한다.
8. 오븐용 팬에 구운 양파를 담고, 간 견과류를 얹는다.
9. 팬에 포트와인을 붓고, 잘게 썬 말린 대추를 넣고 끓여 소스를 만든다.
10. 견과류를 얹은 구운 양파 위에 포트와인 소스를 뿌리고 오븐에 굽는다.
11. 생닭의 닭다리살만 발라낸다.
12. 기름을 두른 팬에 닭다리살을 굽고, 소금과 후추로 간한다.
13. 팬 한 쪽에 적당한 크기로 썬 대파의 흰 부분을 굽는다.
14. 포트와인 소스에 채소육수를 넣는다.
15. 포트와인 소스에 잘게 썬 사과, 버터, 꿀을 넣고 조린다.
16. 접시에 견과류를 올린 구운 양파와 구운 대파를 올린다.
17. 접시에 구운 닭다리살을 얹고, 포트와인 소스를 곁들여 완성한다.</v>
      </c>
    </row>
    <row r="247">
      <c r="A247" s="2" t="str">
        <f>recipe!C247
</f>
        <v>미트볼그레</v>
      </c>
      <c r="B247" s="2" t="str">
        <f>IFERROR(__xludf.DUMMYFUNCTION("TRIM(
  REGEXEXTRACT(
    raw!A247,
    ""●\s*조리\s*방법([\s\S]*)""
  )
)
"),"1. 양파와 대파를 잘게 썬다.
2. 돼지고기와 소고기를 적당한 크기로 썬다.
3. 핸드블렌더에 돼지고기, 소고기, 달걀을 넣고 간다.
4. 볼에 믹서에 간 고기, 다진 생강, 잘게 썬 양파와 대파, 소금, 간장을 넣는다.
5. 청주와 달걀을 넣는다.
6. 볼에 있는 재료들에 전분을 넣고 치대 미트볼 반죽을 만든다.
7. 미트볼 반죽에 후추를 넣는다.
8. 동그랗게 뽑아낸 미트볼 반죽을 숟가락으로 하나씩 떼어 기름에"&amp;" 튀긴다.
9. 사과, 파프리카, 고추, 대파의 흰 부분을 잘게 썬다.
10. 호두와 잣도 잘게 썬 재료들과 함께 준비한다.
11. 팬에 포트와인, 맛술, 꿀, 설탕을 넣고 졸여 소스를 만든다.
12. 튀긴 미트볼을 건져 기름기를 뺀다.
13. 포트와인 소스에 튀긴 미트볼, 잘게 썬 채소와 견과류를 넣고 섞는다.
14. 13에 전분물을 넣는다.
15. 미트볼과 소스를 그릇에 담아낸다.")</f>
        <v>1. 양파와 대파를 잘게 썬다.
2. 돼지고기와 소고기를 적당한 크기로 썬다.
3. 핸드블렌더에 돼지고기, 소고기, 달걀을 넣고 간다.
4. 볼에 믹서에 간 고기, 다진 생강, 잘게 썬 양파와 대파, 소금, 간장을 넣는다.
5. 청주와 달걀을 넣는다.
6. 볼에 있는 재료들에 전분을 넣고 치대 미트볼 반죽을 만든다.
7. 미트볼 반죽에 후추를 넣는다.
8. 동그랗게 뽑아낸 미트볼 반죽을 숟가락으로 하나씩 떼어 기름에 튀긴다.
9. 사과, 파프리카, 고추, 대파의 흰 부분을 잘게 썬다.
10. 호두와 잣도 잘게 썬 재료들과 함께 준비한다.
11. 팬에 포트와인, 맛술, 꿀, 설탕을 넣고 졸여 소스를 만든다.
12. 튀긴 미트볼을 건져 기름기를 뺀다.
13. 포트와인 소스에 튀긴 미트볼, 잘게 썬 채소와 견과류를 넣고 섞는다.
14. 13에 전분물을 넣는다.
15. 미트볼과 소스를 그릇에 담아낸다.</v>
      </c>
    </row>
    <row r="248">
      <c r="A248" s="2" t="str">
        <f>recipe!C248
</f>
        <v>장풍덮밥</v>
      </c>
      <c r="B248" s="2" t="str">
        <f>IFERROR(__xludf.DUMMYFUNCTION("TRIM(
  REGEXEXTRACT(
    raw!A248,
    ""●\s*조리\s*방법([\s\S]*)""
  )
)
"),"1. 돼지고기와 대파를 적당한 크기로 썬다.
2. 마늘을 다진다.
3. 고추를 잘게 썬다.
4. 기름을 두른 냄비에 돼지고기를 볶는다.
5. 볶던 돼지고기에 다진 마늘, 고추, 대파, 고춧가루를 넣고 함께 볶는다.
6. 볶던 재료에 맛술, 간장, 된장을 넣는다.
7. 볶은 재료에 물을 넣고 끓여 덮밥 소스를 만든다.
8. 새우살을 적당한 크기로 썰어 덮밥 소스에 넣고 함께 끓인다.
9. 파프리카를 적당한 크기로"&amp;" 썰어 덮밥 소스에 넣고 함께 끓인다.
10. 즉석밥을 전자레인지에 넣고 돌린다.
11. 덮밥 소스에 카레가루를 넣고 끓인다.
12. 덮밥 소스에 식초를 넣는다.
13. 기름을 두른 팬에 달걀프라이를 만들다가 물을 넣고 뚜껑을 닫아 윗부분까지 익힌다.
14. 덮밥 소스에 전분물을 넣는다.
15. 그릇에 즉석밥을 담고 덮밥 소스를 올린다.
16. 달걀프라이를 올려 완성한다.")</f>
        <v>1. 돼지고기와 대파를 적당한 크기로 썬다.
2. 마늘을 다진다.
3. 고추를 잘게 썬다.
4. 기름을 두른 냄비에 돼지고기를 볶는다.
5. 볶던 돼지고기에 다진 마늘, 고추, 대파, 고춧가루를 넣고 함께 볶는다.
6. 볶던 재료에 맛술, 간장, 된장을 넣는다.
7. 볶은 재료에 물을 넣고 끓여 덮밥 소스를 만든다.
8. 새우살을 적당한 크기로 썰어 덮밥 소스에 넣고 함께 끓인다.
9. 파프리카를 적당한 크기로 썰어 덮밥 소스에 넣고 함께 끓인다.
10. 즉석밥을 전자레인지에 넣고 돌린다.
11. 덮밥 소스에 카레가루를 넣고 끓인다.
12. 덮밥 소스에 식초를 넣는다.
13. 기름을 두른 팬에 달걀프라이를 만들다가 물을 넣고 뚜껑을 닫아 윗부분까지 익힌다.
14. 덮밥 소스에 전분물을 넣는다.
15. 그릇에 즉석밥을 담고 덮밥 소스를 올린다.
16. 달걀프라이를 올려 완성한다.</v>
      </c>
    </row>
    <row r="249">
      <c r="A249" s="2" t="str">
        <f>recipe!C249
</f>
        <v>돼.새.김</v>
      </c>
      <c r="B249" s="2" t="str">
        <f>IFERROR(__xludf.DUMMYFUNCTION("TRIM(
  REGEXEXTRACT(
    raw!A249,
    ""●\s*조리\s*방법([\s\S]*)""
  )
)
"),"1. 믹서기에 조미김과 뜨거운 물을 넣고 간다.
2. 믹서에 간 조미김을 냄비에 넣고 끓인다.
3. 2에 맛술을 넣고 끓여 김소스를 만든다.
4. 돼지고기를 잘게 썬다.
5. 핸드블렌더에 잘게 썬 돼지고기와 생강대추청을 넣는다.
6. 생강대추청의 생강을 꺼내 칼로 으깬다.
7. 핸드블렌더에 으깬 생강과 간장, 전분, 달걀 흰자를 넣고 갈아 반죽을 만든다.
8. 대파를 잘게 다진다.
9. 새우살을 으깬다.
"&amp;"10. 새우살과 다진 대파, 핸드블렌더로 간 돼지고기 반죽을 섞는다.
11. 완자반죽을 동그랗게 떼어 김소스에 넣고 익힌다.
12. 대파의 흰 부분을 가늘게 채 썰어 찬물에 담가둔다.
13. 김소스를 팬에 덜어 참기름과 설탕으로 양념한다.
14. 13에 익힌 완자를 넣고, 간장을 넣어 조린다.
15. 즉석밥과 완자를 다른 그릇에 담아낸다.
16. 팬에 남은 김소스에 버터와 전분물을 넣는다.
17. 완자 위에 김소스를"&amp;" 얹고, 채 썬 대파를 올린다.
18. 체에 밭쳐 곱게 내린 고춧가루를 올려 완성한다.")</f>
        <v>1. 믹서기에 조미김과 뜨거운 물을 넣고 간다.
2. 믹서에 간 조미김을 냄비에 넣고 끓인다.
3. 2에 맛술을 넣고 끓여 김소스를 만든다.
4. 돼지고기를 잘게 썬다.
5. 핸드블렌더에 잘게 썬 돼지고기와 생강대추청을 넣는다.
6. 생강대추청의 생강을 꺼내 칼로 으깬다.
7. 핸드블렌더에 으깬 생강과 간장, 전분, 달걀 흰자를 넣고 갈아 반죽을 만든다.
8. 대파를 잘게 다진다.
9. 새우살을 으깬다.
10. 새우살과 다진 대파, 핸드블렌더로 간 돼지고기 반죽을 섞는다.
11. 완자반죽을 동그랗게 떼어 김소스에 넣고 익힌다.
12. 대파의 흰 부분을 가늘게 채 썰어 찬물에 담가둔다.
13. 김소스를 팬에 덜어 참기름과 설탕으로 양념한다.
14. 13에 익힌 완자를 넣고, 간장을 넣어 조린다.
15. 즉석밥과 완자를 다른 그릇에 담아낸다.
16. 팬에 남은 김소스에 버터와 전분물을 넣는다.
17. 완자 위에 김소스를 얹고, 채 썬 대파를 올린다.
18. 체에 밭쳐 곱게 내린 고춧가루를 올려 완성한다.</v>
      </c>
    </row>
    <row r="250">
      <c r="A250" s="2" t="str">
        <f>recipe!C250
</f>
        <v>아! 추로스~</v>
      </c>
      <c r="B250" s="2" t="str">
        <f>IFERROR(__xludf.DUMMYFUNCTION("TRIM(
  REGEXEXTRACT(
    raw!A250,
    ""●\s*조리\s*방법([\s\S]*)""
  )
)
"),"1. 냄비에 물, 우유, 버터를 넣고 끓인다.
2. 1에 소금으로 간을 한다.
3. 냄비 속 재료에 설탕을 더해 함께 끓인다.
4. 다른 냄비에 블루베리즙과 블루베리, 설탕, 소금, 레몬즙을 넣고 끓여 블루베리 소스를 만든다.
5. 냄비 속 재료들이 끓으면 밀가루를 넣어가며 익반죽한다.
6. 얼음물 위에 볼을 놓고 반죽을 넣어 식힌다.
7. 식힌 반죽에 달걀물을 넣고 섞는다.
8. 마요네즈 통 윗부분과 끝부분을 자른"&amp;" 비닐팩을 연결해 짤주머니를 만든다.
9. 짤주머니 안에 반죽을 넣는다.
10. 끓는 기름에 반죽을 적당한 길이로 잘라 넣어가며 튀긴다.
11. 튀긴 추로스를 건져 기름기를 제거한다.
12. 블루베리 소스를 그릇에 담아낸다.
13. 기름기를 뺀 추로스를 설탕에 버무린다.
14. 접시에 추로스와 블루베리 소스를 담아낸다.")</f>
        <v>1. 냄비에 물, 우유, 버터를 넣고 끓인다.
2. 1에 소금으로 간을 한다.
3. 냄비 속 재료에 설탕을 더해 함께 끓인다.
4. 다른 냄비에 블루베리즙과 블루베리, 설탕, 소금, 레몬즙을 넣고 끓여 블루베리 소스를 만든다.
5. 냄비 속 재료들이 끓으면 밀가루를 넣어가며 익반죽한다.
6. 얼음물 위에 볼을 놓고 반죽을 넣어 식힌다.
7. 식힌 반죽에 달걀물을 넣고 섞는다.
8. 마요네즈 통 윗부분과 끝부분을 자른 비닐팩을 연결해 짤주머니를 만든다.
9. 짤주머니 안에 반죽을 넣는다.
10. 끓는 기름에 반죽을 적당한 길이로 잘라 넣어가며 튀긴다.
11. 튀긴 추로스를 건져 기름기를 제거한다.
12. 블루베리 소스를 그릇에 담아낸다.
13. 기름기를 뺀 추로스를 설탕에 버무린다.
14. 접시에 추로스와 블루베리 소스를 담아낸다.</v>
      </c>
    </row>
    <row r="251">
      <c r="A251" s="2" t="str">
        <f>recipe!C251
</f>
        <v>퍼펙타르트</v>
      </c>
      <c r="B251" s="2" t="str">
        <f>IFERROR(__xludf.DUMMYFUNCTION("TRIM(
  REGEXEXTRACT(
    raw!A251,
    ""●\s*조리\s*방법([\s\S]*)""
  )
)
"),"1. 냄비에 블루베리, 블루베리즙, 설탕을 넣고 끓여 블루베리소스를 만든다.
2. 기름을 끓여 해시 브라운 포테이토를 튀긴다.
3. 사과를 얇게 슬라이스 한다.
4. 슬라이스 한 사과의 물기를 제거하고 그릇에 넓게 편다.
5. 슬라이스 한 사과를 전자레인지에 넣고 수분을 날려 사과칩을 만든다.
6. 튀긴 해시 브라운 포테이토를 건져 기름기를 제거한다.
7. 그릇에 설탕을 얇게 깐 후, 해시 브라운 포테이토를 얹고 위에도 "&amp;"설탕을 뿌린다.
8. 전자레인지에서 사과칩을 꺼낸다.
9. 모차렐라 치즈를 볼에 담아 전자레인지에 넣고 녹인다.
10. 딸기를 먹기 좋은 크기로 썰어 설탕에 버무린다.
11. 10에 잘게 다진 땅콩을 섞는다.
12. 랩을 깔고 녹인 모차렐라 치즈를 넓게 편다.
13. 넓게 편 모차렐라 치즈 위에 설탕에 버무린 딸기와 땅콩을 올리고 돌돌 만다.
14. 돌돌 만 딸기 치즈말이를 적당한 크기로 썬다.
15. 블루베리"&amp;" 소스를 체에 밭쳐 내린 후, 접시에 담는다.
16. 설탕을 입힌 해시 브라운 포테이토 위에 딸기 치즈말이를 올린다.
17. 블루베리 소스의 블루베리를 올린다.
18. 블루베리 소스를 담은 접시 위에 플레이팅 한다.
19. 사과칩을 위에 올려 완성한다.")</f>
        <v>1. 냄비에 블루베리, 블루베리즙, 설탕을 넣고 끓여 블루베리소스를 만든다.
2. 기름을 끓여 해시 브라운 포테이토를 튀긴다.
3. 사과를 얇게 슬라이스 한다.
4. 슬라이스 한 사과의 물기를 제거하고 그릇에 넓게 편다.
5. 슬라이스 한 사과를 전자레인지에 넣고 수분을 날려 사과칩을 만든다.
6. 튀긴 해시 브라운 포테이토를 건져 기름기를 제거한다.
7. 그릇에 설탕을 얇게 깐 후, 해시 브라운 포테이토를 얹고 위에도 설탕을 뿌린다.
8. 전자레인지에서 사과칩을 꺼낸다.
9. 모차렐라 치즈를 볼에 담아 전자레인지에 넣고 녹인다.
10. 딸기를 먹기 좋은 크기로 썰어 설탕에 버무린다.
11. 10에 잘게 다진 땅콩을 섞는다.
12. 랩을 깔고 녹인 모차렐라 치즈를 넓게 편다.
13. 넓게 편 모차렐라 치즈 위에 설탕에 버무린 딸기와 땅콩을 올리고 돌돌 만다.
14. 돌돌 만 딸기 치즈말이를 적당한 크기로 썬다.
15. 블루베리 소스를 체에 밭쳐 내린 후, 접시에 담는다.
16. 설탕을 입힌 해시 브라운 포테이토 위에 딸기 치즈말이를 올린다.
17. 블루베리 소스의 블루베리를 올린다.
18. 블루베리 소스를 담은 접시 위에 플레이팅 한다.
19. 사과칩을 위에 올려 완성한다.</v>
      </c>
    </row>
    <row r="252">
      <c r="A252" s="2" t="str">
        <f>recipe!C252
</f>
        <v>한잔비어떡</v>
      </c>
      <c r="B252" s="2" t="str">
        <f>IFERROR(__xludf.DUMMYFUNCTION("TRIM(
  REGEXEXTRACT(
    raw!A252,
    ""●\s*조리\s*방법([\s\S]*)""
  )
)
"),"1. 훈제 닭가슴살을 얇게 포 뜬다.
2. 얇게 포 뜬 훈제 닭가슴살을 잘게 다진다.
3. 대파를 잘게 썬다.
4. 밀가루, 소금, 미지근한 물로 반죽을 만든다.
5. 밀가루 반죽을 밀대로 밀어 넓게 편다.
6. 넓게 편 반죽에 참기름을 바른다.
7. 반죽에 소금으로 간을 한다.
8. 반죽 위에 잘게 썬 닭가슴살과 대파를 골고루 얹는다.
9. 재료를 넣은 반죽을 돌돌 만다.
10. 돌돌 말아 길어진 반죽을"&amp;" 동그랗게 다시 한 번 말아준다.
11. 동그랗게 만 반죽을 밀대로 밀어 편다.
12. 기름을 두른 팬에 반죽을 넣고 튀긴다.
13. 반죽을 튀긴 기름을 조금 따라내고 버터를 넣는다.
14. 다 익으면 먹기 좋게 잘라 그릇에 담아낸다.")</f>
        <v>1. 훈제 닭가슴살을 얇게 포 뜬다.
2. 얇게 포 뜬 훈제 닭가슴살을 잘게 다진다.
3. 대파를 잘게 썬다.
4. 밀가루, 소금, 미지근한 물로 반죽을 만든다.
5. 밀가루 반죽을 밀대로 밀어 넓게 편다.
6. 넓게 편 반죽에 참기름을 바른다.
7. 반죽에 소금으로 간을 한다.
8. 반죽 위에 잘게 썬 닭가슴살과 대파를 골고루 얹는다.
9. 재료를 넣은 반죽을 돌돌 만다.
10. 돌돌 말아 길어진 반죽을 동그랗게 다시 한 번 말아준다.
11. 동그랗게 만 반죽을 밀대로 밀어 편다.
12. 기름을 두른 팬에 반죽을 넣고 튀긴다.
13. 반죽을 튀긴 기름을 조금 따라내고 버터를 넣는다.
14. 다 익으면 먹기 좋게 잘라 그릇에 담아낸다.</v>
      </c>
    </row>
    <row r="253">
      <c r="A253" s="2" t="str">
        <f>recipe!C253
</f>
        <v>닭고치</v>
      </c>
      <c r="B253" s="2" t="str">
        <f>IFERROR(__xludf.DUMMYFUNCTION("TRIM(
  REGEXEXTRACT(
    raw!A253,
    ""●\s*조리\s*방법([\s\S]*)""
  )
)
"),"1. 기름을 두른 팬에 해시 브라운 포테이토를 튀긴다.
2. 대파와 양파를 잘게 썬다.
3. 훈제 닭가슴살을 칼 단면으로 내리쳐 결대로 찢는다.
4. 볼에 고추장, 데리야키 소스, 시럽용 올리고당, 설탕, 고춧가루를 넣어 고추장 양념을 만든다.
5. 기름을 두른 팬에 잘게 썬 대파와 양파를 볶다가, 고추장 앙념을 넣어 함께 볶는다.
6. 5에 물을 넣는다.
7. 결대로 찢은 훈제 닭가슴살을 손으로 더 잘게 찢어 팬에 넣고"&amp;" 볶는다.
8. 청양고추를 잘게 썰어 볶던 재료들에 넣고 함께 볶는다.
9. 튀긴 해시 브라운 포테이토를 그릇에 담는다.
10. 해시 브라운 포테이토 위에 고추장 양념으로 볶은 닭가슴살과 채소를 올린다.
11. 10 위에 슬라이스 치즈, 모차렐라 치즈, 고추장 양념을 순서대로 얹는다.
12. 그릇을 전자레인지에 넣고 치즈가 녹을 때까지 익힌다.")</f>
        <v>1. 기름을 두른 팬에 해시 브라운 포테이토를 튀긴다.
2. 대파와 양파를 잘게 썬다.
3. 훈제 닭가슴살을 칼 단면으로 내리쳐 결대로 찢는다.
4. 볼에 고추장, 데리야키 소스, 시럽용 올리고당, 설탕, 고춧가루를 넣어 고추장 양념을 만든다.
5. 기름을 두른 팬에 잘게 썬 대파와 양파를 볶다가, 고추장 앙념을 넣어 함께 볶는다.
6. 5에 물을 넣는다.
7. 결대로 찢은 훈제 닭가슴살을 손으로 더 잘게 찢어 팬에 넣고 볶는다.
8. 청양고추를 잘게 썰어 볶던 재료들에 넣고 함께 볶는다.
9. 튀긴 해시 브라운 포테이토를 그릇에 담는다.
10. 해시 브라운 포테이토 위에 고추장 양념으로 볶은 닭가슴살과 채소를 올린다.
11. 10 위에 슬라이스 치즈, 모차렐라 치즈, 고추장 양념을 순서대로 얹는다.
12. 그릇을 전자레인지에 넣고 치즈가 녹을 때까지 익힌다.</v>
      </c>
    </row>
    <row r="254">
      <c r="A254" s="2" t="str">
        <f>recipe!C254
</f>
        <v>긴밤지새우콩</v>
      </c>
      <c r="B254" s="2" t="str">
        <f>IFERROR(__xludf.DUMMYFUNCTION("TRIM(
  REGEXEXTRACT(
    raw!A254,
    ""●\s*조리\s*방법([\s\S]*)""
  )
)
"),"1. 새우는 머리를 제거하고 껍질을 벗긴다.
2. 감자는 얇게 썰고, 양파는 채 썬다.
3. 냄비에 버터와 얇게 썬 감자, 채 썬 양파와 완두콩을 넣고 볶는다.
4. 재료를 볶고 있는 냄비에 소금과 후추를 넣는다.
5. 볶던 재료에 인스턴트 사골곰탕을 넣고 끓인다.
6. 5에 고르곤졸라 치즈를 넣는다.
7. 팬에 버터와 밀가루를 볶아 루를 만든다.
8. 끓이던 재료에 루를 넣어 끓인다.
9. 돼지고기의 지방만 "&amp;"분리해 새우살과 함께 후추, 소금으로 간한다.
10. 핸드블렌더로 새우와 돼지고기 지방을 갈아 완자 반죽을 만든다.
11. 완자 반죽을 적당한 크기로 동그랗게 떼어내 끓는 물에 삶는다.
12. 완자를 삶는 물에 쯔유를 넣는다.
13. 끓이던 재료를 믹서기에 곱게 간다.
14. 갈아낸 재료를 체에 밭쳐 거르고, 다시 끓인다.
15. 다 익은 완자를 그릇에 담는다.
16. 완자를 담은 그릇에 완두콩 스프를 담아 완성한다"&amp;".")</f>
        <v>1. 새우는 머리를 제거하고 껍질을 벗긴다.
2. 감자는 얇게 썰고, 양파는 채 썬다.
3. 냄비에 버터와 얇게 썬 감자, 채 썬 양파와 완두콩을 넣고 볶는다.
4. 재료를 볶고 있는 냄비에 소금과 후추를 넣는다.
5. 볶던 재료에 인스턴트 사골곰탕을 넣고 끓인다.
6. 5에 고르곤졸라 치즈를 넣는다.
7. 팬에 버터와 밀가루를 볶아 루를 만든다.
8. 끓이던 재료에 루를 넣어 끓인다.
9. 돼지고기의 지방만 분리해 새우살과 함께 후추, 소금으로 간한다.
10. 핸드블렌더로 새우와 돼지고기 지방을 갈아 완자 반죽을 만든다.
11. 완자 반죽을 적당한 크기로 동그랗게 떼어내 끓는 물에 삶는다.
12. 완자를 삶는 물에 쯔유를 넣는다.
13. 끓이던 재료를 믹서기에 곱게 간다.
14. 갈아낸 재료를 체에 밭쳐 거르고, 다시 끓인다.
15. 다 익은 완자를 그릇에 담는다.
16. 완자를 담은 그릇에 완두콩 스프를 담아 완성한다.</v>
      </c>
    </row>
    <row r="255">
      <c r="A255" s="2" t="str">
        <f>recipe!C255
</f>
        <v>살빠질톰얌</v>
      </c>
      <c r="B255" s="2" t="str">
        <f>IFERROR(__xludf.DUMMYFUNCTION("TRIM(
  REGEXEXTRACT(
    raw!A255,
    ""●\s*조리\s*방법([\s\S]*)""
  )
)
"),"1. 새우는 머리를 제거하고 껍질을 벗긴다.
2. 채소육수를 만든다.
3. 채소육수에 새우머리와 껍질을 넣어 함께 끓인다.
4. 당근과 감자를 잘게 썬다.
5. 양파를 잘게 다지고 마늘은 편으로 썬다.
6. 새우를 적당한 크기로 썬다.
7. 기름을 두른 팬에 새우, 마늘을 넣고 볶는다.
8. 베트남 고추를 잘게 썰어 팬에 넣고 소금으로 간한다.
9. 잘게 썬 당근과 감자를 팬에 넣고 함께 볶는다.
10. "&amp;"볶던 재료에 톰얌 페이스트를 넣고 볶는다.
11. 10에 새우채소육수를 넣고 끓인다.
12. 액상조미료를 넣는다.
13. 기름을 두른 그릴팬에 토마토, 새우살을 굽다가 소금, 후추로 간한다.
14. 끓는 물을 저어 회오리를 만들고 달걀을 넣어 수란을 만든다.
15. 그릇에 톰얌 수프를 담는다.
16. 대파의 흰 부분을 잘라 그릴팬에 굽는다.
17. 톰얌 수프 위에 구운 토마토, 새우살, 대파를 얹는다.
18. "&amp;"17 위에 수란을 올리고, 잘게 썬 대파를 얹어 마무리 한다.")</f>
        <v>1. 새우는 머리를 제거하고 껍질을 벗긴다.
2. 채소육수를 만든다.
3. 채소육수에 새우머리와 껍질을 넣어 함께 끓인다.
4. 당근과 감자를 잘게 썬다.
5. 양파를 잘게 다지고 마늘은 편으로 썬다.
6. 새우를 적당한 크기로 썬다.
7. 기름을 두른 팬에 새우, 마늘을 넣고 볶는다.
8. 베트남 고추를 잘게 썰어 팬에 넣고 소금으로 간한다.
9. 잘게 썬 당근과 감자를 팬에 넣고 함께 볶는다.
10. 볶던 재료에 톰얌 페이스트를 넣고 볶는다.
11. 10에 새우채소육수를 넣고 끓인다.
12. 액상조미료를 넣는다.
13. 기름을 두른 그릴팬에 토마토, 새우살을 굽다가 소금, 후추로 간한다.
14. 끓는 물을 저어 회오리를 만들고 달걀을 넣어 수란을 만든다.
15. 그릇에 톰얌 수프를 담는다.
16. 대파의 흰 부분을 잘라 그릴팬에 굽는다.
17. 톰얌 수프 위에 구운 토마토, 새우살, 대파를 얹는다.
18. 17 위에 수란을 올리고, 잘게 썬 대파를 얹어 마무리 한다.</v>
      </c>
    </row>
    <row r="256">
      <c r="A256" s="2" t="str">
        <f>recipe!C256
</f>
        <v>한잔하새우</v>
      </c>
      <c r="B256" s="2" t="str">
        <f>IFERROR(__xludf.DUMMYFUNCTION("TRIM(
  REGEXEXTRACT(
    raw!A256,
    ""●\s*조리\s*방법([\s\S]*)""
  )
)
"),"1. 자숙새우살을 잘게 다져 두 개의 볼에 나눠 담는다.
2. 한 쪽 볼에 향쑥리큐어를 넣는다.
3. 2에 칠리소스를 넣는다.
4. 양파를 잘게 썰어 양 쪽 볼에 담는다.
5. 올리브와 할라페뇨를 잘게 썰어 양 쪽 볼에 담는다.
6. 낙지젓을 잘게 다져 양 쪽 볼에 담는다.
7. 식빵을 토스터기에 넣고 굽는다.
8. 소스를 넣지 않은 재료에 머스터드소스, 마요네즈, 소금, 후추, 올리브 오일을 넣고 섞는다.
9"&amp;". 두 개의 칵테일 잔에 잘게 썬 알배추를 넣는다.
10. 한 개의 잔에 머스터드소스&amp;마요네즈에 버무린 재료를 넣는다.
11. 조미김을 잘라서 재료에 꽂아 장식한다.
12. 구운 식빵을 적당한 크기로 잘라 재료에 꽂고, 멸치볶음을 얹어 장식한다.
13. 칠리소스로 양념한 재료에 후추를 넣는다.
14. 13에 잘게 자른 토마토와 레몬즙을 넣는다.
15. 알배추를 깐 칵테일 잔에 칠리소스로 양념한 재료를 넣고 구운 식빵으로 "&amp;"장식한다.
16. 레몬과 올리브로 장식해 완성한다.")</f>
        <v>1. 자숙새우살을 잘게 다져 두 개의 볼에 나눠 담는다.
2. 한 쪽 볼에 향쑥리큐어를 넣는다.
3. 2에 칠리소스를 넣는다.
4. 양파를 잘게 썰어 양 쪽 볼에 담는다.
5. 올리브와 할라페뇨를 잘게 썰어 양 쪽 볼에 담는다.
6. 낙지젓을 잘게 다져 양 쪽 볼에 담는다.
7. 식빵을 토스터기에 넣고 굽는다.
8. 소스를 넣지 않은 재료에 머스터드소스, 마요네즈, 소금, 후추, 올리브 오일을 넣고 섞는다.
9. 두 개의 칵테일 잔에 잘게 썬 알배추를 넣는다.
10. 한 개의 잔에 머스터드소스&amp;마요네즈에 버무린 재료를 넣는다.
11. 조미김을 잘라서 재료에 꽂아 장식한다.
12. 구운 식빵을 적당한 크기로 잘라 재료에 꽂고, 멸치볶음을 얹어 장식한다.
13. 칠리소스로 양념한 재료에 후추를 넣는다.
14. 13에 잘게 자른 토마토와 레몬즙을 넣는다.
15. 알배추를 깐 칵테일 잔에 칠리소스로 양념한 재료를 넣고 구운 식빵으로 장식한다.
16. 레몬과 올리브로 장식해 완성한다.</v>
      </c>
    </row>
    <row r="257">
      <c r="A257" s="2" t="str">
        <f>recipe!C257
</f>
        <v>뱅뱅뱅볶음</v>
      </c>
      <c r="B257" s="2" t="str">
        <f>IFERROR(__xludf.DUMMYFUNCTION("TRIM(
  REGEXEXTRACT(
    raw!A257,
    ""●\s*조리\s*방법([\s\S]*)""
  )
)
"),"1. 양파를 채 썬다.
2. 채 썬 양파를 얼음물에 담가둔다.
3. 볼에 고춧가루, 간장, 설탕, 참기름, 맛술을 섞어 양념을 만든다.
4. 얼음물에 담가뒀던 양파를 건져 양념에 버무린다.
5. 식용유와 들기름을 두른 팬에 다진 마늘을 넣고 볶는다.
6. 알배추와 청양고추를 썬다.
7. 볶던 다진 마늘에 잘게 썬 청양고추를 넣고 볶다가 간장으로 간한다.
8. 물기를 뺀 골뱅이 통조림을 적당한 크기로 썰어 팬에 넣고 "&amp;"함께 볶는다.
9. 잘게 썬 알배추와 들깨가루를 골뱅이를 볶던 팬에 넣고 함께 볶는다.
10. 접시에 양념에 버무린 양파를 담는다.
11. 골뱅이와 알배추를 볶던 팬에 인스턴트 사골곰탕을 넣는다.
12. 접시에 골뱅이 알배추 볶음을 담아 완성한다.")</f>
        <v>1. 양파를 채 썬다.
2. 채 썬 양파를 얼음물에 담가둔다.
3. 볼에 고춧가루, 간장, 설탕, 참기름, 맛술을 섞어 양념을 만든다.
4. 얼음물에 담가뒀던 양파를 건져 양념에 버무린다.
5. 식용유와 들기름을 두른 팬에 다진 마늘을 넣고 볶는다.
6. 알배추와 청양고추를 썬다.
7. 볶던 다진 마늘에 잘게 썬 청양고추를 넣고 볶다가 간장으로 간한다.
8. 물기를 뺀 골뱅이 통조림을 적당한 크기로 썰어 팬에 넣고 함께 볶는다.
9. 잘게 썬 알배추와 들깨가루를 골뱅이를 볶던 팬에 넣고 함께 볶는다.
10. 접시에 양념에 버무린 양파를 담는다.
11. 골뱅이와 알배추를 볶던 팬에 인스턴트 사골곰탕을 넣는다.
12. 접시에 골뱅이 알배추 볶음을 담아 완성한다.</v>
      </c>
    </row>
    <row r="258">
      <c r="A258" s="2" t="str">
        <f>recipe!C258
</f>
        <v>소풍가는 닭</v>
      </c>
      <c r="B258" s="2" t="str">
        <f>IFERROR(__xludf.DUMMYFUNCTION("TRIM(
  REGEXEXTRACT(
    raw!A258,
    ""●\s*조리\s*방법([\s\S]*)""
  )
)
"),"1. 감자는 껍질을 벗기고 얇게 썬다.
2. 소금을 넣은 끓는 물에 얇게 썬 감자를 넣고 삶는다.
3. 양배추를 채 썬다.
4. 기름을 두른 팬에 채 썬 양배추와 다진 파, 데친 브로콜리를 넣고 볶는다.
5. 볶던 재료에 닭안심살을 넣고 소금과 후추로 간한다.
6. 5에 시금치를 넣고 함께 볶는다.
7. 허니버터 브레드를 잘게 썰어 믹서기에 간다.
8. 보코치니 치즈의 물기를 뺀다.
9. 물기를 뺀 보코치니 치"&amp;"즈를 적당한 크기로 자른다.
10. 보코치니 치즈에 밀가루&gt;달걀물&gt;밀가루&gt;달걀물&gt;빵가루 순으로 튀김옷을 입혀 튀긴다.
11. 튀긴 치즈의 기름을 빼고, 소금 후추로 간한다.
12. 넓게 편 명이나물 장아찌에 익힌 닭안심살을 넣고 돌돌 말아 적당한 크기로 썬다.
13. 삶은 감자를 건져 체에 밭쳐 으깬다.
14. 으깬 감자에 버터, 소금 후추를 넣고 섞는다.
15. 냄비에 크림소스와 물, 다진 마늘, 명이나물 장아찌국물, "&amp;"후추를 넣어 명이크림소스를 만든다.
16. 접시에 으깬 감자를 올리고, 그 위에 볶은 채소를 올린다.
17. 16위에 명이크림 소스를 올린다.
18. 명이나물 닭안심말이와 튀긴 치즈를 번갈아 올리고 완성한다.")</f>
        <v>1. 감자는 껍질을 벗기고 얇게 썬다.
2. 소금을 넣은 끓는 물에 얇게 썬 감자를 넣고 삶는다.
3. 양배추를 채 썬다.
4. 기름을 두른 팬에 채 썬 양배추와 다진 파, 데친 브로콜리를 넣고 볶는다.
5. 볶던 재료에 닭안심살을 넣고 소금과 후추로 간한다.
6. 5에 시금치를 넣고 함께 볶는다.
7. 허니버터 브레드를 잘게 썰어 믹서기에 간다.
8. 보코치니 치즈의 물기를 뺀다.
9. 물기를 뺀 보코치니 치즈를 적당한 크기로 자른다.
10. 보코치니 치즈에 밀가루&gt;달걀물&gt;밀가루&gt;달걀물&gt;빵가루 순으로 튀김옷을 입혀 튀긴다.
11. 튀긴 치즈의 기름을 빼고, 소금 후추로 간한다.
12. 넓게 편 명이나물 장아찌에 익힌 닭안심살을 넣고 돌돌 말아 적당한 크기로 썬다.
13. 삶은 감자를 건져 체에 밭쳐 으깬다.
14. 으깬 감자에 버터, 소금 후추를 넣고 섞는다.
15. 냄비에 크림소스와 물, 다진 마늘, 명이나물 장아찌국물, 후추를 넣어 명이크림소스를 만든다.
16. 접시에 으깬 감자를 올리고, 그 위에 볶은 채소를 올린다.
17. 16위에 명이크림 소스를 올린다.
18. 명이나물 닭안심말이와 튀긴 치즈를 번갈아 올리고 완성한다.</v>
      </c>
    </row>
    <row r="259">
      <c r="A259" s="2" t="str">
        <f>recipe!C259
</f>
        <v>함박웃음치~즈</v>
      </c>
      <c r="B259" s="2" t="str">
        <f>IFERROR(__xludf.DUMMYFUNCTION("TRIM(
  REGEXEXTRACT(
    raw!A259,
    ""●\s*조리\s*방법([\s\S]*)""
  )
)
"),"1. 냄비에 물, 맛술, 간장, 설탕을 2:1:1:1 비율로 넣고, 청주를 더해 불고기 양념을 끓인다.
2. 볼에 설탕, 물, 식초를 1:1:1 비율로 넣고 섞어 초절임소스를 만든다.
3. 동치미와 미니 파프리카를 적당한 크기로 썬다.
4. 오이의 양면에 칼집을 촘촘하게 낸다.
5. 칼집을 낸 오이에 소금을 뿌린다.
6. 칼집 낸 오이, 적당한 크기로 썬 동치미, 미니 파프리카를 초절임소스에 넣고 절인다.
7. 믹서에 치"&amp;"마살과 달걀을 넣고 간다.
8. 7에 소금, 후추 간을 한다.
9. 양파를 잘게 썰어 다진 고기에 넣는다.
10. 9에 전분을 넣고 치대어 햄버그 스테이크 반죽을 만든다.
11. 슬라이스 치즈에 버터를 넣어 감싼다.
12. 패티 반죽에 사이에 버터를 감싼 치즈를 넣고 동그랗게 뭉친다.
13. 기름을 두른 팬에 패티를 넣고 굽는다.
14. 패티를 굽는 팬에 청주를 붓고 뚜껑을 닫아 패티 속까지 익힌다.
15. 익"&amp;"힌 패티에 불고기 양념을 붓고 끼얹어가며 조린다.
16. 전자레인지에 냉동된 밥을 넣고 돌린다.
17. 초절임한 오이를 적당한 크기로 썬다.
18. 접시에 초절임한 오이, 동치미, 미니 파프리카를 올린다.
19. 멸치볶음과 깨, 데운 밥을 섞고 뭉쳐서 주먹밥을 만들어 접시에 올린다.
20. 접시에 햄버그 스테이크를 올리고 조린 양념을 뿌려 마무리한다.")</f>
        <v>1. 냄비에 물, 맛술, 간장, 설탕을 2:1:1:1 비율로 넣고, 청주를 더해 불고기 양념을 끓인다.
2. 볼에 설탕, 물, 식초를 1:1:1 비율로 넣고 섞어 초절임소스를 만든다.
3. 동치미와 미니 파프리카를 적당한 크기로 썬다.
4. 오이의 양면에 칼집을 촘촘하게 낸다.
5. 칼집을 낸 오이에 소금을 뿌린다.
6. 칼집 낸 오이, 적당한 크기로 썬 동치미, 미니 파프리카를 초절임소스에 넣고 절인다.
7. 믹서에 치마살과 달걀을 넣고 간다.
8. 7에 소금, 후추 간을 한다.
9. 양파를 잘게 썰어 다진 고기에 넣는다.
10. 9에 전분을 넣고 치대어 햄버그 스테이크 반죽을 만든다.
11. 슬라이스 치즈에 버터를 넣어 감싼다.
12. 패티 반죽에 사이에 버터를 감싼 치즈를 넣고 동그랗게 뭉친다.
13. 기름을 두른 팬에 패티를 넣고 굽는다.
14. 패티를 굽는 팬에 청주를 붓고 뚜껑을 닫아 패티 속까지 익힌다.
15. 익힌 패티에 불고기 양념을 붓고 끼얹어가며 조린다.
16. 전자레인지에 냉동된 밥을 넣고 돌린다.
17. 초절임한 오이를 적당한 크기로 썬다.
18. 접시에 초절임한 오이, 동치미, 미니 파프리카를 올린다.
19. 멸치볶음과 깨, 데운 밥을 섞고 뭉쳐서 주먹밥을 만들어 접시에 올린다.
20. 접시에 햄버그 스테이크를 올리고 조린 양념을 뿌려 마무리한다.</v>
      </c>
    </row>
    <row r="260">
      <c r="A260" s="2" t="str">
        <f>recipe!C260
</f>
        <v>육해공 연볶이</v>
      </c>
      <c r="B260" s="2" t="str">
        <f>IFERROR(__xludf.DUMMYFUNCTION("TRIM(
  REGEXEXTRACT(
    raw!A260,
    ""●\s*조리\s*방법([\s\S]*)""
  )
)
"),"1. 대파와 마늘을 적당한 크기로 썬다.
2. 냄비에 적당하게 썬 대파와 마늘, 닭날개, 고춧가루, 물을 넣고 끓인다.
3. 가래떡을 적당한 크기로 썬다.
4. 끓이던 재료에 적당한 크기로 썬 가래떡과 고추장을 넣는다.
5. 4에 고형카레를 넣는다.
6. 통조림 햄을 얇게 썰어 기름을 두른 팬에 굽는다.
7. 애호박을 적당한 크기로 썰어 떡볶이에 넣는다.
8. 수제비 반죽을 적당한 크기로 떼어 떡볶이에 넣는다.
"&amp;"
9. 떡볶이에 콩나물과 설탕을 넣는다.
10. 떡볶이에 간장과 문어숙회를 넣는다.
11. 떡볶이에 설탕과 청주를 넣는다.
12. 구운 통조림 햄을 적당한 크기로 썰어 떡볶이에 넣고 끓인다.
13. 모차렐라 치즈를 넣는다.
14. 대파를 잘게 썬다.
15. 완성된 떡볶이를 그릇에 담고 잘게 썬 대파를 올려 마무리한다.")</f>
        <v>1. 대파와 마늘을 적당한 크기로 썬다.
2. 냄비에 적당하게 썬 대파와 마늘, 닭날개, 고춧가루, 물을 넣고 끓인다.
3. 가래떡을 적당한 크기로 썬다.
4. 끓이던 재료에 적당한 크기로 썬 가래떡과 고추장을 넣는다.
5. 4에 고형카레를 넣는다.
6. 통조림 햄을 얇게 썰어 기름을 두른 팬에 굽는다.
7. 애호박을 적당한 크기로 썰어 떡볶이에 넣는다.
8. 수제비 반죽을 적당한 크기로 떼어 떡볶이에 넣는다.
9. 떡볶이에 콩나물과 설탕을 넣는다.
10. 떡볶이에 간장과 문어숙회를 넣는다.
11. 떡볶이에 설탕과 청주를 넣는다.
12. 구운 통조림 햄을 적당한 크기로 썰어 떡볶이에 넣고 끓인다.
13. 모차렐라 치즈를 넣는다.
14. 대파를 잘게 썬다.
15. 완성된 떡볶이를 그릇에 담고 잘게 썬 대파를 올려 마무리한다.</v>
      </c>
    </row>
    <row r="261">
      <c r="A261" s="2" t="str">
        <f>recipe!C261
</f>
        <v>너는 힙합! 나는 햄팝!</v>
      </c>
      <c r="B261" s="2" t="str">
        <f>IFERROR(__xludf.DUMMYFUNCTION("TRIM(
  REGEXEXTRACT(
    raw!A261,
    ""●\s*조리\s*방법([\s\S]*)""
  )
)
"),"1. 팬에 설탕과 물을 붓고 끓여 졸인다.
2. 볼에 얼음, 물, 밀가루를 넣는다.
3. 2에 전분을 더해 튀김옷을 만든다.
4. 통조림 햄을 깍둑썰기 한다.
5. 깍둑썰기 한 통조림 햄에 튀김옷을 입혀 기름에 튀긴다.
6. 튀긴 통조림 햄을 건져 기름기를 뺀다.
7. 졸인 설탕에 땅콩버터를 넣고 섞는다.
8. 7에 튀긴 햄을 넣고 버무린다.
9. 그릇에 담아낸다.")</f>
        <v>1. 팬에 설탕과 물을 붓고 끓여 졸인다.
2. 볼에 얼음, 물, 밀가루를 넣는다.
3. 2에 전분을 더해 튀김옷을 만든다.
4. 통조림 햄을 깍둑썰기 한다.
5. 깍둑썰기 한 통조림 햄에 튀김옷을 입혀 기름에 튀긴다.
6. 튀긴 통조림 햄을 건져 기름기를 뺀다.
7. 졸인 설탕에 땅콩버터를 넣고 섞는다.
8. 7에 튀긴 햄을 넣고 버무린다.
9. 그릇에 담아낸다.</v>
      </c>
    </row>
    <row r="262">
      <c r="A262" s="2" t="str">
        <f>recipe!C262
</f>
        <v>쌈삼한 리소토</v>
      </c>
      <c r="B262" s="2" t="str">
        <f>IFERROR(__xludf.DUMMYFUNCTION("TRIM(
  REGEXEXTRACT(
    raw!A262,
    ""●\s*조리\s*방법([\s\S]*)""
  )
)
"),"1. 기름을 두른 팬에 잘게 썬 양파와 다진 마늘, 얼린 밥을 넣고 볶는다.
2. 삼계탕을 체에 밭쳐 건더기와 국물을 분리한다.
3. 삼계탕 건더기의 국물을 완전히 짜낸 후 잘게 다진다.
4. 밥을 볶던 팬에 삼계탕 국물을 붓고 끓여 리소토를 만든다.
5. 리소토에 소금, 후추로 간한다.
6. 믹서기에 꽃게맛 과자와 치즈맛 과자, 고춧가루를 넣고 간다.
7. 잘게 다진 삼계탕 건더기를 동그랗게 뭉친 뒤 밀가루&gt;달걀물&gt;과자"&amp;"가루를 입혀 기름에 튀긴다.
8. 청양고추와 묵은지, 무김치를 잘게 썬다.
9. 팬에 잘게 썬 김치를 넣고, 깨, 버터, 고춧가루, 삼계탕 국물을 넣고 볶는다.
10. 튀긴 삼계볼을 건져 기름기를 뺀다.
11. 마른 팬에 리소토를 옮겨 담고 파르메산 치즈분말을 넣고 볶는다.
12. 그릇에 리소토를 담고 튀긴 삼계볼을 올린다.
13. 12 위에 볶은 김치를 올린다.
14. 깨와 잘게 썬 청양고추를 얹어 마무리한다.")</f>
        <v>1. 기름을 두른 팬에 잘게 썬 양파와 다진 마늘, 얼린 밥을 넣고 볶는다.
2. 삼계탕을 체에 밭쳐 건더기와 국물을 분리한다.
3. 삼계탕 건더기의 국물을 완전히 짜낸 후 잘게 다진다.
4. 밥을 볶던 팬에 삼계탕 국물을 붓고 끓여 리소토를 만든다.
5. 리소토에 소금, 후추로 간한다.
6. 믹서기에 꽃게맛 과자와 치즈맛 과자, 고춧가루를 넣고 간다.
7. 잘게 다진 삼계탕 건더기를 동그랗게 뭉친 뒤 밀가루&gt;달걀물&gt;과자가루를 입혀 기름에 튀긴다.
8. 청양고추와 묵은지, 무김치를 잘게 썬다.
9. 팬에 잘게 썬 김치를 넣고, 깨, 버터, 고춧가루, 삼계탕 국물을 넣고 볶는다.
10. 튀긴 삼계볼을 건져 기름기를 뺀다.
11. 마른 팬에 리소토를 옮겨 담고 파르메산 치즈분말을 넣고 볶는다.
12. 그릇에 리소토를 담고 튀긴 삼계볼을 올린다.
13. 12 위에 볶은 김치를 올린다.
14. 깨와 잘게 썬 청양고추를 얹어 마무리한다.</v>
      </c>
    </row>
    <row r="263">
      <c r="A263" s="2" t="str">
        <f>recipe!C263
</f>
        <v>쌈닭 파스타</v>
      </c>
      <c r="B263" s="2" t="str">
        <f>IFERROR(__xludf.DUMMYFUNCTION("TRIM(
  REGEXEXTRACT(
    raw!A263,
    ""●\s*조리\s*방법([\s\S]*)""
  )
)
"),"1. 기름을 두른 냄비에 적당한 크기로 썬 당근과 양파를 넣고 볶는다.
2. 갈비탕을 체에 밭쳐 국물만 걸러낸다.
3. 걸러낸 갈비탕 국물을 채소가 담긴 냄비에 넣고 끓여 육수를 낸다.
4. 끓는 물에 소금을 넣고, 파스타 면을 삶는다.
5. 마늘을 잘게 다진다.
6. 기름을 두른 팬에 다진 마늘과 매운 양념숯불치킨을 넣고 함께 볶는다.
7. 볶던 치킨에 후추, 유자소주, 채소갈비탕육수를 넣고 끓여 치킨갈비탕소스를 만든다"&amp;".
8. 익은 파스타면을 건져 치킨갈비탕소스에 넣고 볶는다.
9. 파스타에 소금으로 간을 한다.
10. 파스타에 파르메산 치즈분말을 뿌리고 섞는다.
11. 그릇에 파스타를 담아 완성한다.")</f>
        <v>1. 기름을 두른 냄비에 적당한 크기로 썬 당근과 양파를 넣고 볶는다.
2. 갈비탕을 체에 밭쳐 국물만 걸러낸다.
3. 걸러낸 갈비탕 국물을 채소가 담긴 냄비에 넣고 끓여 육수를 낸다.
4. 끓는 물에 소금을 넣고, 파스타 면을 삶는다.
5. 마늘을 잘게 다진다.
6. 기름을 두른 팬에 다진 마늘과 매운 양념숯불치킨을 넣고 함께 볶는다.
7. 볶던 치킨에 후추, 유자소주, 채소갈비탕육수를 넣고 끓여 치킨갈비탕소스를 만든다.
8. 익은 파스타면을 건져 치킨갈비탕소스에 넣고 볶는다.
9. 파스타에 소금으로 간을 한다.
10. 파스타에 파르메산 치즈분말을 뿌리고 섞는다.
11. 그릇에 파스타를 담아 완성한다.</v>
      </c>
    </row>
    <row r="264">
      <c r="A264" s="2" t="str">
        <f>recipe!C264
</f>
        <v>소울 푸드의 고참</v>
      </c>
      <c r="B264" s="2" t="str">
        <f>IFERROR(__xludf.DUMMYFUNCTION("TRIM(
  REGEXEXTRACT(
    raw!A264,
    ""●\s*조리\s*방법([\s\S]*)""
  )
)
"),"1. 냄비에 적당한 크기로 썬 당근, 설탕, 물을 넣고 끓여 당근육수를 만든다.
2. 스위트콘 통조림을 체에 밭쳐 물기를 뺀다.
3. 물기를 뺀 스위트콘과 버터를 팬에 넣고 볶는다.
4. 3에 당근육수를 넣고 끓인다.
5. 즉석밥을 전자레인지에 데운다.
6. 마늘을 편으로 썰어 기름에 튀긴다.
7. 볼에 고추참치 통조림과 마요네즈를 넣는다.
8. 다른 볼에 토마토 소스와 레몬즙을 넣고 섞는다.
9. 9에 올리브"&amp;"오일, 후추, 소금을 넣고 섞어 소스를 만든다.
10. 전자레인지에서 즉석밥을 꺼내 고추참치, 마요네즈와 함께 버무린다.
11. 버무린 밥에 소금, 후추로 간한다.
12. 당근육수와 함께 끓인 스위트콘을 핸드블렌더로 간다.
13. 기름에 튀긴 마늘을 건져낸다.
14. 기름에 튀긴 마늘을 잘게 다진다.
15. 고추참치에 버무린 밥에 잘게 다진 튀긴 마늘을 넣고 섞는다.
16. 랩을 펼쳐 양념한 밥을 넣고 동그랗게 말아"&amp;" 기름을 두른 팬에 굽는다.
17. 다른 팬에 맛술과 간장을 넣어 간장소스를 끓인다.
18. 구운 주먹밥에 버터와 간장소스를 넣고 조린다.
19. 채 썬 양파에 전분을 묻혀 기름에 튀긴다.
20. 튀긴 양파를 레몬즙과 섞은 토마토 소스에 넣고 무친다.
21. 그릇에 곱게 간 스위트콘을 담은 뒤, 구운 주먹밥을 올린다.
22. 소스에 무친 튀긴 양파를 얹어 마무리한다.")</f>
        <v>1. 냄비에 적당한 크기로 썬 당근, 설탕, 물을 넣고 끓여 당근육수를 만든다.
2. 스위트콘 통조림을 체에 밭쳐 물기를 뺀다.
3. 물기를 뺀 스위트콘과 버터를 팬에 넣고 볶는다.
4. 3에 당근육수를 넣고 끓인다.
5. 즉석밥을 전자레인지에 데운다.
6. 마늘을 편으로 썰어 기름에 튀긴다.
7. 볼에 고추참치 통조림과 마요네즈를 넣는다.
8. 다른 볼에 토마토 소스와 레몬즙을 넣고 섞는다.
9. 9에 올리브오일, 후추, 소금을 넣고 섞어 소스를 만든다.
10. 전자레인지에서 즉석밥을 꺼내 고추참치, 마요네즈와 함께 버무린다.
11. 버무린 밥에 소금, 후추로 간한다.
12. 당근육수와 함께 끓인 스위트콘을 핸드블렌더로 간다.
13. 기름에 튀긴 마늘을 건져낸다.
14. 기름에 튀긴 마늘을 잘게 다진다.
15. 고추참치에 버무린 밥에 잘게 다진 튀긴 마늘을 넣고 섞는다.
16. 랩을 펼쳐 양념한 밥을 넣고 동그랗게 말아 기름을 두른 팬에 굽는다.
17. 다른 팬에 맛술과 간장을 넣어 간장소스를 끓인다.
18. 구운 주먹밥에 버터와 간장소스를 넣고 조린다.
19. 채 썬 양파에 전분을 묻혀 기름에 튀긴다.
20. 튀긴 양파를 레몬즙과 섞은 토마토 소스에 넣고 무친다.
21. 그릇에 곱게 간 스위트콘을 담은 뒤, 구운 주먹밥을 올린다.
22. 소스에 무친 튀긴 양파를 얹어 마무리한다.</v>
      </c>
    </row>
    <row r="265">
      <c r="A265" s="2" t="str">
        <f>recipe!C265
</f>
        <v>옥수스웨그 팬케이크</v>
      </c>
      <c r="B265" s="2" t="str">
        <f>IFERROR(__xludf.DUMMYFUNCTION("TRIM(
  REGEXEXTRACT(
    raw!A265,
    ""●\s*조리\s*방법([\s\S]*)""
  )
)
"),"1. 냄비에 물, 인스턴트 체다치즈 수프, 파르메산 치즈분말을 넣고 끓인다.
2. 매운 양념숯불치킨을 잘게 썰어 수프에 넣고 끓인다.
3. 스위트콘 통조림을 체에 밭쳐 물기를 뺀다.
4. 볼에 물기를 뺀 스위트콘과 달걀을 넣는다.
5. 4에 양파와 오이피클을 잘게 썰어 넣은 뒤 소금 후추로 간한다.
6. 청양고추를 잘게 썰어 넣는다.
7. 볼에 담긴 각종 재료를 핸드블렌더로 간다.
8. 핸드블렌더로 간 재료들에 밀가"&amp;"루를 넣고 팬케이크 반죽을 만든다.
9. 기름을 두른 팬에 팬케이크 반죽을 넓게 펴고 굽는다.
10. 팬케이크에 후추를 뿌려 간한다.
11. 고추참치 통조림을 체에 밭쳐 기름기를 뺀다.
12. 볼에 고추참치, 잘게 썬 양파, 소금, 후추, 잘게 썬 피클, 토마토 소스를 넣고 섞는다.
13. 양념한 고추참치를 접시에 담는다.
14. 스위트콘 팬케이크를 적당한 크기로 썰어 접시에 담고, 치킨치즈수프를 올린다.
15. 레"&amp;"몬슬라이스를 얹어 마무리한다.")</f>
        <v>1. 냄비에 물, 인스턴트 체다치즈 수프, 파르메산 치즈분말을 넣고 끓인다.
2. 매운 양념숯불치킨을 잘게 썰어 수프에 넣고 끓인다.
3. 스위트콘 통조림을 체에 밭쳐 물기를 뺀다.
4. 볼에 물기를 뺀 스위트콘과 달걀을 넣는다.
5. 4에 양파와 오이피클을 잘게 썰어 넣은 뒤 소금 후추로 간한다.
6. 청양고추를 잘게 썰어 넣는다.
7. 볼에 담긴 각종 재료를 핸드블렌더로 간다.
8. 핸드블렌더로 간 재료들에 밀가루를 넣고 팬케이크 반죽을 만든다.
9. 기름을 두른 팬에 팬케이크 반죽을 넓게 펴고 굽는다.
10. 팬케이크에 후추를 뿌려 간한다.
11. 고추참치 통조림을 체에 밭쳐 기름기를 뺀다.
12. 볼에 고추참치, 잘게 썬 양파, 소금, 후추, 잘게 썬 피클, 토마토 소스를 넣고 섞는다.
13. 양념한 고추참치를 접시에 담는다.
14. 스위트콘 팬케이크를 적당한 크기로 썰어 접시에 담고, 치킨치즈수프를 올린다.
15. 레몬슬라이스를 얹어 마무리한다.</v>
      </c>
    </row>
    <row r="266">
      <c r="A266" s="2" t="str">
        <f>recipe!C266
</f>
        <v>등심빵빵</v>
      </c>
      <c r="B266" s="2" t="str">
        <f>IFERROR(__xludf.DUMMYFUNCTION("TRIM(
  REGEXEXTRACT(
    raw!A266,
    ""●\s*조리\s*방법([\s\S]*)""
  )
)
"),"1. 식빵의 테두리를 잘라내고 4등분한다.
2. 다른 식빵은 테두리를 잘라내고 잘게 썬다.
3. 등심을 적당한 크기로 썬다.
4. 믹서기에 달걀, 버터, 적당한 크기로 썬 등심, 생강즙을 넣고 간다.
5. 4에 전분, 매실맛 후리카케를 넣고 섞어 완자 반죽을 만든다.
6. 완자 반죽을 동그랗게 빚어 식빵 사이에 넣는다.
7. 완자를 끼운 식빵을 기름에 튀긴다.
8. 완자 반죽을 동그랗게 빚어 잘게 썬 식빵을 묻힌 뒤"&amp;", 기름에 튀긴다.
9. 볼에 케첩, 잘게 다진 양파, 레몬즙을 넣는다.
10. 9에 석류즙을 더해 소스를 만든다.
11. 튀겨진 등심 식빵 튀김을 적당한 크기로 썰어 접시에 담는다.
12. 소스를 따로 담아낸다.")</f>
        <v>1. 식빵의 테두리를 잘라내고 4등분한다.
2. 다른 식빵은 테두리를 잘라내고 잘게 썬다.
3. 등심을 적당한 크기로 썬다.
4. 믹서기에 달걀, 버터, 적당한 크기로 썬 등심, 생강즙을 넣고 간다.
5. 4에 전분, 매실맛 후리카케를 넣고 섞어 완자 반죽을 만든다.
6. 완자 반죽을 동그랗게 빚어 식빵 사이에 넣는다.
7. 완자를 끼운 식빵을 기름에 튀긴다.
8. 완자 반죽을 동그랗게 빚어 잘게 썬 식빵을 묻힌 뒤, 기름에 튀긴다.
9. 볼에 케첩, 잘게 다진 양파, 레몬즙을 넣는다.
10. 9에 석류즙을 더해 소스를 만든다.
11. 튀겨진 등심 식빵 튀김을 적당한 크기로 썰어 접시에 담는다.
12. 소스를 따로 담아낸다.</v>
      </c>
    </row>
    <row r="267">
      <c r="A267" s="2" t="str">
        <f>recipe!C267
</f>
        <v>달콤하게 튀겼지우</v>
      </c>
      <c r="B267" s="2" t="str">
        <f>IFERROR(__xludf.DUMMYFUNCTION("TRIM(
  REGEXEXTRACT(
    raw!A267,
    ""●\s*조리\s*방법([\s\S]*)""
  )
)
"),"1. 사과는 껍질째 썰고 원형틀을 이용해 도넛 모양으로 만든다.
2. 브리 치즈는 동그랗게 썰고 원형틀을 이용해 도넛 모양으로 만든다.
3. 팬에 블루베리, 과일맛 맥주, 설탕을 넣고 졸여 블루베리 소스를 만든다.
4. 볼에 달걀, 설탕, 밀가루, 스파클링 사과주스를 넣고 섞어 튀김옷을 만든다.
5. 사과에 튀김옷을 입혀 기름에 튀긴다.
6. 튀긴 사과를 건져 기름기를 뺀다.
7. 핸드블렌더에 호두와 아몬드를 넣고 간다."&amp;"
8. 갈아낸 호두와 아몬드를 반죽에 섞는다.
9. 브리 치즈에 호두와 아몬드를 섞은 튀김옷을 입혀 기름에 튀긴다.
10. 소스볼에 블루베리 소스를 담는다.
11. 튀긴 브리 치즈를 건져 기름기를 뺀다.
12. 접시에 사과 튀김과 브리 치즈 튀김을 올리고, 블루베리 소스를 얹어 완성한다.")</f>
        <v>1. 사과는 껍질째 썰고 원형틀을 이용해 도넛 모양으로 만든다.
2. 브리 치즈는 동그랗게 썰고 원형틀을 이용해 도넛 모양으로 만든다.
3. 팬에 블루베리, 과일맛 맥주, 설탕을 넣고 졸여 블루베리 소스를 만든다.
4. 볼에 달걀, 설탕, 밀가루, 스파클링 사과주스를 넣고 섞어 튀김옷을 만든다.
5. 사과에 튀김옷을 입혀 기름에 튀긴다.
6. 튀긴 사과를 건져 기름기를 뺀다.
7. 핸드블렌더에 호두와 아몬드를 넣고 간다.
8. 갈아낸 호두와 아몬드를 반죽에 섞는다.
9. 브리 치즈에 호두와 아몬드를 섞은 튀김옷을 입혀 기름에 튀긴다.
10. 소스볼에 블루베리 소스를 담는다.
11. 튀긴 브리 치즈를 건져 기름기를 뺀다.
12. 접시에 사과 튀김과 브리 치즈 튀김을 올리고, 블루베리 소스를 얹어 완성한다.</v>
      </c>
    </row>
    <row r="268">
      <c r="A268" s="2" t="str">
        <f>recipe!C268
</f>
        <v>여심전복</v>
      </c>
      <c r="B268" s="2" t="str">
        <f>IFERROR(__xludf.DUMMYFUNCTION("TRIM(
  REGEXEXTRACT(
    raw!A268,
    ""●\s*조리\s*방법([\s\S]*)""
  )
)
"),"1. 전복을 손질한다.
2. 손질한 전복을 끓는 물에 삶는다.
3. 올리브의 씨를 발라낸다.
4. 핸드블렌더에 올리브, 케이퍼, 하몬, 올리브오일을 넣고 갈아 소스를 만든다.
5. 배추를 잘게 썬다.
6. 삶은 전복을 건져 적당한 크기로 썬다.
7. 전복 껍데기에 잘게 썬 배추를 깔고, 데친 전복을 올린다.
8. 데친 전복 위에 소스를 얹는다.
9. 핸드블렌더로 소금과 석류알을 함께 간다.
10. 9을 소"&amp;"금에 넣고 섞어 석류소금을 만든다.
11. 접시에 석류소금을 올리고, 레몬껍질을 갈아서 뿌린다.
12. 11 위에 소스를 얹은 전복을 올린다.
13. 전복 위에 영양부추와 망고맛 젤리를 올려 완성한다.")</f>
        <v>1. 전복을 손질한다.
2. 손질한 전복을 끓는 물에 삶는다.
3. 올리브의 씨를 발라낸다.
4. 핸드블렌더에 올리브, 케이퍼, 하몬, 올리브오일을 넣고 갈아 소스를 만든다.
5. 배추를 잘게 썬다.
6. 삶은 전복을 건져 적당한 크기로 썬다.
7. 전복 껍데기에 잘게 썬 배추를 깔고, 데친 전복을 올린다.
8. 데친 전복 위에 소스를 얹는다.
9. 핸드블렌더로 소금과 석류알을 함께 간다.
10. 9을 소금에 넣고 섞어 석류소금을 만든다.
11. 접시에 석류소금을 올리고, 레몬껍질을 갈아서 뿌린다.
12. 11 위에 소스를 얹은 전복을 올린다.
13. 전복 위에 영양부추와 망고맛 젤리를 올려 완성한다.</v>
      </c>
    </row>
    <row r="269">
      <c r="A269" s="2" t="str">
        <f>recipe!C269
</f>
        <v>여식공략</v>
      </c>
      <c r="B269" s="2" t="str">
        <f>IFERROR(__xludf.DUMMYFUNCTION("TRIM(
  REGEXEXTRACT(
    raw!A269,
    ""●\s*조리\s*방법([\s\S]*)""
  )
)
"),"1. 배추, 영양부추, 콜라비를 잘게 썰어 볼에 담는다.
2. 1에 반건조 문어다리, 게맛살도 잘게 썰어 넣는다.
3. 잘게 썬 재료에 올리브오일, 후추를 넣고 섞어 샐러드를 만든다.
4. 샐러드에 레몬즙을 뿌린다.
5. 핸드블렌더에 믹스너츠를 넣고 간다.
6. 크림치즈를 작게 잘라 간 믹스너츠를 입힌다.
7. 아스파라거스와 두릅을 손질해 소금을 넣은 끓는 물에 데친다.
8. 데친 아스파라거스와 두릅을 체에 밭쳐 물"&amp;"기를 뺀다.
9. 올리브를 적당한 크기로 썬다.
10. 믹서기에 아보카도, 물을 넣고 간 뒤 체에 밭쳐 내린다.
11. 아보카도 소스에 소금, 후추, 레몬즙을 넣는다.
12. 접시에 아보카도 소스를 깔고, 샐러드를 올린다.
13. 발사믹 식초에 올리브오일을 섞는다.
14. 물기를 뺀 아스파라거스와 두릅에 발사믹오일을 넣고 섞는다.
15. 샐러드 위에 양념한 아스파라거스와 두릅, 믹스너츠를 묻힌 크림치즈를 얹는다.
"&amp;"
16. 하몬을 돌돌 말아 적당한 크기로 썬다.
17. 발사믹오일을 뿌리고 적당한 크기로 썬 하몬과 올리브를 얹어 완성한다.")</f>
        <v>1. 배추, 영양부추, 콜라비를 잘게 썰어 볼에 담는다.
2. 1에 반건조 문어다리, 게맛살도 잘게 썰어 넣는다.
3. 잘게 썬 재료에 올리브오일, 후추를 넣고 섞어 샐러드를 만든다.
4. 샐러드에 레몬즙을 뿌린다.
5. 핸드블렌더에 믹스너츠를 넣고 간다.
6. 크림치즈를 작게 잘라 간 믹스너츠를 입힌다.
7. 아스파라거스와 두릅을 손질해 소금을 넣은 끓는 물에 데친다.
8. 데친 아스파라거스와 두릅을 체에 밭쳐 물기를 뺀다.
9. 올리브를 적당한 크기로 썬다.
10. 믹서기에 아보카도, 물을 넣고 간 뒤 체에 밭쳐 내린다.
11. 아보카도 소스에 소금, 후추, 레몬즙을 넣는다.
12. 접시에 아보카도 소스를 깔고, 샐러드를 올린다.
13. 발사믹 식초에 올리브오일을 섞는다.
14. 물기를 뺀 아스파라거스와 두릅에 발사믹오일을 넣고 섞는다.
15. 샐러드 위에 양념한 아스파라거스와 두릅, 믹스너츠를 묻힌 크림치즈를 얹는다.
16. 하몬을 돌돌 말아 적당한 크기로 썬다.
17. 발사믹오일을 뿌리고 적당한 크기로 썬 하몬과 올리브를 얹어 완성한다.</v>
      </c>
    </row>
    <row r="270">
      <c r="A270" s="2" t="str">
        <f>recipe!C270
</f>
        <v>최후의 소보로</v>
      </c>
      <c r="B270" s="2" t="str">
        <f>IFERROR(__xludf.DUMMYFUNCTION("TRIM(
  REGEXEXTRACT(
    raw!A270,
    ""●\s*조리\s*방법([\s\S]*)""
  )
)
"),"1. 식빵을 토스트기에 넣고 굽는다.
2. 핸드블렌더로 잣을 곱게 간다.
3. 볼에 잣가루, 밀가루, 설탕, 버터, 달걀노른자를 넣고 치대어 소보로 반죽을 만든다.
4. 팬에 소보로 반죽을 넣고 굽는다.
5. 구운 식빵의 한 면에 파인애플&amp;망고 잼을 바르고, 소보로 반죽 위에 얹는다.
6. 볼에 달걀, 밀가루, 설탕을 넣고 잘 섞어 튀김옷을 만든다.
7. 튀김옷에 우유와 소금을 넣고 섞는다.
8. 식빵을 적당한 크기"&amp;"로 잘라 튀김옷을 입혀 기름에 튀긴다.
9. 튀긴 식빵을 건져 기름기를 빼고, 설탕을 입힌다.
10. 접시에 소보로 반죽과 함께 구운 식빵과 튀긴 식빵을 함께 담아낸다.")</f>
        <v>1. 식빵을 토스트기에 넣고 굽는다.
2. 핸드블렌더로 잣을 곱게 간다.
3. 볼에 잣가루, 밀가루, 설탕, 버터, 달걀노른자를 넣고 치대어 소보로 반죽을 만든다.
4. 팬에 소보로 반죽을 넣고 굽는다.
5. 구운 식빵의 한 면에 파인애플&amp;망고 잼을 바르고, 소보로 반죽 위에 얹는다.
6. 볼에 달걀, 밀가루, 설탕을 넣고 잘 섞어 튀김옷을 만든다.
7. 튀김옷에 우유와 소금을 넣고 섞는다.
8. 식빵을 적당한 크기로 잘라 튀김옷을 입혀 기름에 튀긴다.
9. 튀긴 식빵을 건져 기름기를 빼고, 설탕을 입힌다.
10. 접시에 소보로 반죽과 함께 구운 식빵과 튀긴 식빵을 함께 담아낸다.</v>
      </c>
    </row>
    <row r="271">
      <c r="A271" s="2" t="str">
        <f>recipe!C271
</f>
        <v>봉주르마끼</v>
      </c>
      <c r="B271" s="2" t="str">
        <f>IFERROR(__xludf.DUMMYFUNCTION("TRIM(
  REGEXEXTRACT(
    raw!A271,
    ""●\s*조리\s*방법([\s\S]*)""
  )
)
"),"1. 식빵의 테두리를 잘라낸다.
2. 테두리를 잘라낸 식빵을 밀대로 밀어 얇게 만든다.
3. 잘라낸 식빵 테두리를 기름에 튀긴 뒤, 기름기를 빼고 설탕을 입힌다.
4. 사과, 양파, 당근을 채 썬다.
5. 기름을 두른 팬에 채 썬 양파와 당근을 볶는다.
6. 같은 팬에 베이컨을 굽는다.
7. 게맛살을 잘게 찢은 후, 마요네즈를 넣어 무친다.
8. 달걀노른자를 풀어, 밀대로 얇게 민 식빵에 바른다.
9. 달걀노른"&amp;"자를 바른 식빵에 양념한 게맛살, 구운 베이컨,
볶은 채소와 채 썬 사과를 넣고 말아 롤을 만든다.
10. 전자레인지로 버터를 녹인다.
11. 볼에 달걀, 설탕, 밀가루, 소금, 맛술, 우유를 넣는다.
12. 11에 녹인 버터를 넣어가며 잘 섞어 달걀물을 만든다.
13. 사각팬에 달걀물을 붓고 식빵롤을 얹어 돌돌 만다.
14. 달걀물을 계속 부어가며 식빵롤에 달걀옷을 여러 겹으로 입힌다.
15. 달걀말이롤을 적당한 크기"&amp;"로 썬다.
16. 접시에 달걀말이롤을 담고, 식빵튀김을 곁들여 낸다.")</f>
        <v>1. 식빵의 테두리를 잘라낸다.
2. 테두리를 잘라낸 식빵을 밀대로 밀어 얇게 만든다.
3. 잘라낸 식빵 테두리를 기름에 튀긴 뒤, 기름기를 빼고 설탕을 입힌다.
4. 사과, 양파, 당근을 채 썬다.
5. 기름을 두른 팬에 채 썬 양파와 당근을 볶는다.
6. 같은 팬에 베이컨을 굽는다.
7. 게맛살을 잘게 찢은 후, 마요네즈를 넣어 무친다.
8. 달걀노른자를 풀어, 밀대로 얇게 민 식빵에 바른다.
9. 달걀노른자를 바른 식빵에 양념한 게맛살, 구운 베이컨,
볶은 채소와 채 썬 사과를 넣고 말아 롤을 만든다.
10. 전자레인지로 버터를 녹인다.
11. 볼에 달걀, 설탕, 밀가루, 소금, 맛술, 우유를 넣는다.
12. 11에 녹인 버터를 넣어가며 잘 섞어 달걀물을 만든다.
13. 사각팬에 달걀물을 붓고 식빵롤을 얹어 돌돌 만다.
14. 달걀물을 계속 부어가며 식빵롤에 달걀옷을 여러 겹으로 입힌다.
15. 달걀말이롤을 적당한 크기로 썬다.
16. 접시에 달걀말이롤을 담고, 식빵튀김을 곁들여 낸다.</v>
      </c>
    </row>
    <row r="272">
      <c r="A272" s="2" t="str">
        <f>recipe!C272
</f>
        <v>어무이라이스</v>
      </c>
      <c r="B272" s="2" t="str">
        <f>IFERROR(__xludf.DUMMYFUNCTION("TRIM(
  REGEXEXTRACT(
    raw!A272,
    ""●\s*조리\s*방법([\s\S]*)""
  )
)
"),"1. 마늘, 대파, 당근, 양파를 잘게 썬다.
2. 전자레인지에 즉석밥을 데운다.
3. 기름을 두른 팬에 차돌박이를 굽는다.
4. 구운 차돌박이를 덜어내고 난 기름에 잘게 썬 채소를 볶다가 소금 후추로 간한다.
5. 볶던 채소에 데운 즉석밥을 넣고 볶는다.
6. 볶음밥에 구운 차돌박이를 잘게 썰어 넣고 함께 볶는다.
7. 팬에 맛술과 간장을 넣고 끓여 간장양념을 만든다.
8. 다른 팬에 기름을 두르고, 잘게 썬 베이"&amp;"컨을 볶는다.
9. 마늘을 다져 베이컨을 볶던 팬에 넣고 함께 볶는다.
10. 볶던 재료에 식초를 넣는다.
11. 10에 간장양념을 넣고 끓여 오므라이스 소스를 만든다.
12. 전분물을 만들어 오므라이스 소스에 넣는다.
13. 대파를 가늘게 채 썬다.
14. 볼에 채 썬 파를 넣고, 식초, 간장, 고춧가루, 설탕, 올리브오일을 넣고 양념한다.
15. 달걀을 풀어 기름을 두른 팬에 붓고 지단을 부친다.
16. 지"&amp;"단 한 쪽에 볶음밥을 올리고 반으로 접는다.
17. 접시에 오므라이스를 옮겨 담는다.
18. 오므라이스 위에 양념한 파채와 소스를 담고 깨를 뿌려 마무리한다.")</f>
        <v>1. 마늘, 대파, 당근, 양파를 잘게 썬다.
2. 전자레인지에 즉석밥을 데운다.
3. 기름을 두른 팬에 차돌박이를 굽는다.
4. 구운 차돌박이를 덜어내고 난 기름에 잘게 썬 채소를 볶다가 소금 후추로 간한다.
5. 볶던 채소에 데운 즉석밥을 넣고 볶는다.
6. 볶음밥에 구운 차돌박이를 잘게 썰어 넣고 함께 볶는다.
7. 팬에 맛술과 간장을 넣고 끓여 간장양념을 만든다.
8. 다른 팬에 기름을 두르고, 잘게 썬 베이컨을 볶는다.
9. 마늘을 다져 베이컨을 볶던 팬에 넣고 함께 볶는다.
10. 볶던 재료에 식초를 넣는다.
11. 10에 간장양념을 넣고 끓여 오므라이스 소스를 만든다.
12. 전분물을 만들어 오므라이스 소스에 넣는다.
13. 대파를 가늘게 채 썬다.
14. 볼에 채 썬 파를 넣고, 식초, 간장, 고춧가루, 설탕, 올리브오일을 넣고 양념한다.
15. 달걀을 풀어 기름을 두른 팬에 붓고 지단을 부친다.
16. 지단 한 쪽에 볶음밥을 올리고 반으로 접는다.
17. 접시에 오므라이스를 옮겨 담는다.
18. 오므라이스 위에 양념한 파채와 소스를 담고 깨를 뿌려 마무리한다.</v>
      </c>
    </row>
    <row r="273">
      <c r="A273" s="2" t="str">
        <f>recipe!C273
</f>
        <v>돼새찌개</v>
      </c>
      <c r="B273" s="2" t="str">
        <f>IFERROR(__xludf.DUMMYFUNCTION("TRIM(
  REGEXEXTRACT(
    raw!A273,
    ""●\s*조리\s*방법([\s\S]*)""
  )
)
"),"1. 양파와 대파를 적당한 크기로 썬다.
2. 기름을 두른 팬에 양파를 먼저 볶다가, 대파를 넣고 함께 볶는다.
3. 삼겹살을 적당한 크기로 썰어 팬에 넣고 함께 볶는다.
4. 3에 다진 마늘을 넣는다.
5. 볶던 재료에 물을 넣고 끓인다.
6. 찌개가 끓으면 불순물을 걷어내며 계속해서 끓인다.
7. 불린 목이버섯을 적당한 크기로 썰어, 찌개에 넣고 함께 끓인다.
8. 찌개에 새우젓과 간장을 넣어 간한다.
9."&amp;" 청양고추와 마늘을 잘게 썬다.
10. 냄비에 식용유, 잘게 썬 청양고추와 마늘, 고춧가루를 넣고 끓여 고추기름을 낸다.
11. 전자레인지에 즉석밥을 데운다.
12. 즉석밥을 밥그릇에 담는다.
13. 그릇에 찌개를 옮겨 담고, 고추기름을 얹어 낸다.")</f>
        <v>1. 양파와 대파를 적당한 크기로 썬다.
2. 기름을 두른 팬에 양파를 먼저 볶다가, 대파를 넣고 함께 볶는다.
3. 삼겹살을 적당한 크기로 썰어 팬에 넣고 함께 볶는다.
4. 3에 다진 마늘을 넣는다.
5. 볶던 재료에 물을 넣고 끓인다.
6. 찌개가 끓으면 불순물을 걷어내며 계속해서 끓인다.
7. 불린 목이버섯을 적당한 크기로 썰어, 찌개에 넣고 함께 끓인다.
8. 찌개에 새우젓과 간장을 넣어 간한다.
9. 청양고추와 마늘을 잘게 썬다.
10. 냄비에 식용유, 잘게 썬 청양고추와 마늘, 고춧가루를 넣고 끓여 고추기름을 낸다.
11. 전자레인지에 즉석밥을 데운다.
12. 즉석밥을 밥그릇에 담는다.
13. 그릇에 찌개를 옮겨 담고, 고추기름을 얹어 낸다.</v>
      </c>
    </row>
    <row r="274">
      <c r="A274" s="2" t="str">
        <f>recipe!C274
</f>
        <v>못 먹어도 고! 등어</v>
      </c>
      <c r="B274" s="2" t="str">
        <f>IFERROR(__xludf.DUMMYFUNCTION("TRIM(
  REGEXEXTRACT(
    raw!A274,
    ""●\s*조리\s*방법([\s\S]*)""
  )
)
"),"1. 고등어의 껍질을 제거한다.
2. 양파를 적당한 크기로 썰어 기름을 두른 팬에 볶는다.
3. 껍질을 벗긴 고등어에 밀가루를 묻힌다.
4. 다른 팬에 기름을 두른 뒤, 밀가루를 묻힌 고등어를 굽고 후추를 뿌린다.
5. 굽던 고등어에 화이트와인을 뿌린다.
6. 방울토마토를 잘게 썬다.
7. 알루미늄 포일에 올리브오일을 뿌리고, 볶은 양파와 잘게 썬 방울토마토를 얹는다.
8. 7에 팬에서 초벌구이한 고등어를 올리고 소"&amp;"금을 뿌린다.
9. 고등어 위에 잘게 썬 방울토마토를 다시 얹고, 후추를 뿌린다.
10. 포일을 덮기 전 올리브오일을 뿌리고, 반으로 접은 뒤 테두리를 봉한다.
11. 올리브오일을 뿌린 오븐용 그릇에 각종 재료가 담긴 포일을 올리고, 예열된 오븐에서 익힌다.
12. 명란젓의 물기를 제거한다.
13. 냄비에 버터, 밀가루, 우유, 코코넛 밀크, 소금, 후추, 명란젓을 넣고 끓여 명란크림소스를 만든다.
14. 오븐에서 재료가"&amp;" 담긴 포일을 꺼내 접시에 올린다.
15. 소스볼에 명란크림소스를 따로 담아낸다.")</f>
        <v>1. 고등어의 껍질을 제거한다.
2. 양파를 적당한 크기로 썰어 기름을 두른 팬에 볶는다.
3. 껍질을 벗긴 고등어에 밀가루를 묻힌다.
4. 다른 팬에 기름을 두른 뒤, 밀가루를 묻힌 고등어를 굽고 후추를 뿌린다.
5. 굽던 고등어에 화이트와인을 뿌린다.
6. 방울토마토를 잘게 썬다.
7. 알루미늄 포일에 올리브오일을 뿌리고, 볶은 양파와 잘게 썬 방울토마토를 얹는다.
8. 7에 팬에서 초벌구이한 고등어를 올리고 소금을 뿌린다.
9. 고등어 위에 잘게 썬 방울토마토를 다시 얹고, 후추를 뿌린다.
10. 포일을 덮기 전 올리브오일을 뿌리고, 반으로 접은 뒤 테두리를 봉한다.
11. 올리브오일을 뿌린 오븐용 그릇에 각종 재료가 담긴 포일을 올리고, 예열된 오븐에서 익힌다.
12. 명란젓의 물기를 제거한다.
13. 냄비에 버터, 밀가루, 우유, 코코넛 밀크, 소금, 후추, 명란젓을 넣고 끓여 명란크림소스를 만든다.
14. 오븐에서 재료가 담긴 포일을 꺼내 접시에 올린다.
15. 소스볼에 명란크림소스를 따로 담아낸다.</v>
      </c>
    </row>
    <row r="275">
      <c r="A275" s="2" t="str">
        <f>recipe!C275
</f>
        <v>맛있을 고양</v>
      </c>
      <c r="B275" s="2" t="str">
        <f>IFERROR(__xludf.DUMMYFUNCTION("TRIM(
  REGEXEXTRACT(
    raw!A275,
    ""●\s*조리\s*방법([\s\S]*)""
  )
)
"),"1. 양파는 밑둥을 잘라내고, 칼집을 여러 개 낸 뒤 손으로 벌려 꽃모양을 만든다.
2. 볼에 밀가루, 전분, 라면스프를 넣고 섞어 튀김가루를 만든다.
3. 꽃모양으로 만든 양파에 튀김가루를 골고루 묻힌다.
4. 볼에 달걀을 푼 뒤, 맥주를 넣고 섞는다.
5. 튀김가루를 묻힌 양파에 맥주를 넣은 달걀물을 묻히고, 다시 튀김가루를 입힌다.
6. 5를 기름에 튀긴다.
7. 고등어를 적당한 크기로 썰어 끓는 물에 익힌다.
"&amp;"
8. 고등어를 익히는 냄비에 맛술을 넣는다.
9. 믹서기에 고형카레, 익힌 고등어, 우유를 넣고 간다.
10. 팬에 버터와 밀가루를 넣고 볶아 루를 만든다.
11. 루에 믹서기에 간 재료들과 소금을 넣고 끓여 고등어소스를 만든다.
12. 고등어소스에 레몬즙을 넣는다.
13. 접시에 고등어소스를 뿌려 데커레이션 한다.
14. 튀긴 양파를 건져 접시에 올린다.
15. 소스볼에 고등어소스를 따로 담아낸다.")</f>
        <v>1. 양파는 밑둥을 잘라내고, 칼집을 여러 개 낸 뒤 손으로 벌려 꽃모양을 만든다.
2. 볼에 밀가루, 전분, 라면스프를 넣고 섞어 튀김가루를 만든다.
3. 꽃모양으로 만든 양파에 튀김가루를 골고루 묻힌다.
4. 볼에 달걀을 푼 뒤, 맥주를 넣고 섞는다.
5. 튀김가루를 묻힌 양파에 맥주를 넣은 달걀물을 묻히고, 다시 튀김가루를 입힌다.
6. 5를 기름에 튀긴다.
7. 고등어를 적당한 크기로 썰어 끓는 물에 익힌다.
8. 고등어를 익히는 냄비에 맛술을 넣는다.
9. 믹서기에 고형카레, 익힌 고등어, 우유를 넣고 간다.
10. 팬에 버터와 밀가루를 넣고 볶아 루를 만든다.
11. 루에 믹서기에 간 재료들과 소금을 넣고 끓여 고등어소스를 만든다.
12. 고등어소스에 레몬즙을 넣는다.
13. 접시에 고등어소스를 뿌려 데커레이션 한다.
14. 튀긴 양파를 건져 접시에 올린다.
15. 소스볼에 고등어소스를 따로 담아낸다.</v>
      </c>
    </row>
    <row r="276">
      <c r="A276" s="2" t="str">
        <f>recipe!C276
</f>
        <v>싹쓸이 팬</v>
      </c>
      <c r="B276" s="2" t="str">
        <f>IFERROR(__xludf.DUMMYFUNCTION("TRIM(
  REGEXEXTRACT(
    raw!A276,
    ""●\s*조리\s*방법([\s\S]*)""
  )
)
"),"1. 방울토마토의 꼭지를 떼어낸다.
2. 양파를 채 썬다.
3. 풋고추는 꼭지와 씨를 제거하고 잘게 썬다.
4. 기름을 두른 팬에 채 썬 양파와 잘게 썬 풋고추를 볶는다.
5. 방울토마토를 적당한 크기로 썰어 팬에 넣고 함께 볶는다.
6. 볶던 재료에 페타 치즈를 손으로 으깨어 넣는다.
7. 6에 달걀을 넣고 잘 섞는다.
8. 후추를 뿌려 마무리 한다.")</f>
        <v>1. 방울토마토의 꼭지를 떼어낸다.
2. 양파를 채 썬다.
3. 풋고추는 꼭지와 씨를 제거하고 잘게 썬다.
4. 기름을 두른 팬에 채 썬 양파와 잘게 썬 풋고추를 볶는다.
5. 방울토마토를 적당한 크기로 썰어 팬에 넣고 함께 볶는다.
6. 볶던 재료에 페타 치즈를 손으로 으깨어 넣는다.
7. 6에 달걀을 넣고 잘 섞는다.
8. 후추를 뿌려 마무리 한다.</v>
      </c>
    </row>
    <row r="277">
      <c r="A277" s="2" t="str">
        <f>recipe!C277
</f>
        <v>설레기 없수</v>
      </c>
      <c r="B277" s="2" t="str">
        <f>IFERROR(__xludf.DUMMYFUNCTION("TRIM(
  REGEXEXTRACT(
    raw!A277,
    ""●\s*조리\s*방법([\s\S]*)""
  )
)
"),"1. 종이포일 가운데에 고형카레를 으깨어 바른다.
2. 훈제 닭가슴살을 슬라이스 해서 고형카레 위에 얹는다.
3. 종이포일 테두리를 따라 버터를 바른다.
4. 종이포일을 반으로 접은 후, 테두리를 따라 돌돌 만다.
5. 재료를 넣은 종이포일 안에 코코넛 밀크를 붓고 완전히 봉한다.
6. 종이포일이 깔린 팬 위에 재료를 넣고 봉한 종이포일을 넣은 뒤, 뚜껑을 닫고 익힌다.
7. 말린 바나나를 잘게 썬다.
8. 아이스 "&amp;"망고바와 아이스 파인애플바, 육포를 잘게 썰어 섞고 소금, 후추로 간한다.
9. 접시에 잘게 썬 말린 바나나를 올리고, 그 위에 간을 한 망고, 파인애플, 육포를 얹는다.
10. 종이포일 안에 넣고 익힌 닭가슴살 슬라이스와 소스를 접시에 담는다.
11. 양념한 망고, 파인애플, 육포를 한 번 더 올려 마무리 한다.")</f>
        <v>1. 종이포일 가운데에 고형카레를 으깨어 바른다.
2. 훈제 닭가슴살을 슬라이스 해서 고형카레 위에 얹는다.
3. 종이포일 테두리를 따라 버터를 바른다.
4. 종이포일을 반으로 접은 후, 테두리를 따라 돌돌 만다.
5. 재료를 넣은 종이포일 안에 코코넛 밀크를 붓고 완전히 봉한다.
6. 종이포일이 깔린 팬 위에 재료를 넣고 봉한 종이포일을 넣은 뒤, 뚜껑을 닫고 익힌다.
7. 말린 바나나를 잘게 썬다.
8. 아이스 망고바와 아이스 파인애플바, 육포를 잘게 썰어 섞고 소금, 후추로 간한다.
9. 접시에 잘게 썬 말린 바나나를 올리고, 그 위에 간을 한 망고, 파인애플, 육포를 얹는다.
10. 종이포일 안에 넣고 익힌 닭가슴살 슬라이스와 소스를 접시에 담는다.
11. 양념한 망고, 파인애플, 육포를 한 번 더 올려 마무리 한다.</v>
      </c>
    </row>
    <row r="278">
      <c r="A278" s="2" t="str">
        <f>recipe!C278
</f>
        <v>쌈싸시지</v>
      </c>
      <c r="B278" s="2" t="str">
        <f>IFERROR(__xludf.DUMMYFUNCTION("TRIM(
  REGEXEXTRACT(
    raw!A278,
    ""●\s*조리\s*방법([\s\S]*)""
  )
)
"),"1. 볼에 밀가루, 소금, 뜨거운 물, 식용유를 넣고 치대 익반죽한다.
2. 반죽을 길게 밀어준 뒤, 적당한 크기로 떼어낸다.
3. 적당한 크기로 떼어낸 반죽을 밀대로 밀어 얇고 동그랗게 펴서 피를 만든다.
4. 찜기에 넓게 편 피를 찐다.
5. 소고기 등심을 채 썬다.
6. 볼에 채 썬 등심, 전분, 달걀물을 넣고 섞는다.
7. 6을 넉넉한 기름에 튀기듯이 볶는다.
8. 청양고추는 잘게 썰고, 양파, 당근을 채 썬"&amp;"다.
9. 볶은 등심은 체에 밭쳐 기름을 빼고, 등심을 볶았던 팬에 채 썬 청양고추를 볶는다.
10. 대파를 적당한 크기로 썬다.
11. 팬에 적당한 크기로 썬 대파, 채 썬 양파, 당근을 넣고 함께 볶는다.
12. 볶던 채소에 간장을 넣고 볶은 등심을 넣어 함께 볶는다.
13. 기름을 두른 팬에 다진 마늘과 다진 대파를 넣고 볶는다.
14. 13에 매실맛 술, 땅콩버터, 간장을 넣고 끓여 땅콩소스를 만든다.
15."&amp;" 볶던 등심&amp;채소와 땅콩소스에 액상 조미료를 넣는다.
16. 볶던 등심&amp;채소에 후추를 넣는다.
17. 어육소시지를 채 썬다
18. 찜기에 찐 피와 등심&amp;채소볶음을 접시에 따로 담고, 땅콩소스도 소스볼에 담아낸다.
19. 등심&amp;채소볶음 위에 채 썬 어육소시지를 올려 마무리한다.")</f>
        <v>1. 볼에 밀가루, 소금, 뜨거운 물, 식용유를 넣고 치대 익반죽한다.
2. 반죽을 길게 밀어준 뒤, 적당한 크기로 떼어낸다.
3. 적당한 크기로 떼어낸 반죽을 밀대로 밀어 얇고 동그랗게 펴서 피를 만든다.
4. 찜기에 넓게 편 피를 찐다.
5. 소고기 등심을 채 썬다.
6. 볼에 채 썬 등심, 전분, 달걀물을 넣고 섞는다.
7. 6을 넉넉한 기름에 튀기듯이 볶는다.
8. 청양고추는 잘게 썰고, 양파, 당근을 채 썬다.
9. 볶은 등심은 체에 밭쳐 기름을 빼고, 등심을 볶았던 팬에 채 썬 청양고추를 볶는다.
10. 대파를 적당한 크기로 썬다.
11. 팬에 적당한 크기로 썬 대파, 채 썬 양파, 당근을 넣고 함께 볶는다.
12. 볶던 채소에 간장을 넣고 볶은 등심을 넣어 함께 볶는다.
13. 기름을 두른 팬에 다진 마늘과 다진 대파를 넣고 볶는다.
14. 13에 매실맛 술, 땅콩버터, 간장을 넣고 끓여 땅콩소스를 만든다.
15. 볶던 등심&amp;채소와 땅콩소스에 액상 조미료를 넣는다.
16. 볶던 등심&amp;채소에 후추를 넣는다.
17. 어육소시지를 채 썬다
18. 찜기에 찐 피와 등심&amp;채소볶음을 접시에 따로 담고, 땅콩소스도 소스볼에 담아낸다.
19. 등심&amp;채소볶음 위에 채 썬 어육소시지를 올려 마무리한다.</v>
      </c>
    </row>
    <row r="279">
      <c r="A279" s="2" t="str">
        <f>recipe!C279
</f>
        <v>살몬의 지혜</v>
      </c>
      <c r="B279" s="2" t="str">
        <f>IFERROR(__xludf.DUMMYFUNCTION("TRIM(
  REGEXEXTRACT(
    raw!A279,
    ""●\s*조리\s*방법([\s\S]*)""
  )
)
"),"1. 연어 통조림의 기름기를 뺀다.
2. 양파를 잘게 다진다.
3. 훈제닭가슴살소시지를 잘게 다진다.
4. 잘게 다진 양파와 훈제닭가슴살소시지를 각각 기름을 두른 팬에 볶는다.
5. 연어 통조림이 담긴 볼에 볶은 재료를 담고 소금, 후추로 간을 한다.
6. 볼에 담긴 재료에 마요네즈와 달걀을 넣고 섞는다.
7. 핸드블랜더로 크루아상을 갈아 빵가루를 만든다.
8. 양념한 연어 통조림을 동그랗게 빚어 빵가루를 묻힌 뒤,"&amp;" 기름에 튀긴다.
9. 튀긴 연어볼을 베이컨으로 만 뒤, 꼬치를 꽂아 고정하고 기름을 두른 팬에 굽는다.
10. 양파를 동그랗게 썰어 기름을 두른 팬에 올리고 소금, 후추를 뿌려 굽는다.
11. 구운 양파를 접시에 올린다.
12. 양파 위에 베이컨 연어볼 말이를 얹는다.
13. 냄비에 사과맛 음용식초를 넣고 끓여 졸인 후, 아로니아액을 넣고 섞는다.
14. 베이컨 연어 말이 위에 사과아로니아소스를 뿌린다.
15. 대"&amp;"파의 흰 부분을 채 썰어 전분을 묻힌 뒤, 기름에 튀긴다.
16. 연어 말이 위에 파채튀김을 올려 마무리한다.")</f>
        <v>1. 연어 통조림의 기름기를 뺀다.
2. 양파를 잘게 다진다.
3. 훈제닭가슴살소시지를 잘게 다진다.
4. 잘게 다진 양파와 훈제닭가슴살소시지를 각각 기름을 두른 팬에 볶는다.
5. 연어 통조림이 담긴 볼에 볶은 재료를 담고 소금, 후추로 간을 한다.
6. 볼에 담긴 재료에 마요네즈와 달걀을 넣고 섞는다.
7. 핸드블랜더로 크루아상을 갈아 빵가루를 만든다.
8. 양념한 연어 통조림을 동그랗게 빚어 빵가루를 묻힌 뒤, 기름에 튀긴다.
9. 튀긴 연어볼을 베이컨으로 만 뒤, 꼬치를 꽂아 고정하고 기름을 두른 팬에 굽는다.
10. 양파를 동그랗게 썰어 기름을 두른 팬에 올리고 소금, 후추를 뿌려 굽는다.
11. 구운 양파를 접시에 올린다.
12. 양파 위에 베이컨 연어볼 말이를 얹는다.
13. 냄비에 사과맛 음용식초를 넣고 끓여 졸인 후, 아로니아액을 넣고 섞는다.
14. 베이컨 연어 말이 위에 사과아로니아소스를 뿌린다.
15. 대파의 흰 부분을 채 썰어 전분을 묻힌 뒤, 기름에 튀긴다.
16. 연어 말이 위에 파채튀김을 올려 마무리한다.</v>
      </c>
    </row>
    <row r="280">
      <c r="A280" s="2" t="str">
        <f>recipe!C280
</f>
        <v>알콜달콤</v>
      </c>
      <c r="B280" s="2" t="str">
        <f>IFERROR(__xludf.DUMMYFUNCTION("TRIM(
  REGEXEXTRACT(
    raw!A280,
    ""●\s*조리\s*방법([\s\S]*)""
  )
)
"),"1. 달걀은 노른자만 분리해 두 개의 볼에 나눠 담는다.
2. 팬에 복숭아맛 술과 딸기맛 술을 넣고 끓여 졸인다.
3. 달걀노른자가 담긴 두 개의 볼에 설탕을 넣고 거품기로 섞는다.
4. 두 개의 볼에 각각 복숭아맛 술과 레몬맛 술을 넣고 섞는다.
5. 두 개의 볼을 끓는 물 위에서 저어가며 중탕해 크림 상태로 만든다.
6. 레몬맛 술을 넣은 소스에 레몬즙을 넣는다.
7. 크루아상을 반으로 잘라 토스트기에 굽는다.
"&amp;"8. 버터를 두른 팬에 토스트한 크루아상을 다시 한 번 굽는다.
9. 졸인 복숭아&amp;딸기맛 술을 볼에 담고, 구운 크루아상을 찢어 넣어 적신다.
10. 졸인 술에 적신 크루아상을 컵에 담는다.
11. 10에 복숭아맛 술로 만든 소스를 얹는다.
12. 다른 컵에 구운 크루아상을 담고, 레몬맛 술로 만든 소스를 얹는다.
13. 레몬맛 소스 위에 레몬 껍질을 갈아서 올린다.
14. 복숭아맛 소스 위에 딸기 초콜릿을 갈아서 올린다"&amp;".")</f>
        <v>1. 달걀은 노른자만 분리해 두 개의 볼에 나눠 담는다.
2. 팬에 복숭아맛 술과 딸기맛 술을 넣고 끓여 졸인다.
3. 달걀노른자가 담긴 두 개의 볼에 설탕을 넣고 거품기로 섞는다.
4. 두 개의 볼에 각각 복숭아맛 술과 레몬맛 술을 넣고 섞는다.
5. 두 개의 볼을 끓는 물 위에서 저어가며 중탕해 크림 상태로 만든다.
6. 레몬맛 술을 넣은 소스에 레몬즙을 넣는다.
7. 크루아상을 반으로 잘라 토스트기에 굽는다.
8. 버터를 두른 팬에 토스트한 크루아상을 다시 한 번 굽는다.
9. 졸인 복숭아&amp;딸기맛 술을 볼에 담고, 구운 크루아상을 찢어 넣어 적신다.
10. 졸인 술에 적신 크루아상을 컵에 담는다.
11. 10에 복숭아맛 술로 만든 소스를 얹는다.
12. 다른 컵에 구운 크루아상을 담고, 레몬맛 술로 만든 소스를 얹는다.
13. 레몬맛 소스 위에 레몬 껍질을 갈아서 올린다.
14. 복숭아맛 소스 위에 딸기 초콜릿을 갈아서 올린다.</v>
      </c>
    </row>
    <row r="281">
      <c r="A281" s="2" t="str">
        <f>recipe!C281
</f>
        <v>우동 노 미</v>
      </c>
      <c r="B281" s="2" t="str">
        <f>IFERROR(__xludf.DUMMYFUNCTION("TRIM(
  REGEXEXTRACT(
    raw!A281,
    ""●\s*조리\s*방법([\s\S]*)""
  )
)
"),"1. 불고기용 소고기에 콜라를 부어 재운다.
2. 양파는 굵게 채 썰고, 대파는 칼집을 낸 후 적당한 크기로 썬다.
3. 기름을 두른 팬에 썰어둔 양파와 대파를 굽는다.
4. 냄비에 콜라, 맛술, 간장, 설탕을 2:2:1:1 비율로 넣고 끓여서 전골 양념을 만든다.
5. 냄비에 인스턴트 우동을 끓인다.
6. 인스턴트 우동의 유부를 건져 양념을 씻어내고 적당한 크기로 썬다.
7. 우동면이 익으면 건져내 양념을 씻어낸다.
"&amp;"
8. 콜라에 재워둔 불고기용 소고기를 석쇠에 넣고 굽는다.
9. 8의 윗면을 토치로 함께 굽는다.
10. 팬에 구운 불고기와 전골 양념을 넣고 끓인다.
11. 10에 당근과 청양고추를 썰어 넣고 함께 끓인다.
12. 달걀노른자를 분리해 따로 담아낸다.
13. 구운 양파와 대파를 전골용 냄비에 깔고, 양념과 함께 끓인 불고기를 담아 다시 한 번 끓인다.
14. 마지막으로 적당한 크기로 썬 유부와 우동면을 올려 완성한다.")</f>
        <v>1. 불고기용 소고기에 콜라를 부어 재운다.
2. 양파는 굵게 채 썰고, 대파는 칼집을 낸 후 적당한 크기로 썬다.
3. 기름을 두른 팬에 썰어둔 양파와 대파를 굽는다.
4. 냄비에 콜라, 맛술, 간장, 설탕을 2:2:1:1 비율로 넣고 끓여서 전골 양념을 만든다.
5. 냄비에 인스턴트 우동을 끓인다.
6. 인스턴트 우동의 유부를 건져 양념을 씻어내고 적당한 크기로 썬다.
7. 우동면이 익으면 건져내 양념을 씻어낸다.
8. 콜라에 재워둔 불고기용 소고기를 석쇠에 넣고 굽는다.
9. 8의 윗면을 토치로 함께 굽는다.
10. 팬에 구운 불고기와 전골 양념을 넣고 끓인다.
11. 10에 당근과 청양고추를 썰어 넣고 함께 끓인다.
12. 달걀노른자를 분리해 따로 담아낸다.
13. 구운 양파와 대파를 전골용 냄비에 깔고, 양념과 함께 끓인 불고기를 담아 다시 한 번 끓인다.
14. 마지막으로 적당한 크기로 썬 유부와 우동면을 올려 완성한다.</v>
      </c>
    </row>
    <row r="282">
      <c r="A282" s="2" t="str">
        <f>recipe!C282
</f>
        <v>천하젤면</v>
      </c>
      <c r="B282" s="2" t="str">
        <f>IFERROR(__xludf.DUMMYFUNCTION("TRIM(
  REGEXEXTRACT(
    raw!A282,
    ""●\s*조리\s*방법([\s\S]*)""
  )
)
"),"1. 볼에 밀가루, 옥수수전분, 감자전분, 물 (2:3:5:10) 을 넣고, 소금을 넣어 반죽을 만든다.
2. 넓은 접시에 반죽을 붓고 찜기에 찐다.
3. 돼지목살, 양파, 당근, 애호박, 아스파라거스, 샐러리를 손질한다.
4. 기름을 두른 팬에 적당한 크기로 썬 대파와 다진 마늘, 고춧가루,
잘게 썬 청양고추, 채 썬 돼지목살을 넣고 볶는다.
5. 볶던 재료에 간장으로 간한다.
6. 매콤하게 볶은 재료에 손질한 채소, 굴소"&amp;"스, 맛술, 참기름을 넣고 볶는다.
7. 찜기에 찐 반죽을 찬물에 담가 식힌다.
8. 차게 식힌 반죽을 접고 채 썰어 면을 만든다.
9. 볶던 재료에 면을 넣고 함께 볶는다.
10. 접시에 볶음면을 담고, 대파 흰 부분을 채 썰어 올려 마무리한다.")</f>
        <v>1. 볼에 밀가루, 옥수수전분, 감자전분, 물 (2:3:5:10) 을 넣고, 소금을 넣어 반죽을 만든다.
2. 넓은 접시에 반죽을 붓고 찜기에 찐다.
3. 돼지목살, 양파, 당근, 애호박, 아스파라거스, 샐러리를 손질한다.
4. 기름을 두른 팬에 적당한 크기로 썬 대파와 다진 마늘, 고춧가루,
잘게 썬 청양고추, 채 썬 돼지목살을 넣고 볶는다.
5. 볶던 재료에 간장으로 간한다.
6. 매콤하게 볶은 재료에 손질한 채소, 굴소스, 맛술, 참기름을 넣고 볶는다.
7. 찜기에 찐 반죽을 찬물에 담가 식힌다.
8. 차게 식힌 반죽을 접고 채 썰어 면을 만든다.
9. 볶던 재료에 면을 넣고 함께 볶는다.
10. 접시에 볶음면을 담고, 대파 흰 부분을 채 썰어 올려 마무리한다.</v>
      </c>
    </row>
    <row r="283">
      <c r="A283" s="2" t="str">
        <f>recipe!C283
</f>
        <v>젤 맛있돔</v>
      </c>
      <c r="B283" s="2" t="str">
        <f>IFERROR(__xludf.DUMMYFUNCTION("TRIM(
  REGEXEXTRACT(
    raw!A283,
    ""●\s*조리\s*방법([\s\S]*)""
  )
)
"),"1. 냄비에 코코넛워터, 사과주스, 간장을 넣고 끓여 소스를 만든다.
2. 물에 불려둔 젤라틴의 물기를 짜낸 뒤, 사과간장소스에 넣고 녹인다.
3. 젤라틴을 넣고 녹인 사과간장소스를 냉동실에 차게 식혀둔 그릇에 나눠 담는다.
4. 사과간장소스를 담은 접시를 하나는 얼음물 위에, 하나는 냉동실에 두고 굳혀 젤리 형태로 만든다.
5. 인스턴트 새우딤섬을 찜기에 넣고 찐다.
6. 달래를 썰어 물에 담가둔다.
7. 찐 새우딤섬을"&amp;" 적당한 크기로 썰어, 냉동실에서 식힌다.
8. 끓는 물에 달래와 방울양배추 잎을 데친다.
9. 데친 방울양배추 잎을 얼음물에 담가둔다.
10. 방울토마토를 잘게 썬다.
11. 아보카도의 껍질을 벗겨내고 얇게 썬다.
12. 차게 식힌 새우 딤섬의 피를 벗기고 소만 볼에 담는다.
13. 새우딤섬소와 데친 달래, 마요네즈, 후추를 한데 버무린다.
14. 원형틀을 이용해 접시에 잘게 썬 방울토마토와 양념한 새우딤섬소를 올"&amp;"린다.
15. 양념한 새우딤섬소 위에 얇게 썬 아보카도를 올리고, 소금을 뿌린다.
16. 얼음물에 담가 식힌 방울양배추 잎을 올리브오일과 후추에 버무린다.
17. 접시에 담긴 재료들 위에 차게 굳힌 사과간장젤리를 돔처럼 덮는다.
18. 젤리 위에 양념한 방울양배추 잎을 올리고, 라임껍질을 갈아 올려 마무리한다.")</f>
        <v>1. 냄비에 코코넛워터, 사과주스, 간장을 넣고 끓여 소스를 만든다.
2. 물에 불려둔 젤라틴의 물기를 짜낸 뒤, 사과간장소스에 넣고 녹인다.
3. 젤라틴을 넣고 녹인 사과간장소스를 냉동실에 차게 식혀둔 그릇에 나눠 담는다.
4. 사과간장소스를 담은 접시를 하나는 얼음물 위에, 하나는 냉동실에 두고 굳혀 젤리 형태로 만든다.
5. 인스턴트 새우딤섬을 찜기에 넣고 찐다.
6. 달래를 썰어 물에 담가둔다.
7. 찐 새우딤섬을 적당한 크기로 썰어, 냉동실에서 식힌다.
8. 끓는 물에 달래와 방울양배추 잎을 데친다.
9. 데친 방울양배추 잎을 얼음물에 담가둔다.
10. 방울토마토를 잘게 썬다.
11. 아보카도의 껍질을 벗겨내고 얇게 썬다.
12. 차게 식힌 새우 딤섬의 피를 벗기고 소만 볼에 담는다.
13. 새우딤섬소와 데친 달래, 마요네즈, 후추를 한데 버무린다.
14. 원형틀을 이용해 접시에 잘게 썬 방울토마토와 양념한 새우딤섬소를 올린다.
15. 양념한 새우딤섬소 위에 얇게 썬 아보카도를 올리고, 소금을 뿌린다.
16. 얼음물에 담가 식힌 방울양배추 잎을 올리브오일과 후추에 버무린다.
17. 접시에 담긴 재료들 위에 차게 굳힌 사과간장젤리를 돔처럼 덮는다.
18. 젤리 위에 양념한 방울양배추 잎을 올리고, 라임껍질을 갈아 올려 마무리한다.</v>
      </c>
    </row>
    <row r="284">
      <c r="A284" s="2" t="str">
        <f>recipe!C284
</f>
        <v>컵있슈</v>
      </c>
      <c r="B284" s="2" t="str">
        <f>IFERROR(__xludf.DUMMYFUNCTION("TRIM(
  REGEXEXTRACT(
    raw!A284,
    ""●\s*조리\s*방법([\s\S]*)""
  )
)
"),"1. 냄비에 버터를 녹인다.
2. 다른 냄비에 우유, 설탕을 넣고 끓인다.
3. 버터를 넣은 냄비와, 우유를 넣은 냄비에 각각 소금을 넣는다.
4. 버터가 녹으면 밀가루를 넣고 저어 루를 만든다.
5. 루에 설탕을 넣어 끓인 우유를 넣고 섞는다.
6. 5에 달걀노른자를 넣고 섞어 베샤멜 소스를 만든다.
7. 베샤멜 소스에 두유와 파르메산 치즈를 넣는다.
8. 완성된 베샤멜 소스를 반으로 나눠담고, 한 쪽에는 핫초코 "&amp;"분말을 넣는다.
9. 컵에 열대과일 통조림을 담는다.
10. 파인애플과 망고를 적당한 크기로 썰어 컵에 담는다.
11. 컵에 담긴 과일들 위에, 베샤멜 소스와 초코 베샤멜 소스를 반씩 올린다.
12. 소프트 아이스크림을 컵 위에 올린다.
13. 각종 젤리와 체리로 장식해 마무리한다.")</f>
        <v>1. 냄비에 버터를 녹인다.
2. 다른 냄비에 우유, 설탕을 넣고 끓인다.
3. 버터를 넣은 냄비와, 우유를 넣은 냄비에 각각 소금을 넣는다.
4. 버터가 녹으면 밀가루를 넣고 저어 루를 만든다.
5. 루에 설탕을 넣어 끓인 우유를 넣고 섞는다.
6. 5에 달걀노른자를 넣고 섞어 베샤멜 소스를 만든다.
7. 베샤멜 소스에 두유와 파르메산 치즈를 넣는다.
8. 완성된 베샤멜 소스를 반으로 나눠담고, 한 쪽에는 핫초코 분말을 넣는다.
9. 컵에 열대과일 통조림을 담는다.
10. 파인애플과 망고를 적당한 크기로 썰어 컵에 담는다.
11. 컵에 담긴 과일들 위에, 베샤멜 소스와 초코 베샤멜 소스를 반씩 올린다.
12. 소프트 아이스크림을 컵 위에 올린다.
13. 각종 젤리와 체리로 장식해 마무리한다.</v>
      </c>
    </row>
    <row r="285">
      <c r="A285" s="2" t="str">
        <f>recipe!C285
</f>
        <v>버블버블버블밥!</v>
      </c>
      <c r="B285" s="2" t="str">
        <f>IFERROR(__xludf.DUMMYFUNCTION("TRIM(
  REGEXEXTRACT(
    raw!A285,
    ""●\s*조리\s*방법([\s\S]*)""
  )
)
"),"1. 삶은 옥수수의 알갱이를 분리한다.
2. 아스파라거스를 잘게 썰어 옥수수 알갱이와 함께 볼에 담아둔다.
3. 아스파라거스, 양파, 파인애플, 옥수수 알갱이, 청양고추를 잘게 썬다.
4. 기름을 두른 팬에 잘게 썬 채소들과 인스턴트 깍두기 볶음밥, 케첩, 설탕을 넣고 볶는다.
5. 달걀의 노른자와 흰자를 분리한다.
6. 기름을 두른 팬에 달걀 노른자물을 부어 지단을 만든다.
7. 노른자로 만든 지단에 동그랗게 구멍을 뚫"&amp;"는다.
8. 지단에 낸 동그란 구멍에 달걀 흰자물을 붓고 익힌다.
9. 잘게 썬 아스파라거스와 옥수수 알갱이에 밀가루와 물을 넣고 섞어 동그랗게 뭉친 뒤 튀긴다.
10. 달걀 지단 위에 채소를 넣고 볶은 깍두기볶음밥을 올리고 돌돌 만다.
11. 볶음밥을 넣고 만 지단을 한 입 크기로 썰어 접시에 담는다.
12. 방울토마토의 꼭지 부분을 썰어내고 끓는 물에 살짝 데친다.
13. 데친 방울토마토의 껍질을 벗겨 접시에 올린다."&amp;"
14. 옥수수아스파라거스 튀김을 건져 기름기를 빼고, 버터를 두른 팬에 살짝 볶은 뒤 접시에 올린다.
15. 튀김 위에 파르메산 치즈를 갈아 올려 마무리한다.")</f>
        <v>1. 삶은 옥수수의 알갱이를 분리한다.
2. 아스파라거스를 잘게 썰어 옥수수 알갱이와 함께 볼에 담아둔다.
3. 아스파라거스, 양파, 파인애플, 옥수수 알갱이, 청양고추를 잘게 썬다.
4. 기름을 두른 팬에 잘게 썬 채소들과 인스턴트 깍두기 볶음밥, 케첩, 설탕을 넣고 볶는다.
5. 달걀의 노른자와 흰자를 분리한다.
6. 기름을 두른 팬에 달걀 노른자물을 부어 지단을 만든다.
7. 노른자로 만든 지단에 동그랗게 구멍을 뚫는다.
8. 지단에 낸 동그란 구멍에 달걀 흰자물을 붓고 익힌다.
9. 잘게 썬 아스파라거스와 옥수수 알갱이에 밀가루와 물을 넣고 섞어 동그랗게 뭉친 뒤 튀긴다.
10. 달걀 지단 위에 채소를 넣고 볶은 깍두기볶음밥을 올리고 돌돌 만다.
11. 볶음밥을 넣고 만 지단을 한 입 크기로 썰어 접시에 담는다.
12. 방울토마토의 꼭지 부분을 썰어내고 끓는 물에 살짝 데친다.
13. 데친 방울토마토의 껍질을 벗겨 접시에 올린다.
14. 옥수수아스파라거스 튀김을 건져 기름기를 빼고, 버터를 두른 팬에 살짝 볶은 뒤 접시에 올린다.
15. 튀김 위에 파르메산 치즈를 갈아 올려 마무리한다.</v>
      </c>
    </row>
    <row r="286">
      <c r="A286" s="2" t="str">
        <f>recipe!C286
</f>
        <v>어머님이 샘이니</v>
      </c>
      <c r="B286" s="2" t="str">
        <f>IFERROR(__xludf.DUMMYFUNCTION("TRIM(
  REGEXEXTRACT(
    raw!A286,
    ""●\s*조리\s*방법([\s\S]*)""
  )
)
"),"1. 감자를 얇게 슬라이스 한다.
2. 끓는 물에 소금을 넣고, 슬라이스 한 감자를 삶는다.
3. 양송이버섯은 기둥을 제거하고 적당한 크기로 썬다.
4. 대하는 머리와 꼬리를 떼어내고, 껍질을 벗겨 살만 발라낸다.
5. 크림치즈에 레몬즙과 후추를 넣어 레몬크림치즈를 만든다.
6. 기름을 두른 팬에 손질한 양송이버섯, 대하, 소금, 버터를 넣고 익힌다.
7. 볶은 재료에 감자 삶은 물을 넣고 핸드블렌더에 간다.
8. "&amp;"믹서기로 간 재료에 레몬크림치즈와 후추를 넣고 섞은 뒤, 체에 밭쳐 물기를 뺀다.
9. 슬라이스해서 삶은 감자를 기름을 두른 팬에 펼치고 소금, 후추로 간을 해서 굽는다.
10. 달걀을 삶는다.
11. 샐러드 채소를 잘게 다진다.
12. 볼에 올리브오일, 발사믹 드레싱, 소금, 후추, 잘게 다진 샐러드 채소, 적당한 크기로 썬
청포도, 레몬즙을 넣고 섞어 샐러드를 만든다.
13. 접시에 구운 슬라이스감자를 올린다.
14"&amp;". 13 위에 레몬크림치즈로 양념한 대하와 버섯을 올리고 샐러드를 만든다.
15. 삶은 달걀을 반으로 잘라 위에 얹는다.
16. 후추와 올리브오일을 뿌려 완성한다.")</f>
        <v>1. 감자를 얇게 슬라이스 한다.
2. 끓는 물에 소금을 넣고, 슬라이스 한 감자를 삶는다.
3. 양송이버섯은 기둥을 제거하고 적당한 크기로 썬다.
4. 대하는 머리와 꼬리를 떼어내고, 껍질을 벗겨 살만 발라낸다.
5. 크림치즈에 레몬즙과 후추를 넣어 레몬크림치즈를 만든다.
6. 기름을 두른 팬에 손질한 양송이버섯, 대하, 소금, 버터를 넣고 익힌다.
7. 볶은 재료에 감자 삶은 물을 넣고 핸드블렌더에 간다.
8. 믹서기로 간 재료에 레몬크림치즈와 후추를 넣고 섞은 뒤, 체에 밭쳐 물기를 뺀다.
9. 슬라이스해서 삶은 감자를 기름을 두른 팬에 펼치고 소금, 후추로 간을 해서 굽는다.
10. 달걀을 삶는다.
11. 샐러드 채소를 잘게 다진다.
12. 볼에 올리브오일, 발사믹 드레싱, 소금, 후추, 잘게 다진 샐러드 채소, 적당한 크기로 썬
청포도, 레몬즙을 넣고 섞어 샐러드를 만든다.
13. 접시에 구운 슬라이스감자를 올린다.
14. 13 위에 레몬크림치즈로 양념한 대하와 버섯을 올리고 샐러드를 만든다.
15. 삶은 달걀을 반으로 잘라 위에 얹는다.
16. 후추와 올리브오일을 뿌려 완성한다.</v>
      </c>
    </row>
    <row r="287">
      <c r="A287" s="2" t="str">
        <f>recipe!C287
</f>
        <v>버섯닭</v>
      </c>
      <c r="B287" s="2" t="str">
        <f>IFERROR(__xludf.DUMMYFUNCTION("TRIM(
  REGEXEXTRACT(
    raw!A287,
    ""●\s*조리\s*방법([\s\S]*)""
  )
)
"),"1. 파프리카는 꼭지와 씨를 제거하고 채 썬다.
2. 새송이버섯은 채 썰고, 양파는 적당한 크기로 썰어둔다.
3. 냄비에 기름을 두르고 고춧가루, 다진 마늘과 파를 넣어 볶아 양념을 만든다.
4. 전자레인지에 즉석밥을 데운다.
5. 데친 콩나물을 체에 밭친 뒤, 뜨거운 물로 헹구고 물기를 뺀다.
6. 먼저 볶아둔 양념에 채 썬 파프리카, 새송이버섯, 양파를 넣고 볶다가 간장으로 간한다.
7. 닭가슴살 치킨을 적당한 크기로"&amp;" 썰어 채소와 함께 볶다가 소금, 후추로 간한다.
8. 7에 물을 넣는다.
9. 볶은 재료에 굴소스와 데친 콩나물, 참기름을 넣고 함께 볶는다.
10. 대파의 흰 부분과 청양고추를 잘게 썰어 넣고 함께 볶는다.
11. 데운 즉석밥을 밥그릇에 담아낸다.
12. 볶은 재료에 조미료를 넣는다.
13. 치킨채소볶음을 그릇에 담는다.
14. 13 위에 깨와 참기름을 뿌려 완성한다.")</f>
        <v>1. 파프리카는 꼭지와 씨를 제거하고 채 썬다.
2. 새송이버섯은 채 썰고, 양파는 적당한 크기로 썰어둔다.
3. 냄비에 기름을 두르고 고춧가루, 다진 마늘과 파를 넣어 볶아 양념을 만든다.
4. 전자레인지에 즉석밥을 데운다.
5. 데친 콩나물을 체에 밭친 뒤, 뜨거운 물로 헹구고 물기를 뺀다.
6. 먼저 볶아둔 양념에 채 썬 파프리카, 새송이버섯, 양파를 넣고 볶다가 간장으로 간한다.
7. 닭가슴살 치킨을 적당한 크기로 썰어 채소와 함께 볶다가 소금, 후추로 간한다.
8. 7에 물을 넣는다.
9. 볶은 재료에 굴소스와 데친 콩나물, 참기름을 넣고 함께 볶는다.
10. 대파의 흰 부분과 청양고추를 잘게 썰어 넣고 함께 볶는다.
11. 데운 즉석밥을 밥그릇에 담아낸다.
12. 볶은 재료에 조미료를 넣는다.
13. 치킨채소볶음을 그릇에 담는다.
14. 13 위에 깨와 참기름을 뿌려 완성한다.</v>
      </c>
    </row>
    <row r="288">
      <c r="A288" s="2" t="str">
        <f>recipe!C288
</f>
        <v>기절초(코)풍</v>
      </c>
      <c r="B288" s="2" t="str">
        <f>IFERROR(__xludf.DUMMYFUNCTION("TRIM(
  REGEXEXTRACT(
    raw!A288,
    ""●\s*조리\s*방법([\s\S]*)""
  )
)
"),"1. 냄비에 우유, 설탕, 버터를 넣고 데운다.
2. 1에 밀가루를 넣고 섞어 익반죽을 한다.
3. 반죽에 달걀을 넣고 섞는다.
4. 반죽을 적당한 크기로 떼어 마른 팬에 동그랗게 편다.
5. 반죽이 잠길 정도로 식용유를 넉넉히 붓고 튀겨 도우를 만든다.
6. 냄비에 버터와 밀가루를 넣고 루를 만든다.
7. 루에 우유를 넣고 끓인다.
8. 7에 크림치즈와 핫초코 분말을 넣고 초코치즈소스를 만든다..
9. 초코치"&amp;"즈소스에 설탕을 넣고 섞는다.
10. 냄비에 버터와 밀가루를 볶아 루를 만든 뒤, 우유, 슬라이스 치즈, 설탕을 넣고 치즈소스를 만든다.
11. 접시에 튀긴 도우를 깔고, 초코치즈소스를 두른다.
12. 딸기와 청포도를 썰어 초코피자 위에 얹는다.
13. 11 위에 치즈소스를 올린다.
14. 피자를 먹기 좋게 잘라 완성한다.")</f>
        <v>1. 냄비에 우유, 설탕, 버터를 넣고 데운다.
2. 1에 밀가루를 넣고 섞어 익반죽을 한다.
3. 반죽에 달걀을 넣고 섞는다.
4. 반죽을 적당한 크기로 떼어 마른 팬에 동그랗게 편다.
5. 반죽이 잠길 정도로 식용유를 넉넉히 붓고 튀겨 도우를 만든다.
6. 냄비에 버터와 밀가루를 넣고 루를 만든다.
7. 루에 우유를 넣고 끓인다.
8. 7에 크림치즈와 핫초코 분말을 넣고 초코치즈소스를 만든다..
9. 초코치즈소스에 설탕을 넣고 섞는다.
10. 냄비에 버터와 밀가루를 볶아 루를 만든 뒤, 우유, 슬라이스 치즈, 설탕을 넣고 치즈소스를 만든다.
11. 접시에 튀긴 도우를 깔고, 초코치즈소스를 두른다.
12. 딸기와 청포도를 썰어 초코피자 위에 얹는다.
13. 11 위에 치즈소스를 올린다.
14. 피자를 먹기 좋게 잘라 완성한다.</v>
      </c>
    </row>
    <row r="289">
      <c r="A289" s="2" t="str">
        <f>recipe!C289
</f>
        <v>부티 귀티 싼티</v>
      </c>
      <c r="B289" s="2" t="str">
        <f>IFERROR(__xludf.DUMMYFUNCTION("TRIM(
  REGEXEXTRACT(
    raw!A289,
    ""●\s*조리\s*방법([\s\S]*)""
  )
)
"),"1. 기름을 두른 팬에 미트볼을 넣고 익힌다.
2. 미트볼을 익힌 기름을 따라내고 토마토소스와 물을 넣는다.
3. 2에 설탕, 후추, 소금을 넣어 간한다.
4. 껍질을 벗긴 감자와 당근을 얇게 슬라이스 한다.
5. 저민 감자와 당근, 양파를 채 썬다.
6. 비닐팩에 채 썬 채소를 넣고 전분, 밀가루, 후추를 넣어 튀김옷을 입힌다.
7. 튀김옷을 입힌 채소를 조금씩 덜어 기름을 두른 팬에 튀긴다.
8. 다른 팬에 기름"&amp;"을 두른 뒤, 적당한 크기로 썬 애호박과 달걀을 넣고 익힌다.
9. 채소 튀김과 달걀 프라이를 꺼내 기름을 뺀다.
10. 피망을 적당한 크기로 잘라 기름을 두른 팬에 익힌다.
11. 그릇에 토마토소스를 담고, 미트볼&gt;슬라이스 치즈&gt;채소 튀김 순서로 쌓은 뒤 볶은 피망과 애호박을 올린다.
12. 미트볼과 슬라이스 치즈를 한 층 더 쌓는다.
13. 12위에 달걀 프라이와 채소 튀김을 올려 완성한다.")</f>
        <v>1. 기름을 두른 팬에 미트볼을 넣고 익힌다.
2. 미트볼을 익힌 기름을 따라내고 토마토소스와 물을 넣는다.
3. 2에 설탕, 후추, 소금을 넣어 간한다.
4. 껍질을 벗긴 감자와 당근을 얇게 슬라이스 한다.
5. 저민 감자와 당근, 양파를 채 썬다.
6. 비닐팩에 채 썬 채소를 넣고 전분, 밀가루, 후추를 넣어 튀김옷을 입힌다.
7. 튀김옷을 입힌 채소를 조금씩 덜어 기름을 두른 팬에 튀긴다.
8. 다른 팬에 기름을 두른 뒤, 적당한 크기로 썬 애호박과 달걀을 넣고 익힌다.
9. 채소 튀김과 달걀 프라이를 꺼내 기름을 뺀다.
10. 피망을 적당한 크기로 잘라 기름을 두른 팬에 익힌다.
11. 그릇에 토마토소스를 담고, 미트볼&gt;슬라이스 치즈&gt;채소 튀김 순서로 쌓은 뒤 볶은 피망과 애호박을 올린다.
12. 미트볼과 슬라이스 치즈를 한 층 더 쌓는다.
13. 12위에 달걀 프라이와 채소 튀김을 올려 완성한다.</v>
      </c>
    </row>
    <row r="290">
      <c r="A290" s="2" t="str">
        <f>recipe!C290
</f>
        <v>만두가 머랭?</v>
      </c>
      <c r="B290" s="2" t="str">
        <f>IFERROR(__xludf.DUMMYFUNCTION("TRIM(
  REGEXEXTRACT(
    raw!A290,
    ""●\s*조리\s*방법([\s\S]*)""
  )
)
"),"1. 냄비에 인스턴트 소고기무국을 끓인다.
2. 달걀의 흰자와 노른자를 분리한다.
3. 게맛살은 두드려서 결대로 찢고, 달걀노른자와 섞는다.
4. 거품기로 달걀흰자를 쳐서 머랭을 만든다.
5. 머랭 안에 달걀노른자에 버무린 게맛살을 넣어 감싼다.
6. 기름에 게맛살을 넣은 머랭을 넣고, 기름을 끼얹어가며 튀긴다.
7. 인스턴트 소고기무국에 후추를 넣는다.
8. 후추를 넣은 인스턴트 소고기무국에 튀긴 머랭을 넣고 조린"&amp;"다.
9. 8에 전분물을 넣는다.
10. 그릇에 머랭튀김과 국물을 담는다.
11. 대파를 잘게 썰어 올려 마무리한다.")</f>
        <v>1. 냄비에 인스턴트 소고기무국을 끓인다.
2. 달걀의 흰자와 노른자를 분리한다.
3. 게맛살은 두드려서 결대로 찢고, 달걀노른자와 섞는다.
4. 거품기로 달걀흰자를 쳐서 머랭을 만든다.
5. 머랭 안에 달걀노른자에 버무린 게맛살을 넣어 감싼다.
6. 기름에 게맛살을 넣은 머랭을 넣고, 기름을 끼얹어가며 튀긴다.
7. 인스턴트 소고기무국에 후추를 넣는다.
8. 후추를 넣은 인스턴트 소고기무국에 튀긴 머랭을 넣고 조린다.
9. 8에 전분물을 넣는다.
10. 그릇에 머랭튀김과 국물을 담는다.
11. 대파를 잘게 썰어 올려 마무리한다.</v>
      </c>
    </row>
    <row r="291">
      <c r="A291" s="2" t="str">
        <f>recipe!C291
</f>
        <v>계이득</v>
      </c>
      <c r="B291" s="2" t="str">
        <f>IFERROR(__xludf.DUMMYFUNCTION("TRIM(
  REGEXEXTRACT(
    raw!A291,
    ""●\s*조리\s*방법([\s\S]*)""
  )
)
"),"1. 끓는 물에 달걀과 소금을 넣고 삶는다.
2. 찜갈비용 소고기는 뼈를 발라내고 적당한 크기로 썬다.
3. 핸드블랜더에 적당한 크기로 썬 소고기를 넣고 간다.
4. 갈아낸 소고기에 강판에 간 마늘과 대파를 넣고 섞는다.
5. 볼에 간장, 설탕을 섞어 양념을 만든다.
6. 간 마늘과 대파를 넣은 소고기에 밀가루, 간장설탕양념을 넣고 섞는다.
7. 반숙으로 삶은 달걀을 얼음물에 담가둔다.
8. 얼음물에 담가둔 달걀의 "&amp;"껍데기를 벗기고 물기를 제거한 후, 밀가루를 묻힌다.
9. 양념한 소고기로 밀가루를 묻힌 달걀을 감싼다.
10. 기름을 넉넉하게 두른 팬에 소고기로 감싼 달걀을 넣고, 기름을 끼얹어가며 익힌다.
11. 대파와 알배추를 잘게 썬다.
12. 기름을 두른 팬에 잘게 썬 대파와 알배추를 넣고, 간장, 인스턴트 사골곰탕, 참기름을 넣어 졸인다.
13. 12에 전분물, 후추을 넣는다.
14. 소고기달걀튀김을 건져 반으로 자른다.
"&amp;"
15. 접시에 반으로 자른 소고기달걀튀김을 올리고, 사골곰탕에 졸인 채소를 얹는다.
16. 소금, 후추를 뿌려 마무리한다.")</f>
        <v>1. 끓는 물에 달걀과 소금을 넣고 삶는다.
2. 찜갈비용 소고기는 뼈를 발라내고 적당한 크기로 썬다.
3. 핸드블랜더에 적당한 크기로 썬 소고기를 넣고 간다.
4. 갈아낸 소고기에 강판에 간 마늘과 대파를 넣고 섞는다.
5. 볼에 간장, 설탕을 섞어 양념을 만든다.
6. 간 마늘과 대파를 넣은 소고기에 밀가루, 간장설탕양념을 넣고 섞는다.
7. 반숙으로 삶은 달걀을 얼음물에 담가둔다.
8. 얼음물에 담가둔 달걀의 껍데기를 벗기고 물기를 제거한 후, 밀가루를 묻힌다.
9. 양념한 소고기로 밀가루를 묻힌 달걀을 감싼다.
10. 기름을 넉넉하게 두른 팬에 소고기로 감싼 달걀을 넣고, 기름을 끼얹어가며 익힌다.
11. 대파와 알배추를 잘게 썬다.
12. 기름을 두른 팬에 잘게 썬 대파와 알배추를 넣고, 간장, 인스턴트 사골곰탕, 참기름을 넣어 졸인다.
13. 12에 전분물, 후추을 넣는다.
14. 소고기달걀튀김을 건져 반으로 자른다.
15. 접시에 반으로 자른 소고기달걀튀김을 올리고, 사골곰탕에 졸인 채소를 얹는다.
16. 소금, 후추를 뿌려 마무리한다.</v>
      </c>
    </row>
    <row r="292">
      <c r="A292" s="2" t="str">
        <f>recipe!C292
</f>
        <v>김흥국</v>
      </c>
      <c r="B292" s="2" t="str">
        <f>IFERROR(__xludf.DUMMYFUNCTION("TRIM(
  REGEXEXTRACT(
    raw!A292,
    ""●\s*조리\s*방법([\s\S]*)""
  )
)
"),"1. 냄비에 인스턴트 사골곰탕과 인스턴트 설렁탕을 넣고 끓인다.
2. 대파, 마늘, 양파, 알배추를 적당한 크기로 썬다.
3. 찜갈비용 소고기의 뼈를 발라내고, 발라낸 살을 적당한 크기로 썬다.
4. 대하는 껍질을 벗기고 포 뜨듯이 썬다.
5. 볼에 소고기살과 대하, 달걀물을 넣고 잘 섞은 뒤, 기름에 튀기듯 볶는다.
6. 볶은 재료를 체에 밭쳐 기름기을 뺀다.
7. 팬에 손질한 채소와 간장, 볶은 소고기와 대하를 넣고 "&amp;"볶는다.
8. 볶던 재료에 청주와 굴소스를 넣고 볶는다.
9. 끓는 물에 우동면을 삶는다.
10. 우동면을 끓이는 물에 청양고추를 잘게 썰어 넣어 향을 낸다.
11. 볶던 재료에 전분물을 넣는다.
12. 삶은 우동면을 건져 찬물에 헹구고, 그릇에 담는다.
13. 12 위에 볶은 재료들을 얹고, 끓인 사골곰탕&amp;설렁탕을 넣는다.
14. 대파의 흰 부분을 잘게 썰어 올려 완성한다.")</f>
        <v>1. 냄비에 인스턴트 사골곰탕과 인스턴트 설렁탕을 넣고 끓인다.
2. 대파, 마늘, 양파, 알배추를 적당한 크기로 썬다.
3. 찜갈비용 소고기의 뼈를 발라내고, 발라낸 살을 적당한 크기로 썬다.
4. 대하는 껍질을 벗기고 포 뜨듯이 썬다.
5. 볼에 소고기살과 대하, 달걀물을 넣고 잘 섞은 뒤, 기름에 튀기듯 볶는다.
6. 볶은 재료를 체에 밭쳐 기름기을 뺀다.
7. 팬에 손질한 채소와 간장, 볶은 소고기와 대하를 넣고 볶는다.
8. 볶던 재료에 청주와 굴소스를 넣고 볶는다.
9. 끓는 물에 우동면을 삶는다.
10. 우동면을 끓이는 물에 청양고추를 잘게 썰어 넣어 향을 낸다.
11. 볶던 재료에 전분물을 넣는다.
12. 삶은 우동면을 건져 찬물에 헹구고, 그릇에 담는다.
13. 12 위에 볶은 재료들을 얹고, 끓인 사골곰탕&amp;설렁탕을 넣는다.
14. 대파의 흰 부분을 잘게 썰어 올려 완성한다.</v>
      </c>
    </row>
    <row r="293">
      <c r="A293" s="2" t="str">
        <f>recipe!C293
</f>
        <v>앗싸~ 호랑나베!</v>
      </c>
      <c r="B293" s="2" t="str">
        <f>IFERROR(__xludf.DUMMYFUNCTION("TRIM(
  REGEXEXTRACT(
    raw!A293,
    ""●\s*조리\s*방법([\s\S]*)""
  )
)
"),"1. 무는 껍질을 벗겨 적당한 크기로 썬다.
2. 대파와 알배추를 적당한 크기로 썬다.
3. 끓는 물에 마른 멸치를 넣고 육수를 낸다.
4. 압력솥에 물, 으깬 마늘, 적당한 크기로 자른 무와 양파를 넣고 끓인다.
5. 찜갈비용 소고기를 손질해 채소육수에 넣고 함께 끓인다.
6. 껍질을 벗긴 대하를 핸드블렌더로 간다.
7. 기름을 두른 팬에 손질한 무, 대파, 알배추를 넣고 볶는다.
8. 볶던 채소에 멸치육수를 넣고"&amp;" 끓인다.
9. 갈아놓은 대하살에 전분과 달걀물을 넣고 치대어 새우완자 반죽을 만든다.
10. 새우완자 반죽을 적당한 크기로 떼어 채소를 넣은 멸치육수에 넣는다.
11. 10에 소고기채소육수를 넣고 끓인다.
12. 익은 소고기살을 건져 국물에 넣고 함께 끓인다.
13. 맛술, 간장, 다진 마늘, 소금을 넣어 간을 한다.
14. 완성된 요리를 그릇에 담아낸다.")</f>
        <v>1. 무는 껍질을 벗겨 적당한 크기로 썬다.
2. 대파와 알배추를 적당한 크기로 썬다.
3. 끓는 물에 마른 멸치를 넣고 육수를 낸다.
4. 압력솥에 물, 으깬 마늘, 적당한 크기로 자른 무와 양파를 넣고 끓인다.
5. 찜갈비용 소고기를 손질해 채소육수에 넣고 함께 끓인다.
6. 껍질을 벗긴 대하를 핸드블렌더로 간다.
7. 기름을 두른 팬에 손질한 무, 대파, 알배추를 넣고 볶는다.
8. 볶던 채소에 멸치육수를 넣고 끓인다.
9. 갈아놓은 대하살에 전분과 달걀물을 넣고 치대어 새우완자 반죽을 만든다.
10. 새우완자 반죽을 적당한 크기로 떼어 채소를 넣은 멸치육수에 넣는다.
11. 10에 소고기채소육수를 넣고 끓인다.
12. 익은 소고기살을 건져 국물에 넣고 함께 끓인다.
13. 맛술, 간장, 다진 마늘, 소금을 넣어 간을 한다.
14. 완성된 요리를 그릇에 담아낸다.</v>
      </c>
    </row>
    <row r="294">
      <c r="A294" s="2" t="str">
        <f>recipe!C294
</f>
        <v>오필승 파에야</v>
      </c>
      <c r="B294" s="2" t="str">
        <f>IFERROR(__xludf.DUMMYFUNCTION("TRIM(
  REGEXEXTRACT(
    raw!A294,
    ""●\s*조리\s*방법([\s\S]*)""
  )
)
"),"1. 바지락을 씻어 냄비에 넣고 끓인다.
2. 모시조개도 씻어서 바지락이 담긴 냄비에 함께 넣고 끓인다.
3. 굴, 낙지, 대하, 새우살을 손질한다.
4. 문어를 끓는 물에 데친다.
5. 전복을 손질해 적당한 크기로 자른다.
6. 데친 문어를 적당한 크기로 썬다.
7. 끓인 바지락과 모시조개를 체에 밭쳐 육수를 따로 담아낸다.
8. 걸러낸 조개육수에 강황가루를 넣고 섞는다.
9. 기름을 두른 팬에 잘게 다진 마"&amp;"늘과 손질한 각종 해산물을 넣고 볶다가 소금, 후추로 간한다.
10. 해산물을 볶는 팬에 화이트와인을 넣는다.
11. 볶은 해산물에 즉석밥, 강황가루를 넣은 조개육수, 토마토주스를 넣고 볶는다.
12. 익힌 바지락과 모시조개의 살을 발라낸다.
13. 파에야 팬을 오븐에서 데운다.
14. 데운 파에야 팬에 파에야을 담고, 조갯살을 넣어 함께 익힌다.
15. 파에야에 올리브오일을 두른 뒤, 오븐에 넣어 익힌다.
16. "&amp;"그린올리브와 블랙올리브를 적당한 크기로 썬다.
17. 오븐에서 익힌 파에야를 꺼내, 적당한 크기로 썬 그린&amp;블랙 올리브를 얹는다.
18. 17을 다시 오븐에 넣어 익힌다.
19. 익힌 파에야를 팬 채로 낸다.")</f>
        <v>1. 바지락을 씻어 냄비에 넣고 끓인다.
2. 모시조개도 씻어서 바지락이 담긴 냄비에 함께 넣고 끓인다.
3. 굴, 낙지, 대하, 새우살을 손질한다.
4. 문어를 끓는 물에 데친다.
5. 전복을 손질해 적당한 크기로 자른다.
6. 데친 문어를 적당한 크기로 썬다.
7. 끓인 바지락과 모시조개를 체에 밭쳐 육수를 따로 담아낸다.
8. 걸러낸 조개육수에 강황가루를 넣고 섞는다.
9. 기름을 두른 팬에 잘게 다진 마늘과 손질한 각종 해산물을 넣고 볶다가 소금, 후추로 간한다.
10. 해산물을 볶는 팬에 화이트와인을 넣는다.
11. 볶은 해산물에 즉석밥, 강황가루를 넣은 조개육수, 토마토주스를 넣고 볶는다.
12. 익힌 바지락과 모시조개의 살을 발라낸다.
13. 파에야 팬을 오븐에서 데운다.
14. 데운 파에야 팬에 파에야을 담고, 조갯살을 넣어 함께 익힌다.
15. 파에야에 올리브오일을 두른 뒤, 오븐에 넣어 익힌다.
16. 그린올리브와 블랙올리브를 적당한 크기로 썬다.
17. 오븐에서 익힌 파에야를 꺼내, 적당한 크기로 썬 그린&amp;블랙 올리브를 얹는다.
18. 17을 다시 오븐에 넣어 익힌다.
19. 익힌 파에야를 팬 채로 낸다.</v>
      </c>
    </row>
    <row r="295">
      <c r="A295" s="2" t="str">
        <f>recipe!C295
</f>
        <v>레알 만두리드</v>
      </c>
      <c r="B295" s="2" t="str">
        <f>IFERROR(__xludf.DUMMYFUNCTION("TRIM(
  REGEXEXTRACT(
    raw!A295,
    ""●\s*조리\s*방법([\s\S]*)""
  )
)
"),"1. 살치살과 돼지고기를 적당한 크기로 썰어 핸드블랜더로 간다.
2. 양파, 파프리카, 마늘, 블랙올리브를 잘게 썬다.
3. 기름을 두른 팬에 잘게 썬 재료들을 넣고, 소금, 후추로 간한다.
4. 3에 핸드블렌더로 간 고기와 토마토 주스를 넣고 볶아 소를 만든다.
5. 볶은 소를 체에 밭쳐 기름을 빼며 식힌다.
6. 파프리카를 직화한다.
7. 핸드블랜더에 밀가루, 소금, 올리브오일, 달걀, 우유를 넣고 반죽을 만든다.
"&amp;"
8. 직화한 파프리카는 물에 씻어 태운 부분을 벗겨 낸다.
9. 핸드블랜더에 익힌 파프리카, 블랙올리브, 올리브오일, 후추, 토마토주스를 넣고 갈아 소스를 만든다.
10. 반죽을 넓게 편다.
11. 넓게 편 반죽을 원형틀을 이용해 동그랗게 찍어낸다.
12. 동그랗게 찍어낸 반죽에 소를 넣고 달걀물을 묻혀 싼 후, 테두리에 모양을 낸다.
13. 빚은 만두를 기름에 튀긴 후, 표면에 달걀노른자를 묻혀 오븐에 굽는다.
14"&amp;". 그릇에 소스를 담고, 잘게 썬 그린올리브를 얹는다.
15. 구운 만두를 올린다.
16. 달래를 잘게 썰어 올린다.
17. 플레인요거트를 뿌려 마무리 한다.")</f>
        <v>1. 살치살과 돼지고기를 적당한 크기로 썰어 핸드블랜더로 간다.
2. 양파, 파프리카, 마늘, 블랙올리브를 잘게 썬다.
3. 기름을 두른 팬에 잘게 썬 재료들을 넣고, 소금, 후추로 간한다.
4. 3에 핸드블렌더로 간 고기와 토마토 주스를 넣고 볶아 소를 만든다.
5. 볶은 소를 체에 밭쳐 기름을 빼며 식힌다.
6. 파프리카를 직화한다.
7. 핸드블랜더에 밀가루, 소금, 올리브오일, 달걀, 우유를 넣고 반죽을 만든다.
8. 직화한 파프리카는 물에 씻어 태운 부분을 벗겨 낸다.
9. 핸드블랜더에 익힌 파프리카, 블랙올리브, 올리브오일, 후추, 토마토주스를 넣고 갈아 소스를 만든다.
10. 반죽을 넓게 편다.
11. 넓게 편 반죽을 원형틀을 이용해 동그랗게 찍어낸다.
12. 동그랗게 찍어낸 반죽에 소를 넣고 달걀물을 묻혀 싼 후, 테두리에 모양을 낸다.
13. 빚은 만두를 기름에 튀긴 후, 표면에 달걀노른자를 묻혀 오븐에 굽는다.
14. 그릇에 소스를 담고, 잘게 썬 그린올리브를 얹는다.
15. 구운 만두를 올린다.
16. 달래를 잘게 썰어 올린다.
17. 플레인요거트를 뿌려 마무리 한다.</v>
      </c>
    </row>
    <row r="296">
      <c r="A296" s="2" t="str">
        <f>recipe!C296
</f>
        <v>아따~ 조기찜 맛있다잉!</v>
      </c>
      <c r="B296" s="2" t="str">
        <f>IFERROR(__xludf.DUMMYFUNCTION("TRIM(
  REGEXEXTRACT(
    raw!A296,
    ""●\s*조리\s*방법([\s\S]*)""
  )
)
"),"1. 조기의 비늘을 벗겨내 손질한다.
2. 손질한 조기에 청주, 소금, 후추, 레몬즙을 뿌려 비린내를 제거한다.
3. 비린내를 제거한 조기에 양면으로 칼집을 낸다.
4. 칼집을 낸 조기를 찜기에 넣고 찐다.
5. 콜리플라워는 기둥을 잘라내고 적당한 크기로 손질한다.
6. 방울양배추, 레몬, 아스파라거스, 파프리카를 적당한 크기로 썬다.
7. 손질한 채소를 찜기에 넣고 찐다.
8. 마른 그릴팬에 칼집을 낸 고추를 굽는"&amp;"다.
9. 볼에 마늘, 올리브오일, 소금, 식초를 넣고 섞어 양념장을 만든다.
10. 달래를 잘게 썰어 양념장에 넣고 섞는다.
11. 구운 고추를 양념장에 넣고 버무린다.
12. 볼에 간장, 참기름, 태국간장, 깨, 잘게 썬 대파, 설탕에 잰 마늘, 매실액을 넣고 섞어 간장양념장을 만든다.
13. 찜기에 찐 파프리카, 방울양배추, 아스파라거스, 조기를 접시에 담는다.
14. 달래와 찜기에 찐 콜리플라워도 접시에 담는다.
"&amp;"
15. 조기 위에 간장양념장을 얹는다.
16. 작은 접시에 달래양념장에 버무린 구운 고추와 달래무침을 각각 담아낸다.
17. 전자레인지에 돌린 즉석밥을 밥그릇에 담고 잘게 썬 대파를 올려 마무리한다.")</f>
        <v>1. 조기의 비늘을 벗겨내 손질한다.
2. 손질한 조기에 청주, 소금, 후추, 레몬즙을 뿌려 비린내를 제거한다.
3. 비린내를 제거한 조기에 양면으로 칼집을 낸다.
4. 칼집을 낸 조기를 찜기에 넣고 찐다.
5. 콜리플라워는 기둥을 잘라내고 적당한 크기로 손질한다.
6. 방울양배추, 레몬, 아스파라거스, 파프리카를 적당한 크기로 썬다.
7. 손질한 채소를 찜기에 넣고 찐다.
8. 마른 그릴팬에 칼집을 낸 고추를 굽는다.
9. 볼에 마늘, 올리브오일, 소금, 식초를 넣고 섞어 양념장을 만든다.
10. 달래를 잘게 썰어 양념장에 넣고 섞는다.
11. 구운 고추를 양념장에 넣고 버무린다.
12. 볼에 간장, 참기름, 태국간장, 깨, 잘게 썬 대파, 설탕에 잰 마늘, 매실액을 넣고 섞어 간장양념장을 만든다.
13. 찜기에 찐 파프리카, 방울양배추, 아스파라거스, 조기를 접시에 담는다.
14. 달래와 찜기에 찐 콜리플라워도 접시에 담는다.
15. 조기 위에 간장양념장을 얹는다.
16. 작은 접시에 달래양념장에 버무린 구운 고추와 달래무침을 각각 담아낸다.
17. 전자레인지에 돌린 즉석밥을 밥그릇에 담고 잘게 썬 대파를 올려 마무리한다.</v>
      </c>
    </row>
    <row r="297">
      <c r="A297" s="2" t="str">
        <f>recipe!C297
</f>
        <v>민어는 축구선수를 좋아해</v>
      </c>
      <c r="B297" s="2" t="str">
        <f>IFERROR(__xludf.DUMMYFUNCTION("TRIM(
  REGEXEXTRACT(
    raw!A297,
    ""●\s*조리\s*방법([\s\S]*)""
  )
)
"),"1. 팬에 사골국, 묵은지, 어슷하게 썬 대파를 넣고 끓인다.
2. 1에 고춧가루, 설탕을 넣고 끓인다.
3. 적당한 크기로 손질한 낙지를 묵은지를 끓이던 팬에 넣고 함께 끓여 묵은지 소스를 만든다.
4. 낙지를 넣은 묵은지 소스에 새우젓으로 간한다.
5. 반건조민어를 손질해 적당한 크기로 썬다
6. 기름을 두른 팬에 반건조민어를 굽는다.
7. 민어를 굽는 팬에 설탕에 잰 마늘과 버터를 넣어 함께 익힌다.
8. 7에"&amp;" 달래무침을 넣고, 민어에 양념을 끼얹어가며 조린다.
9. 냉이를 적당한 크기로 손질해 함께 조린다.
10. 인스턴트 곤드레나물밥을 전자레인지에 익히고, 파래무침과 올리브오일을 넣어 섞는다.
11. 그릇에 묵은지 소스를 담는다.
12. 묵은지 소스 위에 조린 반건조민어를 올린다.
13. 냉이를 참기름에 버무린 뒤, 민어 위에 올려 마무리한다.")</f>
        <v>1. 팬에 사골국, 묵은지, 어슷하게 썬 대파를 넣고 끓인다.
2. 1에 고춧가루, 설탕을 넣고 끓인다.
3. 적당한 크기로 손질한 낙지를 묵은지를 끓이던 팬에 넣고 함께 끓여 묵은지 소스를 만든다.
4. 낙지를 넣은 묵은지 소스에 새우젓으로 간한다.
5. 반건조민어를 손질해 적당한 크기로 썬다
6. 기름을 두른 팬에 반건조민어를 굽는다.
7. 민어를 굽는 팬에 설탕에 잰 마늘과 버터를 넣어 함께 익힌다.
8. 7에 달래무침을 넣고, 민어에 양념을 끼얹어가며 조린다.
9. 냉이를 적당한 크기로 손질해 함께 조린다.
10. 인스턴트 곤드레나물밥을 전자레인지에 익히고, 파래무침과 올리브오일을 넣어 섞는다.
11. 그릇에 묵은지 소스를 담는다.
12. 묵은지 소스 위에 조린 반건조민어를 올린다.
13. 냉이를 참기름에 버무린 뒤, 민어 위에 올려 마무리한다.</v>
      </c>
    </row>
    <row r="298">
      <c r="A298" s="2" t="str">
        <f>recipe!C298
</f>
        <v>다 털었Show!</v>
      </c>
      <c r="B298" s="2" t="str">
        <f>IFERROR(__xludf.DUMMYFUNCTION("TRIM(
  REGEXEXTRACT(
    raw!A298,
    ""●\s*조리\s*방법([\s\S]*)""
  )
)
"),"1. 소금을 넣은 끓는 물에 달걀을 삶는다.
2. 냄비에 바나나맛 우유를 넣고 끓인다.
3. 핸드블렌더에 기름을 뺀 참치 통조림과, 채 썬 양파를 넣는다.
4. 3에 후추를 넣고 갈아 참치반죽을 만든다.
5. 볼에 바나나맛 우유와 전분을 넣고 섞는다.
6. 바나나맛 우유를 끓이는 냄비에 전분과 섞은 바나나맛 우유를 넣고 잘 섞어 푸딩을 만든다.
7. 냉동실에서 차게 식힌 그릇에 바나나맛 푸딩을 담고, 다시 냉동실에 넣어 "&amp;"식힌다.
8. 식빵을 적당한 크기로 썰고 소금과 후추를 뿌린다.
9. 기름을 두른 팬에 버터를 넣고 적당한 크기로 썬 식빵을 굽는다.
10. 양상추와 파프리카를 손질해 각각 볼에 담는다.
11. 손질한 파프리카에 호두드레싱을 넣고 버무린다.
12. 삶은 달걀의 껍데기를 벗기고 반으로 자른다.
13. 삶은 달걀의 노른자만 분리해, 참치반죽에 넣고 버무린다.
14. 참치반죽을 완자모양으로 동그랗게 뭉쳐서 흰자 위에 올리"&amp;"고 접시에 담는다.
15. 핸드블렌더에 남은 참치반죽과 올리브오일, 레몬즙을 넣고 갈아 참치드레싱을 만든다.
16. 손질해둔 양상추에 참치드레싱을 넣고 버무려 접시에 올린다.
17. 16 위에 호두드레싱으로 버무린 파프리카를 얹고, 멸치볶음을 곁들인다.
18. 샐러드에 마카다미아와 적당하게 썬 금귤을 올린다.
19. 구운 식빵을 얹는다.
20. 냉동실에서 식힌 바나나맛 푸딩 위에 딸기를 썰어 올린다.
21. 마카다미"&amp;"아를 으깨 바나나맛 푸딩에 곁들인다.
22. 바나나맛 푸딩에 마누카 꿀을 뿌려 마무리한다.")</f>
        <v>1. 소금을 넣은 끓는 물에 달걀을 삶는다.
2. 냄비에 바나나맛 우유를 넣고 끓인다.
3. 핸드블렌더에 기름을 뺀 참치 통조림과, 채 썬 양파를 넣는다.
4. 3에 후추를 넣고 갈아 참치반죽을 만든다.
5. 볼에 바나나맛 우유와 전분을 넣고 섞는다.
6. 바나나맛 우유를 끓이는 냄비에 전분과 섞은 바나나맛 우유를 넣고 잘 섞어 푸딩을 만든다.
7. 냉동실에서 차게 식힌 그릇에 바나나맛 푸딩을 담고, 다시 냉동실에 넣어 식힌다.
8. 식빵을 적당한 크기로 썰고 소금과 후추를 뿌린다.
9. 기름을 두른 팬에 버터를 넣고 적당한 크기로 썬 식빵을 굽는다.
10. 양상추와 파프리카를 손질해 각각 볼에 담는다.
11. 손질한 파프리카에 호두드레싱을 넣고 버무린다.
12. 삶은 달걀의 껍데기를 벗기고 반으로 자른다.
13. 삶은 달걀의 노른자만 분리해, 참치반죽에 넣고 버무린다.
14. 참치반죽을 완자모양으로 동그랗게 뭉쳐서 흰자 위에 올리고 접시에 담는다.
15. 핸드블렌더에 남은 참치반죽과 올리브오일, 레몬즙을 넣고 갈아 참치드레싱을 만든다.
16. 손질해둔 양상추에 참치드레싱을 넣고 버무려 접시에 올린다.
17. 16 위에 호두드레싱으로 버무린 파프리카를 얹고, 멸치볶음을 곁들인다.
18. 샐러드에 마카다미아와 적당하게 썬 금귤을 올린다.
19. 구운 식빵을 얹는다.
20. 냉동실에서 식힌 바나나맛 푸딩 위에 딸기를 썰어 올린다.
21. 마카다미아를 으깨 바나나맛 푸딩에 곁들인다.
22. 바나나맛 푸딩에 마누카 꿀을 뿌려 마무리한다.</v>
      </c>
    </row>
    <row r="299">
      <c r="A299" s="2" t="str">
        <f>recipe!C299
</f>
        <v>떡.고.치</v>
      </c>
      <c r="B299" s="2" t="str">
        <f>IFERROR(__xludf.DUMMYFUNCTION("TRIM(
  REGEXEXTRACT(
    raw!A299,
    ""●\s*조리\s*방법([\s\S]*)""
  )
)
"),"1. 참치 통조림과 야채참치 통조림의 기름을 뺀다.
2. 떡볶이 떡을 적당한 크기로 썰어 뜨거운 물에 불린다.
3. 식빵은 테두리를 잘라내고, 적당한 크기로 썰어 핸드블렌더에 넣고 갈아 빵가루를 만든다.
4. 볼에 기름을 뺀 참치, 불린 떡볶이 떡, 달걀, 소금, 후추를 넣는다.
5. 4에 빵가루와 마요네즈를 넣고 치대 참치 패티 반죽을 만든다..
6. 참치 패티 반죽을 적당한 크기로 떼어내 기름에 튀긴다.
7. 마늘을 "&amp;"강판에 간다.
8. 볼에 간 마늘과 고추장, 물엿, 맛술, 고춧가루, 간장을 섞어 양념을 만든다.
9. 고추와 파프리카의 씨를 발라내고, 적당한 크기로 썬다.
10. 기름을 두른 팬에 손질한 채소를 볶다가 양념과 청주를 넣고 함께 볶는다.
11. 참치 패티를 익히는 팬에 으깬 마늘과 대파 흰 부분을 넣어 향을 낸다.
12. 매콤하게 볶은 채소에 익힌 참치 패티와 참기름을 넣고 한 번 더 볶는다.
13. 접시에 참치 패티를"&amp;" 담고, 볶은 채소를 올린 뒤 깨를 뿌려 마무리 한다.")</f>
        <v>1. 참치 통조림과 야채참치 통조림의 기름을 뺀다.
2. 떡볶이 떡을 적당한 크기로 썰어 뜨거운 물에 불린다.
3. 식빵은 테두리를 잘라내고, 적당한 크기로 썰어 핸드블렌더에 넣고 갈아 빵가루를 만든다.
4. 볼에 기름을 뺀 참치, 불린 떡볶이 떡, 달걀, 소금, 후추를 넣는다.
5. 4에 빵가루와 마요네즈를 넣고 치대 참치 패티 반죽을 만든다..
6. 참치 패티 반죽을 적당한 크기로 떼어내 기름에 튀긴다.
7. 마늘을 강판에 간다.
8. 볼에 간 마늘과 고추장, 물엿, 맛술, 고춧가루, 간장을 섞어 양념을 만든다.
9. 고추와 파프리카의 씨를 발라내고, 적당한 크기로 썬다.
10. 기름을 두른 팬에 손질한 채소를 볶다가 양념과 청주를 넣고 함께 볶는다.
11. 참치 패티를 익히는 팬에 으깬 마늘과 대파 흰 부분을 넣어 향을 낸다.
12. 매콤하게 볶은 채소에 익힌 참치 패티와 참기름을 넣고 한 번 더 볶는다.
13. 접시에 참치 패티를 담고, 볶은 채소를 올린 뒤 깨를 뿌려 마무리 한다.</v>
      </c>
    </row>
    <row r="300">
      <c r="A300" s="2" t="str">
        <f>recipe!C300
</f>
        <v>파니니 안파니</v>
      </c>
      <c r="B300" s="2" t="str">
        <f>IFERROR(__xludf.DUMMYFUNCTION("TRIM(
  REGEXEXTRACT(
    raw!A300,
    ""●\s*조리\s*방법([\s\S]*)""
  )
)
"),"1. 당근과 양파는 채 썰고, 금귤은 씨를 빼고 얇게 썬다.
2. 볼에 손질한 재료들과 장조림 통조림, 으깬 맛밤, 물과 밀가루를 넣고 반죽한다.
3. 반죽에 소금과 후추로 간을 한다.
4. 반죽을 적당한 크기로 덜어 기름에 튀긴다.
5. 튀김을 건져 기름기를 뺀다.
6. 뜯어먹는 식빵을 반으로 잘라 속을 파낸다.
7. 속을 파낸 식빵에 마요네즈를 바르고, 장조림&amp;채소튀김을 넣은 뒤 다른 식빵으로 덮어 파니니를 만든다.
"&amp;"
8. 마른 그릴팬에 파니니를 올리고 모양을 내며 굽는다.
9. 양파를 잘게 썰고, 참치 통조림의 기름을 뺀다.
10. 볼에 잘게 썬 양파, 참치, 마요네즈를 넣고 섞어 참치 샐러드를 만든다.
11. 속을 파낸 식빵을 밀대로 얇게 민다.
12. 얇게 편 식빵에 잘게 썬 양상추와 참치샐러드를 넣고 돌돌 만다.
13. 구운 파니니를 적당한 크기로 잘라 도시락에 담는다.
14. 참치 샐러드를 넣은 식빵말이를 유산지로 감싸 "&amp;"도시락에 담는다.")</f>
        <v>1. 당근과 양파는 채 썰고, 금귤은 씨를 빼고 얇게 썬다.
2. 볼에 손질한 재료들과 장조림 통조림, 으깬 맛밤, 물과 밀가루를 넣고 반죽한다.
3. 반죽에 소금과 후추로 간을 한다.
4. 반죽을 적당한 크기로 덜어 기름에 튀긴다.
5. 튀김을 건져 기름기를 뺀다.
6. 뜯어먹는 식빵을 반으로 잘라 속을 파낸다.
7. 속을 파낸 식빵에 마요네즈를 바르고, 장조림&amp;채소튀김을 넣은 뒤 다른 식빵으로 덮어 파니니를 만든다.
8. 마른 그릴팬에 파니니를 올리고 모양을 내며 굽는다.
9. 양파를 잘게 썰고, 참치 통조림의 기름을 뺀다.
10. 볼에 잘게 썬 양파, 참치, 마요네즈를 넣고 섞어 참치 샐러드를 만든다.
11. 속을 파낸 식빵을 밀대로 얇게 민다.
12. 얇게 편 식빵에 잘게 썬 양상추와 참치샐러드를 넣고 돌돌 만다.
13. 구운 파니니를 적당한 크기로 잘라 도시락에 담는다.
14. 참치 샐러드를 넣은 식빵말이를 유산지로 감싸 도시락에 담는다.</v>
      </c>
    </row>
    <row r="301">
      <c r="A301" s="2" t="str">
        <f>recipe!C301
</f>
        <v>검사외조</v>
      </c>
      <c r="B301" s="2" t="str">
        <f>IFERROR(__xludf.DUMMYFUNCTION("TRIM(
  REGEXEXTRACT(
    raw!A301,
    ""●\s*조리\s*방법([\s\S]*)""
  )
)
"),"1. 팬에 버터와 기름을 두른다.
2. 달걀물을 만든다.
3. 장조림 통조림을 체에 밭쳐 건더기만 걸러낸 뒤, 고기를 잘게 찢는다.
4. 버터와 기름을 두른 팬에 달걀물과 장조림, 멸치볶음을 넣고 스크램블을 만든다.
5. 식빵의 테두리를 잘라내고 밀대로 얇게 민다.
6. 얇게 민 식빵에 장조림과 멸치볶음을 넣은 스크램블을 넣고 돌돌 만다.
7. 버터를 두른 팬에 스크램블식빵말이를 굽는다.
8. 슈크림빵의 슈크림만 덜"&amp;"어내 유산지컵에 담는다.
9. 꼭지를 잘라낸 딸기를 슈크림 위에 올린 뒤, 마카다미아를 곁들인다.
10. 케첩과 핫소스를 섞은 뒤, 소스통에 담는다.
11. 구운 식빵말이를 도시락에 담고, 마카롱을 곁들인다.
12. 바나나맛 우유를 함께 낸다.")</f>
        <v>1. 팬에 버터와 기름을 두른다.
2. 달걀물을 만든다.
3. 장조림 통조림을 체에 밭쳐 건더기만 걸러낸 뒤, 고기를 잘게 찢는다.
4. 버터와 기름을 두른 팬에 달걀물과 장조림, 멸치볶음을 넣고 스크램블을 만든다.
5. 식빵의 테두리를 잘라내고 밀대로 얇게 민다.
6. 얇게 민 식빵에 장조림과 멸치볶음을 넣은 스크램블을 넣고 돌돌 만다.
7. 버터를 두른 팬에 스크램블식빵말이를 굽는다.
8. 슈크림빵의 슈크림만 덜어내 유산지컵에 담는다.
9. 꼭지를 잘라낸 딸기를 슈크림 위에 올린 뒤, 마카다미아를 곁들인다.
10. 케첩과 핫소스를 섞은 뒤, 소스통에 담는다.
11. 구운 식빵말이를 도시락에 담고, 마카롱을 곁들인다.
12. 바나나맛 우유를 함께 낸다.</v>
      </c>
    </row>
    <row r="302">
      <c r="A302" s="2" t="str">
        <f>recipe!C302
</f>
        <v>샤부의 샐러드</v>
      </c>
      <c r="B302" s="2" t="str">
        <f>IFERROR(__xludf.DUMMYFUNCTION("TRIM(
  REGEXEXTRACT(
    raw!A302,
    ""●\s*조리\s*방법([\s\S]*)""
  )
)
"),"1. 솜땀 파우더를 따뜻한 물에 갠다.
2. 솜땀소스에 가쓰오간장, 매운 참깨소스, 명란젓을 넣는다.
3. 2에 레몬즙을 넣고 섞는다.
4. 샤부샤부용 소고기의 핏물을 빼고 전분에 무친다.
5. 전분을 입힌 샤부샤부용 소고기에 달걀물을 넣고 섞은 뒤, 기름에 튀기듯 볶는다.
6. 볶은 고기를 체에 밭쳐 기름기를 뺀다.
7. 애호박을 채 썰어 끓는 물에 데친다.
8. 스노우크랩의 다리살을 발라낸다.
9. 볼에 전"&amp;"분, 물, 식용유를 넣고 섞어 반죽을 만든 뒤, 스노우크랩에 입혀 기름에 튀긴다.
10. 양파를 채 썬다.
11. 채 썬 양파를 그릇에 넓게 편다.
12. 데친 애호박을 체에 밭쳐 물기를 빼고 차게 식혀 양파채 위에 올린다.
13. 적당히 썬 상추와 얇게 찢어낸 삶은 죽순을 올린다.
14. 샐러드 위에 성게알 통조림과 볶은 소고기를 올린다.
15. 소고기 위에 성게알 통조림을 다시 한 번 얹는다.
16. 스노우크랩 "&amp;"튀김을 접시에 담아낸다.
17. 고추를 잘게 썰어 솜땀소스에 섞는다.
18. 샐러드 위에 솜땀소스를 얹고, 스노우크랩 튀김을 따로 낸다.")</f>
        <v>1. 솜땀 파우더를 따뜻한 물에 갠다.
2. 솜땀소스에 가쓰오간장, 매운 참깨소스, 명란젓을 넣는다.
3. 2에 레몬즙을 넣고 섞는다.
4. 샤부샤부용 소고기의 핏물을 빼고 전분에 무친다.
5. 전분을 입힌 샤부샤부용 소고기에 달걀물을 넣고 섞은 뒤, 기름에 튀기듯 볶는다.
6. 볶은 고기를 체에 밭쳐 기름기를 뺀다.
7. 애호박을 채 썰어 끓는 물에 데친다.
8. 스노우크랩의 다리살을 발라낸다.
9. 볼에 전분, 물, 식용유를 넣고 섞어 반죽을 만든 뒤, 스노우크랩에 입혀 기름에 튀긴다.
10. 양파를 채 썬다.
11. 채 썬 양파를 그릇에 넓게 편다.
12. 데친 애호박을 체에 밭쳐 물기를 빼고 차게 식혀 양파채 위에 올린다.
13. 적당히 썬 상추와 얇게 찢어낸 삶은 죽순을 올린다.
14. 샐러드 위에 성게알 통조림과 볶은 소고기를 올린다.
15. 소고기 위에 성게알 통조림을 다시 한 번 얹는다.
16. 스노우크랩 튀김을 접시에 담아낸다.
17. 고추를 잘게 썰어 솜땀소스에 섞는다.
18. 샐러드 위에 솜땀소스를 얹고, 스노우크랩 튀김을 따로 낸다.</v>
      </c>
    </row>
    <row r="303">
      <c r="A303" s="2" t="str">
        <f>recipe!C303
</f>
        <v>연어를 찾아~ 사바</v>
      </c>
      <c r="B303" s="2" t="str">
        <f>IFERROR(__xludf.DUMMYFUNCTION("TRIM(
  REGEXEXTRACT(
    raw!A303,
    ""●\s*조리\s*방법([\s\S]*)""
  )
)
"),"1. 양파, 대파, 애호박을 잘게 썬다.
2. 기름을 두른 팬에 마늘과 잘게 썬 채소들을 넣고 소금, 후추를 넣어 볶는다.
3. 연어머리의 살만 발라내어 다진다.
4. 볶던 채소에 연어머릿살, 팟타이소스를 넣고 볶는다.
5. 마른 팬에 건새우를 넣고 볶는다.
6. 물이 담긴 냄비에 소금을 넣고 끓인다.
7. 핸드블랜더에 밀가루, 달걀을 넣고 돌려 면 반죽을 만든다.
8. 대파를 얇게 채 썰어 기름에 튀긴다.
9"&amp;". 튀긴 대파와 볶던 재료들을 함께 볶는다.
10. 핸드블랜더에 볶은 건새우를 간다.
11. 면 반죽을 길게 밀어 적당한 크기로 썬다.
12. 적당히 썬 반죽을 손가락으로 눌러, 파스타면을 만든다.
13. 소금을 넣은 끓는 물에 면을 넣고 삶는다.
14. 삶은 면을 볶던 재료에 넣고 함께 볶는다.
15. 완성된 파스타를 그릇에 담는다.
16. 파스타 위에 간 건새우를 얹는다.
17. 대파 흰 부분을 잘게 썰어 "&amp;"올린다.
18. 적당한 크기로 썬 레몬을 곁들여 마무리 한다.")</f>
        <v>1. 양파, 대파, 애호박을 잘게 썬다.
2. 기름을 두른 팬에 마늘과 잘게 썬 채소들을 넣고 소금, 후추를 넣어 볶는다.
3. 연어머리의 살만 발라내어 다진다.
4. 볶던 채소에 연어머릿살, 팟타이소스를 넣고 볶는다.
5. 마른 팬에 건새우를 넣고 볶는다.
6. 물이 담긴 냄비에 소금을 넣고 끓인다.
7. 핸드블랜더에 밀가루, 달걀을 넣고 돌려 면 반죽을 만든다.
8. 대파를 얇게 채 썰어 기름에 튀긴다.
9. 튀긴 대파와 볶던 재료들을 함께 볶는다.
10. 핸드블랜더에 볶은 건새우를 간다.
11. 면 반죽을 길게 밀어 적당한 크기로 썬다.
12. 적당히 썬 반죽을 손가락으로 눌러, 파스타면을 만든다.
13. 소금을 넣은 끓는 물에 면을 넣고 삶는다.
14. 삶은 면을 볶던 재료에 넣고 함께 볶는다.
15. 완성된 파스타를 그릇에 담는다.
16. 파스타 위에 간 건새우를 얹는다.
17. 대파 흰 부분을 잘게 썰어 올린다.
18. 적당한 크기로 썬 레몬을 곁들여 마무리 한다.</v>
      </c>
    </row>
    <row r="304">
      <c r="A304" s="2" t="str">
        <f>recipe!C304
</f>
        <v>사와디캡 누들</v>
      </c>
      <c r="B304" s="2" t="str">
        <f>IFERROR(__xludf.DUMMYFUNCTION("TRIM(
  REGEXEXTRACT(
    raw!A304,
    ""●\s*조리\s*방법([\s\S]*)""
  )
)
"),"1. 볼에 솜땀 파우더, 물, 레몬즙, 매실액을 넣고 잘 섞는다.
2. 핸드블랜더에 건새우와 페페론치노, 우메보시, 바나나, 꾸지뽕을 넣는다.
3. 2에 마늘, 흑설탕, 토마토소스를 더해 간다.
4. 솜땀 소스에 간 재료들을 넣고 섞는다.
5. 끓는 물에 된장을 푼다.
6. 삼겹살은 적당한 크기로 썰고, 마늘은 으깬다.
7. 된장을 푼 끓는 물에 으깬 마늘, 커피가루를 넣고 썰어둔 삼겹살을 넣어 삶는다.
8. 끓는 "&amp;"물에 비빔라면의 면을 넣고 삶는다.
9. 대파 흰 부분, 고추, 상추, 양파를 적당한 크기로 썬다.
10. 삶은 삼겹살을 건져 적당한 크기로 썬다.
11. 마른 팬에 썰어둔 삶은 삼겹살과 잘게 썬 마늘을 넣고 볶는다.
12. 삶은 면을 체에 밭쳐 물을 빼내고, 얼음물에 헹군다.
13. 볼에 면과 적당한 크기로 썬 오렌지, 블루베리, 해바라기씨, 손질한 채소와
삶은 삼겹살, 솜땀소스를 넣고 버무린다.
14. 완성된 비빔면"&amp;"을 접시에 담아낸다.")</f>
        <v>1. 볼에 솜땀 파우더, 물, 레몬즙, 매실액을 넣고 잘 섞는다.
2. 핸드블랜더에 건새우와 페페론치노, 우메보시, 바나나, 꾸지뽕을 넣는다.
3. 2에 마늘, 흑설탕, 토마토소스를 더해 간다.
4. 솜땀 소스에 간 재료들을 넣고 섞는다.
5. 끓는 물에 된장을 푼다.
6. 삼겹살은 적당한 크기로 썰고, 마늘은 으깬다.
7. 된장을 푼 끓는 물에 으깬 마늘, 커피가루를 넣고 썰어둔 삼겹살을 넣어 삶는다.
8. 끓는 물에 비빔라면의 면을 넣고 삶는다.
9. 대파 흰 부분, 고추, 상추, 양파를 적당한 크기로 썬다.
10. 삶은 삼겹살을 건져 적당한 크기로 썬다.
11. 마른 팬에 썰어둔 삶은 삼겹살과 잘게 썬 마늘을 넣고 볶는다.
12. 삶은 면을 체에 밭쳐 물을 빼내고, 얼음물에 헹군다.
13. 볼에 면과 적당한 크기로 썬 오렌지, 블루베리, 해바라기씨, 손질한 채소와
삶은 삼겹살, 솜땀소스를 넣고 버무린다.
14. 완성된 비빔면을 접시에 담아낸다.</v>
      </c>
    </row>
    <row r="305">
      <c r="A305" s="2" t="str">
        <f>recipe!C305
</f>
        <v>두부딥두부딥</v>
      </c>
      <c r="B305" s="2" t="str">
        <f>IFERROR(__xludf.DUMMYFUNCTION("TRIM(
  REGEXEXTRACT(
    raw!A305,
    ""●\s*조리\s*방법([\s\S]*)""
  )
)
"),"1. 삼겹살을 적당한 크기로 썬다.
2. 적당히 썬 삼겹살을 냄비에 넣고, 기름을 두른다.
3. 대파를 적당한 크기로 썰어 팬에 넣고 삼겹살과 함께 볶는다.
4. 마늘을 으깨 팬에 넣고 함께 볶는다.
5. 고추를 적당한 크기로 썰어 팬에 넣는다.
6. 볶던 재료에 가쓰오간장을 넣는다.
7. 볶은 재료에 물을 붓고, 건새우, 소금, 식초를 넣고 끓여 육수를 만든다.
8. 팬에 기름을 넉넉히 두르고 대파, 고춧가루를 넣"&amp;"고 끓여 고추기름을 만든다.
9. 도마에 물을 넉넉히 바른다.
10. 연두부를 가늘게 채 썬다.
11. 육수를 끓인 재료들을 체에 밭쳐 건더기를 걸러내고, 육수만 다시 끓인다.
12. 육수에 전분물을 넣어 농도를 조절한다.
13. 12를 그릇에 담는다.
14. 국물에 가늘게 채 썬 연두부와 고추기름을 넣어 마무리한다.")</f>
        <v>1. 삼겹살을 적당한 크기로 썬다.
2. 적당히 썬 삼겹살을 냄비에 넣고, 기름을 두른다.
3. 대파를 적당한 크기로 썰어 팬에 넣고 삼겹살과 함께 볶는다.
4. 마늘을 으깨 팬에 넣고 함께 볶는다.
5. 고추를 적당한 크기로 썰어 팬에 넣는다.
6. 볶던 재료에 가쓰오간장을 넣는다.
7. 볶은 재료에 물을 붓고, 건새우, 소금, 식초를 넣고 끓여 육수를 만든다.
8. 팬에 기름을 넉넉히 두르고 대파, 고춧가루를 넣고 끓여 고추기름을 만든다.
9. 도마에 물을 넉넉히 바른다.
10. 연두부를 가늘게 채 썬다.
11. 육수를 끓인 재료들을 체에 밭쳐 건더기를 걸러내고, 육수만 다시 끓인다.
12. 육수에 전분물을 넣어 농도를 조절한다.
13. 12를 그릇에 담는다.
14. 국물에 가늘게 채 썬 연두부와 고추기름을 넣어 마무리한다.</v>
      </c>
    </row>
    <row r="306">
      <c r="A306" s="2" t="str">
        <f>recipe!C306
</f>
        <v>효도르</v>
      </c>
      <c r="B306" s="2" t="str">
        <f>IFERROR(__xludf.DUMMYFUNCTION("TRIM(
  REGEXEXTRACT(
    raw!A306,
    ""●\s*조리\s*방법([\s\S]*)""
  )
)
"),"1. 무, 당근, 애호박을 얇게 슬라이스 한다.
2. 얇게 슬라이스한 채소를 볼에 담고 소금에 절인다.
3. 대합살을 씻어 손질한다.
4. 핸드블렌더에 대합살, 동태포, 두부, 생강즙, 달걀 노른자를 넣고 간다.
5. 불린 표고버섯은 기둥을 잘라내고, 잘게 다진다.
6. 잘게 다진 표고버섯에 믹서기로 간 재료들을 넣고 잘 섞는다.
7. 6을 스푼에 담고, 찜기에 찐다.
8. 소금에 절인 채소들을 물로 헹구고, 가늘게"&amp;" 채 썬다.
9. 채 썬 재료들을 볼에 담는다.
10. 홍고추의 씨를 빼내고, 가늘게 채 썬다.
11. 채 썬 홍고추도 채소와 함께 볼에 담고, 오코노미야키소스, 식초, 삼발소스를 넣어 버무린다.
12. 스푼에 찐 해산물찜을 접시에 옮겨 담는다.
13. 해산물찜 위에 양념에 버무린 채소를 올린다.
14. 청양고추를 썰어서 스푼마다 하나씩 올려 완성한다.")</f>
        <v>1. 무, 당근, 애호박을 얇게 슬라이스 한다.
2. 얇게 슬라이스한 채소를 볼에 담고 소금에 절인다.
3. 대합살을 씻어 손질한다.
4. 핸드블렌더에 대합살, 동태포, 두부, 생강즙, 달걀 노른자를 넣고 간다.
5. 불린 표고버섯은 기둥을 잘라내고, 잘게 다진다.
6. 잘게 다진 표고버섯에 믹서기로 간 재료들을 넣고 잘 섞는다.
7. 6을 스푼에 담고, 찜기에 찐다.
8. 소금에 절인 채소들을 물로 헹구고, 가늘게 채 썬다.
9. 채 썬 재료들을 볼에 담는다.
10. 홍고추의 씨를 빼내고, 가늘게 채 썬다.
11. 채 썬 홍고추도 채소와 함께 볼에 담고, 오코노미야키소스, 식초, 삼발소스를 넣어 버무린다.
12. 스푼에 찐 해산물찜을 접시에 옮겨 담는다.
13. 해산물찜 위에 양념에 버무린 채소를 올린다.
14. 청양고추를 썰어서 스푼마다 하나씩 올려 완성한다.</v>
      </c>
    </row>
    <row r="307">
      <c r="A307" s="2" t="str">
        <f>recipe!C307
</f>
        <v>아브라카부라무시</v>
      </c>
      <c r="B307" s="2" t="str">
        <f>IFERROR(__xludf.DUMMYFUNCTION("TRIM(
  REGEXEXTRACT(
    raw!A307,
    ""●\s*조리\s*방법([\s\S]*)""
  )
)
"),"1. 대구살을 썰어 접시에 담고, 청주와 소금을 뿌려 찜기에 찐다.
2. 달걀 흰자를 분리해 머랭을 친다.
3. 무는 껍질을 벗겨낸 뒤 적당한 크기로 썰어 물과 함께 믹서기에 넣고 간다.
4. 믹서기로 간 무를 김발에 밭쳐 건더기만 걸러낸다.
5. 표고버섯은 채 썰어 끓는 물에 데친다.
6. 찐 대구살을 꺼내 식힌다.
7. 불린 목이버섯을 적당한 크기로 썬다.
8. 피망과 파프리카를 얇게 채 썰어 끓는 물에 데친다."&amp;"
9. 그릇에 찐 대구살, 데친 표고버섯, 목이버섯을 넣는다.
10. 머랭에 간 무를 넣고 섞는다.
11. 대구살 위에 무와 함께 섞은 머랭을 얹는다.
12. 그릇에 구멍을 뚫은 포일을 씌워 찜기에 찐다.
13. 냄비에 북어포, 적당한 크기로 썬 무와 대파를 넣고 육수를 낸다.
14. 육수에 소금, 맛술, 간장을 넣고 끓인다.
15. 육수에 청주를 넣는다.
16. 팬에 북어육수를 덜어 청주와 전분물을 넣고 끓여"&amp;" 소스를 만든다.
17. 레몬을 얇게 채 썬다.
18. 그릇째 쪄낸 대구찜을 꺼내 채 썬 피망과 파프리카를 올린다.
19. 19 위에 북어소스를 얹는다.
20. 채 썬 레몬을 얹어 완성한다.")</f>
        <v>1. 대구살을 썰어 접시에 담고, 청주와 소금을 뿌려 찜기에 찐다.
2. 달걀 흰자를 분리해 머랭을 친다.
3. 무는 껍질을 벗겨낸 뒤 적당한 크기로 썰어 물과 함께 믹서기에 넣고 간다.
4. 믹서기로 간 무를 김발에 밭쳐 건더기만 걸러낸다.
5. 표고버섯은 채 썰어 끓는 물에 데친다.
6. 찐 대구살을 꺼내 식힌다.
7. 불린 목이버섯을 적당한 크기로 썬다.
8. 피망과 파프리카를 얇게 채 썰어 끓는 물에 데친다.
9. 그릇에 찐 대구살, 데친 표고버섯, 목이버섯을 넣는다.
10. 머랭에 간 무를 넣고 섞는다.
11. 대구살 위에 무와 함께 섞은 머랭을 얹는다.
12. 그릇에 구멍을 뚫은 포일을 씌워 찜기에 찐다.
13. 냄비에 북어포, 적당한 크기로 썬 무와 대파를 넣고 육수를 낸다.
14. 육수에 소금, 맛술, 간장을 넣고 끓인다.
15. 육수에 청주를 넣는다.
16. 팬에 북어육수를 덜어 청주와 전분물을 넣고 끓여 소스를 만든다.
17. 레몬을 얇게 채 썬다.
18. 그릇째 쪄낸 대구찜을 꺼내 채 썬 피망과 파프리카를 올린다.
19. 19 위에 북어소스를 얹는다.
20. 채 썬 레몬을 얹어 완성한다.</v>
      </c>
    </row>
    <row r="308">
      <c r="A308" s="2" t="str">
        <f>recipe!C308
</f>
        <v>이 만두는 모닝?</v>
      </c>
      <c r="B308" s="2" t="str">
        <f>IFERROR(__xludf.DUMMYFUNCTION("TRIM(
  REGEXEXTRACT(
    raw!A308,
    ""●\s*조리\s*방법([\s\S]*)""
  )
)
"),"1. 양파, 당근, 대파를 손질한다.
2. 기름을 두른 냄비에 손질한 채소를 넣는다.
3. 2에 손질한 샐러리와 통마늘을 넣고 볶는다.
4. 농어의 뼈와 껍질을 분리해 볶던 채소와 함께 볶는다.
5. 볶던 재료에 뜨거운 물을 붓고 끓여 농어육수를 낸다.
6. 양파, 표고버섯을 잘게 썰어 기름을 두른 팬에 볶는다.
7. 농어살을 적당한 크기로 썰어 팬에 넣고 함께 볶는다.
8. 볶던 재료에 화이트와인을 넣는다.
"&amp;"9. 볼에 볶은 재료를 덜어내고, 크림치즈를 섞어 만두소를 만든다.
10. 핸드블렌더에 밀가루, 달걀을 넣고 돌려 만두피 반죽을 만든다.
11. 반죽을 얇게 밀어 원형틀로 찍어내 만두피를 만든다.
12. 만두피 안에 만두소를 넣고 달걀물을 묻혀 만두모양을 만든다.
13. 팬에 볶은 재료에 농어육수, 소금을 넣고 끓여 수프를 만든다.
14. 끓는 물에 만두를 넣고 삶는다.
15. 파프리카를 잘게 썰어, 썰어둔 양파, 표고버"&amp;"섯과 함께 볶다가 크림치즈를 넣고 섞는다.
16. 대파 흰 부분을 잘게 썬다.
17. 그릇에 크림치즈와 섞은 볶은 채소들을 올리고, 농어 수프를 담는다.
18. 삶은 만두를 농어수프에 넣는다.
19. 만두를 건져내 그릇에 담고, 잘게 썬 대파 흰 부분을 올려 마무리한다.")</f>
        <v>1. 양파, 당근, 대파를 손질한다.
2. 기름을 두른 냄비에 손질한 채소를 넣는다.
3. 2에 손질한 샐러리와 통마늘을 넣고 볶는다.
4. 농어의 뼈와 껍질을 분리해 볶던 채소와 함께 볶는다.
5. 볶던 재료에 뜨거운 물을 붓고 끓여 농어육수를 낸다.
6. 양파, 표고버섯을 잘게 썰어 기름을 두른 팬에 볶는다.
7. 농어살을 적당한 크기로 썰어 팬에 넣고 함께 볶는다.
8. 볶던 재료에 화이트와인을 넣는다.
9. 볼에 볶은 재료를 덜어내고, 크림치즈를 섞어 만두소를 만든다.
10. 핸드블렌더에 밀가루, 달걀을 넣고 돌려 만두피 반죽을 만든다.
11. 반죽을 얇게 밀어 원형틀로 찍어내 만두피를 만든다.
12. 만두피 안에 만두소를 넣고 달걀물을 묻혀 만두모양을 만든다.
13. 팬에 볶은 재료에 농어육수, 소금을 넣고 끓여 수프를 만든다.
14. 끓는 물에 만두를 넣고 삶는다.
15. 파프리카를 잘게 썰어, 썰어둔 양파, 표고버섯과 함께 볶다가 크림치즈를 넣고 섞는다.
16. 대파 흰 부분을 잘게 썬다.
17. 그릇에 크림치즈와 섞은 볶은 채소들을 올리고, 농어 수프를 담는다.
18. 삶은 만두를 농어수프에 넣는다.
19. 만두를 건져내 그릇에 담고, 잘게 썬 대파 흰 부분을 올려 마무리한다.</v>
      </c>
    </row>
    <row r="309">
      <c r="A309" s="2" t="str">
        <f>recipe!C309
</f>
        <v>사랑하지롤♡</v>
      </c>
      <c r="B309" s="2" t="str">
        <f>IFERROR(__xludf.DUMMYFUNCTION("TRIM(
  REGEXEXTRACT(
    raw!A309,
    ""●\s*조리\s*방법([\s\S]*)""
  )
)
"),"1. 애호박을 길게 슬라이스 한다.
2. 볼에 크림치즈, 소금, 후추, 케이퍼를 넣고 섞어 소스를 만든다.
3. 끓는 물에 브로콜리와 소금을 넣고 데친 뒤, 잘게 썬다.
4. 크림치즈 소스에 잘게 썬 브로콜리를 넣고 섞는다.
5. 길게 슬라이스 한 애호박 위에 브로콜리를 넣은 크림치즈 소스와 훈제연어를 올리고 돌돌 만다.
6. 애호박말이를 꼬치로 고정하고, 기름을 두른 팬에 굽는다.
7. 팬에 물을 끓이다가 식초를 넣고,"&amp;" 달걀을 넣어 수란을 만든다.
8. 수란을 건져 물기를 제거하고 접시에 담는다.
9. 구운 애호박말이의 꼬치를 제거하고 접시에 담는다.
10. 볼에 달걀노른자와 머스터드소스를 넣고 섞는다.
11. 팬에 올리브오일, 밀가루를 넣고 끓이다가 달걀머스터드소스를 넣어 섞는다.
12. 소스에 후추를 뿌린다.
13. 수란과 애호박말이 위에 달걀머스터드 소스를 뿌리고, 후추를 뿌린다.
14. 훈제연어를 장미꽃 모양으로 말아 데커"&amp;"레이션한다.")</f>
        <v>1. 애호박을 길게 슬라이스 한다.
2. 볼에 크림치즈, 소금, 후추, 케이퍼를 넣고 섞어 소스를 만든다.
3. 끓는 물에 브로콜리와 소금을 넣고 데친 뒤, 잘게 썬다.
4. 크림치즈 소스에 잘게 썬 브로콜리를 넣고 섞는다.
5. 길게 슬라이스 한 애호박 위에 브로콜리를 넣은 크림치즈 소스와 훈제연어를 올리고 돌돌 만다.
6. 애호박말이를 꼬치로 고정하고, 기름을 두른 팬에 굽는다.
7. 팬에 물을 끓이다가 식초를 넣고, 달걀을 넣어 수란을 만든다.
8. 수란을 건져 물기를 제거하고 접시에 담는다.
9. 구운 애호박말이의 꼬치를 제거하고 접시에 담는다.
10. 볼에 달걀노른자와 머스터드소스를 넣고 섞는다.
11. 팬에 올리브오일, 밀가루를 넣고 끓이다가 달걀머스터드소스를 넣어 섞는다.
12. 소스에 후추를 뿌린다.
13. 수란과 애호박말이 위에 달걀머스터드 소스를 뿌리고, 후추를 뿌린다.
14. 훈제연어를 장미꽃 모양으로 말아 데커레이션한다.</v>
      </c>
    </row>
    <row r="310">
      <c r="A310" s="2" t="str">
        <f>recipe!C310
</f>
        <v>샐러드 바이블</v>
      </c>
      <c r="B310" s="2" t="str">
        <f>IFERROR(__xludf.DUMMYFUNCTION("TRIM(
  REGEXEXTRACT(
    raw!A310,
    ""●\s*조리\s*방법([\s\S]*)""
  )
)
"),"1. 냄비에 레몬즙과 마누카 꿀을 넣고 끓인다.
2. 1에 전분물, 퓨어 올리브오일을 넣고 섞어 레몬꿀소스를 만든다.
3. 레몬꿀소스를 두 개의 볼에 나눠 담고, 한 곳에 트러플 페스토를 넣고 섞어 트러플소스를 만든다.
4. 볼에 발사믹크림, 퓨어 올리브오일, 잘게 다진 양파를 넣고 섞어 발사믹소스를 만든다.
5. 냄비에 휘핑크림을 넣고 끓인 뒤, 냄비 채 얼음물에 식힌다.
6. 방울토마토, 딸기, 청포도를 썬다.
7. "&amp;"마늘을 잘게 다져 볼에 넣는다.
8. 다진 마늘에 잘게 다진 이탈리안 파슬리를 더한다.
9. 8에 퓨어 올리브오일, 올리브오일, 소금을 넣고 섞어 올리브오일소스를 만든다.
10. 생모차렐라 치즈를 적당한 크기로 손질한다.
11. 적당한 크기로 자른 생모차렐라 치즈를 식힌 휘핑크림에 넣는다.
12. 아랍염소치즈를 손질한다
13. 볼에 휘핑크림, 홍차잼을 넣고 거품기로 저어 홍차크림소스을 만든다.
14. 다섯 개의 접시"&amp;"에 크림을 묻힌 생모차렐라 치즈와 아랍염소치즈를 각각 담는다.
15. 크림을 묻힌 생모차렐라 치즈에 올리브오일소스를 얹는다.
16. 크림을 묻힌 생모차렐라 치즈에 발사믹소스와 잘게 썬 딸기를 얹는다.
17. 아랍염소치즈 위에 홍차크림소스를 얹고, 얇게 썬 청포도를 올린다.
18. 올리브오일소스를 얹은 모차렐라치즈 위에 얇게 썬 방울토마토를 얹는다.
19. 크림을 묻힌 생모차렐라 치즈에 레몬꿀소스를 얹고, 바질을 잘라 올린다.
"&amp;"
20. 아랍염소치즈 위에 트러플소스를 얹는다.
21. 올리브오일소스 치즈 위에 루콜라를 곁들인다.")</f>
        <v>1. 냄비에 레몬즙과 마누카 꿀을 넣고 끓인다.
2. 1에 전분물, 퓨어 올리브오일을 넣고 섞어 레몬꿀소스를 만든다.
3. 레몬꿀소스를 두 개의 볼에 나눠 담고, 한 곳에 트러플 페스토를 넣고 섞어 트러플소스를 만든다.
4. 볼에 발사믹크림, 퓨어 올리브오일, 잘게 다진 양파를 넣고 섞어 발사믹소스를 만든다.
5. 냄비에 휘핑크림을 넣고 끓인 뒤, 냄비 채 얼음물에 식힌다.
6. 방울토마토, 딸기, 청포도를 썬다.
7. 마늘을 잘게 다져 볼에 넣는다.
8. 다진 마늘에 잘게 다진 이탈리안 파슬리를 더한다.
9. 8에 퓨어 올리브오일, 올리브오일, 소금을 넣고 섞어 올리브오일소스를 만든다.
10. 생모차렐라 치즈를 적당한 크기로 손질한다.
11. 적당한 크기로 자른 생모차렐라 치즈를 식힌 휘핑크림에 넣는다.
12. 아랍염소치즈를 손질한다
13. 볼에 휘핑크림, 홍차잼을 넣고 거품기로 저어 홍차크림소스을 만든다.
14. 다섯 개의 접시에 크림을 묻힌 생모차렐라 치즈와 아랍염소치즈를 각각 담는다.
15. 크림을 묻힌 생모차렐라 치즈에 올리브오일소스를 얹는다.
16. 크림을 묻힌 생모차렐라 치즈에 발사믹소스와 잘게 썬 딸기를 얹는다.
17. 아랍염소치즈 위에 홍차크림소스를 얹고, 얇게 썬 청포도를 올린다.
18. 올리브오일소스를 얹은 모차렐라치즈 위에 얇게 썬 방울토마토를 얹는다.
19. 크림을 묻힌 생모차렐라 치즈에 레몬꿀소스를 얹고, 바질을 잘라 올린다.
20. 아랍염소치즈 위에 트러플소스를 얹는다.
21. 올리브오일소스 치즈 위에 루콜라를 곁들인다.</v>
      </c>
    </row>
    <row r="311">
      <c r="A311" s="2" t="str">
        <f>recipe!C311
</f>
        <v>풍미풍미풍미 업</v>
      </c>
      <c r="B311" s="2" t="str">
        <f>IFERROR(__xludf.DUMMYFUNCTION("TRIM(
  REGEXEXTRACT(
    raw!A311,
    ""●\s*조리\s*방법([\s\S]*)""
  )
)
"),"1. 삼겹살을 적당한 크기로 썬다.
2. 등심 햄을 채 썬다.
3. 마늘을 다진다.
4. 양파를 채 썬다.
5. 기름을 두른 팬에 다진 마늘, 채 썬 양파, 버터, 손질한 삼겹살과 등심 햄, 후추, 고춧가루를 넣는다.
6. 5에 간장을 넣고 볶는다.
7. 볶은 재료에 인스턴트 카레가루를 넣고, 물을 부어 끓인다.
8. 끓는 물에 글루텐프리 파스타면을 삶는다.
9. 스위트콘 통조림을 체에 밭쳐 물기를 빼내고, 믹"&amp;"서기에 넣는다.
10. 스위트콘을 넣은 믹서기에 휘핑크림, 후추를 넣고 간다.
11. 끓이던 카레소스에 치킨스톡을 넣는다.
12. 삶은 글루텐프리 파스타면을 건져 찬물로 헹궈내고, 그릇에 담는다.
13. 글루텐프리 파스타면 위에 카레소스를 올린다.
14. 믹서기에 간 크림옥수수소스를 지퍼백에 넣고 모서리를 잘라 카레면 위에 짜낸다.
15. 14 위에 바질을 다져 올려 마무리한다.")</f>
        <v>1. 삼겹살을 적당한 크기로 썬다.
2. 등심 햄을 채 썬다.
3. 마늘을 다진다.
4. 양파를 채 썬다.
5. 기름을 두른 팬에 다진 마늘, 채 썬 양파, 버터, 손질한 삼겹살과 등심 햄, 후추, 고춧가루를 넣는다.
6. 5에 간장을 넣고 볶는다.
7. 볶은 재료에 인스턴트 카레가루를 넣고, 물을 부어 끓인다.
8. 끓는 물에 글루텐프리 파스타면을 삶는다.
9. 스위트콘 통조림을 체에 밭쳐 물기를 빼내고, 믹서기에 넣는다.
10. 스위트콘을 넣은 믹서기에 휘핑크림, 후추를 넣고 간다.
11. 끓이던 카레소스에 치킨스톡을 넣는다.
12. 삶은 글루텐프리 파스타면을 건져 찬물로 헹궈내고, 그릇에 담는다.
13. 글루텐프리 파스타면 위에 카레소스를 올린다.
14. 믹서기에 간 크림옥수수소스를 지퍼백에 넣고 모서리를 잘라 카레면 위에 짜낸다.
15. 14 위에 바질을 다져 올려 마무리한다.</v>
      </c>
    </row>
    <row r="312">
      <c r="A312" s="2" t="str">
        <f>recipe!C312
</f>
        <v>채끝 인 더 대파</v>
      </c>
      <c r="B312" s="2" t="str">
        <f>IFERROR(__xludf.DUMMYFUNCTION("TRIM(
  REGEXEXTRACT(
    raw!A312,
    ""●\s*조리\s*방법([\s\S]*)""
  )
)
"),"1. 채끝등심을 잘게 썰어 기름을 두른 팬에 넣는다.
2. 양파를 채 썰어 채끝등심과 함께 볶는다.
3. 다른 팬에 잘게 썬 대파와 버터를 넣고 볶는다.
4. 양쪽 팬에 우유를 넣고, 채끝등심을 볶던 팬에는 휘핑크림도 함께 넣는다.
5. 전자레인지에 즉석밥을 돌린다.
6. 핸드블렌더에 우유와 함께 끓인 볶은 대파를 넣고 간다.
7. 6에 적당량의 밥과, 트러플 페스토를 넣고 갈아 대파퓌레를 만든다.
8. 접시에 대파"&amp;"퓌레를 담는다.
9. 종이포일로 통후추를 감싼 뒤, 냄비로 두드려 부순다.
10. 우유&amp;크림에 졸이던 채끝등심에 통후추가루를 넣는다.
11. 10에 소금으로 간을 한다.
12. 끓인 재료를 체에 밭쳐 소스만 남긴 뒤, 발사믹크림과 올리브오일을 넣고 섞는다.
13. 소스에 버터를 넣고 섞은 뒤, 마른 팬에 붓고 끓인다.
14. 채끝등심의 양면에 소금, 후추를 뿌린다.
15. 기름을 두른 팬에 채끝등심을 넣고, 버터와 "&amp;"통마늘을 넣어 굽는다.
16. 구운 채끝등심 스테이크를 꺼내 레스팅한다.
17. 레스팅한 채끝등심 스테이크를 적당한 크기로 잘라 접시에 올린다.
18. 스테이크 위에 이탈리안 파슬리를 올린다.
19. 접시에 후추소스를 얹고, 스테이크에 소금, 후추를 뿌린다.
20. 후추소스에 마누카 꿀을 넣어 마무리한다.")</f>
        <v>1. 채끝등심을 잘게 썰어 기름을 두른 팬에 넣는다.
2. 양파를 채 썰어 채끝등심과 함께 볶는다.
3. 다른 팬에 잘게 썬 대파와 버터를 넣고 볶는다.
4. 양쪽 팬에 우유를 넣고, 채끝등심을 볶던 팬에는 휘핑크림도 함께 넣는다.
5. 전자레인지에 즉석밥을 돌린다.
6. 핸드블렌더에 우유와 함께 끓인 볶은 대파를 넣고 간다.
7. 6에 적당량의 밥과, 트러플 페스토를 넣고 갈아 대파퓌레를 만든다.
8. 접시에 대파퓌레를 담는다.
9. 종이포일로 통후추를 감싼 뒤, 냄비로 두드려 부순다.
10. 우유&amp;크림에 졸이던 채끝등심에 통후추가루를 넣는다.
11. 10에 소금으로 간을 한다.
12. 끓인 재료를 체에 밭쳐 소스만 남긴 뒤, 발사믹크림과 올리브오일을 넣고 섞는다.
13. 소스에 버터를 넣고 섞은 뒤, 마른 팬에 붓고 끓인다.
14. 채끝등심의 양면에 소금, 후추를 뿌린다.
15. 기름을 두른 팬에 채끝등심을 넣고, 버터와 통마늘을 넣어 굽는다.
16. 구운 채끝등심 스테이크를 꺼내 레스팅한다.
17. 레스팅한 채끝등심 스테이크를 적당한 크기로 잘라 접시에 올린다.
18. 스테이크 위에 이탈리안 파슬리를 올린다.
19. 접시에 후추소스를 얹고, 스테이크에 소금, 후추를 뿌린다.
20. 후추소스에 마누카 꿀을 넣어 마무리한다.</v>
      </c>
    </row>
    <row r="313">
      <c r="A313" s="2" t="str">
        <f>recipe!C313
</f>
        <v>퐁네프의 연어들</v>
      </c>
      <c r="B313" s="2" t="str">
        <f>IFERROR(__xludf.DUMMYFUNCTION("TRIM(
  REGEXEXTRACT(
    raw!A313,
    ""●\s*조리\s*방법([\s\S]*)""
  )
)
"),"1. 레드향의 껍질을 잘라내고, 과육만 적당한 크기로 썬다.
2. 접시에 손질한 레드향, 잘게 뜯은 아랍염소치즈, 루콜라를 담아 샐러드를 만든다.
3. 면보에 석류알을 넣고 즙을 낸 후, 올리브오일, 소금, 후추를 섞어 드레싱을 만든다.
4. 샐러드 위에 석류드레싱을 뿌려 애피타이저를 완성한다.
5. 손질된 딸기를 믹서기에 넣고 간 후, 체에 밭쳐 내린다.
6. 볼에 휘핑크림, 설탕을 넣고 거품기로 쳐서 크림을 만든다.
"&amp;"7. 그릇에 곱게 간 딸기를 담고, 크림을 올린다.
8. 7위에 이탈리안 파슬리와 올리브오일을 올려 디저트를 완성한다.
9. 대파 흰 부분을 잘게 썰어, 기름을 두른 팬에 볶다가 소금, 다진 마늘, 설탕을 넣는다.
10. 대파를 볶는 팬에 .휘핑크림과 우유를 넣고 끓인다.
11. 대파를 끓이는 팬에 소금, 후추로 간한다.
12. 이탈리안 파슬리를 잘게 썰어 대파를 끓이던 팬에 넣고 함께 끓인다.
13. 껍질을 벗긴 새우등"&amp;"에 칼집을 내 일자로 편다.
14. 기름을 두른 팬에 손질한 새우를 넣고, 스푼으로 눌러 익힌다.
15. 연어를 얇게 포 뜬다.
16. 포 뜬 연어에 구운 새우를 넣고 돌돌 만다.
17. 새우연어말이를 기름을 두른 팬에 굽는다.
18. 끓인 대파크림소스를 체에 밭쳐 건더기만 걸러내 다시 팬에 볶는다.
19. 대파크림소스와, 새우연어말이에 레몬껍질을 갈아 넣는다.
20. 대파크림소스에 레몬즙을 넣고, 그릇에 담는다.
"&amp;"
21. 대파크림소스 위에 새우연어말이를 올린다.
22. 새우연어말이 위에 이탈리안 파슬리 잎을 올려 완성한다.")</f>
        <v>1. 레드향의 껍질을 잘라내고, 과육만 적당한 크기로 썬다.
2. 접시에 손질한 레드향, 잘게 뜯은 아랍염소치즈, 루콜라를 담아 샐러드를 만든다.
3. 면보에 석류알을 넣고 즙을 낸 후, 올리브오일, 소금, 후추를 섞어 드레싱을 만든다.
4. 샐러드 위에 석류드레싱을 뿌려 애피타이저를 완성한다.
5. 손질된 딸기를 믹서기에 넣고 간 후, 체에 밭쳐 내린다.
6. 볼에 휘핑크림, 설탕을 넣고 거품기로 쳐서 크림을 만든다.
7. 그릇에 곱게 간 딸기를 담고, 크림을 올린다.
8. 7위에 이탈리안 파슬리와 올리브오일을 올려 디저트를 완성한다.
9. 대파 흰 부분을 잘게 썰어, 기름을 두른 팬에 볶다가 소금, 다진 마늘, 설탕을 넣는다.
10. 대파를 볶는 팬에 .휘핑크림과 우유를 넣고 끓인다.
11. 대파를 끓이는 팬에 소금, 후추로 간한다.
12. 이탈리안 파슬리를 잘게 썰어 대파를 끓이던 팬에 넣고 함께 끓인다.
13. 껍질을 벗긴 새우등에 칼집을 내 일자로 편다.
14. 기름을 두른 팬에 손질한 새우를 넣고, 스푼으로 눌러 익힌다.
15. 연어를 얇게 포 뜬다.
16. 포 뜬 연어에 구운 새우를 넣고 돌돌 만다.
17. 새우연어말이를 기름을 두른 팬에 굽는다.
18. 끓인 대파크림소스를 체에 밭쳐 건더기만 걸러내 다시 팬에 볶는다.
19. 대파크림소스와, 새우연어말이에 레몬껍질을 갈아 넣는다.
20. 대파크림소스에 레몬즙을 넣고, 그릇에 담는다.
21. 대파크림소스 위에 새우연어말이를 올린다.
22. 새우연어말이 위에 이탈리안 파슬리 잎을 올려 완성한다.</v>
      </c>
    </row>
    <row r="314">
      <c r="A314" s="2" t="str">
        <f>recipe!C314
</f>
        <v>아뵤~카도</v>
      </c>
      <c r="B314" s="2" t="str">
        <f>IFERROR(__xludf.DUMMYFUNCTION("TRIM(
  REGEXEXTRACT(
    raw!A314,
    ""●\s*조리\s*방법([\s\S]*)""
  )
)
"),"1. 끓는 물에 토마토, 마늘, 당근, 양파, 대파, 통후추, 레몬, 소금을 넣어 채소육수를 낸다.
2. 연어의 껍질을 벗겨내고 채소육수에 연어살을 넣어 데친다.
3. 핸드블렌더로 블루베리를 갈아 체에 밭쳐 즙만 내린 후,
팬에 옮기고 레몬즙, 설탕을 더해 끓여 블루베리 소스를 만든다.
4. 끓인 블루베리 소스를 식힌다.
5. 양파, 케이퍼를 잘게 다진다.
6. 볼에 잘게 다진 양파와 케이퍼, 홀그레인 머스터드, 올리브오일,"&amp;" 소금을 넣고 섞는다.
7. 6에 랠리시 소스, 잘게 다진 토마토, 후추를 넣고 섞어 케이퍼 소스를 완성한다.
8. 볼에 밀가루, 소금, 물을 넣고 반죽을 만든다.
9. 아보카도를 적당한 크기로 잘라 반죽을 입힌다.
10. 반죽을 입힌 아보카도를 기름에 튀긴다.
11. 아보카도 튀김을 건져 기름을 뺀다.
12. 연어껍질을 기름에 튀긴 뒤, 건져서 기름을 뺀다.
13. 접시에 케이퍼 소스를 깔고, 아보카도 튀김을 올린"&amp;"다.
14. 아보카도 튀김 위에 데친 연어를 올린다.
15. 튀긴 연어껍질을 잘게 썰어 데친 연어 위에 올리고, 케이퍼 소스를 한 번 더 뿌린다.
16. 블루베리 소스를 뿌려 완성한다.")</f>
        <v>1. 끓는 물에 토마토, 마늘, 당근, 양파, 대파, 통후추, 레몬, 소금을 넣어 채소육수를 낸다.
2. 연어의 껍질을 벗겨내고 채소육수에 연어살을 넣어 데친다.
3. 핸드블렌더로 블루베리를 갈아 체에 밭쳐 즙만 내린 후,
팬에 옮기고 레몬즙, 설탕을 더해 끓여 블루베리 소스를 만든다.
4. 끓인 블루베리 소스를 식힌다.
5. 양파, 케이퍼를 잘게 다진다.
6. 볼에 잘게 다진 양파와 케이퍼, 홀그레인 머스터드, 올리브오일, 소금을 넣고 섞는다.
7. 6에 랠리시 소스, 잘게 다진 토마토, 후추를 넣고 섞어 케이퍼 소스를 완성한다.
8. 볼에 밀가루, 소금, 물을 넣고 반죽을 만든다.
9. 아보카도를 적당한 크기로 잘라 반죽을 입힌다.
10. 반죽을 입힌 아보카도를 기름에 튀긴다.
11. 아보카도 튀김을 건져 기름을 뺀다.
12. 연어껍질을 기름에 튀긴 뒤, 건져서 기름을 뺀다.
13. 접시에 케이퍼 소스를 깔고, 아보카도 튀김을 올린다.
14. 아보카도 튀김 위에 데친 연어를 올린다.
15. 튀긴 연어껍질을 잘게 썰어 데친 연어 위에 올리고, 케이퍼 소스를 한 번 더 뿌린다.
16. 블루베리 소스를 뿌려 완성한다.</v>
      </c>
    </row>
    <row r="315">
      <c r="A315" s="2" t="str">
        <f>recipe!C315
</f>
        <v>불량만쥬</v>
      </c>
      <c r="B315" s="2" t="str">
        <f>IFERROR(__xludf.DUMMYFUNCTION("TRIM(
  REGEXEXTRACT(
    raw!A315,
    ""●\s*조리\s*방법([\s\S]*)""
  )
)
"),"1. 볼에 달걀, 밀가루, 찹쌀가루, 베이킹파우더, 소금, 설탕을 넣고 섞는다.
2. 전자레인지에 버터를 넣고 녹인다.
3. 반죽에 우유를 넣고 섞는다.
4. 3에 녹인 버터와 테프를 넣고 섞어 반죽을 만든다.
5. 기름을 두른 팬에 채 썬 양파, 적당한 크기로 썬 베이컨, 후추, 소금, 식초를 넣고 볶는다.
6. 끓는 기름에 반죽을 넣고 튀겨 빵을 만든다.
7. 바나나를 적당한 크기로 잘라 반죽을 입힌 뒤, 기름에 튀긴"&amp;"다.
8. 튀긴 빵과 바나나튀김을 건져 기름을 빼낸다.
9. 볼에 땅콩버터, 설탕, 휘핑크림을 넣고 섞어 소스를 만든다.
10. 부추를 적당한 크기로 잘라 볶던 재료에 넣고 함께 볶는다.
11. 땅콩버터크림소스를 소스볼에 담는다.
12. 접시에 빵, 바나나튀김, 소스볼을 올린다.
13. 튀긴 빵 사이에 볶은 재료들을 넣고 샌드위치를 만들어 완성한다.")</f>
        <v>1. 볼에 달걀, 밀가루, 찹쌀가루, 베이킹파우더, 소금, 설탕을 넣고 섞는다.
2. 전자레인지에 버터를 넣고 녹인다.
3. 반죽에 우유를 넣고 섞는다.
4. 3에 녹인 버터와 테프를 넣고 섞어 반죽을 만든다.
5. 기름을 두른 팬에 채 썬 양파, 적당한 크기로 썬 베이컨, 후추, 소금, 식초를 넣고 볶는다.
6. 끓는 기름에 반죽을 넣고 튀겨 빵을 만든다.
7. 바나나를 적당한 크기로 잘라 반죽을 입힌 뒤, 기름에 튀긴다.
8. 튀긴 빵과 바나나튀김을 건져 기름을 빼낸다.
9. 볼에 땅콩버터, 설탕, 휘핑크림을 넣고 섞어 소스를 만든다.
10. 부추를 적당한 크기로 잘라 볶던 재료에 넣고 함께 볶는다.
11. 땅콩버터크림소스를 소스볼에 담는다.
12. 접시에 빵, 바나나튀김, 소스볼을 올린다.
13. 튀긴 빵 사이에 볶은 재료들을 넣고 샌드위치를 만들어 완성한다.</v>
      </c>
    </row>
    <row r="316">
      <c r="A316" s="2" t="str">
        <f>recipe!C316
</f>
        <v>탄복면</v>
      </c>
      <c r="B316" s="2" t="str">
        <f>IFERROR(__xludf.DUMMYFUNCTION("TRIM(
  REGEXEXTRACT(
    raw!A316,
    ""●\s*조리\s*방법([\s\S]*)""
  )
)
"),"1. 볼에 밀가루, 소금, 물을 넣고 치대어 면 반죽을 한다.
2. 면 반죽을 덮어 휴지한다.
3. 휴지한 면 반죽을 밀대로 얇게 민다.
4. 얇게 민 면 반죽을 접고 칼로 썰어 면을 만든다.
5. 만든 면을 삶은 후에 찬물에서 식힌다.
6. 기름이 담긴 냄비에 대파와 고춧가루를 넣고 끓여 고추기름을 만든다.
7. 끓는 물에 새우와 오징어를 넣고 익힌다.
8. 익힌 오징어를 채 썬다.
9. 익힌 새우의 껍데기를"&amp;" 발라내고, 포를 뜬다.
10. 볼에 땅콩버터, 뜨거운 물, 두반장, 참깨드레싱, 굴소스를 넣고 섞어 매콤한 땅콩소스를 만든다.
11. 면의 물기를 짜고, 매콤한 땅콩소스, 채 썬 오징어와 함께 버무린다.
12. 고추기름을 체에 밭쳐 기름만 내린 후 면과 함께 버무린다.
13. 버무린 면을 접시에 담는다.
14. 포 뜬 새우를 면 위에 올린다.
15. 오이를 채 썰어 면 위에 올려 완성한다.")</f>
        <v>1. 볼에 밀가루, 소금, 물을 넣고 치대어 면 반죽을 한다.
2. 면 반죽을 덮어 휴지한다.
3. 휴지한 면 반죽을 밀대로 얇게 민다.
4. 얇게 민 면 반죽을 접고 칼로 썰어 면을 만든다.
5. 만든 면을 삶은 후에 찬물에서 식힌다.
6. 기름이 담긴 냄비에 대파와 고춧가루를 넣고 끓여 고추기름을 만든다.
7. 끓는 물에 새우와 오징어를 넣고 익힌다.
8. 익힌 오징어를 채 썬다.
9. 익힌 새우의 껍데기를 발라내고, 포를 뜬다.
10. 볼에 땅콩버터, 뜨거운 물, 두반장, 참깨드레싱, 굴소스를 넣고 섞어 매콤한 땅콩소스를 만든다.
11. 면의 물기를 짜고, 매콤한 땅콩소스, 채 썬 오징어와 함께 버무린다.
12. 고추기름을 체에 밭쳐 기름만 내린 후 면과 함께 버무린다.
13. 버무린 면을 접시에 담는다.
14. 포 뜬 새우를 면 위에 올린다.
15. 오이를 채 썰어 면 위에 올려 완성한다.</v>
      </c>
    </row>
    <row r="317">
      <c r="A317" s="2" t="str">
        <f>recipe!C317
</f>
        <v>녹아내리면</v>
      </c>
      <c r="B317" s="2" t="str">
        <f>IFERROR(__xludf.DUMMYFUNCTION("TRIM(
  REGEXEXTRACT(
    raw!A317,
    ""●\s*조리\s*방법([\s\S]*)""
  )
)
"),"1. 녹차맛 생초콜릿을 전자레인지에 돌려 녹인다.
2. 볼에 밀가루, 소금, 달걀, 물을 넣고 섞어 반죽을 한다.
3. 녹인 녹차맛 생초콜릿을 면 반죽에 넣고 섞는다.
4. 반죽을 찜기에 붓고, 구멍을 통해 면을 내려 끓는 물에 바로 익힌다.
5. 익힌 면을 체에 밭쳐 건져내고, 얼음물에서 식힌다.
6. 파프리카를 직화한다.
7. 얼음물에 식힌 면의 물기를 제거한다.
8. 그라탱 그릇에 면&gt;토마토소스&gt;면 순서로 담는"&amp;"다.
9. 직화한 파프리카의 탄 부분을 벗기고, 씨를 발라낸 후 믹서기로 간다.
10. 곱게 간 파프리카를 그라탱 그릇에 올린다.
11. 그라탱 그릇에 면&gt;바질페스토 순으로 한층 더 쌓는다.
12. 잣을 잘게 다져 그라탱 그릇에 올린다.
13. 12 위에 낫토를 올리고, 모차렐라 치즈를 깐다.
14. 그라탱 그릇에 랩을 덮고, 전자레인지에서 치즈가 녹을 때까지 익힌다.
15. 청양고추를 잘게 다진다.
16. 전"&amp;"자레인지에서 치즈를 녹인 그릇을 꺼내 토치로 표면을 익히고 잘게 썬 청양고추를 뿌린다.")</f>
        <v>1. 녹차맛 생초콜릿을 전자레인지에 돌려 녹인다.
2. 볼에 밀가루, 소금, 달걀, 물을 넣고 섞어 반죽을 한다.
3. 녹인 녹차맛 생초콜릿을 면 반죽에 넣고 섞는다.
4. 반죽을 찜기에 붓고, 구멍을 통해 면을 내려 끓는 물에 바로 익힌다.
5. 익힌 면을 체에 밭쳐 건져내고, 얼음물에서 식힌다.
6. 파프리카를 직화한다.
7. 얼음물에 식힌 면의 물기를 제거한다.
8. 그라탱 그릇에 면&gt;토마토소스&gt;면 순서로 담는다.
9. 직화한 파프리카의 탄 부분을 벗기고, 씨를 발라낸 후 믹서기로 간다.
10. 곱게 간 파프리카를 그라탱 그릇에 올린다.
11. 그라탱 그릇에 면&gt;바질페스토 순으로 한층 더 쌓는다.
12. 잣을 잘게 다져 그라탱 그릇에 올린다.
13. 12 위에 낫토를 올리고, 모차렐라 치즈를 깐다.
14. 그라탱 그릇에 랩을 덮고, 전자레인지에서 치즈가 녹을 때까지 익힌다.
15. 청양고추를 잘게 다진다.
16. 전자레인지에서 치즈를 녹인 그릇을 꺼내 토치로 표면을 익히고 잘게 썬 청양고추를 뿌린다.</v>
      </c>
    </row>
    <row r="318">
      <c r="A318" s="2" t="str">
        <f>recipe!C318
</f>
        <v>포켓몽</v>
      </c>
      <c r="B318" s="2" t="str">
        <f>IFERROR(__xludf.DUMMYFUNCTION("TRIM(
  REGEXEXTRACT(
    raw!A318,
    ""●\s*조리\s*방법([\s\S]*)""
  )
)
"),"1. 냄비에 오렌지주스를 끓인다.
2. 애호박과 당근을 동그란 모양으로 파낸다.
3. 동그랗게 손질한 채소를 오렌지주스에 넣고 조린다.
4. 오렌지주스에 조리던 재료에 소금과 버터를 넣는다.
5. 닭가슴살을 두드려 얇게 편다.
6. 얇게 편 닭가슴살에 소금, 후추를 뿌린다.
7. 슬라이스 치즈, 모차렐라 치즈, 버터를 얇게 편 닭가슴살 안에 넣고 감싼다.
8. 기름을 두른 팬에 치즈를 넣고 감싼 닭가슴살을 굽는다.
"&amp;"
9. 구운 닭가슴살을 전자레인지에 넣고 속까지 익힌다.
10. 믹서기에 자몽청, 레몬즙, 레드와인을 넣고 곱게 간다.
11. 갈아낸 재료를 체에 밭쳐 건더기를 걸러내고, 팬에 끓인다.
12. 끓이던 재료에 소금, 설탕, 크림파스타소스를 섞는다.
13. 12에 우유, 버터를 넣고 졸여 소스를 만든다.
14. 접시에 소스를 넓게 깐다.
15. 소스 위에 오렌지주스에 조린 애호박과 당근을 올린다.
16. 익힌 닭가슴"&amp;"살을 접시 중앙에 올리고 소스로 덮어 마무리한다.")</f>
        <v>1. 냄비에 오렌지주스를 끓인다.
2. 애호박과 당근을 동그란 모양으로 파낸다.
3. 동그랗게 손질한 채소를 오렌지주스에 넣고 조린다.
4. 오렌지주스에 조리던 재료에 소금과 버터를 넣는다.
5. 닭가슴살을 두드려 얇게 편다.
6. 얇게 편 닭가슴살에 소금, 후추를 뿌린다.
7. 슬라이스 치즈, 모차렐라 치즈, 버터를 얇게 편 닭가슴살 안에 넣고 감싼다.
8. 기름을 두른 팬에 치즈를 넣고 감싼 닭가슴살을 굽는다.
9. 구운 닭가슴살을 전자레인지에 넣고 속까지 익힌다.
10. 믹서기에 자몽청, 레몬즙, 레드와인을 넣고 곱게 간다.
11. 갈아낸 재료를 체에 밭쳐 건더기를 걸러내고, 팬에 끓인다.
12. 끓이던 재료에 소금, 설탕, 크림파스타소스를 섞는다.
13. 12에 우유, 버터를 넣고 졸여 소스를 만든다.
14. 접시에 소스를 넓게 깐다.
15. 소스 위에 오렌지주스에 조린 애호박과 당근을 올린다.
16. 익힌 닭가슴살을 접시 중앙에 올리고 소스로 덮어 마무리한다.</v>
      </c>
    </row>
    <row r="319">
      <c r="A319" s="2" t="str">
        <f>recipe!C319
</f>
        <v>무적 카레레인저</v>
      </c>
      <c r="B319" s="2" t="str">
        <f>IFERROR(__xludf.DUMMYFUNCTION("TRIM(
  REGEXEXTRACT(
    raw!A319,
    ""●\s*조리\s*방법([\s\S]*)""
  )
)
"),"1. 기름을 47도로 데운다.
2. 연어를 적당한 크기로 손질해 데운 기름에 넣고 익힌다.
3. 대파 흰부분과 양파를 잘게 다진다.
4. 기름을 두른 팬에 다진 생강, 다진 대파, 다진 양파, 인스턴트 카레,
우유를 넣고 끓여 카레소스를 만든다.
5. 불린 미역을 잘게 다진다.
6. 다른 팬에 기름을 두르고, 다진 양파와 잘게 썬 미역, 크림파스타소스, 우유를 넣고 끓인다.
7. 미역크림소스에 즉석밥, 후추, 소금, 참"&amp;"기름, 간장, 버터를 넣고 볶아 리소토를 만든다.
8. 익힌 연어를 건져 기름기를 뺀다.
9. 카레소스에 망고, 사과맛 음용식초를 넣는다.
10. 연어 위에 소금을 뿌리고, 브로콜리 윗부분만 칼로 긁어내 뿌린다.
11. 접시에 미역리소토를 담고, 카레소스를 두른다.
12. 11 위에 연어를 올리고, 고춧가루를 체에 밭쳐 뿌려 완성한다.")</f>
        <v>1. 기름을 47도로 데운다.
2. 연어를 적당한 크기로 손질해 데운 기름에 넣고 익힌다.
3. 대파 흰부분과 양파를 잘게 다진다.
4. 기름을 두른 팬에 다진 생강, 다진 대파, 다진 양파, 인스턴트 카레,
우유를 넣고 끓여 카레소스를 만든다.
5. 불린 미역을 잘게 다진다.
6. 다른 팬에 기름을 두르고, 다진 양파와 잘게 썬 미역, 크림파스타소스, 우유를 넣고 끓인다.
7. 미역크림소스에 즉석밥, 후추, 소금, 참기름, 간장, 버터를 넣고 볶아 리소토를 만든다.
8. 익힌 연어를 건져 기름기를 뺀다.
9. 카레소스에 망고, 사과맛 음용식초를 넣는다.
10. 연어 위에 소금을 뿌리고, 브로콜리 윗부분만 칼로 긁어내 뿌린다.
11. 접시에 미역리소토를 담고, 카레소스를 두른다.
12. 11 위에 연어를 올리고, 고춧가루를 체에 밭쳐 뿌려 완성한다.</v>
      </c>
    </row>
    <row r="320">
      <c r="A320" s="2" t="str">
        <f>recipe!C320
</f>
        <v>민들레 만들래</v>
      </c>
      <c r="B320" s="2" t="str">
        <f>IFERROR(__xludf.DUMMYFUNCTION("TRIM(
  REGEXEXTRACT(
    raw!A320,
    ""●\s*조리\s*방법([\s\S]*)""
  )
)
"),"1. 민들레를 잘게 썬다.
2. 볼에 잘게 썬 민들레와 달걀, 모차렐라 치즈, 레몬즙을 넣는다.
3. 2에 후추, 소금, 잘게 썬 애호박, 밀가루를 넣고 섞어 민들레 반죽을 만든다.
4. 넓은 접시에 밀가루를 깔고, 달걀물을 만든다.
5. 닭가슴살에 깊게 칼집을 내서 펼친다.
6. 펼친 닭가슴살 안에 모차렐라 치즈를 넣고 여민 뒤
밀가루&gt;달걀물&gt;밀가루&gt;달걀물 순으로 튀김옷을 입힌다.
7. 튀김옷을 입힌 닭가슴살을 기름에"&amp;" 넣고 튀긴다.
8. 민들레 반죽을 적당한 크기로 빚어 밀가루를 묻힌 뒤 튀긴다.
9. 볼에 손질한 민들레를 담고, 레몬즙, 소금, 후추, 올리브오일을 넣고 버무려 민들레샐러드를 만든다.
10. 오이를 얇게 슬라이스 해 민들레샐러드를 돌돌 만다.
11. 오이를 채 썬다.
12. 토마토를 슬라이스 해 접시에 담는다.
13. 채 썬 오이에 레몬즙을 뿌린다.
14. 민들레튀김, 닭가슴살튀김의 기름을 뺀다.
15. 토"&amp;"마토 슬라이스 위에 민들레튀김을 얹고, 오이채를 올린다.
16. 닭가슴살튀김과 오이민들레말이를 차례로 접시에 담는다.
17. 레몬을 곁들여 완성한다.")</f>
        <v>1. 민들레를 잘게 썬다.
2. 볼에 잘게 썬 민들레와 달걀, 모차렐라 치즈, 레몬즙을 넣는다.
3. 2에 후추, 소금, 잘게 썬 애호박, 밀가루를 넣고 섞어 민들레 반죽을 만든다.
4. 넓은 접시에 밀가루를 깔고, 달걀물을 만든다.
5. 닭가슴살에 깊게 칼집을 내서 펼친다.
6. 펼친 닭가슴살 안에 모차렐라 치즈를 넣고 여민 뒤
밀가루&gt;달걀물&gt;밀가루&gt;달걀물 순으로 튀김옷을 입힌다.
7. 튀김옷을 입힌 닭가슴살을 기름에 넣고 튀긴다.
8. 민들레 반죽을 적당한 크기로 빚어 밀가루를 묻힌 뒤 튀긴다.
9. 볼에 손질한 민들레를 담고, 레몬즙, 소금, 후추, 올리브오일을 넣고 버무려 민들레샐러드를 만든다.
10. 오이를 얇게 슬라이스 해 민들레샐러드를 돌돌 만다.
11. 오이를 채 썬다.
12. 토마토를 슬라이스 해 접시에 담는다.
13. 채 썬 오이에 레몬즙을 뿌린다.
14. 민들레튀김, 닭가슴살튀김의 기름을 뺀다.
15. 토마토 슬라이스 위에 민들레튀김을 얹고, 오이채를 올린다.
16. 닭가슴살튀김과 오이민들레말이를 차례로 접시에 담는다.
17. 레몬을 곁들여 완성한다.</v>
      </c>
    </row>
    <row r="321">
      <c r="A321" s="2" t="str">
        <f>recipe!C321
</f>
        <v>자반 방아를 돌려라</v>
      </c>
      <c r="B321" s="2" t="str">
        <f>IFERROR(__xludf.DUMMYFUNCTION("TRIM(
  REGEXEXTRACT(
    raw!A321,
    ""●\s*조리\s*방법([\s\S]*)""
  )
)
"),"1. 자반고등어를 손질한다.
2. 손질한 고등어의 등부분에 올리브오일, 후추를 뿌리고 방아잎을 덮는다.
3. 기름을 두른 팬에 방아잎을 덮은 자반고등어의 등부분부터 굽는다.
4. 자반고등어의 한 쪽이 익으면 뒤집고, 레몬껍질을 갈아 넣는다.
5. 고추를 잘게 썰어 자반고등어와 함께 익힌다.
6. 양파를 잘게 썬 뒤, 기름을 두른 팬에 넣고 볶는다.
7. 애호박을 잘게 썰어 양파를 볶는 팬에 넣고 다진 마늘을 더해 함께 볶"&amp;"는다.
8. 파인애플을 잘게 썰어 팬에 넣고 함께 볶는다.
9. 오징어를 잘게 썰어 팬에 넣고 함께 볶다가 후추를 뿌린다.
10. 끓는 물에 톰얌페이스트를 넣고 풀어 톰얌소스를 만든다.
11. 볶던 재료에 톰얌소스, 간 레몬껍질, 잘게 썬 방아잎을 넣어 함께 볶는다.
12. 굽던 자반고등어에 레몬즙을 뿌린다.
13. 그릇에 볶은 재료를 담는다.
14. 오이를 잘게 채 썰어 레몬즙과 후추에 버무린다.
15. 볶은"&amp;" 재료 위에 오이채무침과 방아잎을 덮어 구운 자반고등어를 올려 완성한다.")</f>
        <v>1. 자반고등어를 손질한다.
2. 손질한 고등어의 등부분에 올리브오일, 후추를 뿌리고 방아잎을 덮는다.
3. 기름을 두른 팬에 방아잎을 덮은 자반고등어의 등부분부터 굽는다.
4. 자반고등어의 한 쪽이 익으면 뒤집고, 레몬껍질을 갈아 넣는다.
5. 고추를 잘게 썰어 자반고등어와 함께 익힌다.
6. 양파를 잘게 썬 뒤, 기름을 두른 팬에 넣고 볶는다.
7. 애호박을 잘게 썰어 양파를 볶는 팬에 넣고 다진 마늘을 더해 함께 볶는다.
8. 파인애플을 잘게 썰어 팬에 넣고 함께 볶는다.
9. 오징어를 잘게 썰어 팬에 넣고 함께 볶다가 후추를 뿌린다.
10. 끓는 물에 톰얌페이스트를 넣고 풀어 톰얌소스를 만든다.
11. 볶던 재료에 톰얌소스, 간 레몬껍질, 잘게 썬 방아잎을 넣어 함께 볶는다.
12. 굽던 자반고등어에 레몬즙을 뿌린다.
13. 그릇에 볶은 재료를 담는다.
14. 오이를 잘게 채 썰어 레몬즙과 후추에 버무린다.
15. 볶은 재료 위에 오이채무침과 방아잎을 덮어 구운 자반고등어를 올려 완성한다.</v>
      </c>
    </row>
    <row r="322">
      <c r="A322" s="2" t="str">
        <f>recipe!C322
</f>
        <v>다말았씨유</v>
      </c>
      <c r="B322" s="2" t="str">
        <f>IFERROR(__xludf.DUMMYFUNCTION("TRIM(
  REGEXEXTRACT(
    raw!A322,
    ""●\s*조리\s*방법([\s\S]*)""
  )
)
"),"1. 볼에 밀가루, 소금, 뜨거운 물을 넣고 익반죽을 만든다.
2. 물에 적신 행주로 익반죽을 덮어 숙성시킨다.
3. 기름을 두른 팬에 잘게 썬 대파, 양파를 넣는다.
4. 3에 잘게 썬 핫바, 달걀, 인스턴트 불닭 볶음밥을 넣고 볶는다.
5. 볶음밥에 케첩으로 간을 한다
6. 숙성시킨 반죽을 치대고, 적당한 크기로 두 덩이를 떼어내 납작하게 누른다.
7. 두 개의 반죽에 참기름을 바르고 겹친 뒤, 밀대로 얇게 민다.
"&amp;"
8. 마른 팬에 춘빙 반죽을 넣고 굽는다.
9. 스트링치즈를 길게 이등분 한다.
10. 구운 춘빙을 바닥에 강하게 내려쳐 두 장으로 분리한다.
11. 춘빙 위에 스트링 치즈와 각종 재료와 함께 볶은 인스턴트 볶음밥을 넣고 돌돌 만다.
12. 재료를 넣어 만 춘빙을 넉넉한 기름에 튀긴다.
13. 볼에 채 썬 양파와 사과, 잘게 다진 명이나물 장아찌, 참깨&amp;흑임자 드레싱,
스위트칠리소스를 넣고 버무린다.
14. 튀긴 춘"&amp;"빙을 적당한 크기로 썬다.
15. 접시에 춘빙을 담고, 명이사과샐러드를 곁들인다.")</f>
        <v>1. 볼에 밀가루, 소금, 뜨거운 물을 넣고 익반죽을 만든다.
2. 물에 적신 행주로 익반죽을 덮어 숙성시킨다.
3. 기름을 두른 팬에 잘게 썬 대파, 양파를 넣는다.
4. 3에 잘게 썬 핫바, 달걀, 인스턴트 불닭 볶음밥을 넣고 볶는다.
5. 볶음밥에 케첩으로 간을 한다
6. 숙성시킨 반죽을 치대고, 적당한 크기로 두 덩이를 떼어내 납작하게 누른다.
7. 두 개의 반죽에 참기름을 바르고 겹친 뒤, 밀대로 얇게 민다.
8. 마른 팬에 춘빙 반죽을 넣고 굽는다.
9. 스트링치즈를 길게 이등분 한다.
10. 구운 춘빙을 바닥에 강하게 내려쳐 두 장으로 분리한다.
11. 춘빙 위에 스트링 치즈와 각종 재료와 함께 볶은 인스턴트 볶음밥을 넣고 돌돌 만다.
12. 재료를 넣어 만 춘빙을 넉넉한 기름에 튀긴다.
13. 볼에 채 썬 양파와 사과, 잘게 다진 명이나물 장아찌, 참깨&amp;흑임자 드레싱,
스위트칠리소스를 넣고 버무린다.
14. 튀긴 춘빙을 적당한 크기로 썬다.
15. 접시에 춘빙을 담고, 명이사과샐러드를 곁들인다.</v>
      </c>
    </row>
    <row r="323">
      <c r="A323" s="2" t="str">
        <f>recipe!C323
</f>
        <v>닭.된.겨</v>
      </c>
      <c r="B323" s="2" t="str">
        <f>IFERROR(__xludf.DUMMYFUNCTION("TRIM(
  REGEXEXTRACT(
    raw!A323,
    ""●\s*조리\s*방법([\s\S]*)""
  )
)
"),"1. 물에 간장을 풀고, 길게 칼집 낸 대파를 넣어 삶는다.
2. 고추와 마늘을 으깬다.
3. 기름을 두른 팬에 으깬 고추와 마늘, 된장을 넣고 볶는다.
4. 볼에 달걀노른자, 간장을 넣는다.
5. 매콤하게 볶은 된장을 물에 풀고, 체에 밭쳐 국물만 볼에 넣는다.
6. 볼에 연겨자를 넣는다.
7. 물이 끓는 냄비 위에 소스 재료를 넣은 볼을 올리고, 설탕과 레몬즙을 넣는다.
8. 끓는 물 위에서 소스를 저어 된장홀랜"&amp;"다이즈 소스를 만든다.
9. 데친 대파를 얼음물에 넣고 식힌다.
10. 훈제닭가슴살을 두드린 후, 결대로 잘게 찢는다.
11. 된장홀랜다이즈 소스에 레몬껍질을 갈아 넣는다.
12. 볼에 잘게 찢은 닭가슴살과 적당한 크기로 썬 데친 대파, 된장홀랜다이즈 소스를 넣고 버무린다.
13. 버무린 재료를 그릇에 담고, 깨를 뿌려 마무리한다.")</f>
        <v>1. 물에 간장을 풀고, 길게 칼집 낸 대파를 넣어 삶는다.
2. 고추와 마늘을 으깬다.
3. 기름을 두른 팬에 으깬 고추와 마늘, 된장을 넣고 볶는다.
4. 볼에 달걀노른자, 간장을 넣는다.
5. 매콤하게 볶은 된장을 물에 풀고, 체에 밭쳐 국물만 볼에 넣는다.
6. 볼에 연겨자를 넣는다.
7. 물이 끓는 냄비 위에 소스 재료를 넣은 볼을 올리고, 설탕과 레몬즙을 넣는다.
8. 끓는 물 위에서 소스를 저어 된장홀랜다이즈 소스를 만든다.
9. 데친 대파를 얼음물에 넣고 식힌다.
10. 훈제닭가슴살을 두드린 후, 결대로 잘게 찢는다.
11. 된장홀랜다이즈 소스에 레몬껍질을 갈아 넣는다.
12. 볼에 잘게 찢은 닭가슴살과 적당한 크기로 썬 데친 대파, 된장홀랜다이즈 소스를 넣고 버무린다.
13. 버무린 재료를 그릇에 담고, 깨를 뿌려 마무리한다.</v>
      </c>
    </row>
    <row r="324">
      <c r="A324" s="2" t="str">
        <f>recipe!C324
</f>
        <v>애플리케이크</v>
      </c>
      <c r="B324" s="2" t="str">
        <f>IFERROR(__xludf.DUMMYFUNCTION("TRIM(
  REGEXEXTRACT(
    raw!A324,
    ""●\s*조리\s*방법([\s\S]*)""
  )
)
"),"1. 사과는 껍질을 깎고, 적당한 크기로 썬다.
2. 믹서기에 사과, 설탕, 밀가루, 물을 넣고 간다.
3. 2를 볼에 담고 전자레인지에 넣어 졸인다.
4. 볼에 달걀흰자와 설탕을 넣고 머랭을 친다.
5. 건빵을 지퍼백에 담고 두드려서 으깬다.
6. 5에 버터쿠키를 넣고 함께 으깬다.
7. 으깬 과자를 핸드블렌더로 한 번 더 간다.
8. 곱게 간 과자와 머랭을 볼에 담고 섞어 반죽을 만든다.
9. 반죽을 컵에 "&amp;"담고, 전자레인지에 넣어 익혀 빵처럼 만든다.
10. 믹서기에 맛밤, 설탕, 우유, 밀가루를 넣고 간다.
11. 10을 컵에 담고 전자레인지에 넣어 졸인다.
12. 빵 위에 졸인 사과를 올려 완성한다.")</f>
        <v>1. 사과는 껍질을 깎고, 적당한 크기로 썬다.
2. 믹서기에 사과, 설탕, 밀가루, 물을 넣고 간다.
3. 2를 볼에 담고 전자레인지에 넣어 졸인다.
4. 볼에 달걀흰자와 설탕을 넣고 머랭을 친다.
5. 건빵을 지퍼백에 담고 두드려서 으깬다.
6. 5에 버터쿠키를 넣고 함께 으깬다.
7. 으깬 과자를 핸드블렌더로 한 번 더 간다.
8. 곱게 간 과자와 머랭을 볼에 담고 섞어 반죽을 만든다.
9. 반죽을 컵에 담고, 전자레인지에 넣어 익혀 빵처럼 만든다.
10. 믹서기에 맛밤, 설탕, 우유, 밀가루를 넣고 간다.
11. 10을 컵에 담고 전자레인지에 넣어 졸인다.
12. 빵 위에 졸인 사과를 올려 완성한다.</v>
      </c>
    </row>
    <row r="325">
      <c r="A325" s="2" t="str">
        <f>recipe!C325
</f>
        <v>본능족으로</v>
      </c>
      <c r="B325" s="2" t="str">
        <f>IFERROR(__xludf.DUMMYFUNCTION("TRIM(
  REGEXEXTRACT(
    raw!A325,
    ""●\s*조리\s*방법([\s\S]*)""
  )
)
"),"1. 사과를 채 썰어 볼에 담는다.
2. 스트링 치즈를 길게 찢어 채 썬 사과와 함께 담는다.
3. 2에 해바라기씨, 갈아낸 레몬껍질, 레몬즙, 후추, 소금,
올리브 오일을 넣고 버무려 샐러드를 만든다.
4. 지퍼백에 매운맛 감자칩과 건빵을 담고 두드려 으깬다.
5. 으깬 과자를 접시에 넓게 깐다.
6. 볼에 감자샐러드를 담는다.
7. 족발을 잘게 썰어 감자샐러드와 섞는다.
8. 족발을 넣은 감자샐러드에 레몬 껍질"&amp;"을 갈아 넣고 섞은 뒤, 적당한 크기로 빚는다.
9. 동그랗게 빚은 족발감자샐러드에 으깬 과자를 입히고, 해바라기씨를 올려 고로케모양을 낸다.
10. 갈릭디핑소스, 스위트칠리소스, 후추, 소금을 섞어 소스를 만든다.
11. 그릇에 사과치즈샐러드를 담고, 족발감자고로케를 올린다.
12. 소스를 따로 담아낸다.")</f>
        <v>1. 사과를 채 썰어 볼에 담는다.
2. 스트링 치즈를 길게 찢어 채 썬 사과와 함께 담는다.
3. 2에 해바라기씨, 갈아낸 레몬껍질, 레몬즙, 후추, 소금,
올리브 오일을 넣고 버무려 샐러드를 만든다.
4. 지퍼백에 매운맛 감자칩과 건빵을 담고 두드려 으깬다.
5. 으깬 과자를 접시에 넓게 깐다.
6. 볼에 감자샐러드를 담는다.
7. 족발을 잘게 썰어 감자샐러드와 섞는다.
8. 족발을 넣은 감자샐러드에 레몬 껍질을 갈아 넣고 섞은 뒤, 적당한 크기로 빚는다.
9. 동그랗게 빚은 족발감자샐러드에 으깬 과자를 입히고, 해바라기씨를 올려 고로케모양을 낸다.
10. 갈릭디핑소스, 스위트칠리소스, 후추, 소금을 섞어 소스를 만든다.
11. 그릇에 사과치즈샐러드를 담고, 족발감자고로케를 올린다.
12. 소스를 따로 담아낸다.</v>
      </c>
    </row>
    <row r="326">
      <c r="A326" s="2" t="str">
        <f>recipe!C326
</f>
        <v>오빤 채소스타일</v>
      </c>
      <c r="B326" s="2" t="str">
        <f>IFERROR(__xludf.DUMMYFUNCTION("TRIM(
  REGEXEXTRACT(
    raw!A326,
    ""●\s*조리\s*방법([\s\S]*)""
  )
)
"),"1. 기름을 두른 팬에 다진 마늘과 느타리버섯, 팽이버섯을 찢어 넣는다.
2. 양파, 애호박, 당근을 채 썰어 팬에 넣는다.
3. 채소에 소금, 후추로 간을 해서 볶는다.
4. 볶은 채소에 복분자 데리야키 소스, 레몬즙을 넣는다.
5. 볶은 채소를 볼에 담아 한 김 식힌다.
6. 끓는 물에 소금을 넣고, 냉동 완두콩을 데친다.
7. 데친 완두콩의 물기를 뺀다.
8. 당근, 양파를 잘게 썰어 팬에 담는다.
9. "&amp;"닭안심살을 적당한 크기로 자른 뒤, 당근, 양파와 함께 볶는다.
10. 9에 데친 완두콩을 넣고 함께 볶는다.
11. 볶던 재료에 올리브오일, 뜨거운 물, 소금, 후추를 넣는다.
12. 뜨거운 물에 적신 라이스페이퍼에 한 김 식혀둔 채소와
채 썬 깻잎을 올리고 돌돌 말아 스프링롤을 만든다.
13. 토마토를 슬라이스해 접시에 담는다.
14. 13에 양상추를 채 썰어 올린다.
15. 볼에 잘게 다진 마늘, 간장, 참기름, "&amp;"식초, 설탕, 올리브오일,
오리엔탈 드레싱, 잘게 썬 토마토를 넣고 섞어 소스를 만든다.
16. 토마토 슬라이스 위에 소스를 뿌린다.
17. 양상추 위에 스프링롤을 얹는다.
18. 마른 팬에 아몬드 슬라이스를 볶는다.
19. 볶은 재료를 곁들인다.
20. 적당한 크기로 썬 오렌지를 올린다.
21. 볶은 아몬드 슬라이스를 잘게 다져 뿌리고, 소스를 뿌려 마무리한다.")</f>
        <v>1. 기름을 두른 팬에 다진 마늘과 느타리버섯, 팽이버섯을 찢어 넣는다.
2. 양파, 애호박, 당근을 채 썰어 팬에 넣는다.
3. 채소에 소금, 후추로 간을 해서 볶는다.
4. 볶은 채소에 복분자 데리야키 소스, 레몬즙을 넣는다.
5. 볶은 채소를 볼에 담아 한 김 식힌다.
6. 끓는 물에 소금을 넣고, 냉동 완두콩을 데친다.
7. 데친 완두콩의 물기를 뺀다.
8. 당근, 양파를 잘게 썰어 팬에 담는다.
9. 닭안심살을 적당한 크기로 자른 뒤, 당근, 양파와 함께 볶는다.
10. 9에 데친 완두콩을 넣고 함께 볶는다.
11. 볶던 재료에 올리브오일, 뜨거운 물, 소금, 후추를 넣는다.
12. 뜨거운 물에 적신 라이스페이퍼에 한 김 식혀둔 채소와
채 썬 깻잎을 올리고 돌돌 말아 스프링롤을 만든다.
13. 토마토를 슬라이스해 접시에 담는다.
14. 13에 양상추를 채 썰어 올린다.
15. 볼에 잘게 다진 마늘, 간장, 참기름, 식초, 설탕, 올리브오일,
오리엔탈 드레싱, 잘게 썬 토마토를 넣고 섞어 소스를 만든다.
16. 토마토 슬라이스 위에 소스를 뿌린다.
17. 양상추 위에 스프링롤을 얹는다.
18. 마른 팬에 아몬드 슬라이스를 볶는다.
19. 볶은 재료를 곁들인다.
20. 적당한 크기로 썬 오렌지를 올린다.
21. 볶은 아몬드 슬라이스를 잘게 다져 뿌리고, 소스를 뿌려 마무리한다.</v>
      </c>
    </row>
    <row r="327">
      <c r="A327" s="2" t="str">
        <f>recipe!C327
</f>
        <v>아임 소바</v>
      </c>
      <c r="B327" s="2" t="str">
        <f>IFERROR(__xludf.DUMMYFUNCTION("TRIM(
  REGEXEXTRACT(
    raw!A327,
    ""●\s*조리\s*방법([\s\S]*)""
  )
)
"),"1. 냄비에 무, 밴댕이, 건새우, 다시마를 넣고 끓여 육수를 낸다.
2. 토마토의 꼭지를 잘라내고, 칼집을 낸다.
3. 끓는 물에 칼집 낸 토마토를 데치고, 닭안심살을 함께 넣어 삶는다.
4. 데친 토마토를 건져 껍질을 벗겨내고 얼음물에 담가 식힌다.
5. 식혀둔 토마토를 슬라이스 해 시판 메밀소스에 담가 냉동실에 보관한다.
6. 콜라비를 가늘게 채 썰어 얼음물에 담가둔다.
7. 양상추를 잘게 채 썰어 콜라비와 함께 얼"&amp;"음물에 담가둔다.
8. 애호박을 얇게 돌려 깎는다.
9. 얇게 돌려 깎은 애호박을 면처럼 가늘게 채 썬다.
10. 채 썬 애호박면을 데친 뒤, 얼음물에 식힌다.
11. 양파를 채 썬다.
12. 삶은 닭안심살을 꺼내 얼음물에 식힌다.
13. 끓는 물에 메밀생면을 삶는다.
14. 닭안심살을 적당한 크기로 찢어 채 썬 양파와 함께 볼에 담고
참깨&amp;흑임자소스에 버무려 차게 식힌다.
15. 삶은 메밀면을 찬물에 헹구고"&amp;", 냉동실에 보관한다.
16. 냄비에 육수, 맛술, 간장, 설탕을 넣고 끓여 소바 국물을 만든다.
17. 소바 국물을 얼음물 위에서 식히며, 식초와 레몬즙을 넣는다.
18. 그릇에 메밀면, 애호박면, 채 썬 콜라비&amp;양상추, 소스에 절인 토마토를 담는다.
19. 레몬껍질을 채 썰어 올린다.
20. 마지막으로 소바 국물을 넣고 깨, 와사비를 곁들여 완성한다.")</f>
        <v>1. 냄비에 무, 밴댕이, 건새우, 다시마를 넣고 끓여 육수를 낸다.
2. 토마토의 꼭지를 잘라내고, 칼집을 낸다.
3. 끓는 물에 칼집 낸 토마토를 데치고, 닭안심살을 함께 넣어 삶는다.
4. 데친 토마토를 건져 껍질을 벗겨내고 얼음물에 담가 식힌다.
5. 식혀둔 토마토를 슬라이스 해 시판 메밀소스에 담가 냉동실에 보관한다.
6. 콜라비를 가늘게 채 썰어 얼음물에 담가둔다.
7. 양상추를 잘게 채 썰어 콜라비와 함께 얼음물에 담가둔다.
8. 애호박을 얇게 돌려 깎는다.
9. 얇게 돌려 깎은 애호박을 면처럼 가늘게 채 썬다.
10. 채 썬 애호박면을 데친 뒤, 얼음물에 식힌다.
11. 양파를 채 썬다.
12. 삶은 닭안심살을 꺼내 얼음물에 식힌다.
13. 끓는 물에 메밀생면을 삶는다.
14. 닭안심살을 적당한 크기로 찢어 채 썬 양파와 함께 볼에 담고
참깨&amp;흑임자소스에 버무려 차게 식힌다.
15. 삶은 메밀면을 찬물에 헹구고, 냉동실에 보관한다.
16. 냄비에 육수, 맛술, 간장, 설탕을 넣고 끓여 소바 국물을 만든다.
17. 소바 국물을 얼음물 위에서 식히며, 식초와 레몬즙을 넣는다.
18. 그릇에 메밀면, 애호박면, 채 썬 콜라비&amp;양상추, 소스에 절인 토마토를 담는다.
19. 레몬껍질을 채 썰어 올린다.
20. 마지막으로 소바 국물을 넣고 깨, 와사비를 곁들여 완성한다.</v>
      </c>
    </row>
    <row r="328">
      <c r="A328" s="2" t="str">
        <f>recipe!C328
</f>
        <v>바나나를 튀기면 반하나?</v>
      </c>
      <c r="B328" s="2" t="str">
        <f>IFERROR(__xludf.DUMMYFUNCTION("TRIM(
  REGEXEXTRACT(
    raw!A328,
    ""●\s*조리\s*방법([\s\S]*)""
  )
)
"),"1. 밀가루(1컵), 전분(1ts), 탄산수(2컵)을 섞어 튀김반죽을 만든다.
2. 튀김 반죽을 조금 높은 곳에서 180도의 기름에 붓고 14초간 튀긴다.
3. 튀긴 텐카스를 건져내 기름기를 뺀다.
4. 오리엔탈 드레싱과 올리브오일을 4:1 비율로 섞어 소스를 만든다.
5. 소스에 레몬껍질을 갈아 넣는다.
6. 바나나의 끝부분을 잘라내고, 2cm 정도 두께로 썰어 밀가루와 전분을 묻힌다.
7. 밀가루와 전분을 묻힌 바나나"&amp;"에 튀김반죽 &gt; 텐카스 순으로 튀김옷을 입힌다.
8. 튀김옷을 입힌 바나나를 180도의 기름에 50초 가량 튀긴다.
9. 바나나튀김을 접시에 담고, 소스를 따로 낸다.")</f>
        <v>1. 밀가루(1컵), 전분(1ts), 탄산수(2컵)을 섞어 튀김반죽을 만든다.
2. 튀김 반죽을 조금 높은 곳에서 180도의 기름에 붓고 14초간 튀긴다.
3. 튀긴 텐카스를 건져내 기름기를 뺀다.
4. 오리엔탈 드레싱과 올리브오일을 4:1 비율로 섞어 소스를 만든다.
5. 소스에 레몬껍질을 갈아 넣는다.
6. 바나나의 끝부분을 잘라내고, 2cm 정도 두께로 썰어 밀가루와 전분을 묻힌다.
7. 밀가루와 전분을 묻힌 바나나에 튀김반죽 &gt; 텐카스 순으로 튀김옷을 입힌다.
8. 튀김옷을 입힌 바나나를 180도의 기름에 50초 가량 튀긴다.
9. 바나나튀김을 접시에 담고, 소스를 따로 낸다.</v>
      </c>
    </row>
    <row r="329">
      <c r="A329" s="2" t="str">
        <f>recipe!C329
</f>
        <v>렌틸콩그레츄레이션</v>
      </c>
      <c r="B329" s="2" t="str">
        <f>IFERROR(__xludf.DUMMYFUNCTION("TRIM(
  REGEXEXTRACT(
    raw!A329,
    ""●\s*조리\s*방법([\s\S]*)""
  )
)
"),"1. 불린 렌틸콩을 삶는다. (한 가족 분량 약 1~2컵)
2. 마른 팬에 베이컨을 굽는다.
3. 대파(7cm), 당근(반 개), 빨간색 파프리카(한 개)를 잘게 썬다.
4. 렌틸콩을 삶는 물에 소금(1Ts)을 넣는다.
5. 토마토에 십(十)자로 칼집을 내고 렌틸콩을 삶는 물에 데친다.
6. 바싹 구운 베이컨을 건져내 기름기를 뺀다.
7. 베이컨을 구운 기름을 조금만 남기고 버린다.
8. 베이컨을 구웠던 팬에 잘게 "&amp;"다진 채소를 넣어 2-3분 정도 볶는다.
9. 데친 토마토의 껍질을 벗긴다.
10. 볶던 채소에 렌틸콩 삶은 물을 1국자 넣는다.
11. 10에 마늘 두 쪽을 잘게 다져 넣는다.
12. 렌틸콩을 삶던 냄비에서 국물을 덜어내고, 볶은 채소를 넣는다.
13. 핸드블렌더로 렌틸콩과 채소를 곱게 갈아 수프를 만든다.
14. 데쳐서 껍질을 벗긴 토마토를 적당한 크기로 썰어 수프에 넣는다.
15. 기름기를 뺀 베이컨을 잘게 썬"&amp;"다.
16. 핸드블렌더로 곱게 간 렌틸콩 수프에 소금, 후추로 간 한다.
17. 고추(한 개)와 마늘(한 쪽)을 잘게 다져 볼에 담고, 식초(5Ts)를 붓는다.
18. 렌틸콩 수프를 그릇에 담는다.
19. 수프 위에 잘게 썬 베이컨을 올린다.
20. 렌틸콩 수프와 마늘&amp;고추 식초를 함께 곁들여낸다.")</f>
        <v>1. 불린 렌틸콩을 삶는다. (한 가족 분량 약 1~2컵)
2. 마른 팬에 베이컨을 굽는다.
3. 대파(7cm), 당근(반 개), 빨간색 파프리카(한 개)를 잘게 썬다.
4. 렌틸콩을 삶는 물에 소금(1Ts)을 넣는다.
5. 토마토에 십(十)자로 칼집을 내고 렌틸콩을 삶는 물에 데친다.
6. 바싹 구운 베이컨을 건져내 기름기를 뺀다.
7. 베이컨을 구운 기름을 조금만 남기고 버린다.
8. 베이컨을 구웠던 팬에 잘게 다진 채소를 넣어 2-3분 정도 볶는다.
9. 데친 토마토의 껍질을 벗긴다.
10. 볶던 채소에 렌틸콩 삶은 물을 1국자 넣는다.
11. 10에 마늘 두 쪽을 잘게 다져 넣는다.
12. 렌틸콩을 삶던 냄비에서 국물을 덜어내고, 볶은 채소를 넣는다.
13. 핸드블렌더로 렌틸콩과 채소를 곱게 갈아 수프를 만든다.
14. 데쳐서 껍질을 벗긴 토마토를 적당한 크기로 썰어 수프에 넣는다.
15. 기름기를 뺀 베이컨을 잘게 썬다.
16. 핸드블렌더로 곱게 간 렌틸콩 수프에 소금, 후추로 간 한다.
17. 고추(한 개)와 마늘(한 쪽)을 잘게 다져 볼에 담고, 식초(5Ts)를 붓는다.
18. 렌틸콩 수프를 그릇에 담는다.
19. 수프 위에 잘게 썬 베이컨을 올린다.
20. 렌틸콩 수프와 마늘&amp;고추 식초를 함께 곁들여낸다.</v>
      </c>
    </row>
    <row r="330">
      <c r="A330" s="2" t="str">
        <f>recipe!C330
</f>
        <v>오늘도전</v>
      </c>
      <c r="B330" s="2" t="str">
        <f>IFERROR(__xludf.DUMMYFUNCTION("TRIM(
  REGEXEXTRACT(
    raw!A330,
    ""●\s*조리\s*방법([\s\S]*)""
  )
)
"),"1. 볼에 밀가루, 전분, 달걀, 소금, 물을 넣고 반죽을 만든다.
2. 반건조오징어를 잘게 썰어 반죽에 넣는다.
3. 대파, 햄 통조림, 아스파라거스를 잘게 썰어 반죽에 넣고 섞는다.
4. 기름을 두른 팬에 반죽을 넓게 펴서 부친다.
5. 소면을 잘게 부숴 기름에 튀긴 후 건져내 기름기를 뺀다.
6. 망고는 과육만 적당한 크기로 썬다.
7. 체리의 꼭지를 떼고, 씨를 발라낸 후 망고 과육과 함께 핸드블렌더로 간다.
"&amp;"
8. 곱게 간 망고&amp;체리에 마요네즈, 레몬즙을 넣고 섞어 과일소스를 만든다.
9. 전을 부치는 팬에 버터를 넣는다.
10. 전을 적당한 크기로 썰어 접시에 담는다.
11. 전 위에 과일소스를 올리고, 튀긴 소면을 뿌려 완성한다.")</f>
        <v>1. 볼에 밀가루, 전분, 달걀, 소금, 물을 넣고 반죽을 만든다.
2. 반건조오징어를 잘게 썰어 반죽에 넣는다.
3. 대파, 햄 통조림, 아스파라거스를 잘게 썰어 반죽에 넣고 섞는다.
4. 기름을 두른 팬에 반죽을 넓게 펴서 부친다.
5. 소면을 잘게 부숴 기름에 튀긴 후 건져내 기름기를 뺀다.
6. 망고는 과육만 적당한 크기로 썬다.
7. 체리의 꼭지를 떼고, 씨를 발라낸 후 망고 과육과 함께 핸드블렌더로 간다.
8. 곱게 간 망고&amp;체리에 마요네즈, 레몬즙을 넣고 섞어 과일소스를 만든다.
9. 전을 부치는 팬에 버터를 넣는다.
10. 전을 적당한 크기로 썰어 접시에 담는다.
11. 전 위에 과일소스를 올리고, 튀긴 소면을 뿌려 완성한다.</v>
      </c>
    </row>
    <row r="331">
      <c r="A331" s="2" t="str">
        <f>recipe!C331
</f>
        <v>풍볶이 말았소면</v>
      </c>
      <c r="B331" s="2" t="str">
        <f>IFERROR(__xludf.DUMMYFUNCTION("TRIM(
  REGEXEXTRACT(
    raw!A331,
    ""●\s*조리\s*방법([\s\S]*)""
  )
)
"),"1. 양파, 대파 흰 부분, 베이컨을 적당한 크기로 손질한다.
2. 기름을 두른 팬에 베이컨을 넣고 볶는다.
3. 끓는 물에 소면을 삶는다.
4. 볶던 베이컨에 다진 마늘, 고추장을 넣고 볶는다.
5. 4에 고춧가루, 간장을 넣고 볶는다.
6. 볶은 양념에 손질한 양파와 대파, 물을 넣고 끓여 떡볶이 양념을 만든다.
7. 재료에 물엿, 설탕을 넣고 섞어 소스를 만든다.
8. 삶은 소면을 체에 밭쳐 물에 헹군다.
"&amp;"
9. 기름을 두른 팬에 삶은 소면을 넓게 깔고 부친다.
10. 햄 통조림을 적당한 크기로 썰어 삶은 소면으로 돌돌 만다.
11. 10에 전분을 묻히고 기름에 튀긴다.
12. 소스에 청경채를 넣는다.
13. 소스에 전분물을 넣어 농도를 잡는다.
14. 기름에 부친 소면의 기름기를 제거하고, 접시에 담는다.
15. 14 위에 튀긴 햄소면볼을 올리고, 소스를 얹어 마무리한다.")</f>
        <v>1. 양파, 대파 흰 부분, 베이컨을 적당한 크기로 손질한다.
2. 기름을 두른 팬에 베이컨을 넣고 볶는다.
3. 끓는 물에 소면을 삶는다.
4. 볶던 베이컨에 다진 마늘, 고추장을 넣고 볶는다.
5. 4에 고춧가루, 간장을 넣고 볶는다.
6. 볶은 양념에 손질한 양파와 대파, 물을 넣고 끓여 떡볶이 양념을 만든다.
7. 재료에 물엿, 설탕을 넣고 섞어 소스를 만든다.
8. 삶은 소면을 체에 밭쳐 물에 헹군다.
9. 기름을 두른 팬에 삶은 소면을 넓게 깔고 부친다.
10. 햄 통조림을 적당한 크기로 썰어 삶은 소면으로 돌돌 만다.
11. 10에 전분을 묻히고 기름에 튀긴다.
12. 소스에 청경채를 넣는다.
13. 소스에 전분물을 넣어 농도를 잡는다.
14. 기름에 부친 소면의 기름기를 제거하고, 접시에 담는다.
15. 14 위에 튀긴 햄소면볼을 올리고, 소스를 얹어 마무리한다.</v>
      </c>
    </row>
    <row r="332">
      <c r="A332" s="2" t="str">
        <f>recipe!C332
</f>
        <v>오닭후면</v>
      </c>
      <c r="B332" s="2" t="str">
        <f>IFERROR(__xludf.DUMMYFUNCTION("TRIM(
  REGEXEXTRACT(
    raw!A332,
    ""●\s*조리\s*방법([\s\S]*)""
  )
)
"),"1. 끓는 물에 식초를 넣고 달걀을 삶는다.
2. 베이컨을 적당한 크기로 썰어 냄비에 넣는다.
3. 대파 흰 부분을 적당한 크기로 썰어 베이컨과 함께 볶는다.
4. 반건조오징어를 채 썰어 냄비에 넣고 함께 볶는다.
5. 4에 뜨거운 물, 곰탕라면 스프를 넣고 끓인다.
6. 끓이던 재료에 간장, 닭가슴살 통조림을 넣고 함께 끓인다.
7. 청양고추를 잘게 썰어 국물에 넣고 끓인다.
8. 짬뽕라면의 면을 삶는다.
9"&amp;". 끓인 국물에서 베이컨만 건져낸다.
10. 대파 흰 부분을 잘게 썬다.
11. 청경채를 적당한 크기로 손질한다.
12. 끓는 물에 소금을 넣고 손질한 청경채를 데친다.
13. 삶은 달걀의 껍데기를 벗기고 얼음물에 넣어 식힌다.
14. 삶은 면을 얼음물에 헹군다.
15. 씻은 면을 살짝 데친다.
16. 면을 그릇에 담는다.
17. 면에 라면국물을 붓는다.
18. 반숙달걀과 데친 청경채를 올린다.
19"&amp;". 조미김을 곁들여 마무리한다.")</f>
        <v>1. 끓는 물에 식초를 넣고 달걀을 삶는다.
2. 베이컨을 적당한 크기로 썰어 냄비에 넣는다.
3. 대파 흰 부분을 적당한 크기로 썰어 베이컨과 함께 볶는다.
4. 반건조오징어를 채 썰어 냄비에 넣고 함께 볶는다.
5. 4에 뜨거운 물, 곰탕라면 스프를 넣고 끓인다.
6. 끓이던 재료에 간장, 닭가슴살 통조림을 넣고 함께 끓인다.
7. 청양고추를 잘게 썰어 국물에 넣고 끓인다.
8. 짬뽕라면의 면을 삶는다.
9. 끓인 국물에서 베이컨만 건져낸다.
10. 대파 흰 부분을 잘게 썬다.
11. 청경채를 적당한 크기로 손질한다.
12. 끓는 물에 소금을 넣고 손질한 청경채를 데친다.
13. 삶은 달걀의 껍데기를 벗기고 얼음물에 넣어 식힌다.
14. 삶은 면을 얼음물에 헹군다.
15. 씻은 면을 살짝 데친다.
16. 면을 그릇에 담는다.
17. 면에 라면국물을 붓는다.
18. 반숙달걀과 데친 청경채를 올린다.
19. 조미김을 곁들여 마무리한다.</v>
      </c>
    </row>
    <row r="333">
      <c r="A333" s="2" t="str">
        <f>recipe!C333
</f>
        <v>짬뽕의 순정</v>
      </c>
      <c r="B333" s="2" t="str">
        <f>IFERROR(__xludf.DUMMYFUNCTION("TRIM(
  REGEXEXTRACT(
    raw!A333,
    ""●\s*조리\s*방법([\s\S]*)""
  )
)
"),"1. 끓는 물에 소금, 식초를 넣고 달걀을 삶는다.
2. 마늘을 슬라이스 한다.
3. 양파를 채 썬다.
4. 양배추를 채 썬다.
5. 청경채, 청양고추, 대파, 베이컨, 소시지를 적당한 크기로 썬다.
6. 어묵, 고다치즈를 적당한 크기로 썬다.
7. 골뱅이 통조림을 체에 밭쳐 건더기만 걸러낸다.
8. 짬뽕라면의 면을 삶는다.
9. 기름을 두른 팬에 손질한 재료와 고춧가루, 간장, 청양고추, 짬뽕라면 스프를 넣고"&amp;" 볶는다.
10. 볶던 재료에 우유를 넣고 끓여 국물을 만든다.
11. 국물에 후추, 골뱅이, 소금을 넣고 끓인다.
12. 끓이던 국물에 짬뽕라면의 건더기스프와 소금을 넣는다.
13. 12에 고다치즈를 넣고 섞어 크림짬뽕국물을 만든다.
14. 삶은 면을 얼음물에 넣고 식힌다.
15. 삶은 달걀의 껍데기를 벗겨내고 반으로 자른다.
16. 그릇에 면을 담는다.
17. 면 위에 크림짬뽕국물을 담는다.
18. 반"&amp;"숙달걀을 올려 마무리한다.")</f>
        <v>1. 끓는 물에 소금, 식초를 넣고 달걀을 삶는다.
2. 마늘을 슬라이스 한다.
3. 양파를 채 썬다.
4. 양배추를 채 썬다.
5. 청경채, 청양고추, 대파, 베이컨, 소시지를 적당한 크기로 썬다.
6. 어묵, 고다치즈를 적당한 크기로 썬다.
7. 골뱅이 통조림을 체에 밭쳐 건더기만 걸러낸다.
8. 짬뽕라면의 면을 삶는다.
9. 기름을 두른 팬에 손질한 재료와 고춧가루, 간장, 청양고추, 짬뽕라면 스프를 넣고 볶는다.
10. 볶던 재료에 우유를 넣고 끓여 국물을 만든다.
11. 국물에 후추, 골뱅이, 소금을 넣고 끓인다.
12. 끓이던 국물에 짬뽕라면의 건더기스프와 소금을 넣는다.
13. 12에 고다치즈를 넣고 섞어 크림짬뽕국물을 만든다.
14. 삶은 면을 얼음물에 넣고 식힌다.
15. 삶은 달걀의 껍데기를 벗겨내고 반으로 자른다.
16. 그릇에 면을 담는다.
17. 면 위에 크림짬뽕국물을 담는다.
18. 반숙달걀을 올려 마무리한다.</v>
      </c>
    </row>
    <row r="334">
      <c r="A334" s="2" t="str">
        <f>recipe!C334
</f>
        <v>터미네미트볼</v>
      </c>
      <c r="B334" s="2" t="str">
        <f>IFERROR(__xludf.DUMMYFUNCTION("TRIM(
  REGEXEXTRACT(
    raw!A334,
    ""●\s*조리\s*방법([\s\S]*)""
  )
)
"),"1. 끓는 물에 채칼로 얇게 저민 감자를 넣고 익힌다.
2. 애호박을 채칼로 길고 얇게 저민다.
3. 양파를 잘게 썰어 기름을 두른 팬에 넣고 소금, 후추를 뿌려 볶는다.
4. 익힌 감자를 건져 우유에 넣고 끓인다.
5. 소고기 등심을 적당한 크기로 썰어 핸드블랜더에 넣고 곱게 간다.
6. 곱게 간 소고기 등심에 익힌 양파를 넣고 소금, 후추로 간 해 미트볼 반죽을 만든다.
7. 미트볼을 만들어 밀가루에 묻힌 뒤, 기름을"&amp;" 두른 팬에 굽는다.
8. 기름을 두른 그릴팬에 애호박을 올리고 소금, 후추를 뿌려 굽는다.
9. 구운 미트볼을 조금 남겨두고 건져낸다.
10. 팬에 남은 미트볼에 화이트와인을 넣고 볶는다.
11. 볶은 미트볼에 잘게 양파를 더해 함께 볶는다.
12. 끓인 우유와 감자를 핸드블랜더로 곱게 간다.
13. 볶은 미트볼과 양파에 곱게 간 감자와 우유를 부어 끓이다가 구운 미트볼을 넣는다.
14. 13에 카망베르치즈를 넣는"&amp;"다.
15. 마른 팬에 빵가루, 올리브오일, 버터를 넣고 볶는다.
16. 접시에 구운 애호박을 올린다.
17. 볼에 발사믹 드레싱, 올리브오일, 레몬즙을 넣어 발사믹소스를 만든다.
18. 접시에 졸인 미트볼을 소스를 함께 얹는다.
19. 마지막으로 발사믹소스와 볶은 빵가루를 올려 마무리한다.")</f>
        <v>1. 끓는 물에 채칼로 얇게 저민 감자를 넣고 익힌다.
2. 애호박을 채칼로 길고 얇게 저민다.
3. 양파를 잘게 썰어 기름을 두른 팬에 넣고 소금, 후추를 뿌려 볶는다.
4. 익힌 감자를 건져 우유에 넣고 끓인다.
5. 소고기 등심을 적당한 크기로 썰어 핸드블랜더에 넣고 곱게 간다.
6. 곱게 간 소고기 등심에 익힌 양파를 넣고 소금, 후추로 간 해 미트볼 반죽을 만든다.
7. 미트볼을 만들어 밀가루에 묻힌 뒤, 기름을 두른 팬에 굽는다.
8. 기름을 두른 그릴팬에 애호박을 올리고 소금, 후추를 뿌려 굽는다.
9. 구운 미트볼을 조금 남겨두고 건져낸다.
10. 팬에 남은 미트볼에 화이트와인을 넣고 볶는다.
11. 볶은 미트볼에 잘게 양파를 더해 함께 볶는다.
12. 끓인 우유와 감자를 핸드블랜더로 곱게 간다.
13. 볶은 미트볼과 양파에 곱게 간 감자와 우유를 부어 끓이다가 구운 미트볼을 넣는다.
14. 13에 카망베르치즈를 넣는다.
15. 마른 팬에 빵가루, 올리브오일, 버터를 넣고 볶는다.
16. 접시에 구운 애호박을 올린다.
17. 볼에 발사믹 드레싱, 올리브오일, 레몬즙을 넣어 발사믹소스를 만든다.
18. 접시에 졸인 미트볼을 소스를 함께 얹는다.
19. 마지막으로 발사믹소스와 볶은 빵가루를 올려 마무리한다.</v>
      </c>
    </row>
    <row r="335">
      <c r="A335" s="2" t="str">
        <f>recipe!C335
</f>
        <v>트랜스두부</v>
      </c>
      <c r="B335" s="2" t="str">
        <f>IFERROR(__xludf.DUMMYFUNCTION("TRIM(
  REGEXEXTRACT(
    raw!A335,
    ""●\s*조리\s*방법([\s\S]*)""
  )
)
"),"1. 두부는 적당한 크기로 썰어 볼에 담아둔다.
2. 오이를 길게 잘라 씨를 발라낸 뒤, 얇게 썬다.
3. 얇게 썬 오이에 소금을 뿌려 절여둔다.
4. 당근, 양파, 대파를 잘게 썬다.
5. 마늘을 으깬다.
6. 적당한 크기로 썬 두부에 전분을 묻혀 튀긴다.
7. 튀긴 두부의 기름기를 뺀다.
8. 기름을 두른 팬에 으깬 마늘, 다진 소고기 등심을 넣고 볶는다.
9. 볶던 재료에 손질한 채소, 굴소스, 스위트 칠"&amp;"리소스를 넣고 볶는다.
10. 9에 물을 넣고 끓여 소스를 만든다.
11. 끓인 소스에 전분물을 넣는다.
12. 기름기를 뺀 두부를 다시 한 번 기름에 넣고 튀긴다.
13. 튀긴 두부를 건져 기름기를 뺀다.
14. 기름기를 뺀 두부튀김을 소스에 넣고 볶는다.
15. 볶은 두부탕수를 그릇에 담는다.
16. 레몬껍질을 잘게 썰어 두부탕수 위에 올린다.
17. 소금에 절인 오이의 물기를 짜고 두부탕수 위에 뿌려 마무"&amp;"리한다.")</f>
        <v>1. 두부는 적당한 크기로 썰어 볼에 담아둔다.
2. 오이를 길게 잘라 씨를 발라낸 뒤, 얇게 썬다.
3. 얇게 썬 오이에 소금을 뿌려 절여둔다.
4. 당근, 양파, 대파를 잘게 썬다.
5. 마늘을 으깬다.
6. 적당한 크기로 썬 두부에 전분을 묻혀 튀긴다.
7. 튀긴 두부의 기름기를 뺀다.
8. 기름을 두른 팬에 으깬 마늘, 다진 소고기 등심을 넣고 볶는다.
9. 볶던 재료에 손질한 채소, 굴소스, 스위트 칠리소스를 넣고 볶는다.
10. 9에 물을 넣고 끓여 소스를 만든다.
11. 끓인 소스에 전분물을 넣는다.
12. 기름기를 뺀 두부를 다시 한 번 기름에 넣고 튀긴다.
13. 튀긴 두부를 건져 기름기를 뺀다.
14. 기름기를 뺀 두부튀김을 소스에 넣고 볶는다.
15. 볶은 두부탕수를 그릇에 담는다.
16. 레몬껍질을 잘게 썰어 두부탕수 위에 올린다.
17. 소금에 절인 오이의 물기를 짜고 두부탕수 위에 뿌려 마무리한다.</v>
      </c>
    </row>
    <row r="336">
      <c r="A336" s="2" t="str">
        <f>recipe!C336
</f>
        <v>오트밀 맛있삼</v>
      </c>
      <c r="B336" s="2" t="str">
        <f>IFERROR(__xludf.DUMMYFUNCTION("TRIM(
  REGEXEXTRACT(
    raw!A336,
    ""●\s*조리\s*방법([\s\S]*)""
  )
)
"),"1. 우유를 끓인다.
2. 오트밀을 끓는 물에 데친 후, 우유에 넣고 끓인다.
3. 오트밀을 끓이는 우유에 건포도, 소금, 후추, 연유를 넣고 끓여 오트밀 수프를 만든다.
4. 마른 팬에 삼겹살을 굽는다.
5. 구운 삼겹살의 기름을 뺀다.
6. 각종 견과류를 지퍼백에 담고, 잘게 부순 뒤 넓은 접시에 깐다.
7. 고추마늘장아찌에서 마늘쫑만 잘게 썬 뒤, 부순 견과류, 깨와 함께 섞어 토핑을 만든다.
8. 곶감을 적당"&amp;"한 크기로 썬다.
9. 볼에 고추마늘장아찌의 국물만 덜어낸 뒤, 맛술을 넣고 섞어 소스를 만든다.
10. 구운 삼겹살을 적당한 크기로 잘라 소스에 골고루 묻힌다.
11. 10에 토핑을 골고루 묻힌다.
12. 그릇에 오트밀수프를 담고, 손질한 곶감&gt;토핑을 묻힌 삼겹살을 차례로 올린다.
13. 마지막으로 레몬껍질을 갈아 올려 완성한다.")</f>
        <v>1. 우유를 끓인다.
2. 오트밀을 끓는 물에 데친 후, 우유에 넣고 끓인다.
3. 오트밀을 끓이는 우유에 건포도, 소금, 후추, 연유를 넣고 끓여 오트밀 수프를 만든다.
4. 마른 팬에 삼겹살을 굽는다.
5. 구운 삼겹살의 기름을 뺀다.
6. 각종 견과류를 지퍼백에 담고, 잘게 부순 뒤 넓은 접시에 깐다.
7. 고추마늘장아찌에서 마늘쫑만 잘게 썬 뒤, 부순 견과류, 깨와 함께 섞어 토핑을 만든다.
8. 곶감을 적당한 크기로 썬다.
9. 볼에 고추마늘장아찌의 국물만 덜어낸 뒤, 맛술을 넣고 섞어 소스를 만든다.
10. 구운 삼겹살을 적당한 크기로 잘라 소스에 골고루 묻힌다.
11. 10에 토핑을 골고루 묻힌다.
12. 그릇에 오트밀수프를 담고, 손질한 곶감&gt;토핑을 묻힌 삼겹살을 차례로 올린다.
13. 마지막으로 레몬껍질을 갈아 올려 완성한다.</v>
      </c>
    </row>
    <row r="337">
      <c r="A337" s="2" t="str">
        <f>recipe!C337
</f>
        <v>미카옐로</v>
      </c>
      <c r="B337" s="2" t="str">
        <f>IFERROR(__xludf.DUMMYFUNCTION("TRIM(
  REGEXEXTRACT(
    raw!A337,
    ""●\s*조리\s*방법([\s\S]*)""
  )
)
"),"1. 감자는 씻어서 껍질을 벗긴다.
2. 껍질을 벗긴 감자와 당근, 애호박을 적당한 크기로 썬다.
3. 소금을 넣은 끓는 물에, 손질한 감자와 당근을 넣고 끓인다.
4. 다진 돼지고기에 소금과 후추를 뿌린다.
5. 4에 달걀노른자, 즉석밥을 넣고 미트볼 반죽을 만든다.
6. 반죽에 밀가루를 묻혀가며 미트볼을 만든다.
7. 감자와 당근을 넣고 끓이던 물에 미트볼을 넣고 끓인다.
8. 사골국을 체에 밭쳐 건더기를 걸러내"&amp;"고 국물만 남긴다.
9. 미트볼과 채소를 끓이던 냄비에 걸러낸 사골국물을 넣고 함께 끓인다.
10. 미트볼국에 잘게 썬 양파와 손질한 애호박을 넣는다.
11. 달걀의 노른자만 분리한다.
12. 달걀노른자에 레몬즙, 우유를 넣고 핸드블랜더로 섞는다.
13. 12에 후추로 간을 하고, 미트볼국의 국물을 조금씩 넣어가며 핸드블랜더로 섞는다.
14. 끓이던 국을 저어가며 국물을 넣고 섞은 달걀노른자를 넣는다.
15. 소스 "&amp;"종지에 소금, 레몬, 잘게 썬 청양고추를 각각 담는다.
16. 미트볼국에 버터를 넣는다.
17. 대파를 잘게 썬다.
18. 그릇에 미트볼국을 담고, 잘게 썬 대파를 올려 완성한다.")</f>
        <v>1. 감자는 씻어서 껍질을 벗긴다.
2. 껍질을 벗긴 감자와 당근, 애호박을 적당한 크기로 썬다.
3. 소금을 넣은 끓는 물에, 손질한 감자와 당근을 넣고 끓인다.
4. 다진 돼지고기에 소금과 후추를 뿌린다.
5. 4에 달걀노른자, 즉석밥을 넣고 미트볼 반죽을 만든다.
6. 반죽에 밀가루를 묻혀가며 미트볼을 만든다.
7. 감자와 당근을 넣고 끓이던 물에 미트볼을 넣고 끓인다.
8. 사골국을 체에 밭쳐 건더기를 걸러내고 국물만 남긴다.
9. 미트볼과 채소를 끓이던 냄비에 걸러낸 사골국물을 넣고 함께 끓인다.
10. 미트볼국에 잘게 썬 양파와 손질한 애호박을 넣는다.
11. 달걀의 노른자만 분리한다.
12. 달걀노른자에 레몬즙, 우유를 넣고 핸드블랜더로 섞는다.
13. 12에 후추로 간을 하고, 미트볼국의 국물을 조금씩 넣어가며 핸드블랜더로 섞는다.
14. 끓이던 국을 저어가며 국물을 넣고 섞은 달걀노른자를 넣는다.
15. 소스 종지에 소금, 레몬, 잘게 썬 청양고추를 각각 담는다.
16. 미트볼국에 버터를 넣는다.
17. 대파를 잘게 썬다.
18. 그릇에 미트볼국을 담고, 잘게 썬 대파를 올려 완성한다.</v>
      </c>
    </row>
    <row r="338">
      <c r="A338" s="2" t="str">
        <f>recipe!C338
</f>
        <v>하트비트</v>
      </c>
      <c r="B338" s="2" t="str">
        <f>IFERROR(__xludf.DUMMYFUNCTION("TRIM(
  REGEXEXTRACT(
    raw!A338,
    ""●\s*조리\s*방법([\s\S]*)""
  )
)
"),"1. 기름을 두른 팬에 채 썬 양파를 넣는다.
2. 돼지염통을 잘게 썰어 양파가 담긴 팬에 넣는다.
3. 고추는 씨를 빼고 적당한 크기로 썰어 팬에 넣고 다른 재료들과 함께 볶다가 소금, 후추로 간한다.
4. 돼지간을 적당한 크기로 썰고, 레몬즙을 뿌린다.
5. 달걀물을 푼다.
6. 돼지간에 밀가루&gt;달걀물 순서로 튀김옷을 입혀 기름에 튀긴다.
7. 볶던 재료에 레드와인을 넣는다.
8. 핸드블랜더로 방울토마토를 간다."&amp;"
9. 곱게 간 방울토마토를 재료를 볶던 팬에 넣고 함께 볶는다.
10. 볶던 재료에 고춧가루를 넣는다.
11. 튀긴 간을 건져 기름을 빼낸다.
12. 마늘과 대파를 얇게 썰어 마늘은 볶던 재료에 넣는다.
13. 레몬을 슬라이스 해 모양을 낸다.
14. 접시에 볶은 재료를 담고, 튀긴 간, 레몬, 얇게 썬 대파, 레몬즙을 곁들여 완성한다.")</f>
        <v>1. 기름을 두른 팬에 채 썬 양파를 넣는다.
2. 돼지염통을 잘게 썰어 양파가 담긴 팬에 넣는다.
3. 고추는 씨를 빼고 적당한 크기로 썰어 팬에 넣고 다른 재료들과 함께 볶다가 소금, 후추로 간한다.
4. 돼지간을 적당한 크기로 썰고, 레몬즙을 뿌린다.
5. 달걀물을 푼다.
6. 돼지간에 밀가루&gt;달걀물 순서로 튀김옷을 입혀 기름에 튀긴다.
7. 볶던 재료에 레드와인을 넣는다.
8. 핸드블랜더로 방울토마토를 간다.
9. 곱게 간 방울토마토를 재료를 볶던 팬에 넣고 함께 볶는다.
10. 볶던 재료에 고춧가루를 넣는다.
11. 튀긴 간을 건져 기름을 빼낸다.
12. 마늘과 대파를 얇게 썰어 마늘은 볶던 재료에 넣는다.
13. 레몬을 슬라이스 해 모양을 낸다.
14. 접시에 볶은 재료를 담고, 튀긴 간, 레몬, 얇게 썬 대파, 레몬즙을 곁들여 완성한다.</v>
      </c>
    </row>
    <row r="339">
      <c r="A339" s="2" t="str">
        <f>recipe!C339
</f>
        <v>내장풍 냉채</v>
      </c>
      <c r="B339" s="2" t="str">
        <f>IFERROR(__xludf.DUMMYFUNCTION("TRIM(
  REGEXEXTRACT(
    raw!A339,
    ""●\s*조리\s*방법([\s\S]*)""
  )
)
"),"1. 끓는 물에 돼지염통, 돼지허파, 맛술을 넣고 삶는다.
2. 기름이 담긴 냄비에 대파 흰 부분을 적당한 크기로 잘라 넣고 파기름을 낸다.
3. 마늘을 다진다.
4. 파기름에 고춧가루, 다진 생강을 넣고 끓여 고추기름을 만든다.
5. 볼에 다진 마늘을 담고, 맛술, 간장, 설탕, 식초를 1:1:1:1 비율로 넣어 냉채소스를 만든다.
6. 비닐팩에 오이를 넣고 두드려 으깬다.
7. 볼에 밀가루, 전분, 소금, 물을 넣고 "&amp;"섞어 반죽을 만든다.
8. 반죽에 식용유를 넣는다.
9. 마른 팬에 반죽을 얇게 둘러 굽는다.
10. 삶은 염통과 허파를 건져내 물로 헹구고, 적당한 크기로 썬다.
11. 접시에 손질한 염통과 허파를 올리고, 으깬 오이를 얹는다.
12. 키친타월을 깐 체에 끓인 고추기름을 부어 곱게 걸러낸다.
13. 접시에 담긴 재료 위에 적당한 크기로 썬 상추를 올리고 냉채소스를 끼얹는다.
14. 고추기름을 뿌려 마무리한다.
"&amp;"
15. 얇게 구운 반죽을 따로 곁들여 낸다.")</f>
        <v>1. 끓는 물에 돼지염통, 돼지허파, 맛술을 넣고 삶는다.
2. 기름이 담긴 냄비에 대파 흰 부분을 적당한 크기로 잘라 넣고 파기름을 낸다.
3. 마늘을 다진다.
4. 파기름에 고춧가루, 다진 생강을 넣고 끓여 고추기름을 만든다.
5. 볼에 다진 마늘을 담고, 맛술, 간장, 설탕, 식초를 1:1:1:1 비율로 넣어 냉채소스를 만든다.
6. 비닐팩에 오이를 넣고 두드려 으깬다.
7. 볼에 밀가루, 전분, 소금, 물을 넣고 섞어 반죽을 만든다.
8. 반죽에 식용유를 넣는다.
9. 마른 팬에 반죽을 얇게 둘러 굽는다.
10. 삶은 염통과 허파를 건져내 물로 헹구고, 적당한 크기로 썬다.
11. 접시에 손질한 염통과 허파를 올리고, 으깬 오이를 얹는다.
12. 키친타월을 깐 체에 끓인 고추기름을 부어 곱게 걸러낸다.
13. 접시에 담긴 재료 위에 적당한 크기로 썬 상추를 올리고 냉채소스를 끼얹는다.
14. 고추기름을 뿌려 마무리한다.
15. 얇게 구운 반죽을 따로 곁들여 낸다.</v>
      </c>
    </row>
    <row r="340">
      <c r="A340" s="2" t="str">
        <f>recipe!C340
</f>
        <v>염통이 바샤샤샤~</v>
      </c>
      <c r="B340" s="2" t="str">
        <f>IFERROR(__xludf.DUMMYFUNCTION("TRIM(
  REGEXEXTRACT(
    raw!A340,
    ""●\s*조리\s*방법([\s\S]*)""
  )
)
"),"1. 양파를 슬라이스 한 뒤, 석쇠에 올려 직화한다.
2. 냄비에 간장, 맛술, 설탕, 청주를 넣고 끓여 간장소스를 만든다.
3. 구운 양파를 간장소스에 넣고 졸인다.
4. 볼에 밀가루, 전분을 넣고 섞어 튀김가루를 만든다.
5. 튀김가루를 다른 볼에 덜어낸 뒤, 물을 넣고 섞어 튀김반죽을 만든다.
6. 파를 얇게 썰어 튀김가루에 묻힌 뒤, 기름에 튀긴다.
7. 돼지염통을 적당한 두께로 썰어 튀김가루를 묻힌다.
8."&amp;" 튀김반죽을 기름에 튀겨 텐카스를 만든다.
9. 튀김가루를 입힌 돼지염통에 한 번 더 반죽을 입힌 뒤 기름에 넣고, 텐카스가 묻어나도록 튀긴다.
10. 즉석밥을 전자레인지에 넣고 돌린다.
11. 볼에 새우맛 후리카게, 밥, 참기름을 넣고 섞는다.
12. 그릇에 양념한 밥을 담고, 파 튀김, 염통 튀김을 얹는다.
13. 간장소스를 뿌려 마무리한다.")</f>
        <v>1. 양파를 슬라이스 한 뒤, 석쇠에 올려 직화한다.
2. 냄비에 간장, 맛술, 설탕, 청주를 넣고 끓여 간장소스를 만든다.
3. 구운 양파를 간장소스에 넣고 졸인다.
4. 볼에 밀가루, 전분을 넣고 섞어 튀김가루를 만든다.
5. 튀김가루를 다른 볼에 덜어낸 뒤, 물을 넣고 섞어 튀김반죽을 만든다.
6. 파를 얇게 썰어 튀김가루에 묻힌 뒤, 기름에 튀긴다.
7. 돼지염통을 적당한 두께로 썰어 튀김가루를 묻힌다.
8. 튀김반죽을 기름에 튀겨 텐카스를 만든다.
9. 튀김가루를 입힌 돼지염통에 한 번 더 반죽을 입힌 뒤 기름에 넣고, 텐카스가 묻어나도록 튀긴다.
10. 즉석밥을 전자레인지에 넣고 돌린다.
11. 볼에 새우맛 후리카게, 밥, 참기름을 넣고 섞는다.
12. 그릇에 양념한 밥을 담고, 파 튀김, 염통 튀김을 얹는다.
13. 간장소스를 뿌려 마무리한다.</v>
      </c>
    </row>
    <row r="341">
      <c r="A341" s="2" t="str">
        <f>recipe!C341
</f>
        <v>초밥 베이베</v>
      </c>
      <c r="B341" s="2" t="str">
        <f>IFERROR(__xludf.DUMMYFUNCTION("TRIM(
  REGEXEXTRACT(
    raw!A341,
    ""●\s*조리\s*방법([\s\S]*)""
  )
)
"),"1. 즉석밥을 전자레인지에 넣고 돌린다.
2. 식초, 소금, 설탕을 3:1:2 비율로 넣고 섞어 단촛물을 만든다.
3. 밥에 단촛물을 넣고 비벼 양념밥을 만든다.
4. 냄비에 맛술, 청주, 간장, 설탕을 넣고 끓여 간장소스를 만든다.
5. 김, 청포도, 닭가슴살 소시지를 적당한 크기로 썬다.
6. 볼에 밀가루, 물을 넣고 섞어 튀김반죽을 만든다.
7. 손질한 닭가슴살 소시지에 튀김반죽을 묻혀 튀긴다.
8. 튀긴 닭가"&amp;"슴살 소시지를 건져내 기름을 뺀다.
9. 마른팬에 불고기용 소고기를 펼치고 설탕을 뿌린 뒤, 토치로 직화한다.
10. 손에 물을 묻히고 양념밥을 적당한 크기로 뭉친 뒤 직화한 소고기를 올린다.
11. 양념밥 위에 닭가슴살 소시지 튀김을 올린 뒤 김으로 말아준다.
12. 닭가슴살 소시지 튀김 위에 손질한 청포도를 올린다.
13. 멸치볶음과 잘게 다진 열무김치, 들기름을 섞는다.
14. 양념밥을 적당한 크기로 뭉쳐 김으로 말"&amp;"아준 뒤, 위에 양념한 멸치김치를 올린다.
15. 닭가슴살 소시지 초밥에 케첩을 올린다.
16. 소고기 초밥과 닭가슴살 소시지 초밥에 간장소스를 발라 완성한다.")</f>
        <v>1. 즉석밥을 전자레인지에 넣고 돌린다.
2. 식초, 소금, 설탕을 3:1:2 비율로 넣고 섞어 단촛물을 만든다.
3. 밥에 단촛물을 넣고 비벼 양념밥을 만든다.
4. 냄비에 맛술, 청주, 간장, 설탕을 넣고 끓여 간장소스를 만든다.
5. 김, 청포도, 닭가슴살 소시지를 적당한 크기로 썬다.
6. 볼에 밀가루, 물을 넣고 섞어 튀김반죽을 만든다.
7. 손질한 닭가슴살 소시지에 튀김반죽을 묻혀 튀긴다.
8. 튀긴 닭가슴살 소시지를 건져내 기름을 뺀다.
9. 마른팬에 불고기용 소고기를 펼치고 설탕을 뿌린 뒤, 토치로 직화한다.
10. 손에 물을 묻히고 양념밥을 적당한 크기로 뭉친 뒤 직화한 소고기를 올린다.
11. 양념밥 위에 닭가슴살 소시지 튀김을 올린 뒤 김으로 말아준다.
12. 닭가슴살 소시지 튀김 위에 손질한 청포도를 올린다.
13. 멸치볶음과 잘게 다진 열무김치, 들기름을 섞는다.
14. 양념밥을 적당한 크기로 뭉쳐 김으로 말아준 뒤, 위에 양념한 멸치김치를 올린다.
15. 닭가슴살 소시지 초밥에 케첩을 올린다.
16. 소고기 초밥과 닭가슴살 소시지 초밥에 간장소스를 발라 완성한다.</v>
      </c>
    </row>
    <row r="342">
      <c r="A342" s="2" t="str">
        <f>recipe!C342
</f>
        <v>크레이지 크레페</v>
      </c>
      <c r="B342" s="2" t="str">
        <f>IFERROR(__xludf.DUMMYFUNCTION("TRIM(
  REGEXEXTRACT(
    raw!A342,
    ""●\s*조리\s*방법([\s\S]*)""
  )
)
"),"1. 팬에 버터를 녹인다.
2. 밀가루를 체에 밭쳐 곱게 친다.
3. 핸드블랜더에 우유, 설탕, 달걀, 체 친 밀가루를 넣는다.
4. 3에 녹인 버터를 넣고 갈아 크레페 반죽을 만든다.
5. 냄비에 버터, 밀가루, 두유, 고구마 아이스크림을 넣고 졸여 고구마소스를 만든다.
6. 마른 팬에 오렌지즙을 넣는다.
7. 오렌지즙에 설탕, 오렌지 과육과 오렌지 껍질을 갈아 넣고 끓여 오렌지소스를 만든다.
8. 적당한 크기로 "&amp;"썬 바나나 위에 설탕을 뿌린 뒤, 토치로 직화한다.
9. 직화한 바나나 위에 오렌지 껍질을 갈아서 뿌린다.
10. 버터를 녹인 팬에 반죽을 넣고 크레페를 굽는다.
11. 접시에 고구마소스를 넓게 깐다.
12. 크레페를 적당한 크기로 잘라 고구마소스 위에 얹는다.
13. 크레페 위에 오렌지소스를 올린다.
14. 오렌지소스 위에 직화한 바나나를 올리고 오렌지 껍질을 갈아서 뿌려 완성한다.")</f>
        <v>1. 팬에 버터를 녹인다.
2. 밀가루를 체에 밭쳐 곱게 친다.
3. 핸드블랜더에 우유, 설탕, 달걀, 체 친 밀가루를 넣는다.
4. 3에 녹인 버터를 넣고 갈아 크레페 반죽을 만든다.
5. 냄비에 버터, 밀가루, 두유, 고구마 아이스크림을 넣고 졸여 고구마소스를 만든다.
6. 마른 팬에 오렌지즙을 넣는다.
7. 오렌지즙에 설탕, 오렌지 과육과 오렌지 껍질을 갈아 넣고 끓여 오렌지소스를 만든다.
8. 적당한 크기로 썬 바나나 위에 설탕을 뿌린 뒤, 토치로 직화한다.
9. 직화한 바나나 위에 오렌지 껍질을 갈아서 뿌린다.
10. 버터를 녹인 팬에 반죽을 넣고 크레페를 굽는다.
11. 접시에 고구마소스를 넓게 깐다.
12. 크레페를 적당한 크기로 잘라 고구마소스 위에 얹는다.
13. 크레페 위에 오렌지소스를 올린다.
14. 오렌지소스 위에 직화한 바나나를 올리고 오렌지 껍질을 갈아서 뿌려 완성한다.</v>
      </c>
    </row>
    <row r="343">
      <c r="A343" s="2" t="str">
        <f>recipe!C343
</f>
        <v>술이 깰랑말랑 몽블랑</v>
      </c>
      <c r="B343" s="2" t="str">
        <f>IFERROR(__xludf.DUMMYFUNCTION("TRIM(
  REGEXEXTRACT(
    raw!A343,
    ""●\s*조리\s*방법([\s\S]*)""
  )
)
"),"1. 접시를 냉동실에 보관한다.
2. 볼에 체 친 밀가루, 설탕, 버터를 넣는다.
3. 핸드블랜더로 견과류를 곱게 간다.
4. 밀가루, 설탕, 버터가 담긴 볼에 곱게 간 견과류를 넣고 섞어 크럼 반죽을 만든다.
5. 오븐용 그릇에 반죽을 깔고 오븐에 굽는다.
6. 핸드블랜더에 설탕, 전분을 넣고 갈아 슈거파우더를 만든다.
7. 믹서기에 얼음을 간다.
8. 간 얼음에 소금을 넣고 섞은 뒤, 냉동실에 보관한다.
9"&amp;". 오븐에서 구운 크럼을 냉동실에 보관한다.
10. 믹서기에 맛밤, 커피우유를 넣고 갈아 밤페이스트를 만든다.
11. 밤페이스트를 체에 밭쳐 내린다.
12. 밤페이스트를 비닐팩에 담고, 끝을 잘라 짤주머니를 만든 뒤 냉동실에 보관한다.
13. 식빵을 토스트한다.
14. 그릇에 소금얼음을 담고, 그 위에 접시를 올린다.
15. 접시에 크럼과 적당한 크기로 썬 청포도, 적포도를 올린다.
16. 접시에 녹차 아이스크림을 "&amp;"담는다.
17. 토스트를 찢어 녹차 아이스크림에 곁들인다.
18. 녹차 아이스크림 위에 밤페이스트를 올린다.
19. 슈거파우더를 뿌려 완성한다.")</f>
        <v>1. 접시를 냉동실에 보관한다.
2. 볼에 체 친 밀가루, 설탕, 버터를 넣는다.
3. 핸드블랜더로 견과류를 곱게 간다.
4. 밀가루, 설탕, 버터가 담긴 볼에 곱게 간 견과류를 넣고 섞어 크럼 반죽을 만든다.
5. 오븐용 그릇에 반죽을 깔고 오븐에 굽는다.
6. 핸드블랜더에 설탕, 전분을 넣고 갈아 슈거파우더를 만든다.
7. 믹서기에 얼음을 간다.
8. 간 얼음에 소금을 넣고 섞은 뒤, 냉동실에 보관한다.
9. 오븐에서 구운 크럼을 냉동실에 보관한다.
10. 믹서기에 맛밤, 커피우유를 넣고 갈아 밤페이스트를 만든다.
11. 밤페이스트를 체에 밭쳐 내린다.
12. 밤페이스트를 비닐팩에 담고, 끝을 잘라 짤주머니를 만든 뒤 냉동실에 보관한다.
13. 식빵을 토스트한다.
14. 그릇에 소금얼음을 담고, 그 위에 접시를 올린다.
15. 접시에 크럼과 적당한 크기로 썬 청포도, 적포도를 올린다.
16. 접시에 녹차 아이스크림을 담는다.
17. 토스트를 찢어 녹차 아이스크림에 곁들인다.
18. 녹차 아이스크림 위에 밤페이스트를 올린다.
19. 슈거파우더를 뿌려 완성한다.</v>
      </c>
    </row>
    <row r="344">
      <c r="A344" s="2" t="str">
        <f>recipe!C344
</f>
        <v>복차오루는 쌈</v>
      </c>
      <c r="B344" s="2" t="str">
        <f>IFERROR(__xludf.DUMMYFUNCTION("TRIM(
  REGEXEXTRACT(
    raw!A344,
    ""●\s*조리\s*방법([\s\S]*)""
  )
)
"),"1. 잡채용 돼지고기 등심에 전분, 달걀물을 넣고 버무린다.
2. 전분과 달걀물에 버무린 돼지고기 등심을 넉넉한 기름에 튀기듯이 볶는다.
3. 볶아낸 등심을 체에 밭쳐 기름기를 뺀다.
4. 대파 흰 부분을 채 썰어 찬물에 담가둔다.
5. 대파, 당근, 양파, 고추, 불린 표고버섯채, 마늘을 잘게 다진다.
6. 깍두기를 얇게 썬다.
7. 팬에 등심을 볶았던 기름을 두르고, 손질한 채소와 고춧가루를 넣고 볶는다.
8. "&amp;"볶은 재료에 두반장, 중국식 다진 고추소스를 넣고 볶는다.
9. 7에 간장, 설탕, 굴소스를 넣고 볶아 소스를 만든다.
10. 두부피를 적당한 크기로 잘라, 뜨거운 물에 넣고 불린다.
11. 중국 찹쌀떡을 끓는 물에 데친다.
12. 소스에 볶은 돼지고기 등심을 넣고 섞는다.
13. 12에 얇게 썬 깍두기를 넣는다.
14. 그릇에 불려놓은 흰목이버섯을 깔고, 소스에 볶은 돼지고기 등심을 올린다.
15. 찬물에 담가뒀던"&amp;" 파채와 적당한 크기로 썬 고수를 올린다.
16. 불린 두부피를 접시에 따로 담아낸다.
17. 데친 중국 찹쌀떡을 그릇에 담고 설탕을 뿌려낸다.")</f>
        <v>1. 잡채용 돼지고기 등심에 전분, 달걀물을 넣고 버무린다.
2. 전분과 달걀물에 버무린 돼지고기 등심을 넉넉한 기름에 튀기듯이 볶는다.
3. 볶아낸 등심을 체에 밭쳐 기름기를 뺀다.
4. 대파 흰 부분을 채 썰어 찬물에 담가둔다.
5. 대파, 당근, 양파, 고추, 불린 표고버섯채, 마늘을 잘게 다진다.
6. 깍두기를 얇게 썬다.
7. 팬에 등심을 볶았던 기름을 두르고, 손질한 채소와 고춧가루를 넣고 볶는다.
8. 볶은 재료에 두반장, 중국식 다진 고추소스를 넣고 볶는다.
9. 7에 간장, 설탕, 굴소스를 넣고 볶아 소스를 만든다.
10. 두부피를 적당한 크기로 잘라, 뜨거운 물에 넣고 불린다.
11. 중국 찹쌀떡을 끓는 물에 데친다.
12. 소스에 볶은 돼지고기 등심을 넣고 섞는다.
13. 12에 얇게 썬 깍두기를 넣는다.
14. 그릇에 불려놓은 흰목이버섯을 깔고, 소스에 볶은 돼지고기 등심을 올린다.
15. 찬물에 담가뒀던 파채와 적당한 크기로 썬 고수를 올린다.
16. 불린 두부피를 접시에 따로 담아낸다.
17. 데친 중국 찹쌀떡을 그릇에 담고 설탕을 뿌려낸다.</v>
      </c>
    </row>
    <row r="345">
      <c r="A345" s="2" t="str">
        <f>recipe!C345
</f>
        <v>일거양두</v>
      </c>
      <c r="B345" s="2" t="str">
        <f>IFERROR(__xludf.DUMMYFUNCTION("TRIM(
  REGEXEXTRACT(
    raw!A345,
    ""●\s*조리\s*방법([\s\S]*)""
  )
)
"),"1. 핸드블랜더에 설탕, 굴소스, 간장, 다진 마늘, 청주를 넣고 갈아 불고기 양념을 만든다.
2. 볼에 양고기를 담고, 적당한 크기로 썬 대파, 불고기 양념을 넣고 버무린다.
3. 냄비에 양념한 양고기, 손질한 양파와 불려둔 건두부, 표고버섯채, 흰목이버섯, 목이버섯을 넣는다.
4. 표고버섯 불린 물을 냄비에 붓고 끓인다.
5. 끓이던 전골에 간장으로 간을 한다.
6. 믹서기에 라조장, 자차이, 물을 넣고 간다.
7. "&amp;"6을 볼에 담고, 물, 라조장, 다진 마늘, 설탕을 넣고 섞어 소스를 만든다.
8. 적당한 크기로 썬 고수와 잘게 썬 고추, 자차이소스를 종지에 각각 담아낸다.
9. 완성된 전골과 세 개의 종지를 따로 낸다.")</f>
        <v>1. 핸드블랜더에 설탕, 굴소스, 간장, 다진 마늘, 청주를 넣고 갈아 불고기 양념을 만든다.
2. 볼에 양고기를 담고, 적당한 크기로 썬 대파, 불고기 양념을 넣고 버무린다.
3. 냄비에 양념한 양고기, 손질한 양파와 불려둔 건두부, 표고버섯채, 흰목이버섯, 목이버섯을 넣는다.
4. 표고버섯 불린 물을 냄비에 붓고 끓인다.
5. 끓이던 전골에 간장으로 간을 한다.
6. 믹서기에 라조장, 자차이, 물을 넣고 간다.
7. 6을 볼에 담고, 물, 라조장, 다진 마늘, 설탕을 넣고 섞어 소스를 만든다.
8. 적당한 크기로 썬 고수와 잘게 썬 고추, 자차이소스를 종지에 각각 담아낸다.
9. 완성된 전골과 세 개의 종지를 따로 낸다.</v>
      </c>
    </row>
    <row r="346">
      <c r="A346" s="2" t="str">
        <f>recipe!C346
</f>
        <v>나 혼자 먹게 낫토</v>
      </c>
      <c r="B346" s="2" t="str">
        <f>IFERROR(__xludf.DUMMYFUNCTION("TRIM(
  REGEXEXTRACT(
    raw!A346,
    ""●\s*조리\s*방법([\s\S]*)""
  )
)
"),"1. 닭다리의 뼈를 발라내고 살만 넓게 편 뒤, 칼집을 낸다.
2. 칼집 낸 닭다리살 양면에 소금을 뿌리고 기름을 두른 팬에서 굽는다.
3. 청양고추를 손으로 두드린 뒤, 닭다리살을 굽는 팬에 넣고 함께 굽는다.
4. 볼에 으깬 마늘, 식용유, 고춧가루를 넣고 랩을 씌운 뒤, 전자레인지에 돌려 고추기름을 만든다.
5. 쪽파와 양파를 잘게 썰어 볼에 담는다.
6. 강판에 무를 갈아 즙을 짜내고 건더기만 볼에 담는다.
7. "&amp;"다른 볼에 간장, 식초, 레몬즙, 설탕을 넣고 간장소스를 만든다.
8. 팬에 청주를 끓인다.
9. 끓인 청주를 간장소스에 넣고 섞는다.
10. 잘게 썬 채소에 간장소스, 와사비, 마요네즈를 넣고 섞어 소스를 만든다.
11. 볼에 검은콩 낫토와 낫토소스를 넣고 섞는다.
12. 낫토에 만들어둔 소스와 참기름을 넣고 다시 한 번 섞는다.
13. 즉석밥을 전자레인지에 돌린다.
14. 닭가슴살을 굽는 팬의 뚜껑을 닫고 속까지"&amp;" 익힌다.
15. 전자레인지에 돌린 고추기름을 체에 밭쳐 거른다.
16. 쪽파, 파프리카를 채 썬다.
17. 기름을 두른 팬에 채 썬 쪽파와 파프리카, 간장소스를 넣고 볶는다.
18. 그릇에 밥을 담는다.
19. 구운 닭다리살을 적당한 크기로 썬다.
20. 밥 위에 구운 닭다리살, 양념한 낫토, 볶은 채소를 올리고 고추기름을 뿌려 완성한다.")</f>
        <v>1. 닭다리의 뼈를 발라내고 살만 넓게 편 뒤, 칼집을 낸다.
2. 칼집 낸 닭다리살 양면에 소금을 뿌리고 기름을 두른 팬에서 굽는다.
3. 청양고추를 손으로 두드린 뒤, 닭다리살을 굽는 팬에 넣고 함께 굽는다.
4. 볼에 으깬 마늘, 식용유, 고춧가루를 넣고 랩을 씌운 뒤, 전자레인지에 돌려 고추기름을 만든다.
5. 쪽파와 양파를 잘게 썰어 볼에 담는다.
6. 강판에 무를 갈아 즙을 짜내고 건더기만 볼에 담는다.
7. 다른 볼에 간장, 식초, 레몬즙, 설탕을 넣고 간장소스를 만든다.
8. 팬에 청주를 끓인다.
9. 끓인 청주를 간장소스에 넣고 섞는다.
10. 잘게 썬 채소에 간장소스, 와사비, 마요네즈를 넣고 섞어 소스를 만든다.
11. 볼에 검은콩 낫토와 낫토소스를 넣고 섞는다.
12. 낫토에 만들어둔 소스와 참기름을 넣고 다시 한 번 섞는다.
13. 즉석밥을 전자레인지에 돌린다.
14. 닭가슴살을 굽는 팬의 뚜껑을 닫고 속까지 익힌다.
15. 전자레인지에 돌린 고추기름을 체에 밭쳐 거른다.
16. 쪽파, 파프리카를 채 썬다.
17. 기름을 두른 팬에 채 썬 쪽파와 파프리카, 간장소스를 넣고 볶는다.
18. 그릇에 밥을 담는다.
19. 구운 닭다리살을 적당한 크기로 썬다.
20. 밥 위에 구운 닭다리살, 양념한 낫토, 볶은 채소를 올리고 고추기름을 뿌려 완성한다.</v>
      </c>
    </row>
    <row r="347">
      <c r="A347" s="2" t="str">
        <f>recipe!C347
</f>
        <v>닭날두</v>
      </c>
      <c r="B347" s="2" t="str">
        <f>IFERROR(__xludf.DUMMYFUNCTION("TRIM(
  REGEXEXTRACT(
    raw!A347,
    ""●\s*조리\s*방법([\s\S]*)""
  )
)
"),"1. 닭날개에 칼집을 내고, 뼈를 발라낸다.
2. 닭가슴살을 적당한 크기로 썬다.
3. 삼겹살을 적당한 크기로 썬다.
4. 핸드블랜더에 닭가슴살, 불린 표고버섯, 채 썬 양파, 채 썬 적양파, 삼겹살을 넣고 간다.
5. 곱게 간 재료에 달걀, 소금, 잘게 썬 쪽파를 넣고 만두소를 만든다.
6. 뼈를 발라낸 닭날개 안에 만두소와 모차렐라 치즈를 채워 넣는다.
7. 볼에 밀가루와 물을 넣고 섞어 튀김옷을 만든다.
8. "&amp;"닭날개만두에 밀가루를 묻힌 뒤, 튀김옷을 입혀 기름에 튀긴다.
9. 가지, 방울토마토, 파프리카를 적당한 크기로 썬다.
10. 기름을 두른 팬에 채 썬 적양파와 가지, 방울토마토, 파프리카를 넣고 볶는다.
11. 볶던 재료에 불린 표고버섯, 소금, 후추, 토마토소스, 설탕을 넣고 볶아 소스를 만든다.
12. 고추를 잘게 썰어 소스에 넣고 함께 볶는다.
13. 튀긴 닭날개만두를 소스에 넣어 졸인다.
14. 소스에 졸인 닭날"&amp;"개만두를 먹기 좋게 잘라 접시에 담아낸다.")</f>
        <v>1. 닭날개에 칼집을 내고, 뼈를 발라낸다.
2. 닭가슴살을 적당한 크기로 썬다.
3. 삼겹살을 적당한 크기로 썬다.
4. 핸드블랜더에 닭가슴살, 불린 표고버섯, 채 썬 양파, 채 썬 적양파, 삼겹살을 넣고 간다.
5. 곱게 간 재료에 달걀, 소금, 잘게 썬 쪽파를 넣고 만두소를 만든다.
6. 뼈를 발라낸 닭날개 안에 만두소와 모차렐라 치즈를 채워 넣는다.
7. 볼에 밀가루와 물을 넣고 섞어 튀김옷을 만든다.
8. 닭날개만두에 밀가루를 묻힌 뒤, 튀김옷을 입혀 기름에 튀긴다.
9. 가지, 방울토마토, 파프리카를 적당한 크기로 썬다.
10. 기름을 두른 팬에 채 썬 적양파와 가지, 방울토마토, 파프리카를 넣고 볶는다.
11. 볶던 재료에 불린 표고버섯, 소금, 후추, 토마토소스, 설탕을 넣고 볶아 소스를 만든다.
12. 고추를 잘게 썰어 소스에 넣고 함께 볶는다.
13. 튀긴 닭날개만두를 소스에 넣어 졸인다.
14. 소스에 졸인 닭날개만두를 먹기 좋게 잘라 접시에 담아낸다.</v>
      </c>
    </row>
    <row r="348">
      <c r="A348" s="2" t="str">
        <f>recipe!C348
</f>
        <v>쉑쉑 파스타</v>
      </c>
      <c r="B348" s="2" t="str">
        <f>IFERROR(__xludf.DUMMYFUNCTION("TRIM(
  REGEXEXTRACT(
    raw!A348,
    ""●\s*조리\s*방법([\s\S]*)""
  )
)
"),"1. 끓는 물에 소금을 넣고 파스타면을 삶는다.
2. 게맛살을 가늘게 찢는다.
3. 양배추, 적양파, 깻잎, 파프리카를 채 썬다.
4. 볼에 가늘게 찢은 게맛살, 채 썬 채소, 타르타르소스, 레몬즙, 소금을 넣고 섞어 샐러드를 만든다.
5. 끓는 물에 게살을 데쳐 샐러드에 넣는다.
6. 물에 적신 라이스페이퍼에 샐러드를 넣고 돌돌 만다.
7. 핸드블랜더에 땅콩버터, 매운 굴소스, 견과류, 파스타 삶은 물을 넣고 간다.
"&amp;"
8. 7에 고추를 넣고 다시 갈아 소스를 만든다.
9. 삶은 소라살을 적당한 크기로 손질한다.
10. 볼에 손질한 소라살, 새우살, 손질한 문어를 넣는다.
11. 삶은 파스타면을 건져 물기를 뺀다.
12. 기름을 두른 팬에 으깬 마늘, 잘게 썬 양파, 손질한 해산물을 넣고 볶는다.
13. 볶던 재료에 소스를 넣고 볶는다.
14. 삶은 파스타면을 팬에 넣고 재료들과 함께 볶다가 소금, 후추로 간한다.
15. 해산물"&amp;" 파스타에 파스타 삶은 물과 버터를 넣는다.
16. 낙지를 적당한 크기로 손질해 파스타에 넣고 함께 볶는다.
17. 접시에 완성된 파스타를 담는다.
18. 파스타 위에 라이스페이퍼롤을 올려 완성한다.")</f>
        <v>1. 끓는 물에 소금을 넣고 파스타면을 삶는다.
2. 게맛살을 가늘게 찢는다.
3. 양배추, 적양파, 깻잎, 파프리카를 채 썬다.
4. 볼에 가늘게 찢은 게맛살, 채 썬 채소, 타르타르소스, 레몬즙, 소금을 넣고 섞어 샐러드를 만든다.
5. 끓는 물에 게살을 데쳐 샐러드에 넣는다.
6. 물에 적신 라이스페이퍼에 샐러드를 넣고 돌돌 만다.
7. 핸드블랜더에 땅콩버터, 매운 굴소스, 견과류, 파스타 삶은 물을 넣고 간다.
8. 7에 고추를 넣고 다시 갈아 소스를 만든다.
9. 삶은 소라살을 적당한 크기로 손질한다.
10. 볼에 손질한 소라살, 새우살, 손질한 문어를 넣는다.
11. 삶은 파스타면을 건져 물기를 뺀다.
12. 기름을 두른 팬에 으깬 마늘, 잘게 썬 양파, 손질한 해산물을 넣고 볶는다.
13. 볶던 재료에 소스를 넣고 볶는다.
14. 삶은 파스타면을 팬에 넣고 재료들과 함께 볶다가 소금, 후추로 간한다.
15. 해산물 파스타에 파스타 삶은 물과 버터를 넣는다.
16. 낙지를 적당한 크기로 손질해 파스타에 넣고 함께 볶는다.
17. 접시에 완성된 파스타를 담는다.
18. 파스타 위에 라이스페이퍼롤을 올려 완성한다.</v>
      </c>
    </row>
    <row r="349">
      <c r="A349" s="2" t="str">
        <f>recipe!C349
</f>
        <v>바로빵</v>
      </c>
      <c r="B349" s="2" t="str">
        <f>IFERROR(__xludf.DUMMYFUNCTION("TRIM(
  REGEXEXTRACT(
    raw!A349,
    ""●\s*조리\s*방법([\s\S]*)""
  )
)
"),"1. 버터를 전자레인지에 넣고 돌려 녹인다.
2. 볼에 밀가루, 달걀, 수제 요거트, 소금, 녹인 버터를 넣고 반죽한다.
3. 반죽을 밀대로 얇게 민 후, 원형으로 자른다.
4. 마른 팬에 반죽을 굽는다.
5. 볼에 수제 요거트, 마요네즈, 다진 마늘을 넣고 섞어 요거트소스를 만든다.
6. 토마토를 반으로 자르고 꼭지를 제거한다.
7. 토마토와 양상추를 채 썬다.
8. 채 썬 양상추에 레몬즙을 뿌린다.
9. 적"&amp;"양파를 채 썰어 후추와 고춧가루로 양념한다.
10. 훈제연어를 적당한 크기로 썬다.
11. 쪽파를 적당한 크기로 썬다.
12. 접시에 구운 빵을 올리고 요거트소스&gt;훈제연어&gt;손질한 채소 순으로 담은 후, 반으로 접는다.
13. 종이호일로 먹기 좋게 감싸 완성한다.")</f>
        <v>1. 버터를 전자레인지에 넣고 돌려 녹인다.
2. 볼에 밀가루, 달걀, 수제 요거트, 소금, 녹인 버터를 넣고 반죽한다.
3. 반죽을 밀대로 얇게 민 후, 원형으로 자른다.
4. 마른 팬에 반죽을 굽는다.
5. 볼에 수제 요거트, 마요네즈, 다진 마늘을 넣고 섞어 요거트소스를 만든다.
6. 토마토를 반으로 자르고 꼭지를 제거한다.
7. 토마토와 양상추를 채 썬다.
8. 채 썬 양상추에 레몬즙을 뿌린다.
9. 적양파를 채 썰어 후추와 고춧가루로 양념한다.
10. 훈제연어를 적당한 크기로 썬다.
11. 쪽파를 적당한 크기로 썬다.
12. 접시에 구운 빵을 올리고 요거트소스&gt;훈제연어&gt;손질한 채소 순으로 담은 후, 반으로 접는다.
13. 종이호일로 먹기 좋게 감싸 완성한다.</v>
      </c>
    </row>
    <row r="350">
      <c r="A350" s="2" t="str">
        <f>recipe!C350
</f>
        <v>카우복이</v>
      </c>
      <c r="B350" s="2" t="str">
        <f>IFERROR(__xludf.DUMMYFUNCTION("TRIM(
  REGEXEXTRACT(
    raw!A350,
    ""●\s*조리\s*방법([\s\S]*)""
  )
)
"),"1. 감자, 브로콜리를 적당한 크기로 썰어 끓는 물에 넣고 데친다.
2. 데친 감자와 브로콜리를 건져낸 후, 체에 밭쳐 물기를 뺀다.
3. 콜리플라워, 양파, 애호박, 고추를 적당한 크기로 썬다.
4. 마늘을 편으로 썬다.
5. 대파 흰 부분을 어슷 썬다.
6. 누룽지를 기름에 튀긴다.
7. 소갈비의 살을 발라내 손질한다.
8. 살을 발라낸 갈비에 전분, 간장, 달걀물을 넣고 버무린다.
9. 버무린 갈비를 넉넉"&amp;"한 기름에 튀기듯이 볶는다.
10. 튀긴 누룽지를 건져내, 체에 밭쳐 기름기를 뺀다.
11. 볶던 갈비에 보리굴비살을 넣고 함께 볶는다.
12. 볶은 갈비와 보리굴비살을 체에 밭쳐 기름기를 뺀다.
13. 기름을 두른 팬에 손질한 마늘과 대파를 볶다가, 고춧가루를 넣고 볶는다.
14. 볶던 재료에 손질한 채소들을 함께 넣고 볶는다.
15. 간장, 핫소스, 굴소스, 설탕을 넣고 볶는다.
16. 볶던 재료에 기름기를 뺀 "&amp;"갈비와 보리굴비살, 참기름을 넣고 함께 볶는다.
17. 볶던 재료에 전분물을 넣어 농도를 조절한다.
18. 접시에 튀긴 누룽지를 깔고, 볶은 재료를 올려 완성한다.")</f>
        <v>1. 감자, 브로콜리를 적당한 크기로 썰어 끓는 물에 넣고 데친다.
2. 데친 감자와 브로콜리를 건져낸 후, 체에 밭쳐 물기를 뺀다.
3. 콜리플라워, 양파, 애호박, 고추를 적당한 크기로 썬다.
4. 마늘을 편으로 썬다.
5. 대파 흰 부분을 어슷 썬다.
6. 누룽지를 기름에 튀긴다.
7. 소갈비의 살을 발라내 손질한다.
8. 살을 발라낸 갈비에 전분, 간장, 달걀물을 넣고 버무린다.
9. 버무린 갈비를 넉넉한 기름에 튀기듯이 볶는다.
10. 튀긴 누룽지를 건져내, 체에 밭쳐 기름기를 뺀다.
11. 볶던 갈비에 보리굴비살을 넣고 함께 볶는다.
12. 볶은 갈비와 보리굴비살을 체에 밭쳐 기름기를 뺀다.
13. 기름을 두른 팬에 손질한 마늘과 대파를 볶다가, 고춧가루를 넣고 볶는다.
14. 볶던 재료에 손질한 채소들을 함께 넣고 볶는다.
15. 간장, 핫소스, 굴소스, 설탕을 넣고 볶는다.
16. 볶던 재료에 기름기를 뺀 갈비와 보리굴비살, 참기름을 넣고 함께 볶는다.
17. 볶던 재료에 전분물을 넣어 농도를 조절한다.
18. 접시에 튀긴 누룽지를 깔고, 볶은 재료를 올려 완성한다.</v>
      </c>
    </row>
    <row r="351">
      <c r="A351" s="2" t="str">
        <f>recipe!C351
</f>
        <v>오! 가닉~ 고등어</v>
      </c>
      <c r="B351" s="2" t="str">
        <f>IFERROR(__xludf.DUMMYFUNCTION("TRIM(
  REGEXEXTRACT(
    raw!A351,
    ""●\s*조리\s*방법([\s\S]*)""
  )
)
"),"1. 채소육수를 낸다.
2. 채소육수에 토마토를 으깨어 넣고 함께 끓인다.
3. 강낭콩 통조림을 체에 밭쳐 물기를 뺀다.
4. 가지는 껍질을 벗기고 적당한 크기로 썬다.
5. 감자, 애호박, 양파를 적당한 크기로 썬다.
6. 베이컨을 잘게 썰어 마른 팬에서 볶는다.
7. 볶은 베이컨을 다른 팬에 덜어내고, 손질한 채소, 강낭콩을 함께 볶는다.
8. 볶던 재료에 후추를 뿌리고, 베이컨 기름을 넉넉하게 부어 볶는다.
"&amp;"
9. 껍질을 벗겨낸 통감자를 원형틀로 찍어낸다.
10. 볶은 베이컨을 볼에 담고, 잘게 썬 보리굴비살과 레몬즙, 마요네즈,
발사믹크림, 토마토소스를 넣고 섞어 보리굴비소스를 만든다.
11. 팬에서 볶던 재료에 채소육수, 토마토소스를 넣고 졸여 강낭콩소스를 만든다.
12. 손질한 감자, 애호박, 양파에 밀가루를 묻혀 기름에 튀긴다.
13. 기름을 두른 팬에 고등어를 굽는다.
14. 원형틀로 찍어낸 감자를 얇게 슬라이스 한 "&amp;"뒤, 겹쳐 굽는다.
15. 튀긴 채소를 건져, 기름기를 빼고 보리굴비소스에 섞는다.
16. 졸인 강낭콩소스를 그릇에 담는다.
17. 강낭콩소스 위에 채소와 섞은 보리굴비소스를 얹는다.
18. 구운 고등어에 레몬즙을 뿌린다.
19. 소스 위에 구운 고등어를 담고, 구운 감자를 올린 후 후추를 뿌려 완성한다.")</f>
        <v>1. 채소육수를 낸다.
2. 채소육수에 토마토를 으깨어 넣고 함께 끓인다.
3. 강낭콩 통조림을 체에 밭쳐 물기를 뺀다.
4. 가지는 껍질을 벗기고 적당한 크기로 썬다.
5. 감자, 애호박, 양파를 적당한 크기로 썬다.
6. 베이컨을 잘게 썰어 마른 팬에서 볶는다.
7. 볶은 베이컨을 다른 팬에 덜어내고, 손질한 채소, 강낭콩을 함께 볶는다.
8. 볶던 재료에 후추를 뿌리고, 베이컨 기름을 넉넉하게 부어 볶는다.
9. 껍질을 벗겨낸 통감자를 원형틀로 찍어낸다.
10. 볶은 베이컨을 볼에 담고, 잘게 썬 보리굴비살과 레몬즙, 마요네즈,
발사믹크림, 토마토소스를 넣고 섞어 보리굴비소스를 만든다.
11. 팬에서 볶던 재료에 채소육수, 토마토소스를 넣고 졸여 강낭콩소스를 만든다.
12. 손질한 감자, 애호박, 양파에 밀가루를 묻혀 기름에 튀긴다.
13. 기름을 두른 팬에 고등어를 굽는다.
14. 원형틀로 찍어낸 감자를 얇게 슬라이스 한 뒤, 겹쳐 굽는다.
15. 튀긴 채소를 건져, 기름기를 빼고 보리굴비소스에 섞는다.
16. 졸인 강낭콩소스를 그릇에 담는다.
17. 강낭콩소스 위에 채소와 섞은 보리굴비소스를 얹는다.
18. 구운 고등어에 레몬즙을 뿌린다.
19. 소스 위에 구운 고등어를 담고, 구운 감자를 올린 후 후추를 뿌려 완성한다.</v>
      </c>
    </row>
    <row r="352">
      <c r="A352" s="2" t="str">
        <f>recipe!C352
</f>
        <v>홀롤서기</v>
      </c>
      <c r="B352" s="2" t="str">
        <f>IFERROR(__xludf.DUMMYFUNCTION("TRIM(
  REGEXEXTRACT(
    raw!A352,
    ""●\s*조리\s*방법([\s\S]*)""
  )
)
"),"1. 즉석밥을 전자레인지에 돌린다.
2. 감자는 껍질을 벗기고, 채칼로 가늘게 채 썬다.
3. 채 썬 감자는 물에 헹군 뒤, 체에 밭쳐 물기를 뺀다.
4. 기름이 담긴 팬에 누룽지를 튀긴다.
5. 팬에 기름을 두르고, 다진 마늘과 채 썬 감자를 볶는다.
6. 볼에 밥과 명란젓을 담는다.
7. 6에 잘게 썬 고추장아찌와 참기름을 넣고 섞는다.
8. 튀긴 누룽지를 건져 기름기를 빼고, 곱게 빻는다.
9. 곱게 빻은"&amp;" 튀긴 누룽지를 양념한 밥에 넣고 섞는다.
10. 누룽지를 넣어 섞은 양념한 밥을 김밥용 김에 넓게 펴서 깐다.
11. 감자볶음에 후추를 넣고 섞는다.
12. 얇게 편 밥 위에 감자볶음을 얹는다.
13. 재료를 넣은 롤을 돌돌 만다.
14. 마른 팬에 바닐라 아이스크림을 넣고 녹여 바닐라소스를 만든다.
15. 그릇 가운데에 곱게 빻은 튀긴 누룽지를 담는다.
16. 롤을 적당한 크기로 썰어 그릇에 올린다.
17."&amp;" 튀긴 누룽지 위에 바닐라소스를 얹는다.
18. 아보카도는 껍질과 씨를 제거하고 얇게 썬다.
19. 그릇에 얇게 썬 아보카도와 고추냉이, 간장을 올려 마무리한다.")</f>
        <v>1. 즉석밥을 전자레인지에 돌린다.
2. 감자는 껍질을 벗기고, 채칼로 가늘게 채 썬다.
3. 채 썬 감자는 물에 헹군 뒤, 체에 밭쳐 물기를 뺀다.
4. 기름이 담긴 팬에 누룽지를 튀긴다.
5. 팬에 기름을 두르고, 다진 마늘과 채 썬 감자를 볶는다.
6. 볼에 밥과 명란젓을 담는다.
7. 6에 잘게 썬 고추장아찌와 참기름을 넣고 섞는다.
8. 튀긴 누룽지를 건져 기름기를 빼고, 곱게 빻는다.
9. 곱게 빻은 튀긴 누룽지를 양념한 밥에 넣고 섞는다.
10. 누룽지를 넣어 섞은 양념한 밥을 김밥용 김에 넓게 펴서 깐다.
11. 감자볶음에 후추를 넣고 섞는다.
12. 얇게 편 밥 위에 감자볶음을 얹는다.
13. 재료를 넣은 롤을 돌돌 만다.
14. 마른 팬에 바닐라 아이스크림을 넣고 녹여 바닐라소스를 만든다.
15. 그릇 가운데에 곱게 빻은 튀긴 누룽지를 담는다.
16. 롤을 적당한 크기로 썰어 그릇에 올린다.
17. 튀긴 누룽지 위에 바닐라소스를 얹는다.
18. 아보카도는 껍질과 씨를 제거하고 얇게 썬다.
19. 그릇에 얇게 썬 아보카도와 고추냉이, 간장을 올려 마무리한다.</v>
      </c>
    </row>
    <row r="353">
      <c r="A353" s="2" t="str">
        <f>recipe!C353
</f>
        <v>눈물회밥</v>
      </c>
      <c r="B353" s="2" t="str">
        <f>IFERROR(__xludf.DUMMYFUNCTION("TRIM(
  REGEXEXTRACT(
    raw!A353,
    ""●\s*조리\s*방법([\s\S]*)""
  )
)
"),"1. 믹서기에 양파, 고추장, 된장, 맛술, 고춧가루, 설탕, 식초를 넣고 간다.
2. 1에 통마늘, 물을 넣고 갈아 물회육수를 만든다.
3. 물회육수에 얼음을 넣고 간다.
4. 상추, 로메인상추, 쑥갓을 적당한 크기로 썬다.
5. 사과는 껍질을 벗겨내고 얇게 썬다.
6. 참외는 껍질을 벗겨내고 반으로 잘라 씨를 빼내고, 얇게 썬다.
7. 불고기용 소고기를 끓는 물에 데친다.
8. 데친 불고기용 소고기를 찬물에서 헹"&amp;"군 뒤, 체에 밭쳐 물기를 뺀다.
9. 즉석밥을 전자레인지에 돌린다.
10. 그릇에 손질한 채소를 담는다.
11. 채소 위에 데친 불고기용 소고기를 얹는다.
12. 얇게 썬 사과와 참외를 올린다.
13. 물회육수에 참기름을 넣어 섞은 뒤, 각종 재료 위에 붓는다.
14. 불고기 물회 위에 얼음을 얹는다.
15. 밥을 따로 담아낸다.
16. 불고기 물회 위에 깨를 뿌려 마무리한다.")</f>
        <v>1. 믹서기에 양파, 고추장, 된장, 맛술, 고춧가루, 설탕, 식초를 넣고 간다.
2. 1에 통마늘, 물을 넣고 갈아 물회육수를 만든다.
3. 물회육수에 얼음을 넣고 간다.
4. 상추, 로메인상추, 쑥갓을 적당한 크기로 썬다.
5. 사과는 껍질을 벗겨내고 얇게 썬다.
6. 참외는 껍질을 벗겨내고 반으로 잘라 씨를 빼내고, 얇게 썬다.
7. 불고기용 소고기를 끓는 물에 데친다.
8. 데친 불고기용 소고기를 찬물에서 헹군 뒤, 체에 밭쳐 물기를 뺀다.
9. 즉석밥을 전자레인지에 돌린다.
10. 그릇에 손질한 채소를 담는다.
11. 채소 위에 데친 불고기용 소고기를 얹는다.
12. 얇게 썬 사과와 참외를 올린다.
13. 물회육수에 참기름을 넣어 섞은 뒤, 각종 재료 위에 붓는다.
14. 불고기 물회 위에 얼음을 얹는다.
15. 밥을 따로 담아낸다.
16. 불고기 물회 위에 깨를 뿌려 마무리한다.</v>
      </c>
    </row>
    <row r="354">
      <c r="A354" s="2" t="str">
        <f>recipe!C354
</f>
        <v>후덜덜이 김밥</v>
      </c>
      <c r="B354" s="2" t="str">
        <f>IFERROR(__xludf.DUMMYFUNCTION("TRIM(
  REGEXEXTRACT(
    raw!A354,
    ""●\s*조리\s*방법([\s\S]*)""
  )
)
"),"1. 전자레인지에 즉석밥을 넣고 돌린다.
2. 마른 팬에 베이컨을 굽는다.
3. 통조림 햄을 길게 썰어 베이컨과 함께 굽는다.
4. 꽃등심에 소금, 후추를 뿌리고 마른 팬에 굽는다.
5. 통마늘을 으깨서 등심을 굽던 팬에 넣는다.
6. 연어를 잘게 썰어 볼에 담고 갈릭소스, 라임즙, 소금, 마요네즈, 후추를 넣고 섞는다.
7. 전자레인지에 돌린 즉석밥을 볼에 담는다.
8. 굽던 꽃등심과 밥에 버터를 넣는다.
9"&amp;". 버터밥에 소금, 으깬 깨, 참기름을 넣어 양념한다.
10. 케이퍼를 기름에 튀긴다.
11. 볼에 고수를 넣고 치포틀레 핫소스, 라임즙, 소금, 마요네즈를 넣고 섞는다.
12. 구운 꽃등심을 길게 썬다.
13. 김밥김 위에 양념한 밥 &gt; 꽃등심 &gt; 통조림 햄 &gt; 베이컨을 넣고 말아 고기 김밥을 만든다.
14. 김밥김 위에 양념한 밥 &gt; 양념한 고수 &gt; 양념한 연어 &gt; 케이퍼 튀김을 넣고 말이 연어 김밥을 만든다.
15."&amp;" 김밥김 위에 양념한 밥 &gt; 체다치즈 &gt; 모차렐라치즈 &gt; 카옌페퍼 &gt; 고기김밥 &gt; 연어 김밥을 넣고 돌돌 만다.
16. 김밥에 참기름을 바르고, 깨를 뿌린다.
17. 김밥을 먹기 좋은 크기로 썬다.
18. 김밥을 접시에 담고, 위에 깨를 뿌려 마무리한다.")</f>
        <v>1. 전자레인지에 즉석밥을 넣고 돌린다.
2. 마른 팬에 베이컨을 굽는다.
3. 통조림 햄을 길게 썰어 베이컨과 함께 굽는다.
4. 꽃등심에 소금, 후추를 뿌리고 마른 팬에 굽는다.
5. 통마늘을 으깨서 등심을 굽던 팬에 넣는다.
6. 연어를 잘게 썰어 볼에 담고 갈릭소스, 라임즙, 소금, 마요네즈, 후추를 넣고 섞는다.
7. 전자레인지에 돌린 즉석밥을 볼에 담는다.
8. 굽던 꽃등심과 밥에 버터를 넣는다.
9. 버터밥에 소금, 으깬 깨, 참기름을 넣어 양념한다.
10. 케이퍼를 기름에 튀긴다.
11. 볼에 고수를 넣고 치포틀레 핫소스, 라임즙, 소금, 마요네즈를 넣고 섞는다.
12. 구운 꽃등심을 길게 썬다.
13. 김밥김 위에 양념한 밥 &gt; 꽃등심 &gt; 통조림 햄 &gt; 베이컨을 넣고 말아 고기 김밥을 만든다.
14. 김밥김 위에 양념한 밥 &gt; 양념한 고수 &gt; 양념한 연어 &gt; 케이퍼 튀김을 넣고 말이 연어 김밥을 만든다.
15. 김밥김 위에 양념한 밥 &gt; 체다치즈 &gt; 모차렐라치즈 &gt; 카옌페퍼 &gt; 고기김밥 &gt; 연어 김밥을 넣고 돌돌 만다.
16. 김밥에 참기름을 바르고, 깨를 뿌린다.
17. 김밥을 먹기 좋은 크기로 썬다.
18. 김밥을 접시에 담고, 위에 깨를 뿌려 마무리한다.</v>
      </c>
    </row>
    <row r="355">
      <c r="A355" s="2" t="str">
        <f>recipe!C355
</f>
        <v>칼로이스</v>
      </c>
      <c r="B355" s="2" t="str">
        <f>IFERROR(__xludf.DUMMYFUNCTION("TRIM(
  REGEXEXTRACT(
    raw!A355,
    ""●\s*조리\s*방법([\s\S]*)""
  )
)
"),"1. 베이컨을 적당한 크기로 썰어 마른 팬에서 굽는다.
2. 통조림 햄을 적당한 크기로 썰어 베이컨과 함께 굽는다.
3. 양파를 잘게 다져 볼에 담고 마요네즈와 섞는다.
4. 3에 아보카도의 과육만 발라내 함께 담는다.
5. 양파, 마요네즈, 아보카도가 담긴 볼에 소금, 후추, 치포틀레 핫소스를 넣는다.
6. 훈제닭가슴살을 비닐팩에 넣고 두드린 후 결대로 찢는다.
7. 양념한 아보카도에 훈제닭가슴살과 적당한 크기로 썬 고"&amp;"수를 넣고 섞어 과카몰레를 만든다.
8. 마른 팬에 커민을 볶는다.
9. 볶은 커민을 빻아서 과카몰레에 넣는다.
10. 마른 팬에 토르티야를 굽는다.
11. 구운 토르티야에 초콜릿 잼을 바르고, 구운 베이컨과 통조림 햄을 잘게 썰어 올린다.
12. 11 위에 모차렐라 치즈, 딸기잼을 얹는다.
13. 다른 토르티야에 딸기잼을 바르고, 뚜껑처럼 덮는다.
14. 토르티야 샌드 위에 과카몰레를 올리고, 소금, 치포틀레 핫소"&amp;"스, 카옌페퍼, 모차렐라 치즈를 얹는다.
15. 다른 토르티야에 땅콩버터, 초콜릿 잼을 바르고, 뚜껑처럼 덮는다.
16. 토르티야 샌드를 먹기 좋게 잘라 접시에 담는다.
17. 콜라를 곁들여 낸다.")</f>
        <v>1. 베이컨을 적당한 크기로 썰어 마른 팬에서 굽는다.
2. 통조림 햄을 적당한 크기로 썰어 베이컨과 함께 굽는다.
3. 양파를 잘게 다져 볼에 담고 마요네즈와 섞는다.
4. 3에 아보카도의 과육만 발라내 함께 담는다.
5. 양파, 마요네즈, 아보카도가 담긴 볼에 소금, 후추, 치포틀레 핫소스를 넣는다.
6. 훈제닭가슴살을 비닐팩에 넣고 두드린 후 결대로 찢는다.
7. 양념한 아보카도에 훈제닭가슴살과 적당한 크기로 썬 고수를 넣고 섞어 과카몰레를 만든다.
8. 마른 팬에 커민을 볶는다.
9. 볶은 커민을 빻아서 과카몰레에 넣는다.
10. 마른 팬에 토르티야를 굽는다.
11. 구운 토르티야에 초콜릿 잼을 바르고, 구운 베이컨과 통조림 햄을 잘게 썰어 올린다.
12. 11 위에 모차렐라 치즈, 딸기잼을 얹는다.
13. 다른 토르티야에 딸기잼을 바르고, 뚜껑처럼 덮는다.
14. 토르티야 샌드 위에 과카몰레를 올리고, 소금, 치포틀레 핫소스, 카옌페퍼, 모차렐라 치즈를 얹는다.
15. 다른 토르티야에 땅콩버터, 초콜릿 잼을 바르고, 뚜껑처럼 덮는다.
16. 토르티야 샌드를 먹기 좋게 잘라 접시에 담는다.
17. 콜라를 곁들여 낸다.</v>
      </c>
    </row>
    <row r="356">
      <c r="A356" s="2" t="str">
        <f>recipe!C356
</f>
        <v>중복냉면</v>
      </c>
      <c r="B356" s="2" t="str">
        <f>IFERROR(__xludf.DUMMYFUNCTION("TRIM(
  REGEXEXTRACT(
    raw!A356,
    ""●\s*조리\s*방법([\s\S]*)""
  )
)
"),"1. 당근, 양파를 채 썬다.
2. 달걀을 풀어 소금으로 간하고, 지단을 부친다.
3. 지단을 채 썰고, 로메인상추를 잘게 썬다.
4. 배는 껍질을 벗기고 채 썬다.
5. 볼에 밀가루, 소금, 물을 넣고 반죽한다.
6. 반죽을 밀대로 얇게 밀고, 가늘게 채 썰어 면을 만든다.
7. 끓는 물에 면을 삶는다.
8. 얼음을 믹서기에 넣고 곱게 간다.
9. 볼에 곱게 간 얼음과 물, 쯔유, 레몬즙, 설탕을 넣고 섞어 "&amp;"냉면 국물을 만든다.
10. 볼에 땅콩버터, 뜨거운 물, 소금, 연겨자를 넣고 섞어 땅콩겨자소스를 만든다.
11. 삶은 면을 건져내 얼음물에서 식힌다.
12. 훈제닭가슴살을 채 썬다.
13. 그릇에 면을 담고, 채 썬 재료들을 올린다.
14. 냉면 국물을 담아내고, 땅콩소스를 곁들여 완성한다.")</f>
        <v>1. 당근, 양파를 채 썬다.
2. 달걀을 풀어 소금으로 간하고, 지단을 부친다.
3. 지단을 채 썰고, 로메인상추를 잘게 썬다.
4. 배는 껍질을 벗기고 채 썬다.
5. 볼에 밀가루, 소금, 물을 넣고 반죽한다.
6. 반죽을 밀대로 얇게 밀고, 가늘게 채 썰어 면을 만든다.
7. 끓는 물에 면을 삶는다.
8. 얼음을 믹서기에 넣고 곱게 간다.
9. 볼에 곱게 간 얼음과 물, 쯔유, 레몬즙, 설탕을 넣고 섞어 냉면 국물을 만든다.
10. 볼에 땅콩버터, 뜨거운 물, 소금, 연겨자를 넣고 섞어 땅콩겨자소스를 만든다.
11. 삶은 면을 건져내 얼음물에서 식힌다.
12. 훈제닭가슴살을 채 썬다.
13. 그릇에 면을 담고, 채 썬 재료들을 올린다.
14. 냉면 국물을 담아내고, 땅콩소스를 곁들여 완성한다.</v>
      </c>
    </row>
    <row r="357">
      <c r="A357" s="2" t="str">
        <f>recipe!C357
</f>
        <v>풍양냉면</v>
      </c>
      <c r="B357" s="2" t="str">
        <f>IFERROR(__xludf.DUMMYFUNCTION("TRIM(
  REGEXEXTRACT(
    raw!A357,
    ""●\s*조리\s*방법([\s\S]*)""
  )
)
"),"1. 끓는 물에 식초, 달걀, 소금을 넣고 삶는다.
2. 인스턴트 곰탕을 면보로 걸러 국물만 냄비에 넣고 끓인다.
3. 양파를 적당한 크기로 썰어 곰탕에 넣고 끓인다.
4. 끓이던 곰탕에 조미료를 넣는다.
5. 조미료를 넣은 곰탕에 설탕과 식초를 넣고 함께 끓여 냉면 국물을 만든다.
6. 살치살을 얇게 포 뜬 뒤, 곰탕에 넣고 익힌다.
7. 끓는 물에 메밀면을 넣고 삶는다.
8. 냉면 국물에 물을 부어가며 간을 맞춘"&amp;"다.
9. 그릇에 얼음을 담는다.
10. 익힌 살치살을 건져내 식힌다.
11. 끓인 국물을 면보에 내려 국물만 얼음과 섞는다.
12. 삶은 달걀을 찬물에 식힌다.
13. 삶은 메밀면을 체에 밭치고, 얼음물에 헹궈 식힌다.
14. 삶은 달걀의 껍데기를 벗긴다.
15. 냉면 국물에 삶은 메밀면을 넣고, 살치살을 올린다.
16. 삶은 달걀을 곁들인다.
17. 배를 곁들여 완성한다.")</f>
        <v>1. 끓는 물에 식초, 달걀, 소금을 넣고 삶는다.
2. 인스턴트 곰탕을 면보로 걸러 국물만 냄비에 넣고 끓인다.
3. 양파를 적당한 크기로 썰어 곰탕에 넣고 끓인다.
4. 끓이던 곰탕에 조미료를 넣는다.
5. 조미료를 넣은 곰탕에 설탕과 식초를 넣고 함께 끓여 냉면 국물을 만든다.
6. 살치살을 얇게 포 뜬 뒤, 곰탕에 넣고 익힌다.
7. 끓는 물에 메밀면을 넣고 삶는다.
8. 냉면 국물에 물을 부어가며 간을 맞춘다.
9. 그릇에 얼음을 담는다.
10. 익힌 살치살을 건져내 식힌다.
11. 끓인 국물을 면보에 내려 국물만 얼음과 섞는다.
12. 삶은 달걀을 찬물에 식힌다.
13. 삶은 메밀면을 체에 밭치고, 얼음물에 헹궈 식힌다.
14. 삶은 달걀의 껍데기를 벗긴다.
15. 냉면 국물에 삶은 메밀면을 넣고, 살치살을 올린다.
16. 삶은 달걀을 곁들인다.
17. 배를 곁들여 완성한다.</v>
      </c>
    </row>
    <row r="358">
      <c r="A358" s="2" t="str">
        <f>recipe!C358
</f>
        <v>고기밀라노~</v>
      </c>
      <c r="B358" s="2" t="str">
        <f>IFERROR(__xludf.DUMMYFUNCTION("TRIM(
  REGEXEXTRACT(
    raw!A358,
    ""●\s*조리\s*방법([\s\S]*)""
  )
)
"),"1. 소고기 등심을 고기망치로 두드려 얇게 편다.
2. 비엔나소시지를 핸드블렌더에 넣고 간다.
3. 곱게 간 비엔나소시지를 얇게 편 소고기 등심 위에 얹는다.
4. 비엔나소시지를 얹은 소고기 등심을 다시 고기망치로 두드린다.
5. 베이컨용 삼겹살을 등심위에 올리고 소금, 후추를 뿌린 뒤 고기망치로 두드린다.
6. 고기망치로 두드린 얇게 편 고기에 밀가루를 묻힌다.
7. 볼에 발사믹글레이즈, 레몬즙, 올리브오일을 넣고 섞어"&amp;" 샐러드드레싱을 만든다.
8. 다진 양파와 잘게 썬 천도복숭아를 샐러드드레싱에 섞는다.
9. 양상추와 흑토마토를 적당한 크기로 썰어 접시에 담는다.
10. 기름을 두른 팬에 살팀보카를 굽는다.
11. 살팀보카에 화이트와인, 설탕, 버터를 넣고 계속해서 저어주며 조린다.
12. 소스에 파슬리가루를 뿌린다.
13. 접시에 살팀보카를 올리고, 위에 소스를 끼얹는다.
14. 양상추와 흑토마토 위에 샐러드드레싱을 얹어 마무리"&amp;"한다.")</f>
        <v>1. 소고기 등심을 고기망치로 두드려 얇게 편다.
2. 비엔나소시지를 핸드블렌더에 넣고 간다.
3. 곱게 간 비엔나소시지를 얇게 편 소고기 등심 위에 얹는다.
4. 비엔나소시지를 얹은 소고기 등심을 다시 고기망치로 두드린다.
5. 베이컨용 삼겹살을 등심위에 올리고 소금, 후추를 뿌린 뒤 고기망치로 두드린다.
6. 고기망치로 두드린 얇게 편 고기에 밀가루를 묻힌다.
7. 볼에 발사믹글레이즈, 레몬즙, 올리브오일을 넣고 섞어 샐러드드레싱을 만든다.
8. 다진 양파와 잘게 썬 천도복숭아를 샐러드드레싱에 섞는다.
9. 양상추와 흑토마토를 적당한 크기로 썰어 접시에 담는다.
10. 기름을 두른 팬에 살팀보카를 굽는다.
11. 살팀보카에 화이트와인, 설탕, 버터를 넣고 계속해서 저어주며 조린다.
12. 소스에 파슬리가루를 뿌린다.
13. 접시에 살팀보카를 올리고, 위에 소스를 끼얹는다.
14. 양상추와 흑토마토 위에 샐러드드레싱을 얹어 마무리한다.</v>
      </c>
    </row>
    <row r="359">
      <c r="A359" s="2" t="str">
        <f>recipe!C359
</f>
        <v>볼로네제는 처음이제?</v>
      </c>
      <c r="B359" s="2" t="str">
        <f>IFERROR(__xludf.DUMMYFUNCTION("TRIM(
  REGEXEXTRACT(
    raw!A359,
    ""●\s*조리\s*방법([\s\S]*)""
  )
)
"),"1. 기름을 두른 팬에 으깬 통마늘과 국거리용 소고기를 넣고 볶는다.
2. 애호박을 채칼로 얇게 슬라이스 한다.
3. 기름을 두른 그릴팬에 손질한 양파, 대파, 애호박, 고추를 넣고 굽는다.
4. 볶던 소고기에 화이트와인, 물을 넣고 끓인다.
5. 끓는 물에 소금을 넣고, 파스타면을 삶는다.
6. 핸드블렌더에 적당한 크기로 썬 소고기 등심, 베이컨용 삼겹살을 넣고 곱게 간다.
7. 기름을 두른 팬에 슬라이스 마늘을 굽다가"&amp;", 곱게 간 고기를 넣어 함께 볶는다.
8. 볶던 고기와 굽던 채소에 소금간을 한다.
9. 볶던 고기에 후추를 뿌린다.
10. 소고기를 끓이던 팬에 토마토소스를 넣어 파스타소스를 만든다.
11. 채소를 굽던 그릴팬에 당귀와 양상추를 넣고 함께 굽는다.
12. 볶던 고기에 화이트와인을 넣는다.
13. 볶던 고기와 파스타소스에 파슬리가루를 넣는다.
14. 볶던 고기에 적당한 크기로 썬 흑토마토를 넣는다.
15. 볼"&amp;"에 파슬리가루, 레몬즙, 굴소스, 올리브오일을 넣고 섞어 샐러드드레싱을 만든다.
16. 접시에 구운 채소를 담고, 샐러드드레싱을 뿌린다.
17. 적당한 크기로 썬 흑토마토를 곁들인다.
18. 익힌 파스타면을 건져 볶은 고기, 파스타 소스와 함께 볶는다.
19. 접시에 면을 담고, 파스타소스를 얹는다.
20. 파스타 위에 파슬리가루를 뿌려 마무리한다.")</f>
        <v>1. 기름을 두른 팬에 으깬 통마늘과 국거리용 소고기를 넣고 볶는다.
2. 애호박을 채칼로 얇게 슬라이스 한다.
3. 기름을 두른 그릴팬에 손질한 양파, 대파, 애호박, 고추를 넣고 굽는다.
4. 볶던 소고기에 화이트와인, 물을 넣고 끓인다.
5. 끓는 물에 소금을 넣고, 파스타면을 삶는다.
6. 핸드블렌더에 적당한 크기로 썬 소고기 등심, 베이컨용 삼겹살을 넣고 곱게 간다.
7. 기름을 두른 팬에 슬라이스 마늘을 굽다가, 곱게 간 고기를 넣어 함께 볶는다.
8. 볶던 고기와 굽던 채소에 소금간을 한다.
9. 볶던 고기에 후추를 뿌린다.
10. 소고기를 끓이던 팬에 토마토소스를 넣어 파스타소스를 만든다.
11. 채소를 굽던 그릴팬에 당귀와 양상추를 넣고 함께 굽는다.
12. 볶던 고기에 화이트와인을 넣는다.
13. 볶던 고기와 파스타소스에 파슬리가루를 넣는다.
14. 볶던 고기에 적당한 크기로 썬 흑토마토를 넣는다.
15. 볼에 파슬리가루, 레몬즙, 굴소스, 올리브오일을 넣고 섞어 샐러드드레싱을 만든다.
16. 접시에 구운 채소를 담고, 샐러드드레싱을 뿌린다.
17. 적당한 크기로 썬 흑토마토를 곁들인다.
18. 익힌 파스타면을 건져 볶은 고기, 파스타 소스와 함께 볶는다.
19. 접시에 면을 담고, 파스타소스를 얹는다.
20. 파스타 위에 파슬리가루를 뿌려 마무리한다.</v>
      </c>
    </row>
    <row r="360">
      <c r="A360" s="2" t="str">
        <f>recipe!C360
</f>
        <v>웃음꼬치 피었습니다</v>
      </c>
      <c r="B360" s="2" t="str">
        <f>IFERROR(__xludf.DUMMYFUNCTION("TRIM(
  REGEXEXTRACT(
    raw!A360,
    ""●\s*조리\s*방법([\s\S]*)""
  )
)
"),"1. 소고기 등심을 적당한 크기로 썬 뒤, 고기망치로 두드려 얇게 편다.
2. 얇게 편 소고기 등심에 소금, 후추로 간을 하고, 홀스래디시 소스를 바른다.
3. 양념한 소고기 등심을 베이컨용 삼겹살 위에 놓고 돌돌 만다.
4. 흑토마토를 적당한 크기로 썬다.
5. 꼬치에 삼겹살로 만 소고기 등심과 흑토마토를 번갈아 끼운 뒤 기름을 두른 그릴팬에서 굽는다.
6. 비엔나소시지에 칼집을 넣고, 크림치즈를 끼운 뒤, 베이컨용 삼겹살로"&amp;" 돌돌 만다.
7. 6을 꼬치에 끼운 뒤 기름을 두른 그릴팬에서 굽는다.
8. 훈제오리와 모과청을 함께 베이컨용 삼겹살로 돌돌 말아 꼬치에 끼운 뒤 기름을 두른 그릴팬에서 굽는다.
9. 볼에 크림치즈, 후추, 파슬리가루, 다진 마늘과 흑토마토 속을 넣고 섞는다.
10. 속을 파낸 흑토마토에 양념한 크림치즈를 채워 넣는다.
11. 볼에 적당한 크기로 썬 상추와 올리브오일, 식초를 넣는다.
12. 오이는 껍질을 벗겨내고 얇게"&amp;" 썰어 볼에 함께 담는다.
13. 양념한 채소에 진미채 무침을 함께 넣고 섞어 샐러드를 만든다.
14. 양파를 반으로 썰어 접시에 올리고, 양파에 세 가지 꼬치를 꽂아 플레이팅 한다.
15. 꼬치에 샐러드와 크림치즈를 채운 흑토마토를 곁들인다.
16. 레몬즙을 뿌려 마무리한다.")</f>
        <v>1. 소고기 등심을 적당한 크기로 썬 뒤, 고기망치로 두드려 얇게 편다.
2. 얇게 편 소고기 등심에 소금, 후추로 간을 하고, 홀스래디시 소스를 바른다.
3. 양념한 소고기 등심을 베이컨용 삼겹살 위에 놓고 돌돌 만다.
4. 흑토마토를 적당한 크기로 썬다.
5. 꼬치에 삼겹살로 만 소고기 등심과 흑토마토를 번갈아 끼운 뒤 기름을 두른 그릴팬에서 굽는다.
6. 비엔나소시지에 칼집을 넣고, 크림치즈를 끼운 뒤, 베이컨용 삼겹살로 돌돌 만다.
7. 6을 꼬치에 끼운 뒤 기름을 두른 그릴팬에서 굽는다.
8. 훈제오리와 모과청을 함께 베이컨용 삼겹살로 돌돌 말아 꼬치에 끼운 뒤 기름을 두른 그릴팬에서 굽는다.
9. 볼에 크림치즈, 후추, 파슬리가루, 다진 마늘과 흑토마토 속을 넣고 섞는다.
10. 속을 파낸 흑토마토에 양념한 크림치즈를 채워 넣는다.
11. 볼에 적당한 크기로 썬 상추와 올리브오일, 식초를 넣는다.
12. 오이는 껍질을 벗겨내고 얇게 썰어 볼에 함께 담는다.
13. 양념한 채소에 진미채 무침을 함께 넣고 섞어 샐러드를 만든다.
14. 양파를 반으로 썰어 접시에 올리고, 양파에 세 가지 꼬치를 꽂아 플레이팅 한다.
15. 꼬치에 샐러드와 크림치즈를 채운 흑토마토를 곁들인다.
16. 레몬즙을 뿌려 마무리한다.</v>
      </c>
    </row>
    <row r="361">
      <c r="A361" s="2" t="str">
        <f>recipe!C361
</f>
        <v>연장전</v>
      </c>
      <c r="B361" s="2" t="str">
        <f>IFERROR(__xludf.DUMMYFUNCTION("TRIM(
  REGEXEXTRACT(
    raw!A361,
    ""●\s*조리\s*방법([\s\S]*)""
  )
)
"),"1. 양파와 대파 흰 부분을 적당한 크기로 썰어 핸드블랜더에 넣는다.
2. 대파 흰 부분, 마늘, 양파, 애호박을 손질한다.
3. 불린 표고버섯채는 물기를 짜내 손질한 채소와 함께 둔다.
4. 불린 표고버섯채, 적당한 크기로 썬 찌개용 돼지고기와 훈제오리, 달걀을 핸드블랜더에 넣고 간다.
5. 간 재료에 콩비지를 더해 다시 한 번 갈아 반죽을 만든다.
6. 반죽에 전분, 간장, 밀가루를 넣고 섞는다.
7. 반죽을 적당한 "&amp;"크기로 떼어 기름을 두른 팬에 굽는다.
8. 종지에 마요네즈, 간장, 후추, 잘게 다진 청양고추를 넣어 소스를 만든다.
9. 끓는 물에 해물다시팩을 넣고 끓여 육수를 낸다.
10. 기름을 두른 팬에 손질한 채소를 넣고 볶다가, 해물육수,
간장, 소금, 청주, 굴소스를 넣고 끓여 난자완스 소스를 만든다.
11. 구운 콩비지전을 건져 기름기를 빼고, 그릇에 담는다.
12. 난자완스 소스에 전분물과 참기름을 넣고 잘 섞는다.
"&amp;"
13. 구운 콩비지전과 마요네즈 소스, 난자완스 소스를 따로 담아낸다.")</f>
        <v>1. 양파와 대파 흰 부분을 적당한 크기로 썰어 핸드블랜더에 넣는다.
2. 대파 흰 부분, 마늘, 양파, 애호박을 손질한다.
3. 불린 표고버섯채는 물기를 짜내 손질한 채소와 함께 둔다.
4. 불린 표고버섯채, 적당한 크기로 썬 찌개용 돼지고기와 훈제오리, 달걀을 핸드블랜더에 넣고 간다.
5. 간 재료에 콩비지를 더해 다시 한 번 갈아 반죽을 만든다.
6. 반죽에 전분, 간장, 밀가루를 넣고 섞는다.
7. 반죽을 적당한 크기로 떼어 기름을 두른 팬에 굽는다.
8. 종지에 마요네즈, 간장, 후추, 잘게 다진 청양고추를 넣어 소스를 만든다.
9. 끓는 물에 해물다시팩을 넣고 끓여 육수를 낸다.
10. 기름을 두른 팬에 손질한 채소를 넣고 볶다가, 해물육수,
간장, 소금, 청주, 굴소스를 넣고 끓여 난자완스 소스를 만든다.
11. 구운 콩비지전을 건져 기름기를 빼고, 그릇에 담는다.
12. 난자완스 소스에 전분물과 참기름을 넣고 잘 섞는다.
13. 구운 콩비지전과 마요네즈 소스, 난자완스 소스를 따로 담아낸다.</v>
      </c>
    </row>
    <row r="362">
      <c r="A362" s="2" t="str">
        <f>recipe!C362
</f>
        <v>발라버린닭</v>
      </c>
      <c r="B362" s="2" t="str">
        <f>IFERROR(__xludf.DUMMYFUNCTION("TRIM(
  REGEXEXTRACT(
    raw!A362,
    ""●\s*조리\s*방법([\s\S]*)""
  )
)
"),"1. 닭의 살을 발라낸다.
2. 살을 발라낸 닭고기를 비닐로 덮고, 고기망치로 두드려 얇게 편다.
3. 얇게 편 닭고기에 으깬 마늘과 고추를 올리고 비닐로 덮은 뒤, 다시 한 번 고기망치로 두드린다.
4. 수박을 먹기 좋은 크기로 자른다.
5. 적양파를 슬라이스 한다.
6. 숯불 그릴에 올리브오일을 바른다.
7. 손질한 채소와 과일에 올리브오일을 발라 그릴 위에서 굽는다.
8. 그릴 위에 굽는 채소와 과일에 소금, "&amp;"후추로 간을 한다.
9. 숯불 그릴에 올리브오일을 바르고, 닭고기에도 올리브오일을 발라 굽는다.
10. 닭고기에 소금, 후추로 간 한다.
11. 버섯에 올리브오일을 발라 굽는다.
12. 구운 버섯과 대파를 접시에 담는다.
13. 구운 적양파에 올리브오일, 레몬즙, 후추를 넣고 버무린다.
14. 구운 수박과 닭고기를 접시에 담고, 양념한 적양파를 올린다.
15. 홀그레인 머스터드를 곁들여 완성한다.")</f>
        <v>1. 닭의 살을 발라낸다.
2. 살을 발라낸 닭고기를 비닐로 덮고, 고기망치로 두드려 얇게 편다.
3. 얇게 편 닭고기에 으깬 마늘과 고추를 올리고 비닐로 덮은 뒤, 다시 한 번 고기망치로 두드린다.
4. 수박을 먹기 좋은 크기로 자른다.
5. 적양파를 슬라이스 한다.
6. 숯불 그릴에 올리브오일을 바른다.
7. 손질한 채소와 과일에 올리브오일을 발라 그릴 위에서 굽는다.
8. 그릴 위에 굽는 채소와 과일에 소금, 후추로 간을 한다.
9. 숯불 그릴에 올리브오일을 바르고, 닭고기에도 올리브오일을 발라 굽는다.
10. 닭고기에 소금, 후추로 간 한다.
11. 버섯에 올리브오일을 발라 굽는다.
12. 구운 버섯과 대파를 접시에 담는다.
13. 구운 적양파에 올리브오일, 레몬즙, 후추를 넣고 버무린다.
14. 구운 수박과 닭고기를 접시에 담고, 양념한 적양파를 올린다.
15. 홀그레인 머스터드를 곁들여 완성한다.</v>
      </c>
    </row>
    <row r="363">
      <c r="A363" s="2" t="str">
        <f>recipe!C363
</f>
        <v>포크볼</v>
      </c>
      <c r="B363" s="2" t="str">
        <f>IFERROR(__xludf.DUMMYFUNCTION("TRIM(
  REGEXEXTRACT(
    raw!A363,
    ""●\s*조리\s*방법([\s\S]*)""
  )
)
"),"1. 양파를 반으로 잘라 한 겹씩 분리한다.
2. 삼겹살에 소금, 후추로 밑간을 하고, 대파를 문질러 파향을 입힌다.
3. 밑간한 삼겹살을 적당한 크기로 썰고, 한 겹씩 벗겨낸 양파로 감싼 뒤 꼬치로 고정한다.
4. 숯불 안에 고기를 채운 양파를 넣고 익힌다.
5. 양파, 대파 흰 부분, 고추를 가늘게 채 썬다.
6. 설탕, 간장, 참기름, 고춧가루, 다진 마늘, 식초를 3:3:3:1:1:8 비율로 섞어 양념장을 만든다.
"&amp;"
7. 양파를 잘게 다진다.
8. 잘게 다진 양파에 홀그레인 머스터드, 레몬즙, 다진 마늘,
후추, 올리브오일, 간장을 섞어 고기 소스를 만든다.
9. 골뱅이 통조림을 적당한 크기로 썬다.
10. 채 썬 채소와 손질한 골뱅이에 양념장을 넣고 무친다.
11. 골뱅이무침을 접시에 담는다.
12. 양파 속에서 익히던 고기를 꺼내 석쇠에 올려 다시 한 번 익힌다.
13. 고기 소스를 종지에 담아낸다.
14. 접시에 구운 "&amp;"고기를 담아 완성한다.")</f>
        <v>1. 양파를 반으로 잘라 한 겹씩 분리한다.
2. 삼겹살에 소금, 후추로 밑간을 하고, 대파를 문질러 파향을 입힌다.
3. 밑간한 삼겹살을 적당한 크기로 썰고, 한 겹씩 벗겨낸 양파로 감싼 뒤 꼬치로 고정한다.
4. 숯불 안에 고기를 채운 양파를 넣고 익힌다.
5. 양파, 대파 흰 부분, 고추를 가늘게 채 썬다.
6. 설탕, 간장, 참기름, 고춧가루, 다진 마늘, 식초를 3:3:3:1:1:8 비율로 섞어 양념장을 만든다.
7. 양파를 잘게 다진다.
8. 잘게 다진 양파에 홀그레인 머스터드, 레몬즙, 다진 마늘,
후추, 올리브오일, 간장을 섞어 고기 소스를 만든다.
9. 골뱅이 통조림을 적당한 크기로 썬다.
10. 채 썬 채소와 손질한 골뱅이에 양념장을 넣고 무친다.
11. 골뱅이무침을 접시에 담는다.
12. 양파 속에서 익히던 고기를 꺼내 석쇠에 올려 다시 한 번 익힌다.
13. 고기 소스를 종지에 담아낸다.
14. 접시에 구운 고기를 담아 완성한다.</v>
      </c>
    </row>
    <row r="364">
      <c r="A364" s="2" t="str">
        <f>recipe!C364
</f>
        <v>긴급사테! 수박주의보!</v>
      </c>
      <c r="B364" s="2" t="str">
        <f>IFERROR(__xludf.DUMMYFUNCTION("TRIM(
  REGEXEXTRACT(
    raw!A364,
    ""●\s*조리\s*방법([\s\S]*)""
  )
)
"),"1. 닭가슴살에 칼집을 내고, 적당한 크기로 썬다.
2. 볼에 카레가루, 코코넛워터, 아몬드두유, 굴소스, 조미료를 넣고 섞어 양념을 만든다.
3. 양념에 손질한 닭가슴살을 넣고 버무린다.
4. 3에 유자청, 설탕, 다진 고추, 후추를 넣고 섞는다.
5. 양념에 버무린 닭가슴살을 꼬치에 끼운 뒤, 기름을 두른 팬에서 굽는다.
6. 꼬치를 굽던 팬에 코코넛워터를 붓고, 뚜껑을 덮어 속까지 익힌다.
7. 적양파를 채 썬다.
"&amp;"
8. 채 썬 적양파에 올리브오일과 레몬즙, 설탕을 넣고 버무린다.
9. 수박을 삼각형 모양으로 썰어 접시에 올린다.
10. 수박을 깍둑썰기해 양념에 버무린 적양파와 함께 섞어 수박샐러드를 만든다.
11. 썰어둔 수박 위에 수박샐러드를 얹고, 고르곤졸라 치즈를 적당한 크기로 떼어 그 위에 올린다.
12. 볼에 간장, 깨, 조미료, 땅콩버터, 유자청을 넣고 섞어 소스를 만든다.
13. 닭가슴살 꼬치를 접시에 담는다.
1"&amp;"4. 소스를 따로 담아 곁들여낸다.")</f>
        <v>1. 닭가슴살에 칼집을 내고, 적당한 크기로 썬다.
2. 볼에 카레가루, 코코넛워터, 아몬드두유, 굴소스, 조미료를 넣고 섞어 양념을 만든다.
3. 양념에 손질한 닭가슴살을 넣고 버무린다.
4. 3에 유자청, 설탕, 다진 고추, 후추를 넣고 섞는다.
5. 양념에 버무린 닭가슴살을 꼬치에 끼운 뒤, 기름을 두른 팬에서 굽는다.
6. 꼬치를 굽던 팬에 코코넛워터를 붓고, 뚜껑을 덮어 속까지 익힌다.
7. 적양파를 채 썬다.
8. 채 썬 적양파에 올리브오일과 레몬즙, 설탕을 넣고 버무린다.
9. 수박을 삼각형 모양으로 썰어 접시에 올린다.
10. 수박을 깍둑썰기해 양념에 버무린 적양파와 함께 섞어 수박샐러드를 만든다.
11. 썰어둔 수박 위에 수박샐러드를 얹고, 고르곤졸라 치즈를 적당한 크기로 떼어 그 위에 올린다.
12. 볼에 간장, 깨, 조미료, 땅콩버터, 유자청을 넣고 섞어 소스를 만든다.
13. 닭가슴살 꼬치를 접시에 담는다.
14. 소스를 따로 담아 곁들여낸다.</v>
      </c>
    </row>
    <row r="365">
      <c r="A365" s="2" t="str">
        <f>recipe!C365
</f>
        <v>불타는 등심폭탄</v>
      </c>
      <c r="B365" s="2" t="str">
        <f>IFERROR(__xludf.DUMMYFUNCTION("TRIM(
  REGEXEXTRACT(
    raw!A365,
    ""●\s*조리\s*방법([\s\S]*)""
  )
)
"),"1. 소고기 등심을 적당한 크기로 썬다.
2. 적당한 크기로 썬 등심을 볼에 담고, 소금을 밑간을 한다.
3. 비닐팩에 통후추를 넣고, 으깬다.
4. 밑간을 한 등심에 으깬 통후추, 다진 마늘, 굴소스를 넣고 버무려 양념한다.
5. 종이포일을 물에 적시고, 양념한 등심을 감싼다.
6. 물에 적신 종이포일에 싼 양념한 등심을 알루미늄포일로 다시 한 번 감싼다.
7. 포일 채로 불 위에 얹고 굽는다.
8. 볼에 레드와인"&amp;"과 콜라를 1:1 비율로 넣어 칼리모초 칵테일을 만든다.
9. 칼리모초에 오렌지즙을 넣는다.
10. 수박을 깍둑썰기로 썰어, 칼리모초에 넣는다.
11. 칼리모초에 파인애플 통조림 국물을 넣는다.
12. 칼리모초에 적당한 크기로 썬 파인애플 과육과 얼음을 넣는다.
13. 컵에 칼리모초를 담는다.
14. 마른 냄비에 포일 째 구운 양념한 등심과 보드카를 담고, 불을 붙여 낸다.")</f>
        <v>1. 소고기 등심을 적당한 크기로 썬다.
2. 적당한 크기로 썬 등심을 볼에 담고, 소금을 밑간을 한다.
3. 비닐팩에 통후추를 넣고, 으깬다.
4. 밑간을 한 등심에 으깬 통후추, 다진 마늘, 굴소스를 넣고 버무려 양념한다.
5. 종이포일을 물에 적시고, 양념한 등심을 감싼다.
6. 물에 적신 종이포일에 싼 양념한 등심을 알루미늄포일로 다시 한 번 감싼다.
7. 포일 채로 불 위에 얹고 굽는다.
8. 볼에 레드와인과 콜라를 1:1 비율로 넣어 칼리모초 칵테일을 만든다.
9. 칼리모초에 오렌지즙을 넣는다.
10. 수박을 깍둑썰기로 썰어, 칼리모초에 넣는다.
11. 칼리모초에 파인애플 통조림 국물을 넣는다.
12. 칼리모초에 적당한 크기로 썬 파인애플 과육과 얼음을 넣는다.
13. 컵에 칼리모초를 담는다.
14. 마른 냄비에 포일 째 구운 양념한 등심과 보드카를 담고, 불을 붙여 낸다.</v>
      </c>
    </row>
    <row r="366">
      <c r="A366" s="2" t="str">
        <f>recipe!C366
</f>
        <v>조전박살</v>
      </c>
      <c r="B366" s="2" t="str">
        <f>IFERROR(__xludf.DUMMYFUNCTION("TRIM(
  REGEXEXTRACT(
    raw!A366,
    ""●\s*조리\s*방법([\s\S]*)""
  )
)
"),"1. 조기는 내장을 빼내고 손질한다.
2. 조기에 칼집을 낸다.
3. 끓는 물에 전복을 데친다.
4. 칼집을 낸 조기에 전분을 묻힌다.
5. 전분을 묻힌 조기를 기름에 튀긴다.
6. 고추와 대파를 잘게 썬다.
7. 기름을 두른 팬에 잘게 썬 고추와 대파, 바지락, 화이트와인, 설탕, 후추를 넣고 볶는다.
8. 볼에 딸기잼, 잘게 썬 샐러리, 소금, 레몬즙을 넣고 섞어 딸기잼소스를 만든다.
9. 대파 흰 부분을 "&amp;"잘게 썬다.
10. 잘게 썬 대파에 다진 마늘, 간장, 설탕, 맛술, 참기름을 넣어 간장소스를 만든다.
11. 데친 전복을 찬물에 식히고 살을 발라낸다.
12. 전복에 칼집을 내고, 먹기 좋게 반으로 썬 뒤 전복 껍데기에 올린다.
13. 튀긴 조기를 건져내고 접시에 담는다.
14. 볶던 바지락에 전분물을 넣고 다시 볶아낸 뒤, 접시에 담는다.
15. 조기 튀김 위에 딸기잼소스를 끼얹는다.
16. 데친 전복을 접시에 "&amp;"담고, 간장소스를 얹어낸다.")</f>
        <v>1. 조기는 내장을 빼내고 손질한다.
2. 조기에 칼집을 낸다.
3. 끓는 물에 전복을 데친다.
4. 칼집을 낸 조기에 전분을 묻힌다.
5. 전분을 묻힌 조기를 기름에 튀긴다.
6. 고추와 대파를 잘게 썬다.
7. 기름을 두른 팬에 잘게 썬 고추와 대파, 바지락, 화이트와인, 설탕, 후추를 넣고 볶는다.
8. 볼에 딸기잼, 잘게 썬 샐러리, 소금, 레몬즙을 넣고 섞어 딸기잼소스를 만든다.
9. 대파 흰 부분을 잘게 썬다.
10. 잘게 썬 대파에 다진 마늘, 간장, 설탕, 맛술, 참기름을 넣어 간장소스를 만든다.
11. 데친 전복을 찬물에 식히고 살을 발라낸다.
12. 전복에 칼집을 내고, 먹기 좋게 반으로 썬 뒤 전복 껍데기에 올린다.
13. 튀긴 조기를 건져내고 접시에 담는다.
14. 볶던 바지락에 전분물을 넣고 다시 볶아낸 뒤, 접시에 담는다.
15. 조기 튀김 위에 딸기잼소스를 끼얹는다.
16. 데친 전복을 접시에 담고, 간장소스를 얹어낸다.</v>
      </c>
    </row>
    <row r="367">
      <c r="A367" s="2" t="str">
        <f>recipe!C367
</f>
        <v>도미 살을 바를래</v>
      </c>
      <c r="B367" s="2" t="str">
        <f>IFERROR(__xludf.DUMMYFUNCTION("TRIM(
  REGEXEXTRACT(
    raw!A367,
    ""●\s*조리\s*방법([\s\S]*)""
  )
)
"),"1. 도미의 뼈와 살을 분리한다.
2. 분리한 도미살의 가운데 뼈를 발라내고 등 부분과 배 부분으로 나눈다.
3. 도미 등 부분의 절반만 껍질을 벗긴다.
4. 도미뱃살은 껍질에 칼집을 낸다.
5. 도미를 손질하고 남은 자투리 부분을 끓는 물에 넣고 육수를 우린다.
6. 도미 육수에 적당한 크기로 썬 배춧잎과 된장, 맛술, 간장, 바지락, 어슷 썬 대파를 넣고 끓인다.
7. 껍질에 칼집을 낸 도미뱃살에 뜨거운 물을 끼얹어 "&amp;"껍질부분만 익힌다.
8. 껍질을 익힌 도미뱃살을 얼음물에 넣어 식힌다.
9. 껍질을 벗기지 않은 도미 등에 꼬치를 끼우고 소금으로 간한다.
10. 그릴에 대파를 굽는다.
11. 꼬치에 끼운 도미 등을 그릴에 닿지 않게 고정하고 껍질 쪽부터 굽는다.
12. 껍질을 벗긴 도미 등에 남은 비늘을 제거한다.
13. 그릴에 굽던 도미를 팬에서 다시 굽는다.
14. 비늘을 제거한 도미 등을 회 뜬다.
15. 껍질만 익힌 "&amp;"도미뱃살을 회 뜬다.
16. 도미구이를 접시에 담고, 구운 대파와 레몬을 곁들인다.
17. 접시에 도미 회를 담고, 고추냉이를 곁들인다.
18. 껍질만 익힌 도미뱃살을 된장국에 넣어 살짝 익힌다.
19. 도미된장국을 그릇에 담아낸다.")</f>
        <v>1. 도미의 뼈와 살을 분리한다.
2. 분리한 도미살의 가운데 뼈를 발라내고 등 부분과 배 부분으로 나눈다.
3. 도미 등 부분의 절반만 껍질을 벗긴다.
4. 도미뱃살은 껍질에 칼집을 낸다.
5. 도미를 손질하고 남은 자투리 부분을 끓는 물에 넣고 육수를 우린다.
6. 도미 육수에 적당한 크기로 썬 배춧잎과 된장, 맛술, 간장, 바지락, 어슷 썬 대파를 넣고 끓인다.
7. 껍질에 칼집을 낸 도미뱃살에 뜨거운 물을 끼얹어 껍질부분만 익힌다.
8. 껍질을 익힌 도미뱃살을 얼음물에 넣어 식힌다.
9. 껍질을 벗기지 않은 도미 등에 꼬치를 끼우고 소금으로 간한다.
10. 그릴에 대파를 굽는다.
11. 꼬치에 끼운 도미 등을 그릴에 닿지 않게 고정하고 껍질 쪽부터 굽는다.
12. 껍질을 벗긴 도미 등에 남은 비늘을 제거한다.
13. 그릴에 굽던 도미를 팬에서 다시 굽는다.
14. 비늘을 제거한 도미 등을 회 뜬다.
15. 껍질만 익힌 도미뱃살을 회 뜬다.
16. 도미구이를 접시에 담고, 구운 대파와 레몬을 곁들인다.
17. 접시에 도미 회를 담고, 고추냉이를 곁들인다.
18. 껍질만 익힌 도미뱃살을 된장국에 넣어 살짝 익힌다.
19. 도미된장국을 그릇에 담아낸다.</v>
      </c>
    </row>
    <row r="368">
      <c r="A368" s="2" t="str">
        <f>recipe!C368
</f>
        <v>우아한 프랑스튜</v>
      </c>
      <c r="B368" s="2" t="str">
        <f>IFERROR(__xludf.DUMMYFUNCTION("TRIM(
  REGEXEXTRACT(
    raw!A368,
    ""●\s*조리\s*방법([\s\S]*)""
  )
)
"),"1. 냄비에 으깬 통마늘과 올리브오일을 넣고 익힌다.
2. 도미의 뼈와 살을 분리한다.
3. 도미살 가운데의 뼈를 발라내고, 적당한 크기로 썬다.
4. 가리비의 살을 발라낸다.
5. 마늘을 익히던 냄비에 바지락과 모시조개를 넣고 볶는다.
6. 5에 화이트와인을 넣고 뚜껑을 닫아 익힌다.
7. 토마토를 적당한 크기로 썰어 냄비에 넣고, 물을 부어 끓인다.
8. 볼에 올리브오일, 대파 흰 부분, 슬라이스한 토마토, 소금"&amp;", 후추를 넣고 버무린다.
9. 8을 그릴에 굽는다.
10. 볼에 레몬즙, 잘게 썬 마늘, 올리브오일, 소금, 후추,
잘게 썬 토마토를 넣고 섞어 토마토레몬소스를 만든다.
11. 끓이던 스튜에 레몬즙을 넣는다.
12. 손질한 도미에 소금으로 간하고, 껍질 부분에 칼집을 낸다.
13. 기름을 두른 팬에 손질한 도미를 구운 후, 접시에 담아낸다.
14. 기름을 두른 팬에 새우를 구우며 후추로 간 한다.
15. 팬에 가"&amp;"리비를 함께 굽는다.
16. 익힌 모시조개를 접시에 담고, 구운 대파를 곁들인다.
17. 스튜 국물을 접시에 담는다.
18. 구운 가리비와 새우, 도미, 토마토를 접시에 담는다.
19. 대파를 잘게 썰어 뿌리고, 토마토레몬소스를 곁들여 마무리한다.")</f>
        <v>1. 냄비에 으깬 통마늘과 올리브오일을 넣고 익힌다.
2. 도미의 뼈와 살을 분리한다.
3. 도미살 가운데의 뼈를 발라내고, 적당한 크기로 썬다.
4. 가리비의 살을 발라낸다.
5. 마늘을 익히던 냄비에 바지락과 모시조개를 넣고 볶는다.
6. 5에 화이트와인을 넣고 뚜껑을 닫아 익힌다.
7. 토마토를 적당한 크기로 썰어 냄비에 넣고, 물을 부어 끓인다.
8. 볼에 올리브오일, 대파 흰 부분, 슬라이스한 토마토, 소금, 후추를 넣고 버무린다.
9. 8을 그릴에 굽는다.
10. 볼에 레몬즙, 잘게 썬 마늘, 올리브오일, 소금, 후추,
잘게 썬 토마토를 넣고 섞어 토마토레몬소스를 만든다.
11. 끓이던 스튜에 레몬즙을 넣는다.
12. 손질한 도미에 소금으로 간하고, 껍질 부분에 칼집을 낸다.
13. 기름을 두른 팬에 손질한 도미를 구운 후, 접시에 담아낸다.
14. 기름을 두른 팬에 새우를 구우며 후추로 간 한다.
15. 팬에 가리비를 함께 굽는다.
16. 익힌 모시조개를 접시에 담고, 구운 대파를 곁들인다.
17. 스튜 국물을 접시에 담는다.
18. 구운 가리비와 새우, 도미, 토마토를 접시에 담는다.
19. 대파를 잘게 썰어 뿌리고, 토마토레몬소스를 곁들여 마무리한다.</v>
      </c>
    </row>
    <row r="369">
      <c r="A369" s="2" t="str">
        <f>recipe!C369
</f>
        <v>나랑 너랑 게랑</v>
      </c>
      <c r="B369" s="2" t="str">
        <f>IFERROR(__xludf.DUMMYFUNCTION("TRIM(
  REGEXEXTRACT(
    raw!A369,
    ""●\s*조리\s*방법([\s\S]*)""
  )
)
"),"1. 그릴에 파프리카를 올리고, 포일로 덮어 직화한다.
2. 게의 다리를 뜯어낸다.
3. 게의 몸통 부분을 끓는 물에 넣고 익힌다.
4. 포일을 넓게 펼치고 샐러리, 통마늘, 통후추, 소금, 버터를 올린다.
5. 관절을 제거한 게 다리를 포일 위에 올린다.
6. 포일 안에 바지락과 새우살, 화이트와인을 넣고 밀봉한다.
7. 포일에 밀봉한 해산물을 그릴 위에서 익힌다.
8. 적당한 크기로 썬 당근과 샐러리, 대파를 게"&amp;" 몸통을 익히던 냄비에 넣는다.
9. 토마토를 잘게 썰어 냄비에 넣고 함께 끓인다.
10. 익힌 게 몸통을 꺼내 살과 껍데기를 분리한다.
11. 접시에 배춧잎을 깔고, 깨끗하게 씻은 게 등 껍데기를 그릇처럼 올린다.
12. 볼에 잘게 썬 마늘, 올리브오일, 소금, 식초를 넣고 섞어 드레싱을 만든다.
13. 직화한 파프리카를 흐르는 물에 씻어 탄 껍질을 벗겨내고, 적당한 크기로 썬다.
14. 손질한 구운 파프리카를 마늘드레"&amp;"싱에 넣고 섞어 파프리카 샐러드를 만든다.
15. 파프리카를 넓게 썰어, 접시에 데커레이션 한다.
16. 포일에 넣고 익힌 해산물을 꺼내, 육수만 접시에 따라낸다.
17. 익힌 새우살과 바지락살만 골라 접시에 담는다.
18. 해산물 육수와 새우살, 바지락살을 게 등 껍데기에 담는다.
19. 배춧잎 위에 파프리카 샐러드를 담는다.
20. 익힌 게 다리의 살과 집게다리, 새우살을 게 등 껍데기에 담는다.
21. 익힌 게"&amp;" 집게다리와 새우살을 얹는다.
22. 잘게 썬 구운 파프리카를 해산물에 곁들인다.
23. 대파를 잘게 썰어 위에 뿌려낸다.")</f>
        <v>1. 그릴에 파프리카를 올리고, 포일로 덮어 직화한다.
2. 게의 다리를 뜯어낸다.
3. 게의 몸통 부분을 끓는 물에 넣고 익힌다.
4. 포일을 넓게 펼치고 샐러리, 통마늘, 통후추, 소금, 버터를 올린다.
5. 관절을 제거한 게 다리를 포일 위에 올린다.
6. 포일 안에 바지락과 새우살, 화이트와인을 넣고 밀봉한다.
7. 포일에 밀봉한 해산물을 그릴 위에서 익힌다.
8. 적당한 크기로 썬 당근과 샐러리, 대파를 게 몸통을 익히던 냄비에 넣는다.
9. 토마토를 잘게 썰어 냄비에 넣고 함께 끓인다.
10. 익힌 게 몸통을 꺼내 살과 껍데기를 분리한다.
11. 접시에 배춧잎을 깔고, 깨끗하게 씻은 게 등 껍데기를 그릇처럼 올린다.
12. 볼에 잘게 썬 마늘, 올리브오일, 소금, 식초를 넣고 섞어 드레싱을 만든다.
13. 직화한 파프리카를 흐르는 물에 씻어 탄 껍질을 벗겨내고, 적당한 크기로 썬다.
14. 손질한 구운 파프리카를 마늘드레싱에 넣고 섞어 파프리카 샐러드를 만든다.
15. 파프리카를 넓게 썰어, 접시에 데커레이션 한다.
16. 포일에 넣고 익힌 해산물을 꺼내, 육수만 접시에 따라낸다.
17. 익힌 새우살과 바지락살만 골라 접시에 담는다.
18. 해산물 육수와 새우살, 바지락살을 게 등 껍데기에 담는다.
19. 배춧잎 위에 파프리카 샐러드를 담는다.
20. 익힌 게 다리의 살과 집게다리, 새우살을 게 등 껍데기에 담는다.
21. 익힌 게 집게다리와 새우살을 얹는다.
22. 잘게 썬 구운 파프리카를 해산물에 곁들인다.
23. 대파를 잘게 썰어 위에 뿌려낸다.</v>
      </c>
    </row>
    <row r="370">
      <c r="A370" s="2" t="str">
        <f>recipe!C370
</f>
        <v>소스 하나면 돼</v>
      </c>
      <c r="B370" s="2" t="str">
        <f>IFERROR(__xludf.DUMMYFUNCTION("TRIM(
  REGEXEXTRACT(
    raw!A370,
    ""●\s*조리\s*방법([\s\S]*)""
  )
)
"),"1. 끓는 물에 소금, 삶은 강낭콩을 넣고 데친다.
2. 파프리카와 애호박을 적당한 크기로 썰어 올리브오일에 버무린다.
3. 올리브오일에 버무린 채소를 그릴팬에 굽는다.
4. 마늘을 잘게 다져, 올리브오일이 남은 볼에 담는다.
5. 4에 그린 올리브를 잘게 썰어 넣는다.
6. 잘게 썬 마늘과 그린 올리브에 레몬즙을 넣어 올리브소스를 만든다.
7. 데친 관자와 데친 소라를 적당한 크기로 썬다.
8. 천도복숭아를 슬라이"&amp;"스해 그릴팬에 굽는다.
9. 구운 파프리카를 잘게 다져 올리브 소스에 넣는다.
10. 올리브소스에 올리브오일을 더해가며 잘 저어준 뒤, 후추와 소금으로 간 한다.
11. 올리브소스에 데친 관자와 소라, 데친 강낭콩을 넣고 잘 섞는다.
12. 기름을 두른 팬에 고등어를 올리고 소금, 후추로 간을 해 굽는다.
13. 올리브소스에 버무린 강낭콩을 접시에 담는다.
14. 그릴팬에 구운 애호박을 적당한 크기로 썰어 접시에 담는다."&amp;"
15. 올리브소스에 버무린 관자와 소라를 곁들인다.
16. 핸드블랜더에 고수와 올리브오일을 넣고 곱게 간다.
17. 16에 레몬즙을 넣고, 접시에 담는다.
18. 구운 천도복숭아와 고등어를 올린다.
19. 레몬즙과 후추를 뿌려 마무리한다.")</f>
        <v>1. 끓는 물에 소금, 삶은 강낭콩을 넣고 데친다.
2. 파프리카와 애호박을 적당한 크기로 썰어 올리브오일에 버무린다.
3. 올리브오일에 버무린 채소를 그릴팬에 굽는다.
4. 마늘을 잘게 다져, 올리브오일이 남은 볼에 담는다.
5. 4에 그린 올리브를 잘게 썰어 넣는다.
6. 잘게 썬 마늘과 그린 올리브에 레몬즙을 넣어 올리브소스를 만든다.
7. 데친 관자와 데친 소라를 적당한 크기로 썬다.
8. 천도복숭아를 슬라이스해 그릴팬에 굽는다.
9. 구운 파프리카를 잘게 다져 올리브 소스에 넣는다.
10. 올리브소스에 올리브오일을 더해가며 잘 저어준 뒤, 후추와 소금으로 간 한다.
11. 올리브소스에 데친 관자와 소라, 데친 강낭콩을 넣고 잘 섞는다.
12. 기름을 두른 팬에 고등어를 올리고 소금, 후추로 간을 해 굽는다.
13. 올리브소스에 버무린 강낭콩을 접시에 담는다.
14. 그릴팬에 구운 애호박을 적당한 크기로 썰어 접시에 담는다.
15. 올리브소스에 버무린 관자와 소라를 곁들인다.
16. 핸드블랜더에 고수와 올리브오일을 넣고 곱게 간다.
17. 16에 레몬즙을 넣고, 접시에 담는다.
18. 구운 천도복숭아와 고등어를 올린다.
19. 레몬즙과 후추를 뿌려 마무리한다.</v>
      </c>
    </row>
    <row r="371">
      <c r="A371" s="2" t="str">
        <f>recipe!C371
</f>
        <v>전병 말아요~</v>
      </c>
      <c r="B371" s="2" t="str">
        <f>IFERROR(__xludf.DUMMYFUNCTION("TRIM(
  REGEXEXTRACT(
    raw!A371,
    ""●\s*조리\s*방법([\s\S]*)""
  )
)
"),"1. 볼에 밀가루, 소금, 물을 넣고 섞는다.
2. 밀가루 반죽을 체에 밭쳐 곱게 걸러 전병 반죽을 만든다.
3. 당근을 가늘게 채 썬다.
4. 오이껍질을 얇게 돌려 깍은 후, 채 썬다.
5. 적양배추를 채 썬다.
6. 오이지를 적당한 크기로 썰고, 물에 담가 소금기를 뺀다.
7. 볼에 고기육수, 잣, 깨, 물을 넣는다.
8. 7을 믹서기에 넣는다.
9. 기름을 두른 팬에 전병 반죽을 붓고 전병을 부친다.
"&amp;"
10. 소면을 삶는다.
11. 부친 전병을 꺼내 식힌다.
12. 기름을 두른 팬에 채 썬 당근을 소금 간을 해서 볶는다.
13. 채 썬 오이, 채 썬 적양배추도 소금으로 간 하며 볶는다.
14. 전병에 볶은 채소들을 올리고 돌돌 만다.
15. 믹서기에 넣은 잣, 깨, 고기육수를 곱게 갈아 소스를 만든다.
16. 삶은 소면을 건져 찬물에 헹군다.
17. 믹서기로 간 소스를 체에 밭쳐 곱게 거른다.
18. 채소전"&amp;"병을 적당한 크기로 썬다.
19. 그릇에 소면을 담고, 채소전병, 오이지를 올린다.
20. 19에 소스를 부어 마무리한다.")</f>
        <v>1. 볼에 밀가루, 소금, 물을 넣고 섞는다.
2. 밀가루 반죽을 체에 밭쳐 곱게 걸러 전병 반죽을 만든다.
3. 당근을 가늘게 채 썬다.
4. 오이껍질을 얇게 돌려 깍은 후, 채 썬다.
5. 적양배추를 채 썬다.
6. 오이지를 적당한 크기로 썰고, 물에 담가 소금기를 뺀다.
7. 볼에 고기육수, 잣, 깨, 물을 넣는다.
8. 7을 믹서기에 넣는다.
9. 기름을 두른 팬에 전병 반죽을 붓고 전병을 부친다.
10. 소면을 삶는다.
11. 부친 전병을 꺼내 식힌다.
12. 기름을 두른 팬에 채 썬 당근을 소금 간을 해서 볶는다.
13. 채 썬 오이, 채 썬 적양배추도 소금으로 간 하며 볶는다.
14. 전병에 볶은 채소들을 올리고 돌돌 만다.
15. 믹서기에 넣은 잣, 깨, 고기육수를 곱게 갈아 소스를 만든다.
16. 삶은 소면을 건져 찬물에 헹군다.
17. 믹서기로 간 소스를 체에 밭쳐 곱게 거른다.
18. 채소전병을 적당한 크기로 썬다.
19. 그릇에 소면을 담고, 채소전병, 오이지를 올린다.
20. 19에 소스를 부어 마무리한다.</v>
      </c>
    </row>
    <row r="372">
      <c r="A372" s="2" t="str">
        <f>recipe!C372
</f>
        <v>톰얌킹</v>
      </c>
      <c r="B372" s="2" t="str">
        <f>IFERROR(__xludf.DUMMYFUNCTION("TRIM(
  REGEXEXTRACT(
    raw!A372,
    ""●\s*조리\s*방법([\s\S]*)""
  )
)
"),"1. 뜨거운 물에 찌개용 게를 넣은 뒤, 레몬껍질을 갈아 넣고 끓여 게 육수를 낸다.
2. 생강을 으깨서 게 육수에 넣고 끓인다.
3. 끓이던 재료에 얇게 썬 천도복숭아와 토마토소스, 사테소스를 넣고 톰얌 국물을 끓인다.
4. 새우, 데친 관자, 데친 소라를 손질한다.
5. 포토벨로 버섯과 참타리 버섯을 적당한 크기로 썬다.
6. 프릭키누를 잘게 썬다.
7. 기름을 두른 냄비에 잘게 썬 프릭키누와 크러시드 칠리를 넣고 볶"&amp;"다가, 톰얌 국물을 넣고 볶는다.
8. 냄비에 손질한 새우, 톰얌 국물, 토마토주스를 넣고 끓이다가 손질한 버섯을 넣는다.
9. 톰얌 국물을 면보에 걸러 국물만 남긴다.
10. 볶던 재료에 걸러낸 톰얌 국물을 붓고, 베트남 매운 간장을 넣어 끓인다.
11. 톰얌쿵에 아몬드우유와 소금을 넣는다.
12. 톰얌쿵에 레몬즙, 피시소스, 데친 관자와 소라를 넣는다.
13. 그릇에 톰얌쿵을 담은 뒤, 고수를 올려 마무리한다.")</f>
        <v>1. 뜨거운 물에 찌개용 게를 넣은 뒤, 레몬껍질을 갈아 넣고 끓여 게 육수를 낸다.
2. 생강을 으깨서 게 육수에 넣고 끓인다.
3. 끓이던 재료에 얇게 썬 천도복숭아와 토마토소스, 사테소스를 넣고 톰얌 국물을 끓인다.
4. 새우, 데친 관자, 데친 소라를 손질한다.
5. 포토벨로 버섯과 참타리 버섯을 적당한 크기로 썬다.
6. 프릭키누를 잘게 썬다.
7. 기름을 두른 냄비에 잘게 썬 프릭키누와 크러시드 칠리를 넣고 볶다가, 톰얌 국물을 넣고 볶는다.
8. 냄비에 손질한 새우, 톰얌 국물, 토마토주스를 넣고 끓이다가 손질한 버섯을 넣는다.
9. 톰얌 국물을 면보에 걸러 국물만 남긴다.
10. 볶던 재료에 걸러낸 톰얌 국물을 붓고, 베트남 매운 간장을 넣어 끓인다.
11. 톰얌쿵에 아몬드우유와 소금을 넣는다.
12. 톰얌쿵에 레몬즙, 피시소스, 데친 관자와 소라를 넣는다.
13. 그릇에 톰얌쿵을 담은 뒤, 고수를 올려 마무리한다.</v>
      </c>
    </row>
    <row r="373">
      <c r="A373" s="2" t="str">
        <f>recipe!C373
</f>
        <v>톰얌의 고수</v>
      </c>
      <c r="B373" s="2" t="str">
        <f>IFERROR(__xludf.DUMMYFUNCTION("TRIM(
  REGEXEXTRACT(
    raw!A373,
    ""●\s*조리\s*방법([\s\S]*)""
  )
)
"),"1. 기름을 두른 팬에 다진 마늘과 창난젓을 볶는다.
2. 볶은 다진 마늘과 창난젓에 소주를 넣고 함께 볶는다.
3. 2에 황태포와 해물다시팩을 넣고 뜨거운 물을 부어 끓여 육수를 낸다.
4. 즉석밥에 레몬껍질과 생강즙을 넣고 전자레인지에 돌린다.
5. 마늘은 으깨고, 양파는 채 썬다.
6. 대파 흰 부분을 반으로 가른 후, 적당한 크기로 썬다.
7. 베이컨을 잘게 썰어 마른 팬에 볶는다.
8. 베이컨을 볶던 팬에 "&amp;"손질한 채소들과 사테소스를 넣는다.
9. 볶던 재료에 레몬껍질과 베트남 매운 간장, 프릭키누를 넣는다.
10. 9에 손질한 애호박과 찌개용 게, 새우, 포토벨로 버섯, 레몬즙을 넣고 볶는다.
11. 볶은 재료에 육수를 넣고 톰얌쿵을 끓인다.
12. 톰얌쿵에 육수를 낸 황태포를 건져 넣는다.
13. 데친 소라를 적당한 크기로 썰어 관자와 함께 톰얌쿵에 넣고 끓인다.
14. 톰얌쿵에 레몬즙과 된장을 넣고 끓인다.
15."&amp;" 고수를 잘게 썰어 톰얌쿵에 넣고 끓인다.
16. 그릇에 톰얌쿵을 담고, 레몬을 올린다.
17. 레몬생강밥을 그릇에 담아 따로 낸다.")</f>
        <v>1. 기름을 두른 팬에 다진 마늘과 창난젓을 볶는다.
2. 볶은 다진 마늘과 창난젓에 소주를 넣고 함께 볶는다.
3. 2에 황태포와 해물다시팩을 넣고 뜨거운 물을 부어 끓여 육수를 낸다.
4. 즉석밥에 레몬껍질과 생강즙을 넣고 전자레인지에 돌린다.
5. 마늘은 으깨고, 양파는 채 썬다.
6. 대파 흰 부분을 반으로 가른 후, 적당한 크기로 썬다.
7. 베이컨을 잘게 썰어 마른 팬에 볶는다.
8. 베이컨을 볶던 팬에 손질한 채소들과 사테소스를 넣는다.
9. 볶던 재료에 레몬껍질과 베트남 매운 간장, 프릭키누를 넣는다.
10. 9에 손질한 애호박과 찌개용 게, 새우, 포토벨로 버섯, 레몬즙을 넣고 볶는다.
11. 볶은 재료에 육수를 넣고 톰얌쿵을 끓인다.
12. 톰얌쿵에 육수를 낸 황태포를 건져 넣는다.
13. 데친 소라를 적당한 크기로 썰어 관자와 함께 톰얌쿵에 넣고 끓인다.
14. 톰얌쿵에 레몬즙과 된장을 넣고 끓인다.
15. 고수를 잘게 썰어 톰얌쿵에 넣고 끓인다.
16. 그릇에 톰얌쿵을 담고, 레몬을 올린다.
17. 레몬생강밥을 그릇에 담아 따로 낸다.</v>
      </c>
    </row>
    <row r="374">
      <c r="A374" s="2" t="str">
        <f>recipe!C374
</f>
        <v>바쥐락펴락</v>
      </c>
      <c r="B374" s="2" t="str">
        <f>IFERROR(__xludf.DUMMYFUNCTION("TRIM(
  REGEXEXTRACT(
    raw!A374,
    ""●\s*조리\s*방법([\s\S]*)""
  )
)
"),"1. 끓는 물이 담긴 냄비에 바지락을 넣고 뚜껑을 덮어 익힌다.
2. 볼에 전분, 라면스프를 넣고 섞어 튀김옷을 만든다.
3. 익힌 바지락을 체에 밭쳐 거른 뒤, 찬물에 헹군다.
4. 익힌 바지락의 살만 발라내 튀김옷을 입힌다.
5. 튀김옷을 입힌 바지락을 기름에 넣고 튀긴다.
6. 튀긴 바지락을 건져 기름기를 뺀다.
7. 기름기를 뺀 바지락튀김을 다시 한 번 튀긴다.
8. 바지락튀김을 건져내 기름기를 뺀다.
"&amp;"9. 볼에 마요네즈, 달걀노른자를 넣고 저어 마요네즈 소스를 만든다.
10. 바지락튀김을 그릇에 담는다.
11. 마요네즈 소스를 소스볼에 담고, 레몬즙을 뿌려 마무리한다.")</f>
        <v>1. 끓는 물이 담긴 냄비에 바지락을 넣고 뚜껑을 덮어 익힌다.
2. 볼에 전분, 라면스프를 넣고 섞어 튀김옷을 만든다.
3. 익힌 바지락을 체에 밭쳐 거른 뒤, 찬물에 헹군다.
4. 익힌 바지락의 살만 발라내 튀김옷을 입힌다.
5. 튀김옷을 입힌 바지락을 기름에 넣고 튀긴다.
6. 튀긴 바지락을 건져 기름기를 뺀다.
7. 기름기를 뺀 바지락튀김을 다시 한 번 튀긴다.
8. 바지락튀김을 건져내 기름기를 뺀다.
9. 볼에 마요네즈, 달걀노른자를 넣고 저어 마요네즈 소스를 만든다.
10. 바지락튀김을 그릇에 담는다.
11. 마요네즈 소스를 소스볼에 담고, 레몬즙을 뿌려 마무리한다.</v>
      </c>
    </row>
    <row r="375">
      <c r="A375" s="2" t="str">
        <f>recipe!C375
</f>
        <v>일탈 닭돼지락</v>
      </c>
      <c r="B375" s="2" t="str">
        <f>IFERROR(__xludf.DUMMYFUNCTION("TRIM(
  REGEXEXTRACT(
    raw!A375,
    ""●\s*조리\s*방법([\s\S]*)""
  )
)
"),"1. 냄비에 바지락, 청주, 뜨거운 물을 넣고 끓인다.
2. 대파 흰부분의 가운데 심을 제거하고 적당한 크기로 썰어 기름을 두른 냄비에 담는다.
3. 삼겹살을 가늘게 채 썰어 대파와 함께 볶는다.
4. 통마늘과 다진 생강을 냄비에 넣고 함께 볶는다.
5. 프라이드치킨의 튀김옷을 벗겨내고 치킨 살을 두드려 편 뒤, 잘게 찢어 볶던 재료에 넣는다.
6. 볶던 재료에 바지락 육수를 넣고 끓인다.
7. 익힌 바지락을 비닐팩에 넣"&amp;"고 흔들어 살만 발라낸다.
8. 발라낸 바지락살을 끓이던 국에 넣는다.
9. 즉석밥을 전자레인지에 넣고 돌린다.
10. 국에 간장으로 간을 한다.
11. 간을 한 국에 콩나물과 바지락 껍데기를 넣고 끓인다.
12. 그릇에 김가루와 즉석밥을 각각 담아낸다.
13. 그릇에 완성된 국을 담고, 청양고추와 레몬을 썰어 올려 마무리한다.")</f>
        <v>1. 냄비에 바지락, 청주, 뜨거운 물을 넣고 끓인다.
2. 대파 흰부분의 가운데 심을 제거하고 적당한 크기로 썰어 기름을 두른 냄비에 담는다.
3. 삼겹살을 가늘게 채 썰어 대파와 함께 볶는다.
4. 통마늘과 다진 생강을 냄비에 넣고 함께 볶는다.
5. 프라이드치킨의 튀김옷을 벗겨내고 치킨 살을 두드려 편 뒤, 잘게 찢어 볶던 재료에 넣는다.
6. 볶던 재료에 바지락 육수를 넣고 끓인다.
7. 익힌 바지락을 비닐팩에 넣고 흔들어 살만 발라낸다.
8. 발라낸 바지락살을 끓이던 국에 넣는다.
9. 즉석밥을 전자레인지에 넣고 돌린다.
10. 국에 간장으로 간을 한다.
11. 간을 한 국에 콩나물과 바지락 껍데기를 넣고 끓인다.
12. 그릇에 김가루와 즉석밥을 각각 담아낸다.
13. 그릇에 완성된 국을 담고, 청양고추와 레몬을 썰어 올려 마무리한다.</v>
      </c>
    </row>
    <row r="376">
      <c r="A376" s="2" t="str">
        <f>recipe!C376
</f>
        <v>에그머니나</v>
      </c>
      <c r="B376" s="2" t="str">
        <f>IFERROR(__xludf.DUMMYFUNCTION("TRIM(
  REGEXEXTRACT(
    raw!A376,
    ""●\s*조리\s*방법([\s\S]*)""
  )
)
"),"1. 팬에 물, 바지락, 소금, 화이트와인을 넣고 뚜껑을 덮어 익힌다.
2. 끓는 물 위에 볼을 올리고, 버터를 넣어 녹인다.
3. 다른 볼에 달걀, 소금, 우유를 넣고 섞는다.
4. 버터를 녹인 볼에 달걀물을 붓고 저어가며 스크램블을 만든다.
5. 고추참치를 체에 밭쳐 기름기를 뺀다.
6. 핸드블렌더에 기름기를 뺀 고추참치, 적당한 크기로 썬 양파와
마늘, 버터를 넣고 곱게 갈아 스프레드를 만든다.
7. 접시에 원형틀"&amp;"을 놓고 참치스프레드 &gt; 달걀 스크램블
&gt; 참치스프레드 &gt; 달걀 스크램블 순으로 쌓는다.
8. 7 위에 럭비공 모양으로 만든 참치스프레드를 올린다.
9. 올리브오일을 두른 팬에 버터를 녹이다가, 고춧가루를 섞어 소스를 만든다.
10. 익힌 바지락을 접시에 올린다.
11. 바지락 위에 소스를 뿌린다.
12. 대파를 잘게 썰어 얹고, 후추를 뿌려 마무리한다.")</f>
        <v>1. 팬에 물, 바지락, 소금, 화이트와인을 넣고 뚜껑을 덮어 익힌다.
2. 끓는 물 위에 볼을 올리고, 버터를 넣어 녹인다.
3. 다른 볼에 달걀, 소금, 우유를 넣고 섞는다.
4. 버터를 녹인 볼에 달걀물을 붓고 저어가며 스크램블을 만든다.
5. 고추참치를 체에 밭쳐 기름기를 뺀다.
6. 핸드블렌더에 기름기를 뺀 고추참치, 적당한 크기로 썬 양파와
마늘, 버터를 넣고 곱게 갈아 스프레드를 만든다.
7. 접시에 원형틀을 놓고 참치스프레드 &gt; 달걀 스크램블
&gt; 참치스프레드 &gt; 달걀 스크램블 순으로 쌓는다.
8. 7 위에 럭비공 모양으로 만든 참치스프레드를 올린다.
9. 올리브오일을 두른 팬에 버터를 녹이다가, 고춧가루를 섞어 소스를 만든다.
10. 익힌 바지락을 접시에 올린다.
11. 바지락 위에 소스를 뿌린다.
12. 대파를 잘게 썰어 얹고, 후추를 뿌려 마무리한다.</v>
      </c>
    </row>
    <row r="377">
      <c r="A377" s="2" t="str">
        <f>recipe!C377
</f>
        <v>달걀의 대시</v>
      </c>
      <c r="B377" s="2" t="str">
        <f>IFERROR(__xludf.DUMMYFUNCTION("TRIM(
  REGEXEXTRACT(
    raw!A377,
    ""●\s*조리\s*방법([\s\S]*)""
  )
)
"),"1. 팬에 으깬 마늘을 넣고 기름을 두른 뒤, 바지락을 넣는다.
2. 바지락을 넣은 팬에 청주, 뜨거운 물, 맛술, 간장, 소금을 넣고 끓인다.
3. 볼에 달걀, 전분, 설탕을 넣고 섞는다.
4. 기름이 끓는 냄비 위에 두 개의 체를 겹쳐 밭치고, 달걀물을 내려 면처럼 튀긴다.
5. 튀긴 달걀면을 건져내 체에 밭친 뒤, 뜨거운 물로 기름기를 뺀다.
6. 익힌 바지락을 체에 밭쳐 거르고, 살만 빼내 뚝배기에 담는다.
7. "&amp;"바지락살을 넣은 뚝배기에 바지락육수를 붓고 끓인다.
8. 달걀면을 물에 헹군 뒤, 뚝배기에 넣고 끓인다.
9. 대파 흰 부분을 어슷 썰어 달걀면 위에 올리고, 김가루를 뿌려 마무리한다.")</f>
        <v>1. 팬에 으깬 마늘을 넣고 기름을 두른 뒤, 바지락을 넣는다.
2. 바지락을 넣은 팬에 청주, 뜨거운 물, 맛술, 간장, 소금을 넣고 끓인다.
3. 볼에 달걀, 전분, 설탕을 넣고 섞는다.
4. 기름이 끓는 냄비 위에 두 개의 체를 겹쳐 밭치고, 달걀물을 내려 면처럼 튀긴다.
5. 튀긴 달걀면을 건져내 체에 밭친 뒤, 뜨거운 물로 기름기를 뺀다.
6. 익힌 바지락을 체에 밭쳐 거르고, 살만 빼내 뚝배기에 담는다.
7. 바지락살을 넣은 뚝배기에 바지락육수를 붓고 끓인다.
8. 달걀면을 물에 헹군 뒤, 뚝배기에 넣고 끓인다.
9. 대파 흰 부분을 어슷 썰어 달걀면 위에 올리고, 김가루를 뿌려 마무리한다.</v>
      </c>
    </row>
    <row r="378">
      <c r="A378" s="2" t="str">
        <f>recipe!C378
</f>
        <v>데워먹고 대어 낚는 낚시요리</v>
      </c>
      <c r="B378" s="2" t="str">
        <f>IFERROR(__xludf.DUMMYFUNCTION("TRIM(
  REGEXEXTRACT(
    raw!A378,
    ""●\s*조리\s*방법([\s\S]*)""
  )
)
"),"1. 끓는 물에 새우젓, 건새우, 멸치를 넣고 끓인다.
2. 1에 무를 적당한 크기로 썰어 함께 끓여 육수를 낸다.
3. 둥근 애호박을 얇게 썰어 전골냄비에 담는다.
4. 돼지고기를 적당한 크기로 썰어 볼에 담고, 소금, 후추로 간 한 뒤 전골냄비에 담는다.
5. 소 안심을 적당한 크기로 썰어 볼에 담은 뒤, 아로니아액,
후추, 설탕, 참기름으로 양념해 전골냄비에 담는다.
6. 표고버섯, 햄 통조림을 적당한 크기로 썰어 전골"&amp;"냄비에 담는다.
7. 재료가 담긴 전골냄비에 육수를 넣는다.
8. 양파를 다진 뒤 참치 통조림과 함께 핸드블렌더로 간다.
9. 8을 전처럼 빚어 달걀흰자&gt;밀가루&gt;달걀물을 입히고 기름을 두른 팬에 굽는다.
10. 전복을 손질해 적당한 크기로 썬 뒤 전골냄비에 담는다.
11. 각종 재료가 잠길 만큼 육수를 붓고 끓인다.
12. 떡갈비를 적당한 크기로 뭉쳐 전분을 묻힌다.
13. 전분을 묻힌 떡갈비를 끓인 육수에 넣고 익"&amp;"힌다.
14. 데친 얼갈이의 물기를 짜낸 뒤, 적당한 크기로 썰어 전골냄비에 담는다.
15. 육수에서 익힌 떡갈비를 건져 전골냄비에 담는다.
16. 파를 적당한 크기로 썰어 전골냄비에 넣는다.
17. 끓이던 전골에 참치전과 후추를 넣어 마무리한다.")</f>
        <v>1. 끓는 물에 새우젓, 건새우, 멸치를 넣고 끓인다.
2. 1에 무를 적당한 크기로 썰어 함께 끓여 육수를 낸다.
3. 둥근 애호박을 얇게 썰어 전골냄비에 담는다.
4. 돼지고기를 적당한 크기로 썰어 볼에 담고, 소금, 후추로 간 한 뒤 전골냄비에 담는다.
5. 소 안심을 적당한 크기로 썰어 볼에 담은 뒤, 아로니아액,
후추, 설탕, 참기름으로 양념해 전골냄비에 담는다.
6. 표고버섯, 햄 통조림을 적당한 크기로 썰어 전골냄비에 담는다.
7. 재료가 담긴 전골냄비에 육수를 넣는다.
8. 양파를 다진 뒤 참치 통조림과 함께 핸드블렌더로 간다.
9. 8을 전처럼 빚어 달걀흰자&gt;밀가루&gt;달걀물을 입히고 기름을 두른 팬에 굽는다.
10. 전복을 손질해 적당한 크기로 썬 뒤 전골냄비에 담는다.
11. 각종 재료가 잠길 만큼 육수를 붓고 끓인다.
12. 떡갈비를 적당한 크기로 뭉쳐 전분을 묻힌다.
13. 전분을 묻힌 떡갈비를 끓인 육수에 넣고 익힌다.
14. 데친 얼갈이의 물기를 짜낸 뒤, 적당한 크기로 썰어 전골냄비에 담는다.
15. 육수에서 익힌 떡갈비를 건져 전골냄비에 담는다.
16. 파를 적당한 크기로 썰어 전골냄비에 넣는다.
17. 끓이던 전골에 참치전과 후추를 넣어 마무리한다.</v>
      </c>
    </row>
    <row r="379">
      <c r="A379" s="2" t="str">
        <f>recipe!C379
</f>
        <v>낚았찌개</v>
      </c>
      <c r="B379" s="2" t="str">
        <f>IFERROR(__xludf.DUMMYFUNCTION("TRIM(
  REGEXEXTRACT(
    raw!A379,
    ""●\s*조리\s*방법([\s\S]*)""
  )
)
"),"1. 토마토를 잘게 썬다.
2. 잘게 썬 토마토를 비닐팩에 담는다.
3. 2에 고추장, 카레가루를 넣고 주물러 잘 섞는다.
4. 대파 흰 부분을 적당한 크기로 썰어 기름을 두른 팬에 넣는다.
5. 돼지고기를 적당한 크기로 썰어 팬에 담고, 다진 마늘, 고춧가루, 간장을 넣어 볶는다.
6. 팬에 볶던 재료에 고추장, 카레가루와 버무린 토마토를 넣고 끓인다.
7. 6에 건새우를 넣는다.
8. 즉석밥을 전자레인지에 돌린다"&amp;".
9. 끓이던 재료에 물을 더해 끓인다.
10. 김을 잘게 찢어 넣는다.
11. 둥근 애호박을 적당한 크기로 썰어 넣는다.
12. 끓이던 재료에 달걀을 넣는다.
13. 즉석밥을 그릇에 담는다.")</f>
        <v>1. 토마토를 잘게 썬다.
2. 잘게 썬 토마토를 비닐팩에 담는다.
3. 2에 고추장, 카레가루를 넣고 주물러 잘 섞는다.
4. 대파 흰 부분을 적당한 크기로 썰어 기름을 두른 팬에 넣는다.
5. 돼지고기를 적당한 크기로 썰어 팬에 담고, 다진 마늘, 고춧가루, 간장을 넣어 볶는다.
6. 팬에 볶던 재료에 고추장, 카레가루와 버무린 토마토를 넣고 끓인다.
7. 6에 건새우를 넣는다.
8. 즉석밥을 전자레인지에 돌린다.
9. 끓이던 재료에 물을 더해 끓인다.
10. 김을 잘게 찢어 넣는다.
11. 둥근 애호박을 적당한 크기로 썰어 넣는다.
12. 끓이던 재료에 달걀을 넣는다.
13. 즉석밥을 그릇에 담는다.</v>
      </c>
    </row>
    <row r="380">
      <c r="A380" s="2" t="str">
        <f>recipe!C380
</f>
        <v>할아버지 최고닭!</v>
      </c>
      <c r="B380" s="2" t="str">
        <f>IFERROR(__xludf.DUMMYFUNCTION("TRIM(
  REGEXEXTRACT(
    raw!A380,
    ""●\s*조리\s*방법([\s\S]*)""
  )
)
"),"1. 닭다리의 살과 뼈를 분리한다.
2. 냄비에 닭다리 뼈와 뜨거운 물을 넣고 끓여 육수를 낸다.
3. 기름을 두른 팬에 닭다리살을 구우며 소금, 후추로 간 한다.
4. 가지, 감자를 적당한 크기로 썰어 기름을 두른 그릴팬에 굽는다.
5. 미니 파프리카도 반으로 썰어 그릴 팬에 굽는다.
6. 그릴팬에서 굽는 채소에 소금, 후추로 간 한다.
7. 팬에 버터와 밀가루를 넣고 볶아 루를 만든 뒤 볼에 담아 둔다.
8. 레"&amp;"몬 껍질만 갈아 볼에 담아둔다.
9. 다른 볼에 레몬즙, 케이퍼 국물을 담아둔다.
10. 케이퍼, 양파, 마늘을 각각 잘게 다진다.
11. 기름을 두른 팬에 껍질을 벗긴 새우를 굽는다.
12. 굽던 새우에 다진 마늘, 소금, 후추, 다진 양파와 케이퍼, 닭육수,
레몬즙&amp;케이퍼국물, 루, 버터, 곱게 간 레몬 껍질을 넣고 함께 익힌다.
13. 접시에 구운 감자&gt; 가지&gt; 파프리카&gt; 닭다리살을 순서대로 올린다.
14. 익힌 "&amp;"새우와 소스를 접시에 담는다.
15. 얇게 썬 대파 흰 부분을 뿌려 마무리한다.")</f>
        <v>1. 닭다리의 살과 뼈를 분리한다.
2. 냄비에 닭다리 뼈와 뜨거운 물을 넣고 끓여 육수를 낸다.
3. 기름을 두른 팬에 닭다리살을 구우며 소금, 후추로 간 한다.
4. 가지, 감자를 적당한 크기로 썰어 기름을 두른 그릴팬에 굽는다.
5. 미니 파프리카도 반으로 썰어 그릴 팬에 굽는다.
6. 그릴팬에서 굽는 채소에 소금, 후추로 간 한다.
7. 팬에 버터와 밀가루를 넣고 볶아 루를 만든 뒤 볼에 담아 둔다.
8. 레몬 껍질만 갈아 볼에 담아둔다.
9. 다른 볼에 레몬즙, 케이퍼 국물을 담아둔다.
10. 케이퍼, 양파, 마늘을 각각 잘게 다진다.
11. 기름을 두른 팬에 껍질을 벗긴 새우를 굽는다.
12. 굽던 새우에 다진 마늘, 소금, 후추, 다진 양파와 케이퍼, 닭육수,
레몬즙&amp;케이퍼국물, 루, 버터, 곱게 간 레몬 껍질을 넣고 함께 익힌다.
13. 접시에 구운 감자&gt; 가지&gt; 파프리카&gt; 닭다리살을 순서대로 올린다.
14. 익힌 새우와 소스를 접시에 담는다.
15. 얇게 썬 대파 흰 부분을 뿌려 마무리한다.</v>
      </c>
    </row>
    <row r="381">
      <c r="A381" s="2" t="str">
        <f>recipe!C381
</f>
        <v>그랜드파더 젠틀롤</v>
      </c>
      <c r="B381" s="2" t="str">
        <f>IFERROR(__xludf.DUMMYFUNCTION("TRIM(
  REGEXEXTRACT(
    raw!A381,
    ""●\s*조리\s*방법([\s\S]*)""
  )
)
"),"1. 토마토에 칼집을 내고 끓는 물에 데친다.
2. 사과, 미니 파프리카를 채 썬다.
3. 감자의 껍질을 벗겨낸 후 채칼로 얇게 썬 뒤, 가늘게 채 썰어 볼에 담아둔다.
4. 데친 토마토를 건져 얼음물에 담가 식히고, 껍질을 벗긴다.
5. 데친 토마토의 꼭지와 씨 부분을 발라내고, 과육 부분만 적당한 크기로 썬다.
6. 채끝살을 얇게 포 떠서 펼친다.
7. 펼친 채끝살에 칼집을 넣어 부드럽게 만든다.
8. 채끝살 위"&amp;"에 삶은 숙주나물, 채 썬 사과와 파프리카, 데친 토마토를 올리고 돌돌 만다.
9. 팬에 버터와 채끝롤을 넣고 버터를 끼얹어가며 굽는다.
10. 우엉을 연필 깎듯 돌려가며 가늘게 썬 뒤, 감자채와 함께 볼에 담는다.
11. 감자&amp;우엉채에 전분을 넣고 섞는다.
12. 두 개의 체 사이에 전분을 묻힌 감자&amp;우엉채를 담아 바구니 모양으로 고정한 뒤, 기름에 튀긴다.
13. 감자&amp;우엉채 튀김의 체를 빼내고 앞뒤로 골고루 튀긴다.
"&amp;"
14. 레드와인, 간장, 설탕, 맛술을 섞어 소스를 만든다.
15. 구운 롤스테이크에 소스를 넣고 조린다.
16. 데친 토마토의 꼭지를 잘라내고, 적당한 크기로 썰어 접시에 담는다.
17. 바구니 모양의 감자&amp;우엉채 튀김을 접시에 올린다.
18. 롤스테이크를 먹기 좋은 크기로 썰어 감자&amp;우엉채 튀김 안에 담고, 소스를 뿌린다.
19. 롤스테이크 위에 잣을 뿌려 마무리한다.")</f>
        <v>1. 토마토에 칼집을 내고 끓는 물에 데친다.
2. 사과, 미니 파프리카를 채 썬다.
3. 감자의 껍질을 벗겨낸 후 채칼로 얇게 썬 뒤, 가늘게 채 썰어 볼에 담아둔다.
4. 데친 토마토를 건져 얼음물에 담가 식히고, 껍질을 벗긴다.
5. 데친 토마토의 꼭지와 씨 부분을 발라내고, 과육 부분만 적당한 크기로 썬다.
6. 채끝살을 얇게 포 떠서 펼친다.
7. 펼친 채끝살에 칼집을 넣어 부드럽게 만든다.
8. 채끝살 위에 삶은 숙주나물, 채 썬 사과와 파프리카, 데친 토마토를 올리고 돌돌 만다.
9. 팬에 버터와 채끝롤을 넣고 버터를 끼얹어가며 굽는다.
10. 우엉을 연필 깎듯 돌려가며 가늘게 썬 뒤, 감자채와 함께 볼에 담는다.
11. 감자&amp;우엉채에 전분을 넣고 섞는다.
12. 두 개의 체 사이에 전분을 묻힌 감자&amp;우엉채를 담아 바구니 모양으로 고정한 뒤, 기름에 튀긴다.
13. 감자&amp;우엉채 튀김의 체를 빼내고 앞뒤로 골고루 튀긴다.
14. 레드와인, 간장, 설탕, 맛술을 섞어 소스를 만든다.
15. 구운 롤스테이크에 소스를 넣고 조린다.
16. 데친 토마토의 꼭지를 잘라내고, 적당한 크기로 썰어 접시에 담는다.
17. 바구니 모양의 감자&amp;우엉채 튀김을 접시에 올린다.
18. 롤스테이크를 먹기 좋은 크기로 썰어 감자&amp;우엉채 튀김 안에 담고, 소스를 뿌린다.
19. 롤스테이크 위에 잣을 뿌려 마무리한다.</v>
      </c>
    </row>
    <row r="382">
      <c r="A382" s="2" t="str">
        <f>recipe!C382
</f>
        <v>제비 몰러 나간 알</v>
      </c>
      <c r="B382" s="2" t="str">
        <f>IFERROR(__xludf.DUMMYFUNCTION("TRIM(
  REGEXEXTRACT(
    raw!A382,
    ""●\s*조리\s*방법([\s\S]*)""
  )
)
"),"1. 옥돔을 손질해 살만 발라낸다.
2. 새우살을 칼 단면으로 내리쳐 으깬다.
3. 옥돔살과 새우살을 함께 다진다.
4. 골뱅이를 잘게 썬 뒤, 다진 옥돔살, 새우살과 함께 볼에 담아둔다.
5. 볼에 담긴 해산물에 생강즙과 녹인 버터를 넣는다.
6. 5에 전분과 달걀물을 넣고 치대 반죽을 만든다.
7. 반죽을 동그랗게 떼어 찜기에 넣고 찐다.
8. 사과, 복숭아, 양파를 잘게 다진다.
9. 냄비에 물을 넣고 끓"&amp;"이다가 레몬즙을 넣는다.
10. 9에 설탕을 넣고, 잘게 다진 사과, 복숭아, 양파를 넣고 졸인다.
11. 파파야, 오이, 양파, 당근을 가늘게 채 썬다.
12. 채 썬 파파야와 채소들을 그릇에 담는다.
13. 쪄낸 완자를 그릇에 담고 제비집을 얹는다.
14. 볼에 간장, 식초, 설탕, 잘게 다진 청양고추, 레몬즙, 굴소스를 넣고 섞어 샐러드드레싱을 만든다.
15. 샐러드에 드레싱을 뿌린다.
16. 조린 과일에 전분"&amp;"물을 넣어 농도를 조절한다.
17. 제비집 완자찜 위에 과일소스를 부어 완성한다.")</f>
        <v>1. 옥돔을 손질해 살만 발라낸다.
2. 새우살을 칼 단면으로 내리쳐 으깬다.
3. 옥돔살과 새우살을 함께 다진다.
4. 골뱅이를 잘게 썬 뒤, 다진 옥돔살, 새우살과 함께 볼에 담아둔다.
5. 볼에 담긴 해산물에 생강즙과 녹인 버터를 넣는다.
6. 5에 전분과 달걀물을 넣고 치대 반죽을 만든다.
7. 반죽을 동그랗게 떼어 찜기에 넣고 찐다.
8. 사과, 복숭아, 양파를 잘게 다진다.
9. 냄비에 물을 넣고 끓이다가 레몬즙을 넣는다.
10. 9에 설탕을 넣고, 잘게 다진 사과, 복숭아, 양파를 넣고 졸인다.
11. 파파야, 오이, 양파, 당근을 가늘게 채 썬다.
12. 채 썬 파파야와 채소들을 그릇에 담는다.
13. 쪄낸 완자를 그릇에 담고 제비집을 얹는다.
14. 볼에 간장, 식초, 설탕, 잘게 다진 청양고추, 레몬즙, 굴소스를 넣고 섞어 샐러드드레싱을 만든다.
15. 샐러드에 드레싱을 뿌린다.
16. 조린 과일에 전분물을 넣어 농도를 조절한다.
17. 제비집 완자찜 위에 과일소스를 부어 완성한다.</v>
      </c>
    </row>
    <row r="383">
      <c r="A383" s="2" t="str">
        <f>recipe!C383
</f>
        <v>타임 투 새우굿</v>
      </c>
      <c r="B383" s="2" t="str">
        <f>IFERROR(__xludf.DUMMYFUNCTION("TRIM(
  REGEXEXTRACT(
    raw!A383,
    ""●\s*조리\s*방법([\s\S]*)""
  )
)
"),"1. 양파와 마늘을 잘게 썬다.
2. 기름을 두른 팬에 손질한 양파와 마늘을 넣고 볶는다.
3. 불고기용 소고기에 후추를 뿌리고 키친타월을 이용해 물기를 뺀다.
4. 볶은 양파와 마늘을 볼에 담고 불고기용 소고기와 함께 섞는다.
5. 소고기 안에 모차렐라 치즈를 넣고 뭉쳐 볼을 만든다.
6. 소고기볼에 칵테일새우를 꽂는다.
7. 기름을 두른 팬에 소고기새우볼을 넣고 뚜껑을 덮어 익힌다.
8. 블랙올리브, 할라피뇨를 "&amp;"적당한 크기로 썰어 볼에 담아둔다.
9. 자두, 양파를 적당한 크기로 썰어 블랙올리브, 할라피뇨와 함께 기름을 두른 팬에 볶는다.
10. 재료를 볶는 팬에 굴소스, 후추를 넣어 양념한 뒤 접시에 담는다.
11. 소고기새우볼을 굽던 팬에 화이트와인을 붓고 뚜껑을 덮어 속까지 익힌다.
12. 소고기새우볼 위에 모차렐라치즈를 올리고 뚜껑을 덮어 익힌다.
13. 대파 흰 부분을 가늘게 채 썰어 밀가루를 묻힌 뒤, 기름에 튀긴다.
"&amp;"
14. 파채튀김을 건져내 기름기를 뺀다.
15. 자두채소볶음 위에 소고기새우볼을 올린다.
16. 접시에 소고기새우볼을 익힌 와인소스를 뿌린 뒤, 파채튀김을 얹어 마무리한다.")</f>
        <v>1. 양파와 마늘을 잘게 썬다.
2. 기름을 두른 팬에 손질한 양파와 마늘을 넣고 볶는다.
3. 불고기용 소고기에 후추를 뿌리고 키친타월을 이용해 물기를 뺀다.
4. 볶은 양파와 마늘을 볼에 담고 불고기용 소고기와 함께 섞는다.
5. 소고기 안에 모차렐라 치즈를 넣고 뭉쳐 볼을 만든다.
6. 소고기볼에 칵테일새우를 꽂는다.
7. 기름을 두른 팬에 소고기새우볼을 넣고 뚜껑을 덮어 익힌다.
8. 블랙올리브, 할라피뇨를 적당한 크기로 썰어 볼에 담아둔다.
9. 자두, 양파를 적당한 크기로 썰어 블랙올리브, 할라피뇨와 함께 기름을 두른 팬에 볶는다.
10. 재료를 볶는 팬에 굴소스, 후추를 넣어 양념한 뒤 접시에 담는다.
11. 소고기새우볼을 굽던 팬에 화이트와인을 붓고 뚜껑을 덮어 속까지 익힌다.
12. 소고기새우볼 위에 모차렐라치즈를 올리고 뚜껑을 덮어 익힌다.
13. 대파 흰 부분을 가늘게 채 썰어 밀가루를 묻힌 뒤, 기름에 튀긴다.
14. 파채튀김을 건져내 기름기를 뺀다.
15. 자두채소볶음 위에 소고기새우볼을 올린다.
16. 접시에 소고기새우볼을 익힌 와인소스를 뿌린 뒤, 파채튀김을 얹어 마무리한다.</v>
      </c>
    </row>
    <row r="384">
      <c r="A384" s="2" t="str">
        <f>recipe!C384
</f>
        <v>묵은지 뚝배기</v>
      </c>
      <c r="B384" s="2" t="str">
        <f>IFERROR(__xludf.DUMMYFUNCTION("TRIM(
  REGEXEXTRACT(
    raw!A384,
    ""●\s*조리\s*방법([\s\S]*)""
  )
)
"),"1. 묵은지, 소고기, 베이컨을 잘게 썰고, 양파는 가늘게 채 썬다.
2. 마른 팬에 소고기, 베이컨, 양파를 넣고 볶는다.
3. 볶던 재료에 후추, 잘게 썬 묵은지를 넣고 함께 볶는다.
4. 당근을 가늘게 채 썰어 팬에 넣고 함께 볶는다.
5. 감자, 불린 표고버섯을 가늘게 채 썰어 함께 볶는다.
6. 애호박을 가늘게 채 썰어 팬에 넣고 다른 재료들과 볶다가
뜨거운 물을 부어 김치보르시를 끓인다.
7. 김치보르시에 소"&amp;"금과 후추로 간 한다.
8. 볼에 레몬즙, 알프레도소스를 넣고 섞어 소스를 만든다.
9. 소스에 달걀노른자를 넣고 섞는다.
10. 10에 후추, 고춧가루를 넣고 섞는다.
11. 양배추를 채 썰어 김치보르시에 넣고 끓인다.
12. 소스에 김치보르시 국물만 넣고 섞는다.
13. 12를 김치보르시에 붓고 끓인다.
14. 김치보르시를 뚝배기에 옮겨 담고 끓이다가 잘게 썬 대파를 올려 마무리한다.")</f>
        <v>1. 묵은지, 소고기, 베이컨을 잘게 썰고, 양파는 가늘게 채 썬다.
2. 마른 팬에 소고기, 베이컨, 양파를 넣고 볶는다.
3. 볶던 재료에 후추, 잘게 썬 묵은지를 넣고 함께 볶는다.
4. 당근을 가늘게 채 썰어 팬에 넣고 함께 볶는다.
5. 감자, 불린 표고버섯을 가늘게 채 썰어 함께 볶는다.
6. 애호박을 가늘게 채 썰어 팬에 넣고 다른 재료들과 볶다가
뜨거운 물을 부어 김치보르시를 끓인다.
7. 김치보르시에 소금과 후추로 간 한다.
8. 볼에 레몬즙, 알프레도소스를 넣고 섞어 소스를 만든다.
9. 소스에 달걀노른자를 넣고 섞는다.
10. 10에 후추, 고춧가루를 넣고 섞는다.
11. 양배추를 채 썰어 김치보르시에 넣고 끓인다.
12. 소스에 김치보르시 국물만 넣고 섞는다.
13. 12를 김치보르시에 붓고 끓인다.
14. 김치보르시를 뚝배기에 옮겨 담고 끓이다가 잘게 썬 대파를 올려 마무리한다.</v>
      </c>
    </row>
    <row r="385">
      <c r="A385" s="2" t="str">
        <f>recipe!C385
</f>
        <v>부자 나초</v>
      </c>
      <c r="B385" s="2" t="str">
        <f>IFERROR(__xludf.DUMMYFUNCTION("TRIM(
  REGEXEXTRACT(
    raw!A385,
    ""●\s*조리\s*방법([\s\S]*)""
  )
)
"),"1. 양파를 잘게 썬다.
2. 김치를 잘게 썰고 국물을 짜낸다.
3. 기름을 두른 팬에 잘게 썬 양파와 김치를 볶는다.
4. 떡갈비를 잘게 다져 팬에 넣고 후추, 화이트와인을 더해 볶는다.
5. 냄비에 토마토소스, 피치망고잼, 스테이크소스, 고형카레를 넣고 소스를 끓인다.
6. 소스에 뜨거운 물을 붓고 끓이다 볶은 재료에 부어 김치토마토소스를 만든다.
7. 김치토마토소스에 핫소스를 넣는다.
8. 대파, 청양고추를 잘"&amp;"게 썬다.
9. 전자레인지에 즉석밥을 돌린다.
10. 얼음물 위에 스테인레스 볼을 올리고, 밥을 담아 식힌다.
11. 식힌 밥에 볶은 김치토마토소스을 넣고 섞는다.
12. 유부 안에 양념한 밥을 채워 넣고 김치유부초밥을 만든다.
13. 오븐용 그릇에 나초를 넓게 깐다.
14. 나초 위에 김치토마토소스, 모차렐라 치즈, 슬라이스 체다치즈를 올린다.
15. 예열한 오븐에 소스를 얹은 나초를 넣고 치즈가 녹을 때까지 익힌"&amp;"다.
16. 오븐에서 익힌 나초를 꺼내 위에 잘게 썬 대파와 청양고추, 블랙올리브를 올려 완성한다.")</f>
        <v>1. 양파를 잘게 썬다.
2. 김치를 잘게 썰고 국물을 짜낸다.
3. 기름을 두른 팬에 잘게 썬 양파와 김치를 볶는다.
4. 떡갈비를 잘게 다져 팬에 넣고 후추, 화이트와인을 더해 볶는다.
5. 냄비에 토마토소스, 피치망고잼, 스테이크소스, 고형카레를 넣고 소스를 끓인다.
6. 소스에 뜨거운 물을 붓고 끓이다 볶은 재료에 부어 김치토마토소스를 만든다.
7. 김치토마토소스에 핫소스를 넣는다.
8. 대파, 청양고추를 잘게 썬다.
9. 전자레인지에 즉석밥을 돌린다.
10. 얼음물 위에 스테인레스 볼을 올리고, 밥을 담아 식힌다.
11. 식힌 밥에 볶은 김치토마토소스을 넣고 섞는다.
12. 유부 안에 양념한 밥을 채워 넣고 김치유부초밥을 만든다.
13. 오븐용 그릇에 나초를 넓게 깐다.
14. 나초 위에 김치토마토소스, 모차렐라 치즈, 슬라이스 체다치즈를 올린다.
15. 예열한 오븐에 소스를 얹은 나초를 넣고 치즈가 녹을 때까지 익힌다.
16. 오븐에서 익힌 나초를 꺼내 위에 잘게 썬 대파와 청양고추, 블랙올리브를 올려 완성한다.</v>
      </c>
    </row>
    <row r="386">
      <c r="A386" s="2" t="str">
        <f>recipe!C386
</f>
        <v>튀튀빵빵</v>
      </c>
      <c r="B386" s="2" t="str">
        <f>IFERROR(__xludf.DUMMYFUNCTION("TRIM(
  REGEXEXTRACT(
    raw!A386,
    ""●\s*조리\s*방법([\s\S]*)""
  )
)
"),"1. 밀가루를 체에 친다.
2. 체 친 밀가루에 소금과 설탕을 넣는다.
3. 2에 이스트를 넣고, 뜨거운 물을 부어가며 반죽한 후 충분히 발효시킨다.
4. 사과와 자두, 오렌지를 손질해 플레이팅한다.
5. 냄비에 기름을 끓이다가, 코코넛오일을 넣어 함께 끓인다.
6. 발효시킨 반죽을 적당한 양으로 떼어 기름에 튀긴다.
7. 튀긴 빵을 건져 기름을 뺀다.
8. 과일이 담긴 접시 위에 튀긴 빵을 올리고 연유를 뿌린다.
"&amp;"
9. 소스용 접시에 연유와 꿀을 따로 낸다.")</f>
        <v>1. 밀가루를 체에 친다.
2. 체 친 밀가루에 소금과 설탕을 넣는다.
3. 2에 이스트를 넣고, 뜨거운 물을 부어가며 반죽한 후 충분히 발효시킨다.
4. 사과와 자두, 오렌지를 손질해 플레이팅한다.
5. 냄비에 기름을 끓이다가, 코코넛오일을 넣어 함께 끓인다.
6. 발효시킨 반죽을 적당한 양으로 떼어 기름에 튀긴다.
7. 튀긴 빵을 건져 기름을 뺀다.
8. 과일이 담긴 접시 위에 튀긴 빵을 올리고 연유를 뿌린다.
9. 소스용 접시에 연유와 꿀을 따로 낸다.</v>
      </c>
    </row>
    <row r="387">
      <c r="A387" s="2" t="str">
        <f>recipe!C387
</f>
        <v>두밥두밥 두부두밥♬</v>
      </c>
      <c r="B387" s="2" t="str">
        <f>IFERROR(__xludf.DUMMYFUNCTION("TRIM(
  REGEXEXTRACT(
    raw!A387,
    ""●\s*조리\s*방법([\s\S]*)""
  )
)
"),"1. 두부를 적당한 두께로 썰어 키친타올로 감싸 물기를 제거한다.
2. 아보카도는 씨를 빼고, 껍질을 벗긴다.
3. 불고기용 소고기를 적당한 크기로 썰어 볼에 담아둔다.
4. 마늘을 잘게 다진다.
5. 손질한 불고기용 소고기에 청주, 맛술, 간장, 다진 마늘, 채 썬 적양파를 넣고 버무린다.
6. 비닐팩에 전분, 밀가루를 넣고 섞는다.
7. 두부 사이에 밥을 끼워 샌드를 만들고, 섞어둔 밀가루&amp;전분을 묻힌다.
8. "&amp;"튀김옷을 입힌 두부샌드를 기름에 튀긴다.
9. 손질한 아보카도를 적당한 두께로 썰어 사이에 밥을 넣어 샌드를 만든 뒤,
섞어둔 밀가루&amp;전분을 묻혀 기름에 튀긴다.
10. 애호박과 표고버섯을 적당한 크기로 썰어 기름을 두른 팬에 볶는다.
11. 배의 껍질을 깎고, 적당한 크기로 썰어 믹서기에 담는다.
12. 믹서기에 김밥용 우엉을 넣고 배와 함께 갈아 소스를 만든다.
13. 볶은 애호박과 표고버섯을 볼에 담아둔다.
14."&amp;" 마른 팬에 양념한 불고기를 볶는다.
15. 믹서로 간 소스를 체에 밭쳐 내린다.
16. 볶던 불고기에 소스, 전분물, 뜨거운 물, 간장, 설탕, 매실액을 넣는다.
17. 불고기를 볶은 팬에 볶아뒀던 채소를 넣고 다시 한 번 볶는다.
18. 두부샌드와 아보카도샌드를 적당한 크기로 썰어 접시에 담는다.
19. 18 위에 불고기를 얹는다.
20. 매운 수제양념장을 곁들여 낸다.")</f>
        <v>1. 두부를 적당한 두께로 썰어 키친타올로 감싸 물기를 제거한다.
2. 아보카도는 씨를 빼고, 껍질을 벗긴다.
3. 불고기용 소고기를 적당한 크기로 썰어 볼에 담아둔다.
4. 마늘을 잘게 다진다.
5. 손질한 불고기용 소고기에 청주, 맛술, 간장, 다진 마늘, 채 썬 적양파를 넣고 버무린다.
6. 비닐팩에 전분, 밀가루를 넣고 섞는다.
7. 두부 사이에 밥을 끼워 샌드를 만들고, 섞어둔 밀가루&amp;전분을 묻힌다.
8. 튀김옷을 입힌 두부샌드를 기름에 튀긴다.
9. 손질한 아보카도를 적당한 두께로 썰어 사이에 밥을 넣어 샌드를 만든 뒤,
섞어둔 밀가루&amp;전분을 묻혀 기름에 튀긴다.
10. 애호박과 표고버섯을 적당한 크기로 썰어 기름을 두른 팬에 볶는다.
11. 배의 껍질을 깎고, 적당한 크기로 썰어 믹서기에 담는다.
12. 믹서기에 김밥용 우엉을 넣고 배와 함께 갈아 소스를 만든다.
13. 볶은 애호박과 표고버섯을 볼에 담아둔다.
14. 마른 팬에 양념한 불고기를 볶는다.
15. 믹서로 간 소스를 체에 밭쳐 내린다.
16. 볶던 불고기에 소스, 전분물, 뜨거운 물, 간장, 설탕, 매실액을 넣는다.
17. 불고기를 볶은 팬에 볶아뒀던 채소를 넣고 다시 한 번 볶는다.
18. 두부샌드와 아보카도샌드를 적당한 크기로 썰어 접시에 담는다.
19. 18 위에 불고기를 얹는다.
20. 매운 수제양념장을 곁들여 낸다.</v>
      </c>
    </row>
    <row r="388">
      <c r="A388" s="2" t="str">
        <f>recipe!C388
</f>
        <v>소주 한 잔 참치마</v>
      </c>
      <c r="B388" s="2" t="str">
        <f>IFERROR(__xludf.DUMMYFUNCTION("TRIM(
  REGEXEXTRACT(
    raw!A388,
    ""●\s*조리\s*방법([\s\S]*)""
  )
)
"),"1. 마른 팬에 참치 통조림을 넣고 볶는다.
2. 청양고추의 씨를 뺀다.
3. 씨를 뺀 청양고추와 마늘을 잘게 다져 팬에 넣고 참치와 함께 볶는다.
4. 볶던 재료에 간장, 고춧가루, 물을 넣고 끓인다.
5. 떡볶이 떡, 대파를 적당한 크기로 썰어 팬에 넣고 다른 재료들과 함께 조린다.
6. 볼에 간장, 식초, 라임즙, 다진 마늘, 설탕, 다진 대파를 넣고 섞어 소스를 만든다.
7. 적양파를 가늘게 채 썰어 밀가루와 전분"&amp;"에 묻힌다.
8. 청양고추를 길게 썬 뒤, 밀가루와 전분에 묻힌다.
9. 튀김옷을 입힌 적양파와 청양고추를 기름에 튀긴다.
10. 기름을 끓이던 팬에 고춧가루를 넣고 끓인 뒤, 체에 밭쳐 걸러 고추기름을 만든다.
11. 그릇에 조린 참치를 담는다.
12. 아보카도를 얇게 썰어 참치 위에 올리고 소금, 잘게 썬 청양고추, 고추기름을 뿌린다.
13. 적양파튀김과 청양고추튀김을 건져 기름을 뺀 뒤, 그릇에 담고 소스를 뿌린다."&amp;"
14. 대파를 가늘게 채 썰어 올린 뒤, 깨를 뿌려 마무리한다.")</f>
        <v>1. 마른 팬에 참치 통조림을 넣고 볶는다.
2. 청양고추의 씨를 뺀다.
3. 씨를 뺀 청양고추와 마늘을 잘게 다져 팬에 넣고 참치와 함께 볶는다.
4. 볶던 재료에 간장, 고춧가루, 물을 넣고 끓인다.
5. 떡볶이 떡, 대파를 적당한 크기로 썰어 팬에 넣고 다른 재료들과 함께 조린다.
6. 볼에 간장, 식초, 라임즙, 다진 마늘, 설탕, 다진 대파를 넣고 섞어 소스를 만든다.
7. 적양파를 가늘게 채 썰어 밀가루와 전분에 묻힌다.
8. 청양고추를 길게 썬 뒤, 밀가루와 전분에 묻힌다.
9. 튀김옷을 입힌 적양파와 청양고추를 기름에 튀긴다.
10. 기름을 끓이던 팬에 고춧가루를 넣고 끓인 뒤, 체에 밭쳐 걸러 고추기름을 만든다.
11. 그릇에 조린 참치를 담는다.
12. 아보카도를 얇게 썰어 참치 위에 올리고 소금, 잘게 썬 청양고추, 고추기름을 뿌린다.
13. 적양파튀김과 청양고추튀김을 건져 기름을 뺀 뒤, 그릇에 담고 소스를 뿌린다.
14. 대파를 가늘게 채 썰어 올린 뒤, 깨를 뿌려 마무리한다.</v>
      </c>
    </row>
    <row r="389">
      <c r="A389" s="2" t="str">
        <f>recipe!C389
</f>
        <v>두부세요~ 나야♬</v>
      </c>
      <c r="B389" s="2" t="str">
        <f>IFERROR(__xludf.DUMMYFUNCTION("TRIM(
  REGEXEXTRACT(
    raw!A389,
    ""●\s*조리\s*방법([\s\S]*)""
  )
)
"),"1. 마늘은 으깬 뒤 잘게 다진다.
2. 대파 흰 부분, 청양고추를 적당한 크기로 썬다.
3. 마른 팬에 으깬 마늘, 적당한 크기로 썬 대파와 청양고추를 볶는다.
4. 적양파를 잘게 썰어 팬에 넣고 함께 볶는다.
5. 채소를 볶던 팬에 기름을 넉넉히 두르고 고춧가루를 넣어 볶는다.
6. 표고버섯을 잘게 썰어 팬에 넣는다.
7. 불고기용 소고기를 잘게 다져 팬에 넣고 다른 재료들과 함께 볶는다.
8. 새우젓을 으깬 뒤"&amp;" 볶던 재료에 넣어 간한다.
9. 볶던 재료에 굴소스와 맛술을 넣는다.
10. 볶은 재료에 뜨거운 물을 부어 끓인다.
11. 11에 식초, 잘게 찢은 태국고추를 넣는다.
12. 떡볶이 떡을 잘게 썰어 팬에 넣고 함께 끓인다.
13. 두부를 깍둑썰기한 뒤, 팬에 넣고 다른 재료들과 함께 끓인다.
14. 굴소스와 소금으로 간 한다.
15. 부추를 적당한 크기로 썰어 팬에 넣고 끓인다.
16. 후추를 뿌려 마무리 한"&amp;" 뒤, 완성된 요리를 그릇에 담아낸다.")</f>
        <v>1. 마늘은 으깬 뒤 잘게 다진다.
2. 대파 흰 부분, 청양고추를 적당한 크기로 썬다.
3. 마른 팬에 으깬 마늘, 적당한 크기로 썬 대파와 청양고추를 볶는다.
4. 적양파를 잘게 썰어 팬에 넣고 함께 볶는다.
5. 채소를 볶던 팬에 기름을 넉넉히 두르고 고춧가루를 넣어 볶는다.
6. 표고버섯을 잘게 썰어 팬에 넣는다.
7. 불고기용 소고기를 잘게 다져 팬에 넣고 다른 재료들과 함께 볶는다.
8. 새우젓을 으깬 뒤 볶던 재료에 넣어 간한다.
9. 볶던 재료에 굴소스와 맛술을 넣는다.
10. 볶은 재료에 뜨거운 물을 부어 끓인다.
11. 11에 식초, 잘게 찢은 태국고추를 넣는다.
12. 떡볶이 떡을 잘게 썰어 팬에 넣고 함께 끓인다.
13. 두부를 깍둑썰기한 뒤, 팬에 넣고 다른 재료들과 함께 끓인다.
14. 굴소스와 소금으로 간 한다.
15. 부추를 적당한 크기로 썰어 팬에 넣고 끓인다.
16. 후추를 뿌려 마무리 한 뒤, 완성된 요리를 그릇에 담아낸다.</v>
      </c>
    </row>
    <row r="390">
      <c r="A390" s="2" t="str">
        <f>recipe!C390
</f>
        <v>가위로 오리면</v>
      </c>
      <c r="B390" s="2" t="str">
        <f>IFERROR(__xludf.DUMMYFUNCTION("TRIM(
  REGEXEXTRACT(
    raw!A390,
    ""●\s*조리\s*방법([\s\S]*)""
  )
)
"),"1. 볼에 밀가루, 소금, 물을 넣고 치대어 면 반죽을 만든다.
2. 다른 볼로 반죽을 덮어놓고 숙성시킨다.
3. 적양파를 가늘게 채 썬다.
4. 기름을 두른 팬에 슬라이스 된 훈제오리살을 넣고 지진다.
5. 마늘을 으깨고, 대파 흰 부분을 적당한 크기로 썰어 함께 볼에 담아둔다.
6. 아스파라거스와 표고버섯을 적당한 크기로 썰어 채 썬 적양파와 함께 섞어둔다.
7. 연근의 껍질을 벗겨내고 적당한 크기로 썰어 채소들과 함"&amp;"께 둔다.
8. 지진 훈제오리살을 체에 밭쳐 기름기를 뺀다.
9. 오리를 지졌던 팬에 으깬 마늘과 손질한 대파를 넣고 볶는다.
10. 손질한 채소들도 함께 넣고 볶는다.
11. 숙성시킨 면 반죽을, 적당한 크기로 잘라 끓는 물에 넣고 삶는다.
12. 볶던 채소에 간장, 돼지갈비 양념, 귤즙, 소금, 후추, 맛술을 넣는다.
13. 삶은 가위면을 체에 밭치고 찬물에 헹궈 식힌다.
14. 식힌 가위면을 볶던 채소에 넣고 "&amp;"함께 볶는다.
15. 볶은 면과 채소에 지진 훈제오리살을 넣고 함께 볶는다.
16. 완성된 요리를 그릇에 담아 마무리한다.")</f>
        <v>1. 볼에 밀가루, 소금, 물을 넣고 치대어 면 반죽을 만든다.
2. 다른 볼로 반죽을 덮어놓고 숙성시킨다.
3. 적양파를 가늘게 채 썬다.
4. 기름을 두른 팬에 슬라이스 된 훈제오리살을 넣고 지진다.
5. 마늘을 으깨고, 대파 흰 부분을 적당한 크기로 썰어 함께 볼에 담아둔다.
6. 아스파라거스와 표고버섯을 적당한 크기로 썰어 채 썬 적양파와 함께 섞어둔다.
7. 연근의 껍질을 벗겨내고 적당한 크기로 썰어 채소들과 함께 둔다.
8. 지진 훈제오리살을 체에 밭쳐 기름기를 뺀다.
9. 오리를 지졌던 팬에 으깬 마늘과 손질한 대파를 넣고 볶는다.
10. 손질한 채소들도 함께 넣고 볶는다.
11. 숙성시킨 면 반죽을, 적당한 크기로 잘라 끓는 물에 넣고 삶는다.
12. 볶던 채소에 간장, 돼지갈비 양념, 귤즙, 소금, 후추, 맛술을 넣는다.
13. 삶은 가위면을 체에 밭치고 찬물에 헹궈 식힌다.
14. 식힌 가위면을 볶던 채소에 넣고 함께 볶는다.
15. 볶은 면과 채소에 지진 훈제오리살을 넣고 함께 볶는다.
16. 완성된 요리를 그릇에 담아 마무리한다.</v>
      </c>
    </row>
    <row r="391">
      <c r="A391" s="2" t="str">
        <f>recipe!C391
</f>
        <v>오늘부터 오리는♬</v>
      </c>
      <c r="B391" s="2" t="str">
        <f>IFERROR(__xludf.DUMMYFUNCTION("TRIM(
  REGEXEXTRACT(
    raw!A391,
    ""●\s*조리\s*방법([\s\S]*)""
  )
)
"),"1. 아스파라거스를 적당한 크기로 잘라, 소금을 뿌린 뜨거운 물에 넣고 살짝 데친다.
2. 적양파를 가늘게 채 썬다.
3. 마른 팬에 채 썬 적양파를 넣고 볶는다.
4. 오리고기의 껍질과 살을 분리해 절반의 오리살을 핸드블렌더로 갈아 볼에 담아둔다.
5. 남은 절반의 오리살을 칼로 잘게 다진다.
6. 간 오리살과 다진 오리살을 섞어 패티반죽을 만든다..
7. 패티반죽을 적당한 크기로 뭉쳐 패티를 만들고, 소금, 후추,
"&amp;"올리브오일을 뿌린 뒤 골고루 발라준다.
8. 기름을 두른 그릴팬에 오리패티를 굽는다.
9. 8에 소금, 후추로 간 한다.
10. 데친 아스파라거스를 그릴팬 한 쪽에서 굽는다.
11. 복숭아를 적당한 크기로 잘라 껍질을 벗기고 그릴팬에 굽는다.
12. 볶던 적양파에 레드와인, 물, 소금을 넣고 볶아 어니언 페이스트를 만든다.
13. 접시에 구운 아스파라거스를 담고, 어니언 페이스트를 올린다.
14. 귤을 반으로 썰어 "&amp;"즙만 짜낸다.
15. 냄비에 귤즙, 레몬즙, 소금, 버터를 넣고 귤소스를 만든다.
16. 귤소스를 넓은 팬에 옮겨 담고, 버터, 밀가루를 넣어 졸인다.
17. 어니언 페이스트 위에 구운 오리패티를 올리고 구운 복숭아를 얹는다.
18. 귤소스를 뿌려 마무리한다.")</f>
        <v>1. 아스파라거스를 적당한 크기로 잘라, 소금을 뿌린 뜨거운 물에 넣고 살짝 데친다.
2. 적양파를 가늘게 채 썬다.
3. 마른 팬에 채 썬 적양파를 넣고 볶는다.
4. 오리고기의 껍질과 살을 분리해 절반의 오리살을 핸드블렌더로 갈아 볼에 담아둔다.
5. 남은 절반의 오리살을 칼로 잘게 다진다.
6. 간 오리살과 다진 오리살을 섞어 패티반죽을 만든다..
7. 패티반죽을 적당한 크기로 뭉쳐 패티를 만들고, 소금, 후추,
올리브오일을 뿌린 뒤 골고루 발라준다.
8. 기름을 두른 그릴팬에 오리패티를 굽는다.
9. 8에 소금, 후추로 간 한다.
10. 데친 아스파라거스를 그릴팬 한 쪽에서 굽는다.
11. 복숭아를 적당한 크기로 잘라 껍질을 벗기고 그릴팬에 굽는다.
12. 볶던 적양파에 레드와인, 물, 소금을 넣고 볶아 어니언 페이스트를 만든다.
13. 접시에 구운 아스파라거스를 담고, 어니언 페이스트를 올린다.
14. 귤을 반으로 썰어 즙만 짜낸다.
15. 냄비에 귤즙, 레몬즙, 소금, 버터를 넣고 귤소스를 만든다.
16. 귤소스를 넓은 팬에 옮겨 담고, 버터, 밀가루를 넣어 졸인다.
17. 어니언 페이스트 위에 구운 오리패티를 올리고 구운 복숭아를 얹는다.
18. 귤소스를 뿌려 마무리한다.</v>
      </c>
    </row>
    <row r="392">
      <c r="A392" s="2" t="str">
        <f>recipe!C392
</f>
        <v>고등어가 놀라유</v>
      </c>
      <c r="B392" s="2" t="str">
        <f>IFERROR(__xludf.DUMMYFUNCTION("TRIM(
  REGEXEXTRACT(
    raw!A392,
    ""●\s*조리\s*방법([\s\S]*)""
  )
)
"),"1. 무쇠냄비에 카놀라유를 끓인다.
2. 고등어의 잔가시를 제거한다.
3. 고등어 등부분에 칼집을 내고 청주, 생강즙에 담가둔다.
4. 강판에 마늘을 갈아 볼에 담고, 다진 생강, 다진 고추, 적당한 크기로 썬 대파 흰 부분을 섞는다.
5. 4에 간장, 맛술, 뜨거운 물을 넣고 양념장을 만든다.
6. 고등어를 내열접시에 옮겨 담고, 양념장, 매운 고춧가루를 뿌린 뒤 그릇 채로 찜기에 넣는다.
7. 양파를 잘게 썰어 고등어"&amp;"를 담은 내열접시에 올리고 찜기 뚜껑을 닫은 후 찐다.
8. 즉석밥을 전자레인지에 돌린다.
9. 아이스군고구마를 적당한 크기로 자른 뒤, 기름을 두른 팬에 익힌다.
10. 익힌 군고구마를 체에 밭쳐 기름기를 뺀다.
11. 군고구마를 익혔던 팬에 설탕, 물엿을 넣고 끓여 맛탕소스를 만든다.
12. 익힌 군고구마를 맛탕소스에 넣고 섞는다.
13. 접시에 고구마 맛탕을 담아낸다.
14. 그릇에 밥을 담는다.
15. "&amp;"고등어 찜 위에 끓인 카놀라유를 뿌린다.
16. 고등어 찜의 기름기를 걷어내고 마무리한다.")</f>
        <v>1. 무쇠냄비에 카놀라유를 끓인다.
2. 고등어의 잔가시를 제거한다.
3. 고등어 등부분에 칼집을 내고 청주, 생강즙에 담가둔다.
4. 강판에 마늘을 갈아 볼에 담고, 다진 생강, 다진 고추, 적당한 크기로 썬 대파 흰 부분을 섞는다.
5. 4에 간장, 맛술, 뜨거운 물을 넣고 양념장을 만든다.
6. 고등어를 내열접시에 옮겨 담고, 양념장, 매운 고춧가루를 뿌린 뒤 그릇 채로 찜기에 넣는다.
7. 양파를 잘게 썰어 고등어를 담은 내열접시에 올리고 찜기 뚜껑을 닫은 후 찐다.
8. 즉석밥을 전자레인지에 돌린다.
9. 아이스군고구마를 적당한 크기로 자른 뒤, 기름을 두른 팬에 익힌다.
10. 익힌 군고구마를 체에 밭쳐 기름기를 뺀다.
11. 군고구마를 익혔던 팬에 설탕, 물엿을 넣고 끓여 맛탕소스를 만든다.
12. 익힌 군고구마를 맛탕소스에 넣고 섞는다.
13. 접시에 고구마 맛탕을 담아낸다.
14. 그릇에 밥을 담는다.
15. 고등어 찜 위에 끓인 카놀라유를 뿌린다.
16. 고등어 찜의 기름기를 걷어내고 마무리한다.</v>
      </c>
    </row>
    <row r="393">
      <c r="A393" s="2" t="str">
        <f>recipe!C393
</f>
        <v>고등어 하나만 허락해주소서♬</v>
      </c>
      <c r="B393" s="2" t="str">
        <f>IFERROR(__xludf.DUMMYFUNCTION("TRIM(
  REGEXEXTRACT(
    raw!A393,
    ""●\s*조리\s*방법([\s\S]*)""
  )
)
"),"1. 고등어를 청주에 담가 비린내를 제거하고, 잔가시를 제거한다.
2. 고등어 등 부분에 칼집을 낸다.
3. 마른 팬에 고등어를 살 부분부터 익힌다.
4. 고등어를 익히는 팬에 물, 청주, 맛술, 설탕, 생강즙을 넣어 끓이다 거품을 걷어낸다.
5. 고등어를 익히는 팬에 간장을 넣고 고등어에 양념을 끼얹어가며 조린다.
6. 즉석밥을 전자레인지에 돌린다.
7. 감자를 적당한 크기로 썰어 뜨거운 물에 삶는다.
8. 볼에 "&amp;"명란젓을 담고 마요네즈와 섞는다.
9. 옥수수 통조림의 내용물을 체에 밭쳐 건더기만 건져 볼에 담는다.
10. 삶은 감자를 체에 밭쳐 물기를 제거하고, 볼에 담아 재료들과 함께 으깬다.
11. 10에 소금으로 간한다.
12. 버터를 두른 팬에 적당한 크기로 뭉친 명란감자를 굽는다.
13. 아스파라거스를 적당한 크기로 썰고, 고등어조림에 넣어 익힌다.
14. 접시에 완성된 명란감자를 담는다.
15. 볼에 밥을 담고, "&amp;"깨, 참기름을 넣고 섞은 뒤 적당한 크기로 뭉쳐 접시에 담는다.
16. 명란감자 위에 고등어조림, 조림양념, 아스파라거스를 얹어 마무리한다.")</f>
        <v>1. 고등어를 청주에 담가 비린내를 제거하고, 잔가시를 제거한다.
2. 고등어 등 부분에 칼집을 낸다.
3. 마른 팬에 고등어를 살 부분부터 익힌다.
4. 고등어를 익히는 팬에 물, 청주, 맛술, 설탕, 생강즙을 넣어 끓이다 거품을 걷어낸다.
5. 고등어를 익히는 팬에 간장을 넣고 고등어에 양념을 끼얹어가며 조린다.
6. 즉석밥을 전자레인지에 돌린다.
7. 감자를 적당한 크기로 썰어 뜨거운 물에 삶는다.
8. 볼에 명란젓을 담고 마요네즈와 섞는다.
9. 옥수수 통조림의 내용물을 체에 밭쳐 건더기만 건져 볼에 담는다.
10. 삶은 감자를 체에 밭쳐 물기를 제거하고, 볼에 담아 재료들과 함께 으깬다.
11. 10에 소금으로 간한다.
12. 버터를 두른 팬에 적당한 크기로 뭉친 명란감자를 굽는다.
13. 아스파라거스를 적당한 크기로 썰고, 고등어조림에 넣어 익힌다.
14. 접시에 완성된 명란감자를 담는다.
15. 볼에 밥을 담고, 깨, 참기름을 넣고 섞은 뒤 적당한 크기로 뭉쳐 접시에 담는다.
16. 명란감자 위에 고등어조림, 조림양념, 아스파라거스를 얹어 마무리한다.</v>
      </c>
    </row>
    <row r="394">
      <c r="A394" s="2" t="str">
        <f>recipe!C394
</f>
        <v>블링토볼</v>
      </c>
      <c r="B394" s="2" t="str">
        <f>IFERROR(__xludf.DUMMYFUNCTION("TRIM(
  REGEXEXTRACT(
    raw!A394,
    ""●\s*조리\s*방법([\s\S]*)""
  )
)
"),"1. 토마토를 잘게 썰어 볼에 담아둔다.
2. 양파를 잘게 썰어 토마토와 함께 볼에 담아둔다.
3. 잘게 썬 토마토와 양파에 소금, 식초, 설탕을 넣고 섞는다.
4. 3에 후추, 올리브오일을 넣고 섞어 토마토살사를 만든다.
5. 적당한 크기로 썬 양파, 마늘, 고추, 대파를 핸드블렌더로 간다.
6. 5에 적당한 크기로 썬 살치살을 넣고 다시 한 번 간다.
7. 핸드블렌더로 간 재료에 식용유를 넣는다.
8. 핸드블렌더"&amp;" 속 재료들에 조미료를 넣은 뒤, 다시 갈아준다.
9. 마른 팬에 간 재료들을 넣고 볶는다.
10. 끓인 물에 달걀을 넣고 반숙으로 익힌다.
11. 즉석밥을 전자레인지에 돌린다.
12. 샐러드용 채소를 적당한 크기로 썬다.
13. 볶던 고기에 후추를 넣는다.
14. 접시에 밥을 담는다.
15. 달걀을 익힌 냄비의 불을 끈다.
16. 밥 위에 볶은 고기, 샐러드용 채소, 토마토살사를 얹는다.
17. 반숙으로"&amp;" 익힌 달걀을 올려 마무리한다.")</f>
        <v>1. 토마토를 잘게 썰어 볼에 담아둔다.
2. 양파를 잘게 썰어 토마토와 함께 볼에 담아둔다.
3. 잘게 썬 토마토와 양파에 소금, 식초, 설탕을 넣고 섞는다.
4. 3에 후추, 올리브오일을 넣고 섞어 토마토살사를 만든다.
5. 적당한 크기로 썬 양파, 마늘, 고추, 대파를 핸드블렌더로 간다.
6. 5에 적당한 크기로 썬 살치살을 넣고 다시 한 번 간다.
7. 핸드블렌더로 간 재료에 식용유를 넣는다.
8. 핸드블렌더 속 재료들에 조미료를 넣은 뒤, 다시 갈아준다.
9. 마른 팬에 간 재료들을 넣고 볶는다.
10. 끓인 물에 달걀을 넣고 반숙으로 익힌다.
11. 즉석밥을 전자레인지에 돌린다.
12. 샐러드용 채소를 적당한 크기로 썬다.
13. 볶던 고기에 후추를 넣는다.
14. 접시에 밥을 담는다.
15. 달걀을 익힌 냄비의 불을 끈다.
16. 밥 위에 볶은 고기, 샐러드용 채소, 토마토살사를 얹는다.
17. 반숙으로 익힌 달걀을 올려 마무리한다.</v>
      </c>
    </row>
    <row r="395">
      <c r="A395" s="2" t="str">
        <f>recipe!C395
</f>
        <v>입맛다시징</v>
      </c>
      <c r="B395" s="2" t="str">
        <f>IFERROR(__xludf.DUMMYFUNCTION("TRIM(
  REGEXEXTRACT(
    raw!A395,
    ""●\s*조리\s*방법([\s\S]*)""
  )
)
"),"1. 오징어의 껍질을 벗긴다.
2. 껍질을 벗긴 오징어에 촘촘히 칼집을 낸다.
3. 칼집을 낸 오징어를 적당한 크기로 썬다.
4. 적당한 크기로 썬 오징어에 뜨거운 물을 부어 데친다
5. 전자레인지에 즉석밥을 돌린다.
6. 대파 흰 부분, 양파, 청양고추, 태국고추를 적당한 크기로 썬다.
7. 볼에 뜨거운 물을 담고, 조미료를 푼다.
8. 기름을 두른 팬에 다진 마늘, 적당한 크기로 썬 청양고추와 태국고추를 넣고 볶"&amp;"는다.
9. 8에 적당한 크기로 썬 양파, 간장, 조미료를 푼 물을 넣고 볶는다.
10. 볶던 채소에 물을 넣어 간을 맞춘다.
11. 볶던 채소에 전분물, 참기름을 넣는다.
12. 11에 칼집을 내 데친 오징어와 적당한 크기로 썬 엔다이브를 넣고 함께 볶는다.
13. 접시에 오징어채소볶음을 담는다.
14. 오징어채소볶음 위에 참기름을 뿌린다.
15. 접시에 밥을 따로 담아낸다.")</f>
        <v>1. 오징어의 껍질을 벗긴다.
2. 껍질을 벗긴 오징어에 촘촘히 칼집을 낸다.
3. 칼집을 낸 오징어를 적당한 크기로 썬다.
4. 적당한 크기로 썬 오징어에 뜨거운 물을 부어 데친다
5. 전자레인지에 즉석밥을 돌린다.
6. 대파 흰 부분, 양파, 청양고추, 태국고추를 적당한 크기로 썬다.
7. 볼에 뜨거운 물을 담고, 조미료를 푼다.
8. 기름을 두른 팬에 다진 마늘, 적당한 크기로 썬 청양고추와 태국고추를 넣고 볶는다.
9. 8에 적당한 크기로 썬 양파, 간장, 조미료를 푼 물을 넣고 볶는다.
10. 볶던 채소에 물을 넣어 간을 맞춘다.
11. 볶던 채소에 전분물, 참기름을 넣는다.
12. 11에 칼집을 내 데친 오징어와 적당한 크기로 썬 엔다이브를 넣고 함께 볶는다.
13. 접시에 오징어채소볶음을 담는다.
14. 오징어채소볶음 위에 참기름을 뿌린다.
15. 접시에 밥을 따로 담아낸다.</v>
      </c>
    </row>
    <row r="396">
      <c r="A396" s="2" t="str">
        <f>recipe!C396
</f>
        <v>야들야들한~♬ 고추완자</v>
      </c>
      <c r="B396" s="2" t="str">
        <f>IFERROR(__xludf.DUMMYFUNCTION("TRIM(
  REGEXEXTRACT(
    raw!A396,
    ""●\s*조리\s*방법([\s\S]*)""
  )
)
"),"1. 양파를 잘게 썰어 볼에 담아둔다.
2. 매실장아찌, 청양고추를 잘게 썰어 양파와 함께 볼에 담는다.
3. 살치살과 닭가슴살을 적당한 크기로 썬 후, 칼로 곱게 다져 섞는다.
4. 팬에 버터를 넣고 녹인다.
5. 곱게 다진 살치살과 닭가슴살을 잘게 썰어둔 채소들과 함께 담고,
후추, 달걀, 소금, 전분, 녹인 버터를 넣고 섞어 완자반죽을 만든다.
6. 완자반죽을 적당한 크기로 떼어 넉넉하게 기름을 두른 팬에 튀긴다.
"&amp;"
7. 애플망고 과육, 설탕, 레몬즙을 핸드블렌더로 곱게 간다.
8. 7에 마요네즈를 넣고 다시 갈아 애플망고소스를 만든다.
9. 아스파라거스를 손질한 뒤, 끓는 물에 넣어 데친다.
10. 데친 아스파라거스를 찬물에 헹궈 식히고, 잘게 썬다.
11. 튀긴 완자를 체에 밭쳐 기름기를 뺀다.
12. 그릇에 애플망고소스를 담는다.
13. 소스 위에 튀긴 완자를 올린다.
14. 잘게 썬 데친 아스파라거스를 올려 완성한다.")</f>
        <v>1. 양파를 잘게 썰어 볼에 담아둔다.
2. 매실장아찌, 청양고추를 잘게 썰어 양파와 함께 볼에 담는다.
3. 살치살과 닭가슴살을 적당한 크기로 썬 후, 칼로 곱게 다져 섞는다.
4. 팬에 버터를 넣고 녹인다.
5. 곱게 다진 살치살과 닭가슴살을 잘게 썰어둔 채소들과 함께 담고,
후추, 달걀, 소금, 전분, 녹인 버터를 넣고 섞어 완자반죽을 만든다.
6. 완자반죽을 적당한 크기로 떼어 넉넉하게 기름을 두른 팬에 튀긴다.
7. 애플망고 과육, 설탕, 레몬즙을 핸드블렌더로 곱게 간다.
8. 7에 마요네즈를 넣고 다시 갈아 애플망고소스를 만든다.
9. 아스파라거스를 손질한 뒤, 끓는 물에 넣어 데친다.
10. 데친 아스파라거스를 찬물에 헹궈 식히고, 잘게 썬다.
11. 튀긴 완자를 체에 밭쳐 기름기를 뺀다.
12. 그릇에 애플망고소스를 담는다.
13. 소스 위에 튀긴 완자를 올린다.
14. 잘게 썬 데친 아스파라거스를 올려 완성한다.</v>
      </c>
    </row>
    <row r="397">
      <c r="A397" s="2" t="str">
        <f>recipe!C397
</f>
        <v>오징어 카니발♬</v>
      </c>
      <c r="B397" s="2" t="str">
        <f>IFERROR(__xludf.DUMMYFUNCTION("TRIM(
  REGEXEXTRACT(
    raw!A397,
    ""●\s*조리\s*방법([\s\S]*)""
  )
)
"),"1. 오징어의 껍질을 벗긴다.
2. 껍질을 벗긴 오징어를 적당한 크기로 썰어 핸드블렌더에 넣는다.
3. 오징어가 담긴 핸드블렌더에 전분, 달걀흰자, 설탕, 소금을 넣고 곱게 갈아 오징어반죽을 만든다.
4. 오징어반죽을 완자 크기로 떼어 끓는 물에 넣고 삶는다.
5. 버터를 볼에 담아 전자레인지에 돌려 녹인다.
6. 다른 볼에 달걀, 설탕, 녹인 버터를 넣고 잘 섞어 달걀물을 만든다.
7. 팬에 달걀물을 붓고 익힌다.
"&amp;"
8. 오징어반죽을 비닐팩에 담고 짤주머니를 만든 뒤, 달걀지단 위에 짜낸다.
9. 달걀지단을 돌돌 말아 오징어달걀말이를 만든다.
10. 오징어달걀말이를 김발로 말고, 고무줄로 고정시켜 모양을 잡는다.
11. 마늘을 잘게 썬다.
12. 팬에 잘게 썬 마늘과 식용유, 고춧가루, 잘게 찢은 태국고추, 잘게 썬 청양고추를 넣는다.
13. 12에 잘게 썬 대파 흰 부분을 넣고 함께 볶는다.
14. 볶은 재료에 오징어완자를 삶은 "&amp;"물과 케첩, 설탕을 넣고 졸여 칠리소스를 만든다.
15. 삶은 오징어완자를 칠리소스에 넣고 섞는다.
16. 김발로 고정해뒀던 오징어달걀말이를 적당한 크기로 썬다.
17. 접시에 칠리 오징어완자를 담고, 잘게 썬 청양고추를 올린다.
18. 오징어달걀말이를 곁들여 완성한다.")</f>
        <v>1. 오징어의 껍질을 벗긴다.
2. 껍질을 벗긴 오징어를 적당한 크기로 썰어 핸드블렌더에 넣는다.
3. 오징어가 담긴 핸드블렌더에 전분, 달걀흰자, 설탕, 소금을 넣고 곱게 갈아 오징어반죽을 만든다.
4. 오징어반죽을 완자 크기로 떼어 끓는 물에 넣고 삶는다.
5. 버터를 볼에 담아 전자레인지에 돌려 녹인다.
6. 다른 볼에 달걀, 설탕, 녹인 버터를 넣고 잘 섞어 달걀물을 만든다.
7. 팬에 달걀물을 붓고 익힌다.
8. 오징어반죽을 비닐팩에 담고 짤주머니를 만든 뒤, 달걀지단 위에 짜낸다.
9. 달걀지단을 돌돌 말아 오징어달걀말이를 만든다.
10. 오징어달걀말이를 김발로 말고, 고무줄로 고정시켜 모양을 잡는다.
11. 마늘을 잘게 썬다.
12. 팬에 잘게 썬 마늘과 식용유, 고춧가루, 잘게 찢은 태국고추, 잘게 썬 청양고추를 넣는다.
13. 12에 잘게 썬 대파 흰 부분을 넣고 함께 볶는다.
14. 볶은 재료에 오징어완자를 삶은 물과 케첩, 설탕을 넣고 졸여 칠리소스를 만든다.
15. 삶은 오징어완자를 칠리소스에 넣고 섞는다.
16. 김발로 고정해뒀던 오징어달걀말이를 적당한 크기로 썬다.
17. 접시에 칠리 오징어완자를 담고, 잘게 썬 청양고추를 올린다.
18. 오징어달걀말이를 곁들여 완성한다.</v>
      </c>
    </row>
    <row r="398">
      <c r="A398" s="2" t="str">
        <f>recipe!C398
</f>
        <v>짐승롤</v>
      </c>
      <c r="B398" s="2" t="str">
        <f>IFERROR(__xludf.DUMMYFUNCTION("TRIM(
  REGEXEXTRACT(
    raw!A398,
    ""●\s*조리\s*방법([\s\S]*)""
  )
)
"),"1. 냄비에 각각 우유와 휘핑크림을 붓고 끓인다.
2. 돼지고기, LA갈비, 표고버섯, 대파, 양파를 적당한 크기로 썰어 기름을 두른 팬에 볶는다.
3. 2에 소금으로 간한다.
4. 볶던 재료와 끓이는 우유, 휘핑크림에 후추를 넣는다.
5. 끓이던 우유에 레몬즙을 넣고, 끓이던 휘핑크림에 크림치즈를 넣어 크림소스를 만든다.
6. 볶은 재료를 핸드블렌더에 넣고 간다.
7. 핸드블렌더에 밀가루와 달걀을 넣고 돌려 반죽을 만든"&amp;"다.
8. 반죽을 밀어 면을 만든다.
9. 면을 넓은 네모모양으로 잘라 끓는 물에 삶는다.
10. 레몬즙을 넣어 끓인 우유를 면보에 걸러 리코타치즈를 만든다.
11. 마른 팬에 토마토소스를 넣고 끓인다.
12. 삶은 면을 건져 키친타월에 올린 뒤 물기를 제거한다.
13. 볶아서 갈아둔 고기에 리코타치즈를 넣고 섞어 소를 만든다.
14. 넓은 면 위에 소를 올리고 돌돌 말아 파이프모양을 만든다.
15. 그릇에 크"&amp;"림소스를 붓고 파이프면을 적당한 크기로 잘라 올린 뒤, 다시 크림소스를 끼얹는다.
16. 끓인 토마토소스를 올려 마무리한다.")</f>
        <v>1. 냄비에 각각 우유와 휘핑크림을 붓고 끓인다.
2. 돼지고기, LA갈비, 표고버섯, 대파, 양파를 적당한 크기로 썰어 기름을 두른 팬에 볶는다.
3. 2에 소금으로 간한다.
4. 볶던 재료와 끓이는 우유, 휘핑크림에 후추를 넣는다.
5. 끓이던 우유에 레몬즙을 넣고, 끓이던 휘핑크림에 크림치즈를 넣어 크림소스를 만든다.
6. 볶은 재료를 핸드블렌더에 넣고 간다.
7. 핸드블렌더에 밀가루와 달걀을 넣고 돌려 반죽을 만든다.
8. 반죽을 밀어 면을 만든다.
9. 면을 넓은 네모모양으로 잘라 끓는 물에 삶는다.
10. 레몬즙을 넣어 끓인 우유를 면보에 걸러 리코타치즈를 만든다.
11. 마른 팬에 토마토소스를 넣고 끓인다.
12. 삶은 면을 건져 키친타월에 올린 뒤 물기를 제거한다.
13. 볶아서 갈아둔 고기에 리코타치즈를 넣고 섞어 소를 만든다.
14. 넓은 면 위에 소를 올리고 돌돌 말아 파이프모양을 만든다.
15. 그릇에 크림소스를 붓고 파이프면을 적당한 크기로 잘라 올린 뒤, 다시 크림소스를 끼얹는다.
16. 끓인 토마토소스를 올려 마무리한다.</v>
      </c>
    </row>
    <row r="399">
      <c r="A399" s="2" t="str">
        <f>recipe!C399
</f>
        <v>스바라시멘</v>
      </c>
      <c r="B399" s="2" t="str">
        <f>IFERROR(__xludf.DUMMYFUNCTION("TRIM(
  REGEXEXTRACT(
    raw!A399,
    ""●\s*조리\s*방법([\s\S]*)""
  )
)
"),"1. 컵라면의 면에 끓는 물을 부어 익힌다.
2. 끓는 물에 냉면면을 넣고 익힌 뒤, 체에 밭쳐 건지고 찬물에 식힌다.
3. 익은 컵라면을 찬물에 식힌 뒤, 다시 한 번 뜨거운 물을 부어 익힌다.
4. 볼에 달걀흰자를 넣고 거품기로 친다.
5. 달걀흰자에 전분을 넣는다.
6. 익힌 컵라면면을 다시 한 번 찬물에 식힌 뒤, 전분을 넣은 달걀흰자와 함께 버무린다.
7. 돼지고기 위에 깻잎, 청포도를 올리고 돌돌 만다.
"&amp;"8. 종이포일 위에 달걀흰자에 버무린 컵라면 면을 깔고 청포도를 넣은 돼지고기롤을 올려 돌돌 만다.
9. 종이포일로 감싼 롤을 쿠킹포일로 다시 한 번 감싼다.
10. 포일로 감싼 롤을 꼬치로 찔러 구멍을 내고, 기름에 넣어 튀긴다.
11. 핸드블렌더에 깻잎, 표고버섯, 갓김치, 견과류, 올리브오일을 넣고 간다.
12. 간 재료에 소금, 간장, 맛술을 넣고 섞어 갓김치페스토를 만든다.
13. 믹서기에 멸치볶음을 넣고 곱게 간다."&amp;"
14. 튀긴 롤을 꺼내 포일을 벗기고 팬에 올린 뒤 올리브오일을 뿌려 굽는다.
15. 표고버섯을 얇게 썰어 기름을 두른 팬에서 굽는다.
16. 냉면면의 물기를 짜낸 뒤, 구운 표고버섯, 갓김치페스토, 소금, 후추와 함께 섞는다.
17. 접시에 갓김치페스토에 버무린 면을 올린다.
18. 팬에서 다시 한 번 익힌 롤을 적당한 크기로 썰어 접시 위에 올린다.
19. 명란젓의 속만 꺼내 마요네즈를 섞어 롤 위에 올린다.
"&amp;"20. 애호박을 얇게 썰어 플레이팅한다.
21. 곱게 간 멸치볶음을 접시 위에 흩뿌린다.
22. 다른 롤 위에 갓김치페스토를 올리고, 명란마요네즈를 올린 롤 위에 고춧가루를 뿌린다.")</f>
        <v>1. 컵라면의 면에 끓는 물을 부어 익힌다.
2. 끓는 물에 냉면면을 넣고 익힌 뒤, 체에 밭쳐 건지고 찬물에 식힌다.
3. 익은 컵라면을 찬물에 식힌 뒤, 다시 한 번 뜨거운 물을 부어 익힌다.
4. 볼에 달걀흰자를 넣고 거품기로 친다.
5. 달걀흰자에 전분을 넣는다.
6. 익힌 컵라면면을 다시 한 번 찬물에 식힌 뒤, 전분을 넣은 달걀흰자와 함께 버무린다.
7. 돼지고기 위에 깻잎, 청포도를 올리고 돌돌 만다.
8. 종이포일 위에 달걀흰자에 버무린 컵라면 면을 깔고 청포도를 넣은 돼지고기롤을 올려 돌돌 만다.
9. 종이포일로 감싼 롤을 쿠킹포일로 다시 한 번 감싼다.
10. 포일로 감싼 롤을 꼬치로 찔러 구멍을 내고, 기름에 넣어 튀긴다.
11. 핸드블렌더에 깻잎, 표고버섯, 갓김치, 견과류, 올리브오일을 넣고 간다.
12. 간 재료에 소금, 간장, 맛술을 넣고 섞어 갓김치페스토를 만든다.
13. 믹서기에 멸치볶음을 넣고 곱게 간다.
14. 튀긴 롤을 꺼내 포일을 벗기고 팬에 올린 뒤 올리브오일을 뿌려 굽는다.
15. 표고버섯을 얇게 썰어 기름을 두른 팬에서 굽는다.
16. 냉면면의 물기를 짜낸 뒤, 구운 표고버섯, 갓김치페스토, 소금, 후추와 함께 섞는다.
17. 접시에 갓김치페스토에 버무린 면을 올린다.
18. 팬에서 다시 한 번 익힌 롤을 적당한 크기로 썰어 접시 위에 올린다.
19. 명란젓의 속만 꺼내 마요네즈를 섞어 롤 위에 올린다.
20. 애호박을 얇게 썰어 플레이팅한다.
21. 곱게 간 멸치볶음을 접시 위에 흩뿌린다.
22. 다른 롤 위에 갓김치페스토를 올리고, 명란마요네즈를 올린 롤 위에 고춧가루를 뿌린다.</v>
      </c>
    </row>
    <row r="400">
      <c r="A400" s="2" t="str">
        <f>recipe!C400
</f>
        <v>단결! 곰탕이지말입니다</v>
      </c>
      <c r="B400" s="2" t="str">
        <f>IFERROR(__xludf.DUMMYFUNCTION("TRIM(
  REGEXEXTRACT(
    raw!A400,
    ""●\s*조리\s*방법([\s\S]*)""
  )
)
"),"1. 양파, 애호박을 슬라이스 한다.
2. 기름을 두른 그릴팬에 슬라이스한 양파와 애호박, 손질한 미니파프리카를 굽는다.
3. 냄비에 인스턴트 곰탕을 넣고 끓인다.
4. 볼에 고춧가루, 고추장, 참기름, 간장, 다진 마늘, 물엿을 넣는다.
5. 4에 맛술, 후추, 불고기용 돼지고기를 넣고 버무린다.
6. 팬에 통후추와 잘게 썬 양파를 넣고, 화이트와인을 부어 끓인다.
7. 그릴팬에 굽던 채소에 소금으로 간한다.
8."&amp;" 구운 채소를 잘게 썰고, 볼에 담아 식힌다.
9. 통오징어의 껍질을 벗긴다.
10. 마른 팬에 양념한 돼지고기를 넣고, 후추를 뿌려 익힌다.
11. 볶은 고추장불고기와 구운 채소를 통오징어 안에 채워 넣고 꼬치로 봉한다.
12. 기름을 두른 그릴팬에 속을 채운 통오징어를 굽는다.
13. 양파를 넣고 끓이던 화이트와인에 레몬즙, 끓인 인스턴트 곰탕, 버터를 넣고 곰탕소스를 만든다.
14. 고추와 깻잎을 잘게 썬다.
"&amp;"15. 접시에 구운 채소를 담는다.
16. 채소 위에 고추장불고기를 채워 구운 통오징어를 올리고, 잘게 썬 깻잎과 고추를 얹는다.
17. 곰탕소스를 끼얹어 마무리한다.")</f>
        <v>1. 양파, 애호박을 슬라이스 한다.
2. 기름을 두른 그릴팬에 슬라이스한 양파와 애호박, 손질한 미니파프리카를 굽는다.
3. 냄비에 인스턴트 곰탕을 넣고 끓인다.
4. 볼에 고춧가루, 고추장, 참기름, 간장, 다진 마늘, 물엿을 넣는다.
5. 4에 맛술, 후추, 불고기용 돼지고기를 넣고 버무린다.
6. 팬에 통후추와 잘게 썬 양파를 넣고, 화이트와인을 부어 끓인다.
7. 그릴팬에 굽던 채소에 소금으로 간한다.
8. 구운 채소를 잘게 썰고, 볼에 담아 식힌다.
9. 통오징어의 껍질을 벗긴다.
10. 마른 팬에 양념한 돼지고기를 넣고, 후추를 뿌려 익힌다.
11. 볶은 고추장불고기와 구운 채소를 통오징어 안에 채워 넣고 꼬치로 봉한다.
12. 기름을 두른 그릴팬에 속을 채운 통오징어를 굽는다.
13. 양파를 넣고 끓이던 화이트와인에 레몬즙, 끓인 인스턴트 곰탕, 버터를 넣고 곰탕소스를 만든다.
14. 고추와 깻잎을 잘게 썬다.
15. 접시에 구운 채소를 담는다.
16. 채소 위에 고추장불고기를 채워 구운 통오징어를 올리고, 잘게 썬 깻잎과 고추를 얹는다.
17. 곰탕소스를 끼얹어 마무리한다.</v>
      </c>
    </row>
    <row r="401">
      <c r="A401" s="2" t="str">
        <f>recipe!C401
</f>
        <v>I'll be back♬</v>
      </c>
      <c r="B401" s="2" t="str">
        <f>IFERROR(__xludf.DUMMYFUNCTION("TRIM(
  REGEXEXTRACT(
    raw!A401,
    ""●\s*조리\s*방법([\s\S]*)""
  )
)
"),"1. 감자를 적당한 크기로 썬다.
2. 끓는 물에 적당한 크기로 썬 감자와 소금을 넣고 삶는다.
3. 돼지목살, 훈제오리, 수비드치킨을 적당한 크기로 썬다.
4. 기름을 두른 팬에 손질한 돼지목살과 가늘게 채 썬 양파를 넣고 볶는다.
5. 손질한 미니파프리카와 애호박, 훈제오리를 팬에 넣고 함께 볶는다.
6. 청양고추, 마늘을 잘게 다져 팬에 넣고 함께 볶는다.
7. 볶던 재료에 고춧가루를 넣는다.
8. 그린올리브,"&amp;" 방울토마토를 잘게 썬다.
9. 볶던 재료에 휘핑크림을 붓고 끓인다.
10. 9에 인스턴트 곰탕, 손질한 수비드치킨, 토마토소스, 손질한 방울토마토, 소금을 넣고 끓인다.
11. 삶은 감자를 체에 밭쳐 물기를 빼고, 다른 재료들과 함께 끓인다.
12. 끓인 재료를 뚝배기에 옮겨 담고 모차렐라&amp;체다 치즈를 올린 뒤, 예열한 오븐에 넣어 익힌다.
13. 잘게 썬 올리브를 올려 마무리한다.")</f>
        <v>1. 감자를 적당한 크기로 썬다.
2. 끓는 물에 적당한 크기로 썬 감자와 소금을 넣고 삶는다.
3. 돼지목살, 훈제오리, 수비드치킨을 적당한 크기로 썬다.
4. 기름을 두른 팬에 손질한 돼지목살과 가늘게 채 썬 양파를 넣고 볶는다.
5. 손질한 미니파프리카와 애호박, 훈제오리를 팬에 넣고 함께 볶는다.
6. 청양고추, 마늘을 잘게 다져 팬에 넣고 함께 볶는다.
7. 볶던 재료에 고춧가루를 넣는다.
8. 그린올리브, 방울토마토를 잘게 썬다.
9. 볶던 재료에 휘핑크림을 붓고 끓인다.
10. 9에 인스턴트 곰탕, 손질한 수비드치킨, 토마토소스, 손질한 방울토마토, 소금을 넣고 끓인다.
11. 삶은 감자를 체에 밭쳐 물기를 빼고, 다른 재료들과 함께 끓인다.
12. 끓인 재료를 뚝배기에 옮겨 담고 모차렐라&amp;체다 치즈를 올린 뒤, 예열한 오븐에 넣어 익힌다.
13. 잘게 썬 올리브를 올려 마무리한다.</v>
      </c>
    </row>
    <row r="402">
      <c r="A402" s="2" t="str">
        <f>recipe!C402
</f>
        <v>하룻강아지 복 무서운 줄 알고 오삼</v>
      </c>
      <c r="B402" s="2" t="str">
        <f>IFERROR(__xludf.DUMMYFUNCTION("TRIM(
  REGEXEXTRACT(
    raw!A402,
    ""●\s*조리\s*방법([\s\S]*)""
  )
)
"),"1. 핸드블렌더에 적당한 크기로 썬 삼겹살, 달걀물, 소금, 후추를 넣고 갈아 볼에 담아둔다.
2. 양파를 잘게 다져, 갈아둔 삼겹살과 함께 담아둔다.
3. 오징어의 껍질을 벗기고, 촘촘하게 칼집을 낸다.
4. 칼집을 낸 오징어를 적당한 크기로 썰어 밀가루를 묻힌다.
5. 볼에 밀가루, 전분, 달걀물, 물, 식용유를 넣고 반죽해 튀김옷을 만든다.
6. 손질한 오징어 &gt; 명란젓 &gt; 다진 삼겹살을 켜켜이 쌓아 접시에 담는다.
"&amp;"
7. 6에 튀김옷을 뿌려 모양이 흐트러지지 않게 한다.
8. 튀김옷을 입힌 오징어삼겹살을 기름에 튀긴다.
9. 기름이 담긴 팬에 손질한 대파와 고춧가루를 넣고 끓여 고추기름을 만든다.
10. 끓인 고추기름을 체에 밭쳐 건더기를 걸러낸다.
11. 마늘을 다진 뒤, 고추기름, 허니머스터드, 케첩을 넣고 섞어 칠리소스를 만든다.
12. 오징어삼겹살튀김을 접시에 담는다.
13. 칠리소스를 따로 담아 완성한다.")</f>
        <v>1. 핸드블렌더에 적당한 크기로 썬 삼겹살, 달걀물, 소금, 후추를 넣고 갈아 볼에 담아둔다.
2. 양파를 잘게 다져, 갈아둔 삼겹살과 함께 담아둔다.
3. 오징어의 껍질을 벗기고, 촘촘하게 칼집을 낸다.
4. 칼집을 낸 오징어를 적당한 크기로 썰어 밀가루를 묻힌다.
5. 볼에 밀가루, 전분, 달걀물, 물, 식용유를 넣고 반죽해 튀김옷을 만든다.
6. 손질한 오징어 &gt; 명란젓 &gt; 다진 삼겹살을 켜켜이 쌓아 접시에 담는다.
7. 6에 튀김옷을 뿌려 모양이 흐트러지지 않게 한다.
8. 튀김옷을 입힌 오징어삼겹살을 기름에 튀긴다.
9. 기름이 담긴 팬에 손질한 대파와 고춧가루를 넣고 끓여 고추기름을 만든다.
10. 끓인 고추기름을 체에 밭쳐 건더기를 걸러낸다.
11. 마늘을 다진 뒤, 고추기름, 허니머스터드, 케첩을 넣고 섞어 칠리소스를 만든다.
12. 오징어삼겹살튀김을 접시에 담는다.
13. 칠리소스를 따로 담아 완성한다.</v>
      </c>
    </row>
    <row r="403">
      <c r="A403" s="2" t="str">
        <f>recipe!C403
</f>
        <v>황금탕수육</v>
      </c>
      <c r="B403" s="2" t="str">
        <f>IFERROR(__xludf.DUMMYFUNCTION("TRIM(
  REGEXEXTRACT(
    raw!A403,
    ""●\s*조리\s*방법([\s\S]*)""
  )
)
"),"1. 돼지목살을 칼 옆면과 칼등으로 두드려 부드럽게 만든다.
2. 부드럽게 만든 돼지목살을 길쭉하게 썬다.
3. 견과류를 으깬 뒤, 볼에 담아둔다.
4. 볼에 밀가루:전분:으깬 견과류(2:5:3)를 담는다.
5. 4에 물과 식용유를 넣어 반죽해 튀김옷을 만든다.
6. 손질한 돼지목살에 튀김옷을 입힌 뒤, 기름에 튀긴다.
7. 손질한 양파, 레몬, 대파, 고추, 사과를 기름을 두른 팬에 넣고,
뜨거운 물을 부어 채소과일육"&amp;"수를 끓인다.
8. 양파를 가늘게 채 썰고, 청포도를 잘게 자른다.
9. 채 썬 양파와 잘게 썬 청포도를 마른 팬에 볶는다.
10. 끓이던 채소과일육수에 생강즙, 복분자즙을 넣는다.
11. 간장:식초:설탕:채소과일육수(1:2:2:5)를 섞어 소스를 만든다.
12. 볶은 양파와 청포도를 볼에 담아 식힌다.
13. 소스를 끓이다가 전분물을 넣어 농도를 조절한다.
14. 탕수육을 접시에 담고, 볶은 청포도와 양파를 얹은 "&amp;"뒤 소스를 따로 담아낸다.")</f>
        <v>1. 돼지목살을 칼 옆면과 칼등으로 두드려 부드럽게 만든다.
2. 부드럽게 만든 돼지목살을 길쭉하게 썬다.
3. 견과류를 으깬 뒤, 볼에 담아둔다.
4. 볼에 밀가루:전분:으깬 견과류(2:5:3)를 담는다.
5. 4에 물과 식용유를 넣어 반죽해 튀김옷을 만든다.
6. 손질한 돼지목살에 튀김옷을 입힌 뒤, 기름에 튀긴다.
7. 손질한 양파, 레몬, 대파, 고추, 사과를 기름을 두른 팬에 넣고,
뜨거운 물을 부어 채소과일육수를 끓인다.
8. 양파를 가늘게 채 썰고, 청포도를 잘게 자른다.
9. 채 썬 양파와 잘게 썬 청포도를 마른 팬에 볶는다.
10. 끓이던 채소과일육수에 생강즙, 복분자즙을 넣는다.
11. 간장:식초:설탕:채소과일육수(1:2:2:5)를 섞어 소스를 만든다.
12. 볶은 양파와 청포도를 볼에 담아 식힌다.
13. 소스를 끓이다가 전분물을 넣어 농도를 조절한다.
14. 탕수육을 접시에 담고, 볶은 청포도와 양파를 얹은 뒤 소스를 따로 담아낸다.</v>
      </c>
    </row>
    <row r="404">
      <c r="A404" s="2" t="str">
        <f>recipe!C404
</f>
        <v>청고마비</v>
      </c>
      <c r="B404" s="2" t="str">
        <f>IFERROR(__xludf.DUMMYFUNCTION("TRIM(
  REGEXEXTRACT(
    raw!A404,
    ""●\s*조리\s*방법([\s\S]*)""
  )
)
"),"1. 대파를 적당한 크기로 썬 뒤, 소금간을 한다.
2. 기름을 두른 팬에 소금으로 간 한 대파를 굽는다.
3. 볼에 사과주스, 생강즙, 다진 생강, 레몬즙을 넣은 뒤, 면보에 걸러 끓인다.
4. 3에 레몬껍질을 갈아 넣고, 버터를 넣어 사과생강소스를 만든다.
5. 고등어의 잔가시를 제거하고 껍질을 벗긴 뒤, 소금과 후추로 간 한다.
6. 간을 한 고등어에 밀가루를 묻히고 기름을 두른 팬에 굽는다.
7. 청포도를 반으로 "&amp;"썰고 얇게 슬라이스한다.
8. 구운 고등어 위에 얇게 슬라이스한 청포도를 비늘처럼 덮는다.
9. 접시에 구운 대파를 담는다.
10. 구운 대파 위에 청포도를 올린 구운 고등어 올린다.
11. 사과생강소스를 따로 담아낸다.")</f>
        <v>1. 대파를 적당한 크기로 썬 뒤, 소금간을 한다.
2. 기름을 두른 팬에 소금으로 간 한 대파를 굽는다.
3. 볼에 사과주스, 생강즙, 다진 생강, 레몬즙을 넣은 뒤, 면보에 걸러 끓인다.
4. 3에 레몬껍질을 갈아 넣고, 버터를 넣어 사과생강소스를 만든다.
5. 고등어의 잔가시를 제거하고 껍질을 벗긴 뒤, 소금과 후추로 간 한다.
6. 간을 한 고등어에 밀가루를 묻히고 기름을 두른 팬에 굽는다.
7. 청포도를 반으로 썰고 얇게 슬라이스한다.
8. 구운 고등어 위에 얇게 슬라이스한 청포도를 비늘처럼 덮는다.
9. 접시에 구운 대파를 담는다.
10. 구운 대파 위에 청포도를 올린 구운 고등어 올린다.
11. 사과생강소스를 따로 담아낸다.</v>
      </c>
    </row>
    <row r="405">
      <c r="A405" s="2" t="str">
        <f>recipe!C405
</f>
        <v>나비효과</v>
      </c>
      <c r="B405" s="2" t="str">
        <f>IFERROR(__xludf.DUMMYFUNCTION("TRIM(
  REGEXEXTRACT(
    raw!A405,
    ""●\s*조리\s*방법([\s\S]*)""
  )
)
"),"1. 마른 팬에 으깬 통마늘과 채 썬 양파, 잘게 썬 대파를 넣고 볶는다.
2. 전복을 손질해 적당한 크기로 썬다.
3. 적당한 크기로 썬 전복과 명란젓을 채소를 볶던 팬에 넣고, 화이트와인을 부어 함께 볶는다.
4. 볶던 재료에 인스턴트 맛조개국과 물을 넣고 끓인다.
5. 4에 즉석밥을 넣고 끓여 전복명란리소토를 만든다.
6. 볼에 밀가루, 전분, 잘게 다진 멸치볶음, 조미김을 넣는다.
7. 6에 올리브오일과 물을 넣고"&amp;" 섞어 튀일반죽을 만든다.
8. 마른 팬에 튀일반죽을 얇게 붓고 굽는다.
9. 핸드블렌더에 적당한 크기로 손질한 오징어와 두부, 소금, 후추,
고추냉이, 양파, 깻잎장아찌를 넣고 갈아 튀김반죽을 만든다.
10. 튀김반죽에 밀가루를 넣고 섞은 뒤, 적당한 크기로 뭉쳐 겉에 밀가루를 입힌다.
11. 밀가루를 입힌 튀김반죽에 달걀물&gt;잘게 부순 라면 순으로 튀김옷을 입힌다.
12. 오징어라면튀김을 끓는 기름에 튀겨낸 뒤, 건져서 오"&amp;"븐에서 다시 한 번 굽는다.
13. 구운 튀일을 꺼내 한 김 식힌다.
14. 접시에 전복명란리소토를 담는다.
15. 리소토 위에 오징어라면튀김을 올린다.
16. 튀김 사이에 튀일을 꽂아 나비 날개 모양을 만든다.")</f>
        <v>1. 마른 팬에 으깬 통마늘과 채 썬 양파, 잘게 썬 대파를 넣고 볶는다.
2. 전복을 손질해 적당한 크기로 썬다.
3. 적당한 크기로 썬 전복과 명란젓을 채소를 볶던 팬에 넣고, 화이트와인을 부어 함께 볶는다.
4. 볶던 재료에 인스턴트 맛조개국과 물을 넣고 끓인다.
5. 4에 즉석밥을 넣고 끓여 전복명란리소토를 만든다.
6. 볼에 밀가루, 전분, 잘게 다진 멸치볶음, 조미김을 넣는다.
7. 6에 올리브오일과 물을 넣고 섞어 튀일반죽을 만든다.
8. 마른 팬에 튀일반죽을 얇게 붓고 굽는다.
9. 핸드블렌더에 적당한 크기로 손질한 오징어와 두부, 소금, 후추,
고추냉이, 양파, 깻잎장아찌를 넣고 갈아 튀김반죽을 만든다.
10. 튀김반죽에 밀가루를 넣고 섞은 뒤, 적당한 크기로 뭉쳐 겉에 밀가루를 입힌다.
11. 밀가루를 입힌 튀김반죽에 달걀물&gt;잘게 부순 라면 순으로 튀김옷을 입힌다.
12. 오징어라면튀김을 끓는 기름에 튀겨낸 뒤, 건져서 오븐에서 다시 한 번 굽는다.
13. 구운 튀일을 꺼내 한 김 식힌다.
14. 접시에 전복명란리소토를 담는다.
15. 리소토 위에 오징어라면튀김을 올린다.
16. 튀김 사이에 튀일을 꽂아 나비 날개 모양을 만든다.</v>
      </c>
    </row>
    <row r="406">
      <c r="A406" s="2" t="str">
        <f>recipe!C406
</f>
        <v>샘통이다</v>
      </c>
      <c r="B406" s="2" t="str">
        <f>IFERROR(__xludf.DUMMYFUNCTION("TRIM(
  REGEXEXTRACT(
    raw!A406,
    ""●\s*조리\s*방법([\s\S]*)""
  )
)
"),"1. 소고기 양지를 적당한 크기로 썬다.
2. 적당한 크기로 썬 소고기 양지와 대파 흰 부분을 냄비에 넣고 끓여 소고기육수를 낸다.
3. 감자의 껍질을 벗겨내고 적당한 크기로 썰어 끓는 물에 익힌다.
4. 마른 팬에 적당한 크기로 썬 소고기 양지를 넣고 볶다가, 소금, 참기름, 으깬 마늘을 넣는다.
5. 무를 적당한 크기로 썰어 넣고 소고기 양지와 함께 볶는다.
6. 볶던 재료에 소고기육수와 간장을 넣고 소고기뭇국을 끓인다.
"&amp;"
7. 애호박은 얇게 썰고, 송이버섯은 잘게 찢어 접시에 담아둔다.
8. 낙지를 적당한 크기로 썰어 담아둔다.
9. 기름을 두른 팬에 얇게 썬 애호박을 굽는다.
10. 애호박을 굽는 팬에 적당한 크기로 썬 낙지를 넣고 익히다가, 후추로 간 한다.
11. 통오징어를 적당한 크기로 썰어 팬에 넣고 함께 익힌다.
12. 재료를 익히는 팬에 잘게 찢은 송이버섯을 넣고 함께 볶는다.
13. 골뱅이를 잘게 다진 뒤, 허니머스터드"&amp;", 잘게 썬 양파,
마요네즈, 레몬즙, 올리브오일, 후추를 넣고 섞는다.
14. 익힌 감자를 건져내고 파르메산 치즈가루, 후추를 뿌려 으깬다.
15. 볶은 애호박, 낙지, 송이버섯을 그릇에 담는다.
16. 볶은 재료들 위에 익힌 오징어를 얹고, 안에 으깬 감자를 채운다.
17. 소고기뭇국 국물을 담는다.
18. 송이버섯을 잘게 썰어 올린다.
19. 대파 흰 부분을 잘게 썰어 올린 뒤, 양념한 골뱅이를 얹고 후추를 뿌려 "&amp;"마무리한다.")</f>
        <v>1. 소고기 양지를 적당한 크기로 썬다.
2. 적당한 크기로 썬 소고기 양지와 대파 흰 부분을 냄비에 넣고 끓여 소고기육수를 낸다.
3. 감자의 껍질을 벗겨내고 적당한 크기로 썰어 끓는 물에 익힌다.
4. 마른 팬에 적당한 크기로 썬 소고기 양지를 넣고 볶다가, 소금, 참기름, 으깬 마늘을 넣는다.
5. 무를 적당한 크기로 썰어 넣고 소고기 양지와 함께 볶는다.
6. 볶던 재료에 소고기육수와 간장을 넣고 소고기뭇국을 끓인다.
7. 애호박은 얇게 썰고, 송이버섯은 잘게 찢어 접시에 담아둔다.
8. 낙지를 적당한 크기로 썰어 담아둔다.
9. 기름을 두른 팬에 얇게 썬 애호박을 굽는다.
10. 애호박을 굽는 팬에 적당한 크기로 썬 낙지를 넣고 익히다가, 후추로 간 한다.
11. 통오징어를 적당한 크기로 썰어 팬에 넣고 함께 익힌다.
12. 재료를 익히는 팬에 잘게 찢은 송이버섯을 넣고 함께 볶는다.
13. 골뱅이를 잘게 다진 뒤, 허니머스터드, 잘게 썬 양파,
마요네즈, 레몬즙, 올리브오일, 후추를 넣고 섞는다.
14. 익힌 감자를 건져내고 파르메산 치즈가루, 후추를 뿌려 으깬다.
15. 볶은 애호박, 낙지, 송이버섯을 그릇에 담는다.
16. 볶은 재료들 위에 익힌 오징어를 얹고, 안에 으깬 감자를 채운다.
17. 소고기뭇국 국물을 담는다.
18. 송이버섯을 잘게 썰어 올린다.
19. 대파 흰 부분을 잘게 썰어 올린 뒤, 양념한 골뱅이를 얹고 후추를 뿌려 마무리한다.</v>
      </c>
    </row>
    <row r="407">
      <c r="A407" s="2" t="str">
        <f>recipe!C407
</f>
        <v>낙장불입</v>
      </c>
      <c r="B407" s="2" t="str">
        <f>IFERROR(__xludf.DUMMYFUNCTION("TRIM(
  REGEXEXTRACT(
    raw!A407,
    ""●\s*조리\s*방법([\s\S]*)""
  )
)
"),"1. 양파를 채 썬다.
2. 마늘을 편으로 썬다.
3. 기름을 두른 냄비에 손질한 양파와 마늘, 장어를 넣고 익힌다.
4. 낙지를 적당한 크기로 썰어 냄비에 넣고 다른 재료와 함께 익힌다.
5. 냄비 속 재료에 위스키를 뿌린 뒤, 불을 붙여 비린내를 제거한다.
6. 재료가 담긴 냄비에 인삼음료, 물, 인삼뿌리를 넣고 끓여 장어육수를 낸다.
7. 끓이던 장어육수에 영양부추를 넣고 뚜껑을 닫아 푹 끓인다.
8. 볼에 밀"&amp;"가루, 물, 식용유를 넣고 섞어 튀김반죽을 만든다.
9. 튀김반죽에 마요네즈를 넣고 섞는다.
10. 적당한 크기로 썬 낙지에 고추냉이와 소금을 넣고 버무린다.
11. 기름을 두른 팬에 채 썬 양파, 즉석밥을 넣고 볶는다.
12. 볶던 밥에 장어육수를 넣고 조려 리소토를 만든다.
13. 육수를 낸 장어를 건져 잘게 썬다.
14. 잘게 썬 장어를 리소토에 넣고 장어리소토를 만든다.
15. 장어리소토에 소금, 파르메산 치"&amp;"즈가루를 넣고 섞는다.
16. 고추냉이에 버무린 낙지에 튀김옷을 입히고, 기름에 넣어 튀긴다.
17. 한 번 튀겨낸 낙지에 튀김옷을 입혀 다시 한 번 튀긴다.
18. 장어리소토를 접시에 담고, 위에 낙지튀김을 얹는다.
19. 소스볼에 파르메산 치즈가루와 고춧가루를 섞어 따로 낸다.")</f>
        <v>1. 양파를 채 썬다.
2. 마늘을 편으로 썬다.
3. 기름을 두른 냄비에 손질한 양파와 마늘, 장어를 넣고 익힌다.
4. 낙지를 적당한 크기로 썰어 냄비에 넣고 다른 재료와 함께 익힌다.
5. 냄비 속 재료에 위스키를 뿌린 뒤, 불을 붙여 비린내를 제거한다.
6. 재료가 담긴 냄비에 인삼음료, 물, 인삼뿌리를 넣고 끓여 장어육수를 낸다.
7. 끓이던 장어육수에 영양부추를 넣고 뚜껑을 닫아 푹 끓인다.
8. 볼에 밀가루, 물, 식용유를 넣고 섞어 튀김반죽을 만든다.
9. 튀김반죽에 마요네즈를 넣고 섞는다.
10. 적당한 크기로 썬 낙지에 고추냉이와 소금을 넣고 버무린다.
11. 기름을 두른 팬에 채 썬 양파, 즉석밥을 넣고 볶는다.
12. 볶던 밥에 장어육수를 넣고 조려 리소토를 만든다.
13. 육수를 낸 장어를 건져 잘게 썬다.
14. 잘게 썬 장어를 리소토에 넣고 장어리소토를 만든다.
15. 장어리소토에 소금, 파르메산 치즈가루를 넣고 섞는다.
16. 고추냉이에 버무린 낙지에 튀김옷을 입히고, 기름에 넣어 튀긴다.
17. 한 번 튀겨낸 낙지에 튀김옷을 입혀 다시 한 번 튀긴다.
18. 장어리소토를 접시에 담고, 위에 낙지튀김을 얹는다.
19. 소스볼에 파르메산 치즈가루와 고춧가루를 섞어 따로 낸다.</v>
      </c>
    </row>
    <row r="408">
      <c r="A408" s="2" t="str">
        <f>recipe!C408
</f>
        <v>깨지겠탕</v>
      </c>
      <c r="B408" s="2" t="str">
        <f>IFERROR(__xludf.DUMMYFUNCTION("TRIM(
  REGEXEXTRACT(
    raw!A408,
    ""●\s*조리\s*방법([\s\S]*)""
  )
)
"),"1. 소고기 양지를 적당한 크기로 썬다.
2. 핸드블렌더에 소고기 양지와 물에 불린 황태채를 넣고 간다.
3. 기름을 넉넉히 두른 팬에 곱게 간 재료를 넣고 튀기듯이 볶는다.
4. 마늘을 다져 팬에 넣고 다른 재료와 함께 볶는다.
5. 볶던 재료에 참기름과 굴소스, 들깨가루를 넣고 볶는다.
6. 볶은 재료에 뜨거운 물을 붓고 소고기 들깨탕을 끓인다.
7. 소고기 들깨탕에 팽이버섯, 손질한 쌈추를 넣는다.
8. 감자를"&amp;" 가늘게 채 썬다.
9. 채 썬 감자를 찬물에 씻어 전분기를 빼고 물기를 제거해 볼에 담아둔다.
10. 청양고추를 적당한 크기로 썰어 감자채와 함께 볼에 담아둔다.
11. 전자레인지에 즉석밥을 넣고 돌린다.
12. 마른 팬에 감자채와 청양고추를 넣고 볶다가 소금, 식초를 넣고 볶는다.
13. 부추를 적당한 크기로 썰어 소고기 들깨탕에 넣는다.
14. 소고기 들깨탕을 그릇에 담는다.
15. 감자볶음을 접시에 따로 담아"&amp;"낸다.
16. 밥을 따로 내 마무리한다.")</f>
        <v>1. 소고기 양지를 적당한 크기로 썬다.
2. 핸드블렌더에 소고기 양지와 물에 불린 황태채를 넣고 간다.
3. 기름을 넉넉히 두른 팬에 곱게 간 재료를 넣고 튀기듯이 볶는다.
4. 마늘을 다져 팬에 넣고 다른 재료와 함께 볶는다.
5. 볶던 재료에 참기름과 굴소스, 들깨가루를 넣고 볶는다.
6. 볶은 재료에 뜨거운 물을 붓고 소고기 들깨탕을 끓인다.
7. 소고기 들깨탕에 팽이버섯, 손질한 쌈추를 넣는다.
8. 감자를 가늘게 채 썬다.
9. 채 썬 감자를 찬물에 씻어 전분기를 빼고 물기를 제거해 볼에 담아둔다.
10. 청양고추를 적당한 크기로 썰어 감자채와 함께 볼에 담아둔다.
11. 전자레인지에 즉석밥을 넣고 돌린다.
12. 마른 팬에 감자채와 청양고추를 넣고 볶다가 소금, 식초를 넣고 볶는다.
13. 부추를 적당한 크기로 썰어 소고기 들깨탕에 넣는다.
14. 소고기 들깨탕을 그릇에 담는다.
15. 감자볶음을 접시에 따로 담아낸다.
16. 밥을 따로 내 마무리한다.</v>
      </c>
    </row>
    <row r="409">
      <c r="A409" s="2" t="str">
        <f>recipe!C409
</f>
        <v>콩닭거렸쌈</v>
      </c>
      <c r="B409" s="2" t="str">
        <f>IFERROR(__xludf.DUMMYFUNCTION("TRIM(
  REGEXEXTRACT(
    raw!A409,
    ""●\s*조리\s*방법([\s\S]*)""
  )
)
"),"1. 냄비에 인삼음료를 넣고 끓인다.
2. 끓이던 인삼음료에 설탕, 물, 물엿, 마누카 꿀을 넣고 끓인다.
3. 끓이던 재료에 꿀에 절인 인삼을 넣어 인삼소스를 만든다.
4. 기름을 두른 팬에 송편을 굽는다.
5. 전자레인지에 즉석밥을 넣고 돌린다.
6. 구운 송편을 볼에 담아 식힌다.
7. 송편을 구웠던 팬에 적당한 크기로 자른 곶감과 으깬 땅콩을 넣고 볶는다.
8. 기름을 두른 팬에 인스턴트 닭발을 볶다가 적당한"&amp;" 크기로 자른 뒤, 레몬즙을 넣는다.
9. 콩잎장아찌를 물에 헹군 뒤, 물기를 제거한다.
10. 끓이던 인삼소스에 볶은 곶감과 땅콩을 넣고 졸여 강정소스를 만든다.
11. 구운 송편을 접시에 담고, 강정소스를 뿌려 송편 강정을 만든다.
12. 볼에 밥, 영양부추, 참기름, 깨, 볶은 닭발을 넣고 버무린다.
13. 12를 적당한 크기로 뭉친 뒤, 콩잎장아찌로 감싸 접시에 담는다.
14. 칵테일 셰이커에 증류소주, 능이버섯 "&amp;"달인 물, 레몬즙을 넣고 섞는다.
15. 유리잔에 레몬즙과 소금을 차례로 묻힌다.
16. 볼에 흑마늘액, 겨자를 넣고 섞어 흑마늘소스를 만든 뒤, 콩잎쌈밥에 곁들인다.
17. 소금을 묻힌 유리잔에 능이버섯주를 담아 마무리한다.")</f>
        <v>1. 냄비에 인삼음료를 넣고 끓인다.
2. 끓이던 인삼음료에 설탕, 물, 물엿, 마누카 꿀을 넣고 끓인다.
3. 끓이던 재료에 꿀에 절인 인삼을 넣어 인삼소스를 만든다.
4. 기름을 두른 팬에 송편을 굽는다.
5. 전자레인지에 즉석밥을 넣고 돌린다.
6. 구운 송편을 볼에 담아 식힌다.
7. 송편을 구웠던 팬에 적당한 크기로 자른 곶감과 으깬 땅콩을 넣고 볶는다.
8. 기름을 두른 팬에 인스턴트 닭발을 볶다가 적당한 크기로 자른 뒤, 레몬즙을 넣는다.
9. 콩잎장아찌를 물에 헹군 뒤, 물기를 제거한다.
10. 끓이던 인삼소스에 볶은 곶감과 땅콩을 넣고 졸여 강정소스를 만든다.
11. 구운 송편을 접시에 담고, 강정소스를 뿌려 송편 강정을 만든다.
12. 볼에 밥, 영양부추, 참기름, 깨, 볶은 닭발을 넣고 버무린다.
13. 12를 적당한 크기로 뭉친 뒤, 콩잎장아찌로 감싸 접시에 담는다.
14. 칵테일 셰이커에 증류소주, 능이버섯 달인 물, 레몬즙을 넣고 섞는다.
15. 유리잔에 레몬즙과 소금을 차례로 묻힌다.
16. 볼에 흑마늘액, 겨자를 넣고 섞어 흑마늘소스를 만든 뒤, 콩잎쌈밥에 곁들인다.
17. 소금을 묻힌 유리잔에 능이버섯주를 담아 마무리한다.</v>
      </c>
    </row>
    <row r="410">
      <c r="A410" s="2" t="str">
        <f>recipe!C410
</f>
        <v>오마이갓코스</v>
      </c>
      <c r="B410" s="2" t="str">
        <f>IFERROR(__xludf.DUMMYFUNCTION("TRIM(
  REGEXEXTRACT(
    raw!A410,
    ""●\s*조리\s*방법([\s\S]*)""
  )
)
"),"1. 웨하스 초콜릿을 잘게 부순 뒤, 중탕으로 녹인다.
2. 레몬즙을 낸다.
3. 핸드블렌더에 레몬즙, 유자청, 간장을 넣고 곱게 갈아 레몬유자소스를 만든다.
4. 레몬유자소스를 체에 밭쳐 곱게 거른 뒤, 올리브오일을 넣는다.
5. 양파를 채칼로 얇게 썰어 얼음물에 담가둔다.
6. 마른 팬에 적당한 크기로 썬 소고기를 넣고 한 면만 익힌다.
7. 한 면만 익힌 소고기를 얇게 썰어 접시에 담는다.
8. 소고기 위에 레"&amp;"몬유자소스를 뿌린 뒤, 얼음물에 담아둔 양파채의 물기를 빼고 올린다.
9. 대파 흰 부분을 잘게 썰어, 버터를 두른 팬에 볶는다.
10. 핸드블렌더에 아몬드를 넣고 간다.
11. 수비드 닭가슴살에 밀가루&gt;달걀물&gt;아몬드가루를 입혀 기름에 튀긴다.
12. 튀긴 아몬드닭가슴살에 볶은 대파와 체다치즈를 올리고 전자레인지에 돌려 치즈를 녹인다.
13. 당근을 적당한 크기로 썬 뒤, 핸드블렌더로 간다.
14. 냄비에 버터를 녹이다가"&amp;", 곱게 간 당근과 크림치즈, 밀가루,
우유, 굴소스, 소금을 넣고 끓여 당근수프를 만든다.
15. 믹서기에 당근수프를 넣고 간다.
16. 체다치즈를 올려서 녹인 아몬드닭가슴살튀김을 접시에 담는다.
17. 중탕한 웨하스 초콜릿을 그릇에 담고, 바닐라 아이스크림을 올린 뒤,
웨하스 초콜릿을 곱게 갈아 뿌린다.
18. 그릇에 당근수프를 담아낸다.")</f>
        <v>1. 웨하스 초콜릿을 잘게 부순 뒤, 중탕으로 녹인다.
2. 레몬즙을 낸다.
3. 핸드블렌더에 레몬즙, 유자청, 간장을 넣고 곱게 갈아 레몬유자소스를 만든다.
4. 레몬유자소스를 체에 밭쳐 곱게 거른 뒤, 올리브오일을 넣는다.
5. 양파를 채칼로 얇게 썰어 얼음물에 담가둔다.
6. 마른 팬에 적당한 크기로 썬 소고기를 넣고 한 면만 익힌다.
7. 한 면만 익힌 소고기를 얇게 썰어 접시에 담는다.
8. 소고기 위에 레몬유자소스를 뿌린 뒤, 얼음물에 담아둔 양파채의 물기를 빼고 올린다.
9. 대파 흰 부분을 잘게 썰어, 버터를 두른 팬에 볶는다.
10. 핸드블렌더에 아몬드를 넣고 간다.
11. 수비드 닭가슴살에 밀가루&gt;달걀물&gt;아몬드가루를 입혀 기름에 튀긴다.
12. 튀긴 아몬드닭가슴살에 볶은 대파와 체다치즈를 올리고 전자레인지에 돌려 치즈를 녹인다.
13. 당근을 적당한 크기로 썬 뒤, 핸드블렌더로 간다.
14. 냄비에 버터를 녹이다가, 곱게 간 당근과 크림치즈, 밀가루,
우유, 굴소스, 소금을 넣고 끓여 당근수프를 만든다.
15. 믹서기에 당근수프를 넣고 간다.
16. 체다치즈를 올려서 녹인 아몬드닭가슴살튀김을 접시에 담는다.
17. 중탕한 웨하스 초콜릿을 그릇에 담고, 바닐라 아이스크림을 올린 뒤,
웨하스 초콜릿을 곱게 갈아 뿌린다.
18. 그릇에 당근수프를 담아낸다.</v>
      </c>
    </row>
    <row r="411">
      <c r="A411" s="2" t="str">
        <f>recipe!C411
</f>
        <v>미식풀코스</v>
      </c>
      <c r="B411" s="2" t="str">
        <f>IFERROR(__xludf.DUMMYFUNCTION("TRIM(
  REGEXEXTRACT(
    raw!A411,
    ""●\s*조리\s*방법([\s\S]*)""
  )
)
"),"1. 초콜릿을 중탕해서 녹인다.
2. 깍두기를 물에 헹궈 양념을 씻어낸다.
3. 양념을 씻어낸 깍두기와 당근을 그레이터를 이용해 얇게 썬다.
4. 대파를 잘게 썰어 손질한 깍두기, 당근과 함께 담아둔다
5. 4에 레몬즙, 올리브오일, 식초, 소금, 후추를 넣고 버무려 깍두기샐러드를 만든다.
6. 접시에 깍두기샐러드를 담는다.
7. 달걀 흰자를 쳐서 머랭을 만든다.
8. 핸드블렌더에 아몬드를 넣고 간다.
9. 머"&amp;"랭에 곱게 간 아몬드를 넣고 섞는다.
10. 기름을 두른 팬에 아몬드머랭을 넣고 구워 머랭케이크를 만든다.
11. 양파, 당근을 잘게 썰어 기름을 두른 팬에 넣고 볶는다.
12. 볶은 재료에 양배추즙과 끓는 물을 넣고 끓인다.
13. 수비드 닭가슴살을 적당한 크기로 썬 뒤, 끓이던 재료에 함께 넣고 수프를 끓인다.
14. 짬뽕라면 면을 잘게 부숴, 수프에 넣고 함께 끓인다.
15. 볼에 달걀, 레몬즙을 넣고 섞은 뒤, 체"&amp;"에 걸러 수프에 넣고 끓인다.
16. 그릇에 닭가슴살 수프를 담고, 대파를 잘게 썰어 올린다.
17. 접시에 녹인 중탕으로 초콜릿을 바르고, 머랭케이크를 원형틀로 모양을 내서 올린다.
18. 바닐라 아이스크림을 적당한 크기로 썰어, 머랭케이크 위에 올린다.
19. 초콜릿&gt;머랭케이크&gt;초콜릿 순서로 아이스크림 위에 올린 뒤,
초콜릿으로 접시에 데커레이션을 한다.
20. 초콜릿을 갈아 머랭케이크 위에 뿌린다.
21. 곱게 간"&amp;" 아몬드를 뿌려 마무리한다.")</f>
        <v>1. 초콜릿을 중탕해서 녹인다.
2. 깍두기를 물에 헹궈 양념을 씻어낸다.
3. 양념을 씻어낸 깍두기와 당근을 그레이터를 이용해 얇게 썬다.
4. 대파를 잘게 썰어 손질한 깍두기, 당근과 함께 담아둔다
5. 4에 레몬즙, 올리브오일, 식초, 소금, 후추를 넣고 버무려 깍두기샐러드를 만든다.
6. 접시에 깍두기샐러드를 담는다.
7. 달걀 흰자를 쳐서 머랭을 만든다.
8. 핸드블렌더에 아몬드를 넣고 간다.
9. 머랭에 곱게 간 아몬드를 넣고 섞는다.
10. 기름을 두른 팬에 아몬드머랭을 넣고 구워 머랭케이크를 만든다.
11. 양파, 당근을 잘게 썰어 기름을 두른 팬에 넣고 볶는다.
12. 볶은 재료에 양배추즙과 끓는 물을 넣고 끓인다.
13. 수비드 닭가슴살을 적당한 크기로 썬 뒤, 끓이던 재료에 함께 넣고 수프를 끓인다.
14. 짬뽕라면 면을 잘게 부숴, 수프에 넣고 함께 끓인다.
15. 볼에 달걀, 레몬즙을 넣고 섞은 뒤, 체에 걸러 수프에 넣고 끓인다.
16. 그릇에 닭가슴살 수프를 담고, 대파를 잘게 썰어 올린다.
17. 접시에 녹인 중탕으로 초콜릿을 바르고, 머랭케이크를 원형틀로 모양을 내서 올린다.
18. 바닐라 아이스크림을 적당한 크기로 썰어, 머랭케이크 위에 올린다.
19. 초콜릿&gt;머랭케이크&gt;초콜릿 순서로 아이스크림 위에 올린 뒤,
초콜릿으로 접시에 데커레이션을 한다.
20. 초콜릿을 갈아 머랭케이크 위에 뿌린다.
21. 곱게 간 아몬드를 뿌려 마무리한다.</v>
      </c>
    </row>
    <row r="412">
      <c r="A412" s="2" t="str">
        <f>recipe!C412
</f>
        <v>잭슨 앤 치즈스테이크</v>
      </c>
      <c r="B412" s="2" t="str">
        <f>IFERROR(__xludf.DUMMYFUNCTION("TRIM(
  REGEXEXTRACT(
    raw!A412,
    ""●\s*조리\s*방법([\s\S]*)""
  )
)
"),"1. 수비드 닭가슴살을 잘게 썬다.
2. 소고기 등심을 잘게 썰고, 기름을 두른 팬에 손질한 닭가슴살과
소고기를 볶다가 소금, 후추로 간 한다.
3. 마른 팬에 밀가루와 버터를 볶아 루를 만든다.
4. 양파를 동그랗게 썰어 기름을 두른 팬에 굽다가 소금, 후추로 간 한다.
5. 루에 우유와 체다치즈를 넣고 끓여 체다치즈소스를 만든다.
6. 체다치즈소스에 소금, 후추로 간한다.
7. 볼에 크림치즈와 잘게 부순 아몬드, 후"&amp;"추, 소금을 넣고 섞는다.
8. 아몬드크림치즈에 레몬즙을 넣는다.
9. 볶던 닭가슴살과 소고기에 체다치즈소스를 넣고 조린다.
10. 9를 양파를 굽던 팬에 넣는다.
11. 접시에 구운 양파와 체다치즈소스에 조린 닭가슴살과
소고기를 담고, 아몬드크림치즈를 얹는다.
12. 소고기 등심을 적당한 크기로 썰고, 소금, 후추로 간 한 뒤 기름을 두른 팬에 굽는다.
13. 접시에 체다치즈소스를 뿌린다.
14. 스테이크를 올린"&amp;" 뒤, 아몬드크림치즈를 얹고, 후추를 뿌려 마무리한다.")</f>
        <v>1. 수비드 닭가슴살을 잘게 썬다.
2. 소고기 등심을 잘게 썰고, 기름을 두른 팬에 손질한 닭가슴살과
소고기를 볶다가 소금, 후추로 간 한다.
3. 마른 팬에 밀가루와 버터를 볶아 루를 만든다.
4. 양파를 동그랗게 썰어 기름을 두른 팬에 굽다가 소금, 후추로 간 한다.
5. 루에 우유와 체다치즈를 넣고 끓여 체다치즈소스를 만든다.
6. 체다치즈소스에 소금, 후추로 간한다.
7. 볼에 크림치즈와 잘게 부순 아몬드, 후추, 소금을 넣고 섞는다.
8. 아몬드크림치즈에 레몬즙을 넣는다.
9. 볶던 닭가슴살과 소고기에 체다치즈소스를 넣고 조린다.
10. 9를 양파를 굽던 팬에 넣는다.
11. 접시에 구운 양파와 체다치즈소스에 조린 닭가슴살과
소고기를 담고, 아몬드크림치즈를 얹는다.
12. 소고기 등심을 적당한 크기로 썰고, 소금, 후추로 간 한 뒤 기름을 두른 팬에 굽는다.
13. 접시에 체다치즈소스를 뿌린다.
14. 스테이크를 올린 뒤, 아몬드크림치즈를 얹고, 후추를 뿌려 마무리한다.</v>
      </c>
    </row>
    <row r="413">
      <c r="A413" s="2" t="str">
        <f>recipe!C413
</f>
        <v>소울을 느끼소</v>
      </c>
      <c r="B413" s="2" t="str">
        <f>IFERROR(__xludf.DUMMYFUNCTION("TRIM(
  REGEXEXTRACT(
    raw!A413,
    ""●\s*조리\s*방법([\s\S]*)""
  )
)
"),"1. 소고기 등심을 잘게 썬다.
2. 양파를 채 썬다.
3. 기름을 두른 팬에 손질한 소고기와 양파를 볶는다.
4. 볶던 재료에 레드와인을 넣고 조린다.
5. 마른 팬에 버터와 밀가루를 넣고 볶아 루를 만든다.
6. 소고기 등심을 고기망치로 두드려 얇게 편 뒤, 적당한 크기로 썬다.
7. 적당한 크기로 썬 소고기에 소금을 뿌리고 밀가루를 입힌다.
8. 밀가루를 입힌 소고기와 채 썬 양파와 우유를 루에 넣고 끓여 조린다.
9. 기름을 두른 "&amp;"팬에 잘게 썬 대파 흰 부분과 즉석밥을 넣고 볶는다.
10. 루에 조리던 소고기와 대파밥에 각각 간장으로 간 한다.
11. 간장으로 간 한 대파밥에 버터를 넣고 볶다가, 달걀을 넣어 섞는다.
12. 그릇에 달걀버터간장밥을 담고, 소금으로 간 한다.
13. 루에 조린 소고기에 크림치즈를 넣고 녹인 후, 달걀버터간장밥 위에 얹는다.
14. 소고기를 건져낸 크림치즈소스를 잘 저어 크림치즈를 완전히 녹인다.
15. 소고기와 양파를 조린 레드와인소스에"&amp;" 버터와 겨자를 넣는다.
16. 크림치즈소스를 체에 거른 뒤, 우유를 부어 다시 한 번 끓인다.
17. 소고기 위에 크림치즈소스를 뿌린다.
18. 레드와인에 조리던 소고기와 양파를 체에 밭쳐 걸러내고 레드와인소스만 남긴다.
19. 완성된 음식 위에 레드와인소스를 뿌려 마무리한다.")</f>
        <v>1. 소고기 등심을 잘게 썬다.
2. 양파를 채 썬다.
3. 기름을 두른 팬에 손질한 소고기와 양파를 볶는다.
4. 볶던 재료에 레드와인을 넣고 조린다.
5. 마른 팬에 버터와 밀가루를 넣고 볶아 루를 만든다.
6. 소고기 등심을 고기망치로 두드려 얇게 편 뒤, 적당한 크기로 썬다.
7. 적당한 크기로 썬 소고기에 소금을 뿌리고 밀가루를 입힌다.
8. 밀가루를 입힌 소고기와 채 썬 양파와 우유를 루에 넣고 끓여 조린다.
9. 기름을 두른 팬에 잘게 썬 대파 흰 부분과 즉석밥을 넣고 볶는다.
10. 루에 조리던 소고기와 대파밥에 각각 간장으로 간 한다.
11. 간장으로 간 한 대파밥에 버터를 넣고 볶다가, 달걀을 넣어 섞는다.
12. 그릇에 달걀버터간장밥을 담고, 소금으로 간 한다.
13. 루에 조린 소고기에 크림치즈를 넣고 녹인 후, 달걀버터간장밥 위에 얹는다.
14. 소고기를 건져낸 크림치즈소스를 잘 저어 크림치즈를 완전히 녹인다.
15. 소고기와 양파를 조린 레드와인소스에 버터와 겨자를 넣는다.
16. 크림치즈소스를 체에 거른 뒤, 우유를 부어 다시 한 번 끓인다.
17. 소고기 위에 크림치즈소스를 뿌린다.
18. 레드와인에 조리던 소고기와 양파를 체에 밭쳐 걸러내고 레드와인소스만 남긴다.
19. 완성된 음식 위에 레드와인소스를 뿌려 마무리한다.</v>
      </c>
    </row>
    <row r="414">
      <c r="A414" s="3" t="str">
        <f>recipe!C414
</f>
        <v>만두에 대한 경례</v>
      </c>
      <c r="B414" s="2" t="str">
        <f>IFERROR(__xludf.DUMMYFUNCTION("TRIM(
  REGEXEXTRACT(
    raw!A414,
    ""●\s*조리\s*방법([\s\S]*)""
  )
)
"),"1. 파프리카를 직화한다.
2. 마른 팬에 버터를 넣고 녹인다.
3. 적당한 크기로 썬 삼겹살과 굴소스, 뜨거운 물, 맛술,
생강즙, 간장을 핸드블렌더로 갈아 만두소를 만든다.
4. 곱게 간 만두소를 볼에 담고 녹인 버터를 섞는다.
5. 만두소에 후추, 잘게 다진 양파를 넣는다.
6. 대파 흰 부분을 잘게 다져 볼에 덜어두고, 만두소에도 넣는다.
7. 채소를 넣은 만두소에 참기름을 넣고 섞는다.
8. 팽이버섯을 잘"&amp;"게 썰어 만두소에 넣는다.
9. 볼에 밀가루와 뜨거운 물을 넣고 치대어 익반죽한다.
10. 반죽을 적당한 크기로 떼어내고 밀대로 밀어 만두피를 만든다.
11. 만두피에 만두소를 넣고 빚는다.
12. 기름을 두른 팬에 만두를 넣고 익히다가 물을 부은 뒤, 뚜껑을 닫아 증기로 속까지 익힌다.
13. 다진 대파에 레몬즙, 으깬 마늘, 굴소스, 맛술, 설탕, 간장,
잘게 다진 구운 파프리카를 섞어 소스를 만든다.
14. 소스를"&amp;" 소스 종지에 담아낸다.
15. 접시에 구운 만두를 담아낸다.")</f>
        <v>1. 파프리카를 직화한다.
2. 마른 팬에 버터를 넣고 녹인다.
3. 적당한 크기로 썬 삼겹살과 굴소스, 뜨거운 물, 맛술,
생강즙, 간장을 핸드블렌더로 갈아 만두소를 만든다.
4. 곱게 간 만두소를 볼에 담고 녹인 버터를 섞는다.
5. 만두소에 후추, 잘게 다진 양파를 넣는다.
6. 대파 흰 부분을 잘게 다져 볼에 덜어두고, 만두소에도 넣는다.
7. 채소를 넣은 만두소에 참기름을 넣고 섞는다.
8. 팽이버섯을 잘게 썰어 만두소에 넣는다.
9. 볼에 밀가루와 뜨거운 물을 넣고 치대어 익반죽한다.
10. 반죽을 적당한 크기로 떼어내고 밀대로 밀어 만두피를 만든다.
11. 만두피에 만두소를 넣고 빚는다.
12. 기름을 두른 팬에 만두를 넣고 익히다가 물을 부은 뒤, 뚜껑을 닫아 증기로 속까지 익힌다.
13. 다진 대파에 레몬즙, 으깬 마늘, 굴소스, 맛술, 설탕, 간장,
잘게 다진 구운 파프리카를 섞어 소스를 만든다.
14. 소스를 소스 종지에 담아낸다.
15. 접시에 구운 만두를 담아낸다.</v>
      </c>
    </row>
    <row r="415">
      <c r="A415" s="4" t="str">
        <f>recipe!C415
</f>
        <v>복 잡으러 왔단닭</v>
      </c>
      <c r="B415" s="2" t="str">
        <f>IFERROR(__xludf.DUMMYFUNCTION("TRIM(
  REGEXEXTRACT(
    raw!A415,
    ""●\s*조리\s*방법([\s\S]*)""
  )
)
"),"1. 끓는 물에 표고버섯을 삶는다.
2. 삼겹살을 적당한 크기로 썬다.
3. 적당한 크기로 썬 삼겹살과 고추맛 닭가슴살볼을 핸드블렌더에 넣고 간다.
4. 곱게 간 삼겹살과 고추맛 닭가슴살볼에 굴소스, 청주, 달걀흰자를 넣고 치대어 소를 만든다.
5. 삶은 표고버섯을 건져내 찬물에 헹군 뒤, 기둥과 윗부분을 잘라낸다.
6. 손질한 표고버섯 안쪽에 격자로 촘촘하게 칼집을 낸다.
7. 표고버섯 윗부분에 소를 올리고 감싼 뒤, "&amp;"이쑤시개로 고정한다.
8. 소를 채운 표고버섯을 기름에 튀긴다.
9. 볼에 물, 케첩, 레몬즙, 설탕, 식초를 섞어 케첩소스를 만든다.
10. 양파를 잘게 다져 볼에 담아둔다.
11. 다진 양파에 굴소스를 넣고 마른 팬에 볶는다.
12. 마른 팬에 케첩소스를 넣고 졸인다.
13. 굴소스에 볶은 양파를 접시에 깐다.
14. 볶은 양파 위에 표고버섯 튀김을 올린다.
15. 표고버섯 튀김 위에 케첩소스를 뿌려 마무리"&amp;"한다.")</f>
        <v>1. 끓는 물에 표고버섯을 삶는다.
2. 삼겹살을 적당한 크기로 썬다.
3. 적당한 크기로 썬 삼겹살과 고추맛 닭가슴살볼을 핸드블렌더에 넣고 간다.
4. 곱게 간 삼겹살과 고추맛 닭가슴살볼에 굴소스, 청주, 달걀흰자를 넣고 치대어 소를 만든다.
5. 삶은 표고버섯을 건져내 찬물에 헹군 뒤, 기둥과 윗부분을 잘라낸다.
6. 손질한 표고버섯 안쪽에 격자로 촘촘하게 칼집을 낸다.
7. 표고버섯 윗부분에 소를 올리고 감싼 뒤, 이쑤시개로 고정한다.
8. 소를 채운 표고버섯을 기름에 튀긴다.
9. 볼에 물, 케첩, 레몬즙, 설탕, 식초를 섞어 케첩소스를 만든다.
10. 양파를 잘게 다져 볼에 담아둔다.
11. 다진 양파에 굴소스를 넣고 마른 팬에 볶는다.
12. 마른 팬에 케첩소스를 넣고 졸인다.
13. 굴소스에 볶은 양파를 접시에 깐다.
14. 볶은 양파 위에 표고버섯 튀김을 올린다.
15. 표고버섯 튀김 위에 케첩소스를 뿌려 마무리한다.</v>
      </c>
    </row>
    <row r="416">
      <c r="A416" s="2" t="str">
        <f>recipe!C416
</f>
        <v>풍절판</v>
      </c>
      <c r="B416" s="2" t="str">
        <f>IFERROR(__xludf.DUMMYFUNCTION("TRIM(
  REGEXEXTRACT(
    raw!A416,
    ""●\s*조리\s*방법([\s\S]*)""
  )
)
"),"1. 끓는 물에 소금을 넣고, 브로콜리를 데친다.
2. 볼에 밀가루, 소금, 물을 넣고 섞어 밀전병 반죽을 만든다.
3. 삼겹살을 적당한 크기로 썬다.
4. 마른 팬에 적당한 크기로 썬 삼겹살을 볶다가 설탕, 맛술,
다진 마늘, 다진 생강을 넣어 볶는다.
5. 믹서기에 깨, 간장, 설탕, 식초를 넣고 갈아 소스를 만든다.
6. 감자를 채 썰어 기름을 두른 팬에 볶다가 소금으로 간 한다.
7. 삶은 브로콜리를 건져낸 뒤,"&amp;" 브로콜리를 삶던 물에 파프리카를 삶는다.
8. 볶던 감자채에 식초를 넣는다.
9. 완성된 감자볶음을 그릇에 담는다.
10. 기름을 두른 팬에 가늘게 채 썬 당근을 볶다가 소금으로 간 한다.
11. 삶은 브로콜리를 적당한 크기로 썰어 그릇에 담는다.
12. 볶은 당근채를 그릇에 담는다.
13. 양파를 가늘게 채 썰어 기름을 두른 팬에 볶다가 소금으로 간 한다.
14. 볶은 삼겹살을 그릇에 담는다.
15. 볶은 "&amp;"양파를 그릇에 담는다.
16. 새송이버섯을 길게 썰어 기름을 두른 팬에 볶다가 굴소스로 간한다.
17. 기름을 두른 팬에 밀전병 반죽을 얇게 부친다.
18. 삶은 파프리카를 건져 채 썬 뒤 그릇에 담는다.
19. 볶은 새송이버섯채를 그릇에 담는다.
20. 기름을 두른 팬에 팽이버섯을 볶다가 소금으로 간 한다.
21. 밀전병을 그릇에 담는다.
22. 소스에 설탕, 참기름을 넣고 간다.
23. 소스를 그릇에 담는다"&amp;".
24. 볶은 팽이버섯을 그릇에 담는다.")</f>
        <v>1. 끓는 물에 소금을 넣고, 브로콜리를 데친다.
2. 볼에 밀가루, 소금, 물을 넣고 섞어 밀전병 반죽을 만든다.
3. 삼겹살을 적당한 크기로 썬다.
4. 마른 팬에 적당한 크기로 썬 삼겹살을 볶다가 설탕, 맛술,
다진 마늘, 다진 생강을 넣어 볶는다.
5. 믹서기에 깨, 간장, 설탕, 식초를 넣고 갈아 소스를 만든다.
6. 감자를 채 썰어 기름을 두른 팬에 볶다가 소금으로 간 한다.
7. 삶은 브로콜리를 건져낸 뒤, 브로콜리를 삶던 물에 파프리카를 삶는다.
8. 볶던 감자채에 식초를 넣는다.
9. 완성된 감자볶음을 그릇에 담는다.
10. 기름을 두른 팬에 가늘게 채 썬 당근을 볶다가 소금으로 간 한다.
11. 삶은 브로콜리를 적당한 크기로 썰어 그릇에 담는다.
12. 볶은 당근채를 그릇에 담는다.
13. 양파를 가늘게 채 썰어 기름을 두른 팬에 볶다가 소금으로 간 한다.
14. 볶은 삼겹살을 그릇에 담는다.
15. 볶은 양파를 그릇에 담는다.
16. 새송이버섯을 길게 썰어 기름을 두른 팬에 볶다가 굴소스로 간한다.
17. 기름을 두른 팬에 밀전병 반죽을 얇게 부친다.
18. 삶은 파프리카를 건져 채 썬 뒤 그릇에 담는다.
19. 볶은 새송이버섯채를 그릇에 담는다.
20. 기름을 두른 팬에 팽이버섯을 볶다가 소금으로 간 한다.
21. 밀전병을 그릇에 담는다.
22. 소스에 설탕, 참기름을 넣고 간다.
23. 소스를 그릇에 담는다.
24. 볶은 팽이버섯을 그릇에 담는다.</v>
      </c>
    </row>
    <row r="417">
      <c r="A417" s="2" t="str">
        <f>recipe!C417
</f>
        <v>으르렁 으르렁 돼지불백♬</v>
      </c>
      <c r="B417" s="2" t="str">
        <f>IFERROR(__xludf.DUMMYFUNCTION("TRIM(
  REGEXEXTRACT(
    raw!A417,
    ""●\s*조리\s*방법([\s\S]*)""
  )
)
"),"1. 삼겹살에 칼집을 낸 뒤, 적당한 크기로 썰어 마른 팬에 볶는다.
2. 볼에 다진 마늘, 간장, 설탕, 물, 물엿, 맛술, 굴소스를 넣고 섞어 불고기양념을 만든다.
3. 볶은 삼겹살에 불고기양념을 넣고 조린다.
4. 전자레인지에 즉석밥을 넣고 돌린다.
5. 대파 흰 부분의 심지는 따로 빼놓은 뒤, 대파를 가늘게 채 썰어 찬물에 담가둔다.
6. 당근을 가늘게 채 썰어 대파 심지 부분과 함께 둔다.
7. 불고기 양념에 조린 삼겹살을 석쇠에 얹"&amp;"고, 토치로 직화한다.
8. 삼겹살을 조리던 불고기양념에 대파 심지, 당근채, 직화로 구운 삼겹살을 넣고 볶는다.
9. 마늘을 편으로 썰어 팬에 넣고 함께 볶는다.
10. 끓는 물에 감자, 양파를 적당한 크기로 썰어 넣고 끓인다.
11. 10에 굴소스, 맛술, 간장, 소금, 후추를 넣고 국을 끓인다.
12. 볼에 설탕, 간장, 식초를 넣고 섞어 소스를 만든다.
13. 소스에 찬물에 담가뒀던 파채와 참기름, 깨를 넣고 무친다.
14. 그릇에 "&amp;"밥을 담고 돼지불고기&gt;파무침&gt;달걀노른자 순으로 올린다.
15. 끓이던 국에 달걀물을 풀어 넣고 달걀감자국을 만든다.
16. 달걀감자국을 그릇에 담아 마무리한다.")</f>
        <v>1. 삼겹살에 칼집을 낸 뒤, 적당한 크기로 썰어 마른 팬에 볶는다.
2. 볼에 다진 마늘, 간장, 설탕, 물, 물엿, 맛술, 굴소스를 넣고 섞어 불고기양념을 만든다.
3. 볶은 삼겹살에 불고기양념을 넣고 조린다.
4. 전자레인지에 즉석밥을 넣고 돌린다.
5. 대파 흰 부분의 심지는 따로 빼놓은 뒤, 대파를 가늘게 채 썰어 찬물에 담가둔다.
6. 당근을 가늘게 채 썰어 대파 심지 부분과 함께 둔다.
7. 불고기 양념에 조린 삼겹살을 석쇠에 얹고, 토치로 직화한다.
8. 삼겹살을 조리던 불고기양념에 대파 심지, 당근채, 직화로 구운 삼겹살을 넣고 볶는다.
9. 마늘을 편으로 썰어 팬에 넣고 함께 볶는다.
10. 끓는 물에 감자, 양파를 적당한 크기로 썰어 넣고 끓인다.
11. 10에 굴소스, 맛술, 간장, 소금, 후추를 넣고 국을 끓인다.
12. 볼에 설탕, 간장, 식초를 넣고 섞어 소스를 만든다.
13. 소스에 찬물에 담가뒀던 파채와 참기름, 깨를 넣고 무친다.
14. 그릇에 밥을 담고 돼지불고기&gt;파무침&gt;달걀노른자 순으로 올린다.
15. 끓이던 국에 달걀물을 풀어 넣고 달걀감자국을 만든다.
16. 달걀감자국을 그릇에 담아 마무리한다.</v>
      </c>
    </row>
    <row r="418">
      <c r="A418" s="2" t="str">
        <f>recipe!C418
</f>
        <v>오빠 한번 믿어봐♬</v>
      </c>
      <c r="B418" s="2" t="str">
        <f>IFERROR(__xludf.DUMMYFUNCTION("TRIM(
  REGEXEXTRACT(
    raw!A418,
    ""●\s*조리\s*방법([\s\S]*)""
  )
)
"),"1. 사과를 가늘게 채 썬다.
2. 마른 팬에 채 썬 사과, 견과류, 건크랜베리, 버터, 설탕, 발사믹소스, 딸기잼을 넣고 볶는다.
3. 볼에 밀가루, 달걀, 우유, 소금을 넣고 반죽한다.
4. 반죽을 밀대로 밀고, 원형틀로 찍어 만두피를 만든다.
5. 만두피에 볶은 사과소를 올리고 반으로 접어 포크로 모양을 내 만두를 만든다.
6. 사과만두를 끓는 물에 삶는다.
7. 마른 팬에 오미자 원액, 전분을 넣고 끓여 소스를 만"&amp;"든다.
8. 접시에 오미자 소스를 넓게 깐다.
9. 삶은 만두를 건져내 물기를 제거하고, 오미자소스 위에 올린다.
10. 아몬드를 갈아 뿌린다.
11. 오미자소스 위에 딸기맛 요거트를 올리고 모양을 내 완성한다.")</f>
        <v>1. 사과를 가늘게 채 썬다.
2. 마른 팬에 채 썬 사과, 견과류, 건크랜베리, 버터, 설탕, 발사믹소스, 딸기잼을 넣고 볶는다.
3. 볼에 밀가루, 달걀, 우유, 소금을 넣고 반죽한다.
4. 반죽을 밀대로 밀고, 원형틀로 찍어 만두피를 만든다.
5. 만두피에 볶은 사과소를 올리고 반으로 접어 포크로 모양을 내 만두를 만든다.
6. 사과만두를 끓는 물에 삶는다.
7. 마른 팬에 오미자 원액, 전분을 넣고 끓여 소스를 만든다.
8. 접시에 오미자 소스를 넓게 깐다.
9. 삶은 만두를 건져내 물기를 제거하고, 오미자소스 위에 올린다.
10. 아몬드를 갈아 뿌린다.
11. 오미자소스 위에 딸기맛 요거트를 올리고 모양을 내 완성한다.</v>
      </c>
    </row>
    <row r="419">
      <c r="A419" s="2" t="str">
        <f>recipe!C419
</f>
        <v>머랭둥둥</v>
      </c>
      <c r="B419" s="2" t="str">
        <f>IFERROR(__xludf.DUMMYFUNCTION("TRIM(
  REGEXEXTRACT(
    raw!A419,
    ""●\s*조리\s*방법([\s\S]*)""
  )
)
"),"1. 달걀흰자에 설탕을 넣고 거품기로 쳐 머랭을 만든다.
2. 냄비에 우유를 끓인다.
3. 머랭에 레몬즙을 넣고 친다.
4. 각기 다른 두 개의 냄비에 우유를 끓인다.
5. 끓인 우유에 크림치즈와 체다치즈, 설탕을 넣고 함께 끓여 치즈소스를 만든다.
6. 다른 끓인 우유에 코코아가루를 넣고 함께 끓여 초콜릿소스를 만든다.
7. 넓은 냄비에 끓인 우유에 머랭을 띄워 익히다가 뒤집어 익힌다.
8. 치즈소스를 잘 섞은 뒤, 그릇에 붓는다.
9."&amp;" 치즈소스 위에 익힌 머랭을 띄운다.
10. 머랭 위에 초콜릿소스를 뿌린다.
11. 자몽을 적당한 크기로 썰어 올려 완성한다.")</f>
        <v>1. 달걀흰자에 설탕을 넣고 거품기로 쳐 머랭을 만든다.
2. 냄비에 우유를 끓인다.
3. 머랭에 레몬즙을 넣고 친다.
4. 각기 다른 두 개의 냄비에 우유를 끓인다.
5. 끓인 우유에 크림치즈와 체다치즈, 설탕을 넣고 함께 끓여 치즈소스를 만든다.
6. 다른 끓인 우유에 코코아가루를 넣고 함께 끓여 초콜릿소스를 만든다.
7. 넓은 냄비에 끓인 우유에 머랭을 띄워 익히다가 뒤집어 익힌다.
8. 치즈소스를 잘 섞은 뒤, 그릇에 붓는다.
9. 치즈소스 위에 익힌 머랭을 띄운다.
10. 머랭 위에 초콜릿소스를 뿌린다.
11. 자몽을 적당한 크기로 썰어 올려 완성한다.</v>
      </c>
    </row>
    <row r="420">
      <c r="A420" s="2" t="str">
        <f>recipe!C420
</f>
        <v>식스센스</v>
      </c>
      <c r="B420" s="2" t="str">
        <f>IFERROR(__xludf.DUMMYFUNCTION("TRIM(
  REGEXEXTRACT(
    raw!A420,
    ""●\s*조리\s*방법([\s\S]*)""
  )
)
"),"1. 바게트를 적당한 크기로 썬다.
2. 올리브오일을 두른 팬에 적당한 크기로 썬 바게트를 굽는다.
3. 두 개의 팬에 기름을 두르고 각각 잘게 다진 자숙새우와 통자숙새우를 굽다가 후추로 간 한다.
4. 구운 통자숙새우는 접시에 담아둔다.
5. 잘게 다진 자숙새우에 버터, 밀가루, 우유를 넣고 볶아 크림새우를 만들어 접시에 담아둔다.
6. 레드와인식초에 올리브오일을 섞어 소스를 만든 뒤, 구운 통자숙새우를 담가 놓는다.
7. 마른 팬에 불고기"&amp;"용 소고기를 굽다가 소금, 후추로 간 한 뒤 꺼내놓는다.
8. 아보카도를 깍둑썰어 팬에 넣고, 전복장 국물을 부어 조리다가 소금으로 간 한다.
9. 칼집을 낸 토마토에 뜨거운 물을 부어 껍질을 벗긴다.
10. 껍질을 벗긴 토마토를 적당한 크기로 썰어 올리브오일과 섞은 뒤 소금으로 간한다.
11. 구운 바게트 위에 루콜라 &gt; 소스에 담가뒀던 통자숙새우 &gt; 적당한 크기로 썬 자몽 순으로 올린다.
12. 구운 소고기를 발사믹소스에 무친 뒤, 구운 바"&amp;"게트 &gt; 루콜라 &gt; 소고기 순으로 올린다.
13. 구운 바게트 위에 크림치즈 &gt; 전복장 국물에 조린 아보카도 순으로 올린다.
14. 마른 팬에 주꾸미를 올리고, 소금, 후추로 간 한 뒤 올리브오일을 뿌려 볶는다.
15. 구운 바게트 위에 루콜라 &gt; 볶은 주꾸미 &gt; 레몬껍질 순으로 올린다.
16. 구운 바게트 위에 크림새우를 올린다.
17. 구운 바게트 위에 루콜라 &gt; 오일에 절인 토마토 순으로 올린다.
18. 아보카도 브루스케타 위에 마요네즈"&amp;"를 뿌린다.
19. 크림새우 브루스케타 위에 토마토소스를 얹는다.
20. 소고기 브루스케타 위에 잘게 다진 사과를 올린다.")</f>
        <v>1. 바게트를 적당한 크기로 썬다.
2. 올리브오일을 두른 팬에 적당한 크기로 썬 바게트를 굽는다.
3. 두 개의 팬에 기름을 두르고 각각 잘게 다진 자숙새우와 통자숙새우를 굽다가 후추로 간 한다.
4. 구운 통자숙새우는 접시에 담아둔다.
5. 잘게 다진 자숙새우에 버터, 밀가루, 우유를 넣고 볶아 크림새우를 만들어 접시에 담아둔다.
6. 레드와인식초에 올리브오일을 섞어 소스를 만든 뒤, 구운 통자숙새우를 담가 놓는다.
7. 마른 팬에 불고기용 소고기를 굽다가 소금, 후추로 간 한 뒤 꺼내놓는다.
8. 아보카도를 깍둑썰어 팬에 넣고, 전복장 국물을 부어 조리다가 소금으로 간 한다.
9. 칼집을 낸 토마토에 뜨거운 물을 부어 껍질을 벗긴다.
10. 껍질을 벗긴 토마토를 적당한 크기로 썰어 올리브오일과 섞은 뒤 소금으로 간한다.
11. 구운 바게트 위에 루콜라 &gt; 소스에 담가뒀던 통자숙새우 &gt; 적당한 크기로 썬 자몽 순으로 올린다.
12. 구운 소고기를 발사믹소스에 무친 뒤, 구운 바게트 &gt; 루콜라 &gt; 소고기 순으로 올린다.
13. 구운 바게트 위에 크림치즈 &gt; 전복장 국물에 조린 아보카도 순으로 올린다.
14. 마른 팬에 주꾸미를 올리고, 소금, 후추로 간 한 뒤 올리브오일을 뿌려 볶는다.
15. 구운 바게트 위에 루콜라 &gt; 볶은 주꾸미 &gt; 레몬껍질 순으로 올린다.
16. 구운 바게트 위에 크림새우를 올린다.
17. 구운 바게트 위에 루콜라 &gt; 오일에 절인 토마토 순으로 올린다.
18. 아보카도 브루스케타 위에 마요네즈를 뿌린다.
19. 크림새우 브루스케타 위에 토마토소스를 얹는다.
20. 소고기 브루스케타 위에 잘게 다진 사과를 올린다.</v>
      </c>
    </row>
    <row r="421">
      <c r="A421" s="2" t="str">
        <f>recipe!C421
</f>
        <v>리듬채소</v>
      </c>
      <c r="B421" s="2" t="str">
        <f>IFERROR(__xludf.DUMMYFUNCTION("TRIM(
  REGEXEXTRACT(
    raw!A421,
    ""●\s*조리\s*방법([\s\S]*)""
  )
)
"),"1. 양파, 당근, 파프리카, 대파를 통째로 기름에 튀긴다.
2. 튀긴 파프리카를 꺼내 토치로 직화한다.
3. 팬에 마늘을 갈아 넣고, 설탕, 맛술, 청주, 간장을 넣어 졸인다.
4. 튀긴 대파를 꺼내, 겉 부분은 졸이던 간장소스에 넣고 속 부분은 다시 튀긴다.
5. 핸드블렌더에 아보카도, 마요네즈, 복숭아맛 요거트, 설탕을 넣고 갈아 아보카도소스를 만든다.
6. 간 마늘과 올리브오일을 섞어 마늘오일을 만든다.
7. 핸드블렌더에 직화해서 껍질"&amp;"을 벗긴 파프리카, 마늘오일, 발사믹소스, 케첩을 넣고 간다.
8. 7에 미숫가루, 올리브오일을 넣고 갈아 로메스코소스를 만든다.
9. 기름을 두른 팬에 양배추를 굽는다.
10. 튀긴 양파를 건져낸 뒤, 겉 부분은 간장소스에 넣고 속 부분은
적당한 크기로 썰어 양배추와 함께 굽는다.
11. 튀긴 당근을 건져내 겉 부분을 벗겨낸다.
12. 불고기용 소고기를 간장소스에 버무린 뒤, 기름을 두른 팬에 굽는다.
13. 굽던 양배추와 양파에 간장소스를"&amp;" 바른다.
14. 접시에 아보카도소스와 로메스코소스를 번갈아가며 깐다.
15. 튀긴 당근과 대파를 적당한 크기로 썰어 소스 위에 올린다.
16. 구운 양파와 양배추를 얹는다.
17. 간장소스에 버무려 구운 소고기를 얹는다.
18. 루콜라에 레드와인식초, 올리브오일, 소금을 뿌려 버무린 뒤, 접시에 올린다.
19. 간장소스에 버터를 넣고 녹인다.
20. 샐러드 위에 버터간장소스를 뿌린다.
21. 미숫가루를 뿌려 마무리한다.")</f>
        <v>1. 양파, 당근, 파프리카, 대파를 통째로 기름에 튀긴다.
2. 튀긴 파프리카를 꺼내 토치로 직화한다.
3. 팬에 마늘을 갈아 넣고, 설탕, 맛술, 청주, 간장을 넣어 졸인다.
4. 튀긴 대파를 꺼내, 겉 부분은 졸이던 간장소스에 넣고 속 부분은 다시 튀긴다.
5. 핸드블렌더에 아보카도, 마요네즈, 복숭아맛 요거트, 설탕을 넣고 갈아 아보카도소스를 만든다.
6. 간 마늘과 올리브오일을 섞어 마늘오일을 만든다.
7. 핸드블렌더에 직화해서 껍질을 벗긴 파프리카, 마늘오일, 발사믹소스, 케첩을 넣고 간다.
8. 7에 미숫가루, 올리브오일을 넣고 갈아 로메스코소스를 만든다.
9. 기름을 두른 팬에 양배추를 굽는다.
10. 튀긴 양파를 건져낸 뒤, 겉 부분은 간장소스에 넣고 속 부분은
적당한 크기로 썰어 양배추와 함께 굽는다.
11. 튀긴 당근을 건져내 겉 부분을 벗겨낸다.
12. 불고기용 소고기를 간장소스에 버무린 뒤, 기름을 두른 팬에 굽는다.
13. 굽던 양배추와 양파에 간장소스를 바른다.
14. 접시에 아보카도소스와 로메스코소스를 번갈아가며 깐다.
15. 튀긴 당근과 대파를 적당한 크기로 썰어 소스 위에 올린다.
16. 구운 양파와 양배추를 얹는다.
17. 간장소스에 버무려 구운 소고기를 얹는다.
18. 루콜라에 레드와인식초, 올리브오일, 소금을 뿌려 버무린 뒤, 접시에 올린다.
19. 간장소스에 버터를 넣고 녹인다.
20. 샐러드 위에 버터간장소스를 뿌린다.
21. 미숫가루를 뿌려 마무리한다.</v>
      </c>
    </row>
    <row r="422">
      <c r="A422" s="2" t="str">
        <f>recipe!C422
</f>
        <v>쉿테이크</v>
      </c>
      <c r="B422" s="2" t="str">
        <f>IFERROR(__xludf.DUMMYFUNCTION("TRIM(
  REGEXEXTRACT(
    raw!A422,
    ""●\s*조리\s*방법([\s\S]*)""
  )
)
"),"1. 두부를 면보에 싼 뒤, 물기를 짠다.
2. 당근, 양파, 새송이버섯을 잘게 썰어 기름을 두른 팬에 담는다.
3. 잘게 썬 아스파라거스를 팬에 함께 넣고, 소금, 후추로 간을 해 볶는다.
4. 3에 완두콩을 넣고 함께 볶는다.
5. 핸드블렌더에 돼지목살을 곱게 간다.
6. 새우를 잘게 다져 곱게 간 돼지목살, 물기를 짜낸 두부와 함께 섞는다.
7. 6에 볶은 채소, 달걀, 밀가루, 참기름, 간장을 넣고 섞어 패티를 만"&amp;"든다.
8. 마른 팬에 적당한 크기로 썬 대파, 알배추를 굽다가 명이나물 장아찌국물을 넣는다.
9. 명이나물 장아찌를 잘게 다진다.
10. 볼에 요거트, 레몬즙, 잘게 썬 오이, 다진 명이나물 장아찌를 넣고 섞는다.
11. 기름을 두른 팬에 패티를 적당한 크기로 뭉쳐 굽는다.
12. 접시에 구운 대파와 알배추를 올리고, 두부스테이크를 얹은 뒤, 명이요거트소스를 올린다.
13. 대파와 알배추를 구운 명이나물 소스를 뿌려 마"&amp;"무리한다.")</f>
        <v>1. 두부를 면보에 싼 뒤, 물기를 짠다.
2. 당근, 양파, 새송이버섯을 잘게 썰어 기름을 두른 팬에 담는다.
3. 잘게 썬 아스파라거스를 팬에 함께 넣고, 소금, 후추로 간을 해 볶는다.
4. 3에 완두콩을 넣고 함께 볶는다.
5. 핸드블렌더에 돼지목살을 곱게 간다.
6. 새우를 잘게 다져 곱게 간 돼지목살, 물기를 짜낸 두부와 함께 섞는다.
7. 6에 볶은 채소, 달걀, 밀가루, 참기름, 간장을 넣고 섞어 패티를 만든다.
8. 마른 팬에 적당한 크기로 썬 대파, 알배추를 굽다가 명이나물 장아찌국물을 넣는다.
9. 명이나물 장아찌를 잘게 다진다.
10. 볼에 요거트, 레몬즙, 잘게 썬 오이, 다진 명이나물 장아찌를 넣고 섞는다.
11. 기름을 두른 팬에 패티를 적당한 크기로 뭉쳐 굽는다.
12. 접시에 구운 대파와 알배추를 올리고, 두부스테이크를 얹은 뒤, 명이요거트소스를 올린다.
13. 대파와 알배추를 구운 명이나물 소스를 뿌려 마무리한다.</v>
      </c>
    </row>
    <row r="423">
      <c r="A423" s="2" t="str">
        <f>recipe!C423
</f>
        <v>꼭꼭 숨겼디야</v>
      </c>
      <c r="B423" s="2" t="str">
        <f>IFERROR(__xludf.DUMMYFUNCTION("TRIM(
  REGEXEXTRACT(
    raw!A423,
    ""●\s*조리\s*방법([\s\S]*)""
  )
)
"),"1. 두부를 길게 썰어 소금을 뿌린 뒤, 키친타월로 감싸 물기를 뺀다.
2. 양파, 당근을 가늘게 채 썰어 기름을 두른 팬에 볶는다.
3. 돼지목살을 잘게 다져 채소와 함께 볶다가 소금, 후추, 살사소스를 넣고 볶는다.
4. 볶던 재료에 모차렐라치즈, 손질한 아스파라거스를 넣고 볶는다.
5. 양상추를 가늘게 채 썬다.
6. 물기를 뺀 두부를 기름에 튀긴다.
7. 토르티야를 긁어 얇게 만든다.
8. 얇게 만든 토르티야"&amp;"를 마른 팬에 굽다가, 슬라이스 치즈를 올린다.
9. 치즈를 넣어 구운 토르티야 위에 얇게 썬 아보카도, 방울토마토,
볶은 고기와 채소, 튀긴 두부를 얹는다.
10. 채 썬 양상추에 요거트, 소금, 후추를 넣고 버무린다.
11. 양념한 양상추를 토르티야 위에 얹고 반으로 접어 케사디야를 만든다.
12. 양상추샐러드를 접시에 담는다.
13. 케사디야를 적당한 크기로 잘라 담아 마무리한다.")</f>
        <v>1. 두부를 길게 썰어 소금을 뿌린 뒤, 키친타월로 감싸 물기를 뺀다.
2. 양파, 당근을 가늘게 채 썰어 기름을 두른 팬에 볶는다.
3. 돼지목살을 잘게 다져 채소와 함께 볶다가 소금, 후추, 살사소스를 넣고 볶는다.
4. 볶던 재료에 모차렐라치즈, 손질한 아스파라거스를 넣고 볶는다.
5. 양상추를 가늘게 채 썬다.
6. 물기를 뺀 두부를 기름에 튀긴다.
7. 토르티야를 긁어 얇게 만든다.
8. 얇게 만든 토르티야를 마른 팬에 굽다가, 슬라이스 치즈를 올린다.
9. 치즈를 넣어 구운 토르티야 위에 얇게 썬 아보카도, 방울토마토,
볶은 고기와 채소, 튀긴 두부를 얹는다.
10. 채 썬 양상추에 요거트, 소금, 후추를 넣고 버무린다.
11. 양념한 양상추를 토르티야 위에 얹고 반으로 접어 케사디야를 만든다.
12. 양상추샐러드를 접시에 담는다.
13. 케사디야를 적당한 크기로 잘라 담아 마무리한다.</v>
      </c>
    </row>
    <row r="424">
      <c r="A424" s="2" t="str">
        <f>recipe!C424
</f>
        <v>복불복</v>
      </c>
      <c r="B424" s="2" t="str">
        <f>IFERROR(__xludf.DUMMYFUNCTION("TRIM(
  REGEXEXTRACT(
    raw!A424,
    ""●\s*조리\s*방법([\s\S]*)""
  )
)
"),"1. 양파, 아스파라거스, 느타리버섯, 표고버섯, 대파를 잘게 썰어 둔다.
2. 복어를 얇게 포 뜬 뒤, 접시에 올린다.
3. 볼에 밀가루, 전분, 물, 식용유, 달걀물을 넣고 섞어 튀김옷을 만든다.
4. 포 뜬 복어살로 새우를 돌돌 만 뒤, 튀김옷을 입혀 튀긴다.
5. 기름을 두른 팬에 잘게 썬 채소들을 볶다가, 간장, 맛술,
굴소스, 참기름을 넣어 채소소스를 만든다.
6. 접시에 올려 둔 포 뜬 복어를 토치로 직화한다.
"&amp;"
7. 새우복어튀김을 건져 그릇에 담는다.
8. 직화한 복어 위에 채소소스를 얹는다.
9. 새우복어튀김 위에 채소소스를 얹어 마무리한다.")</f>
        <v>1. 양파, 아스파라거스, 느타리버섯, 표고버섯, 대파를 잘게 썰어 둔다.
2. 복어를 얇게 포 뜬 뒤, 접시에 올린다.
3. 볼에 밀가루, 전분, 물, 식용유, 달걀물을 넣고 섞어 튀김옷을 만든다.
4. 포 뜬 복어살로 새우를 돌돌 만 뒤, 튀김옷을 입혀 튀긴다.
5. 기름을 두른 팬에 잘게 썬 채소들을 볶다가, 간장, 맛술,
굴소스, 참기름을 넣어 채소소스를 만든다.
6. 접시에 올려 둔 포 뜬 복어를 토치로 직화한다.
7. 새우복어튀김을 건져 그릇에 담는다.
8. 직화한 복어 위에 채소소스를 얹는다.
9. 새우복어튀김 위에 채소소스를 얹어 마무리한다.</v>
      </c>
    </row>
    <row r="425">
      <c r="A425" s="2" t="str">
        <f>recipe!C425
</f>
        <v>복어~싶다♬</v>
      </c>
      <c r="B425" s="2" t="str">
        <f>IFERROR(__xludf.DUMMYFUNCTION("TRIM(
  REGEXEXTRACT(
    raw!A425,
    ""●\s*조리\s*방법([\s\S]*)""
  )
)
"),"1. 게를 적당한 크기로 손질한 뒤, 끓는 물에 넣고 끓여 게 육수를 낸다.
2. 대파, 아스파라거스를 적당한 크기로 썬 뒤, 대파는 끓이고, 아스파라거스는 체에 밭쳐 데친다.
3. 양파, 알배추를 적당한 크기로 썰어 얼음물에 담가둔다.
4. 전자레인지에 즉석밥을 돌린다.
5. 볼에 간장, 식초, 설탕, 맛술을 넣고 섞어 초간장소스를 만든다.
6. 밥을 찬물에 헹궈 식힌 뒤, 물에 담가 불린다.
7. 복어의 살을 발라내고"&amp;", 뼈는 대파와 함께 끓여 복어육수를 낸다.
8. 전분을 묻힌 손질한 복어살과, 전분을 묻히지 않은 껍질을 끓는 물에 데친다.
9. 데친 복어살과 대파를 함께 건져내 얼음물에 식힌다.
10. 복어육수에 알배추를 넣고 끓인다.
11. 볼에 간장, 청주, 맛술을 넣고 섞어 간장소스를 만든다.
12. 손질한 복어살에 달걀물, 간장소스, 전분을 버무린 뒤 기름에 튀긴다.
13. 복어튀김을 건져 한 김 식힌다.
14. 빈 냄"&amp;"비에 복어육수, 게살, 복어, 불린 밥, 소금, 청주, 간장을 넣고 복죽을 끓인다.
15. 데친 복어살에 양파, 알배추, 초간장소스, 깨, 고춧가루,
복껍질을 넣고 버무려 복어무침을 만든다.
16. 식힌 복어튀김을 다시 한 번 튀긴다.
17. 복어무침을 그릇에 담는다.
18. 복어튀김을 접시에 담고, 데친 아스파라거스로 데커레이션한다.
19. 복죽에 달걀물을 풀고, 끓인다.
20. 복죽을 그릇에 담고, 초간장소스를 곁들"&amp;"여낸다.")</f>
        <v>1. 게를 적당한 크기로 손질한 뒤, 끓는 물에 넣고 끓여 게 육수를 낸다.
2. 대파, 아스파라거스를 적당한 크기로 썬 뒤, 대파는 끓이고, 아스파라거스는 체에 밭쳐 데친다.
3. 양파, 알배추를 적당한 크기로 썰어 얼음물에 담가둔다.
4. 전자레인지에 즉석밥을 돌린다.
5. 볼에 간장, 식초, 설탕, 맛술을 넣고 섞어 초간장소스를 만든다.
6. 밥을 찬물에 헹궈 식힌 뒤, 물에 담가 불린다.
7. 복어의 살을 발라내고, 뼈는 대파와 함께 끓여 복어육수를 낸다.
8. 전분을 묻힌 손질한 복어살과, 전분을 묻히지 않은 껍질을 끓는 물에 데친다.
9. 데친 복어살과 대파를 함께 건져내 얼음물에 식힌다.
10. 복어육수에 알배추를 넣고 끓인다.
11. 볼에 간장, 청주, 맛술을 넣고 섞어 간장소스를 만든다.
12. 손질한 복어살에 달걀물, 간장소스, 전분을 버무린 뒤 기름에 튀긴다.
13. 복어튀김을 건져 한 김 식힌다.
14. 빈 냄비에 복어육수, 게살, 복어, 불린 밥, 소금, 청주, 간장을 넣고 복죽을 끓인다.
15. 데친 복어살에 양파, 알배추, 초간장소스, 깨, 고춧가루,
복껍질을 넣고 버무려 복어무침을 만든다.
16. 식힌 복어튀김을 다시 한 번 튀긴다.
17. 복어무침을 그릇에 담는다.
18. 복어튀김을 접시에 담고, 데친 아스파라거스로 데커레이션한다.
19. 복죽에 달걀물을 풀고, 끓인다.
20. 복죽을 그릇에 담고, 초간장소스를 곁들여낸다.</v>
      </c>
    </row>
    <row r="426">
      <c r="A426" s="2" t="str">
        <f>recipe!C426
</f>
        <v>고르고 고른 파스타</v>
      </c>
      <c r="B426" s="2" t="str">
        <f>IFERROR(__xludf.DUMMYFUNCTION("TRIM(
  REGEXEXTRACT(
    raw!A426,
    ""●\s*조리\s*방법([\s\S]*)""
  )
)
"),"1. 끓는 물에 호두를 데친 뒤, 설탕에 버무린다.
2. 예열된 오븐에 설탕에 버무린 호두와 적당한 크기로 썬 무화과를 넣고 익힌다.
3. 볼에 밀가루, 달걀을 넣고 섞어 반죽을 만든다.
4. 반죽을 밀대로 얇게 민다.
5. 얇게 민 반죽을 적당한 두께로 썰어 파스타면을 만든다.
6. 기름을 두른 팬에 다진 마늘을 볶다가 적당한 크기로 썬 양송이버섯,
새송이버섯, 느타리버섯, 표고버섯을 넣고 볶는다.
7. 볶던 버섯에 "&amp;"소금, 후추, 버터, 화이트와인을 넣고 볶는다.
8. 호두를 데친 물에 소금을 넣는다.
9. 볶던 버섯에 호두 데친 물을 넣는다.
10. 볶은 버섯에 생크림과 고르곤졸라 치즈를 넣고 끓여 버섯크림소스를 만든다.
11. 호두 데친 물에 면을 넣고 삶는다.
12. 삶은 면을 건져 버섯크림소스에 넣고 볶는다.
13. 버섯크림파스타를 접시에 담는다.
14. 파스타 위에 오븐에서 익힌 무화과를 올리고, 설탕에 버무려 익힌 호"&amp;"두를 잘게 다져 얹는다.
15. 파스타 위에 올리브오일을 뿌려 마무리한다.")</f>
        <v>1. 끓는 물에 호두를 데친 뒤, 설탕에 버무린다.
2. 예열된 오븐에 설탕에 버무린 호두와 적당한 크기로 썬 무화과를 넣고 익힌다.
3. 볼에 밀가루, 달걀을 넣고 섞어 반죽을 만든다.
4. 반죽을 밀대로 얇게 민다.
5. 얇게 민 반죽을 적당한 두께로 썰어 파스타면을 만든다.
6. 기름을 두른 팬에 다진 마늘을 볶다가 적당한 크기로 썬 양송이버섯,
새송이버섯, 느타리버섯, 표고버섯을 넣고 볶는다.
7. 볶던 버섯에 소금, 후추, 버터, 화이트와인을 넣고 볶는다.
8. 호두를 데친 물에 소금을 넣는다.
9. 볶던 버섯에 호두 데친 물을 넣는다.
10. 볶은 버섯에 생크림과 고르곤졸라 치즈를 넣고 끓여 버섯크림소스를 만든다.
11. 호두 데친 물에 면을 넣고 삶는다.
12. 삶은 면을 건져 버섯크림소스에 넣고 볶는다.
13. 버섯크림파스타를 접시에 담는다.
14. 파스타 위에 오븐에서 익힌 무화과를 올리고, 설탕에 버무려 익힌 호두를 잘게 다져 얹는다.
15. 파스타 위에 올리브오일을 뿌려 마무리한다.</v>
      </c>
    </row>
    <row r="427">
      <c r="A427" s="2" t="str">
        <f>recipe!C427
</f>
        <v>조선의 파스타자</v>
      </c>
      <c r="B427" s="2" t="str">
        <f>IFERROR(__xludf.DUMMYFUNCTION("TRIM(
  REGEXEXTRACT(
    raw!A427,
    ""●\s*조리\s*방법([\s\S]*)""
  )
)
"),"1. 끓는 물에 바지락을 넣고 끓여 육수를 낸다.
2. 시금치의 뿌리를 잘라내고, 끓는 물에 데친다.
3. 데친 시금치를 찬물에 헹궈 식힌 뒤, 잘게 썬다.
4. 믹서기에 잘게 썬 시금치와 달걀을 넣고 간다.
5. 다른 믹서기에 달걀과 밀가루를 넣고 갈아 반죽을 만든다.
6. 곱게 간 시금치에 밀가루를 넣고 갈아 시금치 반죽을 만든다.
7. 달걀반죽과 시금치반죽을 밀대로 얇게 민 뒤, 적당한 두께로 썰어 두 가지 색의 파"&amp;"스타면을 만든다.
8. 두 가지 색의 파스타면을 끓는 물에 삶는다.
9. 익힌 바지락을 체에 밭쳐 육수만 걸러낸다.
10. 관자, 전복, 새우는 적당한 크기로 손질하고, 고추와 마늘은 잘게 썬다.
11. 기름을 두른 팬에 손질한 재료들을 넣고 볶다가 소금, 후추로 간 한다.
12. 볶은 해산물에 화이트 와인을 넣는다.
13. 삶은 면을 건져 해산물을 볶던 팬에 넣고 함께 볶는다.
14. 볶던 해산물파스타에 바지락육수"&amp;"와 올리브오일을 넣어가며 볶는다.
15. 해산물파스타를 접시에 담고 후추를 뿌려 마무리한다.")</f>
        <v>1. 끓는 물에 바지락을 넣고 끓여 육수를 낸다.
2. 시금치의 뿌리를 잘라내고, 끓는 물에 데친다.
3. 데친 시금치를 찬물에 헹궈 식힌 뒤, 잘게 썬다.
4. 믹서기에 잘게 썬 시금치와 달걀을 넣고 간다.
5. 다른 믹서기에 달걀과 밀가루를 넣고 갈아 반죽을 만든다.
6. 곱게 간 시금치에 밀가루를 넣고 갈아 시금치 반죽을 만든다.
7. 달걀반죽과 시금치반죽을 밀대로 얇게 민 뒤, 적당한 두께로 썰어 두 가지 색의 파스타면을 만든다.
8. 두 가지 색의 파스타면을 끓는 물에 삶는다.
9. 익힌 바지락을 체에 밭쳐 육수만 걸러낸다.
10. 관자, 전복, 새우는 적당한 크기로 손질하고, 고추와 마늘은 잘게 썬다.
11. 기름을 두른 팬에 손질한 재료들을 넣고 볶다가 소금, 후추로 간 한다.
12. 볶은 해산물에 화이트 와인을 넣는다.
13. 삶은 면을 건져 해산물을 볶던 팬에 넣고 함께 볶는다.
14. 볶던 해산물파스타에 바지락육수와 올리브오일을 넣어가며 볶는다.
15. 해산물파스타를 접시에 담고 후추를 뿌려 마무리한다.</v>
      </c>
    </row>
    <row r="428">
      <c r="A428" s="2" t="str">
        <f>recipe!C428
</f>
        <v>마이 무따아이가</v>
      </c>
      <c r="B428" s="2" t="str">
        <f>IFERROR(__xludf.DUMMYFUNCTION("TRIM(
  REGEXEXTRACT(
    raw!A428,
    ""●\s*조리\s*방법([\s\S]*)""
  )
)
"),"1. 핸드블렌더에 구이용 소고기와 불고기용 소고기를 넣고 함께 간다.
2. 곱게 간 소고기에 잘게 썬 적양파, 소금, 후추, 맥주를 넣고 다시 간다.
3. 2에 달걀물을 넣고 섞는다.
4. 곱게 간 소고기를 넓게 펴고, 얇게 썬 무화과를 올린다.
5. 4에 모차렐라 치즈와 고르곤졸라 치즈를 얹고, 반으로 접는다.
6. 기름을 두른 그릴팬에 무화와과 치즈로 속을 채운 소고기를 굽는다.
7. 감자를 가늘게 채 썬 뒤, 소금과"&amp;" 후추로 간 한다.
8. 기름을 두른 팬에 양념한 감자채를 넓게 펴서 부친다.
9. 팬에 설탕, 레몬청, 물을 넣고 끓인 뒤, 무화과를 넣어 익힌다.
10. 그릴팬에 구운 소고기를 전자레인지에 넣고 돌려 속까지 익힌다.
11. 감자채부침을 접시에 올린다.
12. 팬에 생크림을 끓인다.
13. 끓이던 생크림에 머스터드소스, 후추, 소금을 넣고 섞어 크림머스터드소스를 만든다.
14. 감자채부침 위에 속까지 익힌 소고기를"&amp;" 올린다.
15. 14 위에 크림머스터드소스를 얹고, 익힌 무화과를 올려 마무리한다.")</f>
        <v>1. 핸드블렌더에 구이용 소고기와 불고기용 소고기를 넣고 함께 간다.
2. 곱게 간 소고기에 잘게 썬 적양파, 소금, 후추, 맥주를 넣고 다시 간다.
3. 2에 달걀물을 넣고 섞는다.
4. 곱게 간 소고기를 넓게 펴고, 얇게 썬 무화과를 올린다.
5. 4에 모차렐라 치즈와 고르곤졸라 치즈를 얹고, 반으로 접는다.
6. 기름을 두른 그릴팬에 무화와과 치즈로 속을 채운 소고기를 굽는다.
7. 감자를 가늘게 채 썬 뒤, 소금과 후추로 간 한다.
8. 기름을 두른 팬에 양념한 감자채를 넓게 펴서 부친다.
9. 팬에 설탕, 레몬청, 물을 넣고 끓인 뒤, 무화과를 넣어 익힌다.
10. 그릴팬에 구운 소고기를 전자레인지에 넣고 돌려 속까지 익힌다.
11. 감자채부침을 접시에 올린다.
12. 팬에 생크림을 끓인다.
13. 끓이던 생크림에 머스터드소스, 후추, 소금을 넣고 섞어 크림머스터드소스를 만든다.
14. 감자채부침 위에 속까지 익힌 소고기를 올린다.
15. 14 위에 크림머스터드소스를 얹고, 익힌 무화과를 올려 마무리한다.</v>
      </c>
    </row>
    <row r="429">
      <c r="A429" s="2" t="str">
        <f>recipe!C429
</f>
        <v>모시 돼진디?</v>
      </c>
      <c r="B429" s="2" t="str">
        <f>IFERROR(__xludf.DUMMYFUNCTION("TRIM(
  REGEXEXTRACT(
    raw!A429,
    ""●\s*조리\s*방법([\s\S]*)""
  )
)
"),"1. 적양파는 잘게 썰고, 대파는 적당한 크기로 썬다.
2. 항정살과 삼겹살을 적당한 크기로 썰어 팬에 넣고 볶는다.
3. 3에 적양파와 대파를 넣고 함께 볶는다.
4. 달래를 적당한 길이로 썬다.
5. 끓인 기름에 고춧가루, 다진 마늘을 넣고 끓인다.
6. 5를 체에 밭쳐 고추기름만 걸러낸다.
7. 적양파, 마늘, 고추를 잘게 썰어 고추기름에 넣고 함께 끓인다.
8. 고추기름에 모시조개, 동죽, 바지락, 화이트와인"&amp;"을 넣고 함께 볶는다.
9. 볶은 돼지고기에 굴소스를 넣고 함께 볶는다.
10. 9에 고추기름에 볶은 각종 조개를 넣고 볶은 뒤, 맥주를 넣는다.
11. 볶던 재료에 달래를 넣고 함께 볶은 뒤, 접시에 담는다.
12. 적당한 크기로 썬 레몬을 곁들여 마무리한다.")</f>
        <v>1. 적양파는 잘게 썰고, 대파는 적당한 크기로 썬다.
2. 항정살과 삼겹살을 적당한 크기로 썰어 팬에 넣고 볶는다.
3. 3에 적양파와 대파를 넣고 함께 볶는다.
4. 달래를 적당한 길이로 썬다.
5. 끓인 기름에 고춧가루, 다진 마늘을 넣고 끓인다.
6. 5를 체에 밭쳐 고추기름만 걸러낸다.
7. 적양파, 마늘, 고추를 잘게 썰어 고추기름에 넣고 함께 끓인다.
8. 고추기름에 모시조개, 동죽, 바지락, 화이트와인을 넣고 함께 볶는다.
9. 볶은 돼지고기에 굴소스를 넣고 함께 볶는다.
10. 9에 고추기름에 볶은 각종 조개를 넣고 볶은 뒤, 맥주를 넣는다.
11. 볶던 재료에 달래를 넣고 함께 볶은 뒤, 접시에 담는다.
12. 적당한 크기로 썬 레몬을 곁들여 마무리한다.</v>
      </c>
    </row>
    <row r="430">
      <c r="A430" s="2" t="str">
        <f>recipe!C430
</f>
        <v>풍비박산</v>
      </c>
      <c r="B430" s="2" t="str">
        <f>IFERROR(__xludf.DUMMYFUNCTION("TRIM(
  REGEXEXTRACT(
    raw!A430,
    ""●\s*조리\s*방법([\s\S]*)""
  )
)
"),"1. 두부를 적당한 크기로 썰어 기름에 튀긴다.
2. 애호박, 소시지, 양파를 적당한 크기로 썬다.
3. 미니새송이버섯을 적당한 크기로 썰고, 마늘을 으깬다.
4. 대파 흰 부분을 적당한 크기로 썰고, 양파는 가늘게 채 썬다.
5. 오징어 몸통부분에 촘촘하게 칼집을 내고, 적당한 크기로 썬다.
6. 미니파프리카와 꽈리고추를 적당한 크기로 썬다.
7. 튀긴 두부를 체에 밭쳐 기름을 뺀다.
8. 베이컨용 삼겹살을 적당한"&amp;" 크기로 썰어 팬에 볶는다.
9. 볶던 삼겹살에 손질한 미니파프리카, 꽈리고추, 대파, 미니새송이버섯, 으깬 마늘을 넣고 볶는다.
10. 다른 팬에 기름을 두르고, 손질한 애호박, 소시지, 양파를 볶는다.
11. 10에 케첩, 고추장, 깨, 전분물을 넣고 볶는다.
12. 볶던 삼겹살&amp;채소에 손질한 오징어, 양파채를 넣고 볶다가, 유자후추와 일본간장을 넣는다.
13. 그릇에 소시지채소볶음을 담는다.
14. 볶던 삼겹살과 오"&amp;"징어에 전분물을 넣고 볶은 뒤, 소시지채소볶음 위에 얹는다.
15. 대파 흰 부분을 적당한 크기로 썰고, 마늘을 으깬다.
16. 게맛살은 적당한 크기로 찢는다.
17. 기름을 두른 팬에 대파 흰 부분과 으깬 마늘을 볶다가 물을 넣고 끓인다.
18. 17에 손질한 게맛살, 게살장, 잘게 썬 팽이버섯을 넣고 볶다가 전분물을 넣는다.
19. 달걀흰자로 머랭을 친다.
20. 끓이던 게소스에 머랭을 넣고 잘 섞는다.
21. "&amp;"두 가지 음식이 담긴 그릇 위에 머랭을 섞은 게소스와 튀긴 두부를 올려 마무리한다.")</f>
        <v>1. 두부를 적당한 크기로 썰어 기름에 튀긴다.
2. 애호박, 소시지, 양파를 적당한 크기로 썬다.
3. 미니새송이버섯을 적당한 크기로 썰고, 마늘을 으깬다.
4. 대파 흰 부분을 적당한 크기로 썰고, 양파는 가늘게 채 썬다.
5. 오징어 몸통부분에 촘촘하게 칼집을 내고, 적당한 크기로 썬다.
6. 미니파프리카와 꽈리고추를 적당한 크기로 썬다.
7. 튀긴 두부를 체에 밭쳐 기름을 뺀다.
8. 베이컨용 삼겹살을 적당한 크기로 썰어 팬에 볶는다.
9. 볶던 삼겹살에 손질한 미니파프리카, 꽈리고추, 대파, 미니새송이버섯, 으깬 마늘을 넣고 볶는다.
10. 다른 팬에 기름을 두르고, 손질한 애호박, 소시지, 양파를 볶는다.
11. 10에 케첩, 고추장, 깨, 전분물을 넣고 볶는다.
12. 볶던 삼겹살&amp;채소에 손질한 오징어, 양파채를 넣고 볶다가, 유자후추와 일본간장을 넣는다.
13. 그릇에 소시지채소볶음을 담는다.
14. 볶던 삼겹살과 오징어에 전분물을 넣고 볶은 뒤, 소시지채소볶음 위에 얹는다.
15. 대파 흰 부분을 적당한 크기로 썰고, 마늘을 으깬다.
16. 게맛살은 적당한 크기로 찢는다.
17. 기름을 두른 팬에 대파 흰 부분과 으깬 마늘을 볶다가 물을 넣고 끓인다.
18. 17에 손질한 게맛살, 게살장, 잘게 썬 팽이버섯을 넣고 볶다가 전분물을 넣는다.
19. 달걀흰자로 머랭을 친다.
20. 끓이던 게소스에 머랭을 넣고 잘 섞는다.
21. 두 가지 음식이 담긴 그릇 위에 머랭을 섞은 게소스와 튀긴 두부를 올려 마무리한다.</v>
      </c>
    </row>
    <row r="431">
      <c r="A431" s="2" t="str">
        <f>recipe!C431
</f>
        <v>치즈듬풍만두</v>
      </c>
      <c r="B431" s="2" t="str">
        <f>IFERROR(__xludf.DUMMYFUNCTION("TRIM(
  REGEXEXTRACT(
    raw!A431,
    ""●\s*조리\s*방법([\s\S]*)""
  )
)
"),"1. 달걀물에 밀가루, 전분, 물을 넣고 섞어 튀김반죽을 만든다.
2. 튀김반죽에 식용유를 넣는다.
3. 볼에 크림치즈, 리코타치즈, 버터, 모차렐라치즈, 고다치즈를 넣고 섞은 뒤
새우젓, 후추, 잘게 썬 팽이버섯을 넣고 섞어 소를 만든다.
4. 베이컨용 삼겹살을 십(十)자로 펴고, 만들어둔 소를 넣어 감싼다.
5. 소를 감싼 삼겹살에 튀김반죽을 입힌 뒤, 기름에 튀긴다.
6. 볼에 딸기잼, 다진 양파, 마요네즈를 넣고 섞는"&amp;"다.
7. 청양고추와 마늘을 으깬 뒤, 레몬즙과 간장을 섞는다.
8. 7을 딸기마요소스와 섞는다.
9. 튀긴 만두를 접시에 담는다.
10. 소스를 소스종지에 담아 함께 낸다.")</f>
        <v>1. 달걀물에 밀가루, 전분, 물을 넣고 섞어 튀김반죽을 만든다.
2. 튀김반죽에 식용유를 넣는다.
3. 볼에 크림치즈, 리코타치즈, 버터, 모차렐라치즈, 고다치즈를 넣고 섞은 뒤
새우젓, 후추, 잘게 썬 팽이버섯을 넣고 섞어 소를 만든다.
4. 베이컨용 삼겹살을 십(十)자로 펴고, 만들어둔 소를 넣어 감싼다.
5. 소를 감싼 삼겹살에 튀김반죽을 입힌 뒤, 기름에 튀긴다.
6. 볼에 딸기잼, 다진 양파, 마요네즈를 넣고 섞는다.
7. 청양고추와 마늘을 으깬 뒤, 레몬즙과 간장을 섞는다.
8. 7을 딸기마요소스와 섞는다.
9. 튀긴 만두를 접시에 담는다.
10. 소스를 소스종지에 담아 함께 낸다.</v>
      </c>
    </row>
    <row r="432">
      <c r="A432" s="2" t="str">
        <f>recipe!C432
</f>
        <v>낫띵배럴~♬</v>
      </c>
      <c r="B432" s="2" t="str">
        <f>IFERROR(__xludf.DUMMYFUNCTION("TRIM(
  REGEXEXTRACT(
    raw!A432,
    ""●\s*조리\s*방법([\s\S]*)""
  )
)
"),"1. 양파, 대파, 고추를 잘게 썬다.
2. 베이컨용 삼겹살을 적당한 크기로 썰어 팬에 볶다가, 다진 마늘, 후추를 넣는다.
3. 2에 손질한 양파, 대파, 다진 총각김치, 고춧가루를 넣고 볶는다.
4. 카망베르치즈와 체다치즈를 전자레인지에 돌려 녹인다.
5. 낫토를 으깬 뒤, 된장과 섞는다.
6. 낫토된장에 녹인 치즈, 다진 마늘, 고춧가루를 넣고 섞어 청국장을 만든다.
7. 팬에 볶은 삼겹살과 채소에 인스턴트 육개장을"&amp;" 붓고 끓인다,
8. 7에 뜨거운 물에 갠 청국장을 넣고 끓이다가, 후추를 넣는다.
9. 전자레인지에 즉석밥을 넣고 돌린다.
10. 끓는 물에 라면을 삶는다.
11. 청국장에 전분물을 넣는다.
12. 그릇에 밥을 담고, 달걀노른자와 잘게 부순 깨, 참기름, 잘게 썬 대파를 올린다.
13. 삶은 라면을 그릇에 담는다.
14. 라면 위에 청국장소스를 올린다.
15. 밥을 곁들여낸다.")</f>
        <v>1. 양파, 대파, 고추를 잘게 썬다.
2. 베이컨용 삼겹살을 적당한 크기로 썰어 팬에 볶다가, 다진 마늘, 후추를 넣는다.
3. 2에 손질한 양파, 대파, 다진 총각김치, 고춧가루를 넣고 볶는다.
4. 카망베르치즈와 체다치즈를 전자레인지에 돌려 녹인다.
5. 낫토를 으깬 뒤, 된장과 섞는다.
6. 낫토된장에 녹인 치즈, 다진 마늘, 고춧가루를 넣고 섞어 청국장을 만든다.
7. 팬에 볶은 삼겹살과 채소에 인스턴트 육개장을 붓고 끓인다,
8. 7에 뜨거운 물에 갠 청국장을 넣고 끓이다가, 후추를 넣는다.
9. 전자레인지에 즉석밥을 넣고 돌린다.
10. 끓는 물에 라면을 삶는다.
11. 청국장에 전분물을 넣는다.
12. 그릇에 밥을 담고, 달걀노른자와 잘게 부순 깨, 참기름, 잘게 썬 대파를 올린다.
13. 삶은 라면을 그릇에 담는다.
14. 라면 위에 청국장소스를 올린다.
15. 밥을 곁들여낸다.</v>
      </c>
    </row>
    <row r="433">
      <c r="A433" s="2" t="str">
        <f>recipe!C433
</f>
        <v>연게우동</v>
      </c>
      <c r="B433" s="2" t="str">
        <f>IFERROR(__xludf.DUMMYFUNCTION("TRIM(
  REGEXEXTRACT(
    raw!A433,
    ""●\s*조리\s*방법([\s\S]*)""
  )
)
"),"1. 끓는 물에 우동면을 삶는다.
2. 연근 껍질을 벗겨내고 반은 강판에 곱게 갈고, 반은 잘게 다진다.
3. 곱게 간 연근과 잘게 다진 연근을 함께 팬에 볶다가 소금, 전분, 설탕을 넣는다.
4. 랩 위에 볶은 연근을 올리고 크림치즈와 게살장을 안에 넣어
동그랗게 감싼 뒤, 얼음물에 담가 차갑게 식힌다.
5. 연근을 얇게 슬라이스 해 물에 담가 전분기를 뺀다.
6. 오징어에 촘촘하게 칼집을 낸다.
7. 애호박을 가늘게"&amp;" 채 썬다.
8. 끓는 물에 육수용 티백, 후추를 넣고 우린다.
9. 육수에 게살통조림과 게맛살, 맛술, 청주, 일본간장, 게살장을 넣고 끓여 게소스를 만든다.
10. 크림치즈와 게살장을 넣은 연근만두에 전분을 입힌 뒤, 기름에 튀긴다.
11. 물에 담가뒀던 연근 슬라이스를 기름에 튀긴다.
12. 익은 우동면을 건져내 찬물에 식힌 뒤, 그릇에 담는다.
13. 게소스에 파채와 전분물, 유자후추를 넣는다.
14. 연근만"&amp;"두와 연근슬라이스튀김을 체에 밭쳐 기름기를 뺀다.
15. 우동면 위에 연근만두를 올리고, 게소스를 얹는다.
16. 연근슬라이스튀김을 올려 마무리한다.")</f>
        <v>1. 끓는 물에 우동면을 삶는다.
2. 연근 껍질을 벗겨내고 반은 강판에 곱게 갈고, 반은 잘게 다진다.
3. 곱게 간 연근과 잘게 다진 연근을 함께 팬에 볶다가 소금, 전분, 설탕을 넣는다.
4. 랩 위에 볶은 연근을 올리고 크림치즈와 게살장을 안에 넣어
동그랗게 감싼 뒤, 얼음물에 담가 차갑게 식힌다.
5. 연근을 얇게 슬라이스 해 물에 담가 전분기를 뺀다.
6. 오징어에 촘촘하게 칼집을 낸다.
7. 애호박을 가늘게 채 썬다.
8. 끓는 물에 육수용 티백, 후추를 넣고 우린다.
9. 육수에 게살통조림과 게맛살, 맛술, 청주, 일본간장, 게살장을 넣고 끓여 게소스를 만든다.
10. 크림치즈와 게살장을 넣은 연근만두에 전분을 입힌 뒤, 기름에 튀긴다.
11. 물에 담가뒀던 연근 슬라이스를 기름에 튀긴다.
12. 익은 우동면을 건져내 찬물에 식힌 뒤, 그릇에 담는다.
13. 게소스에 파채와 전분물, 유자후추를 넣는다.
14. 연근만두와 연근슬라이스튀김을 체에 밭쳐 기름기를 뺀다.
15. 우동면 위에 연근만두를 올리고, 게소스를 얹는다.
16. 연근슬라이스튀김을 올려 마무리한다.</v>
      </c>
    </row>
    <row r="434">
      <c r="A434" s="2" t="str">
        <f>recipe!C434
</f>
        <v>아돔케어</v>
      </c>
      <c r="B434" s="2" t="str">
        <f>IFERROR(__xludf.DUMMYFUNCTION("TRIM(
  REGEXEXTRACT(
    raw!A434,
    ""●\s*조리\s*방법([\s\S]*)""
  )
)
"),"1. 돔 모양 틀에 버터를 바른 랩을 깐다.
2. 아보카도를 얇게 슬라이스 한 뒤, 틀 안에 담는다.
3. 갈치의 비늘을 벗겨낸 뒤, 내장을 제거하고 원형틀로 모양을 낸다.
4. 기름을 두른 팬에 모양 낸 갈치와 자숙새우를 굽다가, 후추를 뿌린다.
5. 아보카도 돔 안에 구운 갈치&gt;명란젓&gt;구운 자숙새우 순으로
채워 넣고 랩으로 감싸 모양을 고정한 뒤, 찜기에 찐다.
6. 냄비에 시금치딥, 우유를 넣고 끓인다.
7. 끓는"&amp;" 물에 시금치와 브로콜리를 데친다.
8. 끓이던 시금치딥을 넣은 우유에 데친 시금치와 브로콜리, 버터를 넣고 끓인 뒤,
믹서기에 갈아 시금치소스를 만든다.
9. 핸드블렌더에 블랙올리브, 황도를 넣고 간다.
10. 9에 올리브오일, 소금, 후추를 넣고 다시 한 번 갈아준 뒤,
체에 곱게 걸러 올리브황도퓌레를 만든다.
11. 접시에 시금치소스를 담는다.
12. 시금치소스 위에 익힌 아보카도 돔을 올린다.
13. 올리브황도"&amp;"퓌레로 시금치소스 위에 모양을 낸다.
14. 얇게 썬 레몬을 아보카도 돔 위에 얹어 마무리한다.")</f>
        <v>1. 돔 모양 틀에 버터를 바른 랩을 깐다.
2. 아보카도를 얇게 슬라이스 한 뒤, 틀 안에 담는다.
3. 갈치의 비늘을 벗겨낸 뒤, 내장을 제거하고 원형틀로 모양을 낸다.
4. 기름을 두른 팬에 모양 낸 갈치와 자숙새우를 굽다가, 후추를 뿌린다.
5. 아보카도 돔 안에 구운 갈치&gt;명란젓&gt;구운 자숙새우 순으로
채워 넣고 랩으로 감싸 모양을 고정한 뒤, 찜기에 찐다.
6. 냄비에 시금치딥, 우유를 넣고 끓인다.
7. 끓는 물에 시금치와 브로콜리를 데친다.
8. 끓이던 시금치딥을 넣은 우유에 데친 시금치와 브로콜리, 버터를 넣고 끓인 뒤,
믹서기에 갈아 시금치소스를 만든다.
9. 핸드블렌더에 블랙올리브, 황도를 넣고 간다.
10. 9에 올리브오일, 소금, 후추를 넣고 다시 한 번 갈아준 뒤,
체에 곱게 걸러 올리브황도퓌레를 만든다.
11. 접시에 시금치소스를 담는다.
12. 시금치소스 위에 익힌 아보카도 돔을 올린다.
13. 올리브황도퓌레로 시금치소스 위에 모양을 낸다.
14. 얇게 썬 레몬을 아보카도 돔 위에 얹어 마무리한다.</v>
      </c>
    </row>
    <row r="435">
      <c r="A435" s="2" t="str">
        <f>recipe!C435
</f>
        <v>아보카도롤모델</v>
      </c>
      <c r="B435" s="2" t="str">
        <f>IFERROR(__xludf.DUMMYFUNCTION("TRIM(
  REGEXEXTRACT(
    raw!A435,
    ""●\s*조리\s*방법([\s\S]*)""
  )
)
"),"1. 끓는 물에 소금을 넣는다.
2. 안창살에 소금, 후추를 뿌린다.
3. 아보카도를 얇게 썬다.
4. 양파를 얇게 채 썬 뒤, 얼음물에 담가 아린 맛을 뺀다.
5. 랩 위에 얇게 썬 아보카도를 넓게 깐 뒤, 채 썬 양파와 자숙새우,
훈제연어를 넣고 돌돌 말아 롤을 만든다.
6. 아보카도롤을 적당한 크기로 썬다.
7. 팬에 반으로 썬 파프리카와 식용유를 듬뿍 넣은 뒤, 후추와 발사믹식초를 넣고 토치로 직화한다.
8"&amp;". 직화한 파프리카를 뒤집어 발사믹식초를 듬뿍 부은 뒤, 토치로 직화한다.
9. 케일을 데친 뒤, 얼음물에 식힌다.
10. 핸드블렌더에 데친 케일과 얼음, 케일주스와 시금치주스를 넣고 갈아 시금치케일소스를 만든다.
11. 버터를 녹인 팬에 으깬 마늘을 넣고, 밑간 한 안창살을 굽는다.
12. 시금치케일소스에 된장과 고추장을 넣고 섞는다.
13. 접시에 시금치케일소스를 담고, 구운 안창살을 올린다.
14. 레몬즙을 바른 아"&amp;"보카도롤을 접시에 올린다.
15. 구운 파프리카의 껍질을 벗겨내고 얇게 슬라이스 해 접시에 올린다.
16. 슬라이스 한 블랙올리브를 안창살 위에 올린다.
17. 사과를 얇게 썬 뒤, 애플비네거에 절여 아보카도롤 위에 올린다.
18. 시금치케일소스 위에 스리라차소스를 뿌려 마무리한다.")</f>
        <v>1. 끓는 물에 소금을 넣는다.
2. 안창살에 소금, 후추를 뿌린다.
3. 아보카도를 얇게 썬다.
4. 양파를 얇게 채 썬 뒤, 얼음물에 담가 아린 맛을 뺀다.
5. 랩 위에 얇게 썬 아보카도를 넓게 깐 뒤, 채 썬 양파와 자숙새우,
훈제연어를 넣고 돌돌 말아 롤을 만든다.
6. 아보카도롤을 적당한 크기로 썬다.
7. 팬에 반으로 썬 파프리카와 식용유를 듬뿍 넣은 뒤, 후추와 발사믹식초를 넣고 토치로 직화한다.
8. 직화한 파프리카를 뒤집어 발사믹식초를 듬뿍 부은 뒤, 토치로 직화한다.
9. 케일을 데친 뒤, 얼음물에 식힌다.
10. 핸드블렌더에 데친 케일과 얼음, 케일주스와 시금치주스를 넣고 갈아 시금치케일소스를 만든다.
11. 버터를 녹인 팬에 으깬 마늘을 넣고, 밑간 한 안창살을 굽는다.
12. 시금치케일소스에 된장과 고추장을 넣고 섞는다.
13. 접시에 시금치케일소스를 담고, 구운 안창살을 올린다.
14. 레몬즙을 바른 아보카도롤을 접시에 올린다.
15. 구운 파프리카의 껍질을 벗겨내고 얇게 슬라이스 해 접시에 올린다.
16. 슬라이스 한 블랙올리브를 안창살 위에 올린다.
17. 사과를 얇게 썬 뒤, 애플비네거에 절여 아보카도롤 위에 올린다.
18. 시금치케일소스 위에 스리라차소스를 뿌려 마무리한다.</v>
      </c>
    </row>
    <row r="436">
      <c r="A436" s="2" t="str">
        <f>recipe!C436
</f>
        <v>귯갈~</v>
      </c>
      <c r="B436" s="2" t="str">
        <f>IFERROR(__xludf.DUMMYFUNCTION("TRIM(
  REGEXEXTRACT(
    raw!A436,
    ""●\s*조리\s*방법([\s\S]*)""
  )
)
"),"1. 냄비에 애플비네거, 올리브오일, 통후추를 넣고 끓인다.
2. 1에 슬라이스한 마늘을 함께 넣고 끓이다가, 소금, 꿀을 넣고 함께 끓인다.
3. 갈치의 비늘을 벗겨낸 뒤, 살만 발라낸다.
4. 손질한 갈치살을 끓인 애플비네거오일에 담가 숙성시키며 익힌다.
5. 적양파, 파프리카, 양파, 자숙새우, 훈제연어를 잘게 썰어 볼에 담고 올리브 오일을 뿌린다.
6. 5에 잘게 썬 케이퍼와 블랙올리브, 고춧가루, 후추, 레몬즙,
당"&amp;"근, 마늘도 넣고 한데 섞어 샐러드를 만든다.
7. 접시에 샐러드와 훈제연어, 파프리카를 담는다.
8. 애플비네거오일로 익힌 갈치살을 샐러드 위에 올린다.
9. 아보카도와 레몬으로 데커레이션 하고, 꿀과 고춧가루를 뿌려 마무리한다.")</f>
        <v>1. 냄비에 애플비네거, 올리브오일, 통후추를 넣고 끓인다.
2. 1에 슬라이스한 마늘을 함께 넣고 끓이다가, 소금, 꿀을 넣고 함께 끓인다.
3. 갈치의 비늘을 벗겨낸 뒤, 살만 발라낸다.
4. 손질한 갈치살을 끓인 애플비네거오일에 담가 숙성시키며 익힌다.
5. 적양파, 파프리카, 양파, 자숙새우, 훈제연어를 잘게 썰어 볼에 담고 올리브 오일을 뿌린다.
6. 5에 잘게 썬 케이퍼와 블랙올리브, 고춧가루, 후추, 레몬즙,
당근, 마늘도 넣고 한데 섞어 샐러드를 만든다.
7. 접시에 샐러드와 훈제연어, 파프리카를 담는다.
8. 애플비네거오일로 익힌 갈치살을 샐러드 위에 올린다.
9. 아보카도와 레몬으로 데커레이션 하고, 꿀과 고춧가루를 뿌려 마무리한다.</v>
      </c>
    </row>
    <row r="437">
      <c r="A437" s="2" t="str">
        <f>recipe!C437
</f>
        <v>갈팡치팡</v>
      </c>
      <c r="B437" s="2" t="str">
        <f>IFERROR(__xludf.DUMMYFUNCTION("TRIM(
  REGEXEXTRACT(
    raw!A437,
    ""●\s*조리\s*방법([\s\S]*)""
  )
)
"),"1. 끓는 물에 청주, 양파, 레몬을 넣고 끓인다.
2. 갈치의 비늘을 벗겨낸 뒤, 살만 발라낸다.
3. 핸드블렌더에 갈치살, 달걀, 전분을 넣고 간다.
4. 곱게 간 갈치살을 숟가락으로 모양을 잡은 뒤, 채소 끓인 물에 넣고 익혀 크넬을 만든다.
5. 코코넛워터와 황도를 핸드블렌더로 갈아 황도소스를 만든다.
6. 대파 흰 부분과 적양파를 잘게 썬다.
7. 기름을 두른 팬에 잘게 썬 대파와 적양파, 다진 생강을 넣고 볶는"&amp;"다.
8. 볶던 재료에 잘게 썬 자숙새우와 카레가루, 황도소스를 넣고 볶아 황도카레소스를 만든다.
9. 소금을 넣은 끓는 물에 시금치를 데친 뒤, 물기를 뺀다.
10. 황도카레소스에 간장, 데친 시금치, 스리라차소스를 넣고 볶는다.
11. 기름을 두른 팬에 갈치 크넬을 넣고 익힌다.
12. 접시에 황도카레소스를 담는다.
13. 볶던 갈치 크넬에 화이트와인을 넣는다.
14. 황도카레소스 위에 갈치 크넬을 올리고 다시 "&amp;"한 번 황도카레소스를 얹어 마무리한다.")</f>
        <v>1. 끓는 물에 청주, 양파, 레몬을 넣고 끓인다.
2. 갈치의 비늘을 벗겨낸 뒤, 살만 발라낸다.
3. 핸드블렌더에 갈치살, 달걀, 전분을 넣고 간다.
4. 곱게 간 갈치살을 숟가락으로 모양을 잡은 뒤, 채소 끓인 물에 넣고 익혀 크넬을 만든다.
5. 코코넛워터와 황도를 핸드블렌더로 갈아 황도소스를 만든다.
6. 대파 흰 부분과 적양파를 잘게 썬다.
7. 기름을 두른 팬에 잘게 썬 대파와 적양파, 다진 생강을 넣고 볶는다.
8. 볶던 재료에 잘게 썬 자숙새우와 카레가루, 황도소스를 넣고 볶아 황도카레소스를 만든다.
9. 소금을 넣은 끓는 물에 시금치를 데친 뒤, 물기를 뺀다.
10. 황도카레소스에 간장, 데친 시금치, 스리라차소스를 넣고 볶는다.
11. 기름을 두른 팬에 갈치 크넬을 넣고 익힌다.
12. 접시에 황도카레소스를 담는다.
13. 볶던 갈치 크넬에 화이트와인을 넣는다.
14. 황도카레소스 위에 갈치 크넬을 올리고 다시 한 번 황도카레소스를 얹어 마무리한다.</v>
      </c>
    </row>
    <row r="438">
      <c r="A438" s="2" t="str">
        <f>recipe!C438
</f>
        <v>똑같은 쌈을 강요하지마♬</v>
      </c>
      <c r="B438" s="2" t="str">
        <f>IFERROR(__xludf.DUMMYFUNCTION("TRIM(
  REGEXEXTRACT(
    raw!A438,
    ""●\s*조리\s*방법([\s\S]*)""
  )
)
"),"1. 버터를 전자레인지에 돌려 녹인다.
2. 밀가루와 전분에 뜨거운 물을 넣고 치대어 익반죽한다.
3. 고등어 통조림을 체에 밭쳐 건더기만 걸러낸다.
4. 마른 팬에 건져낸 고등어통조림 건더기와 다진 마늘을 넣고 볶는다.
5. 볶던 재료에 우유를 넣고 끓인다.
6. 끓이던 재료에 크림치즈, 슬라이스 체다치즈를 넣고 녹인다.
7. 6에 잘게 썬 표고버섯과 소금을 넣고 끓여 크림치즈고등어소스를 만든다.
8. 도마에 밀가루를 뿌린 뒤, 적당한 크"&amp;"기로 떼어낸 반죽을 밀대로 밀어 춘빙피를 만든다.
9. 얇게 민 춘빙피에 녹인 버터를 바르고, 다른 춘빙피를 겹쳐 밀대로 민다.
10. 마른 팬에 춘빙을 굽는다.
11. 크림치즈고등어소스에 잘게 썬 청양고추를 넣는다.
12. 구운 춘빙을 바닥에 내려쳐 두 장으로 분리한다.
13. 접시에 춘빙을 담고, 그릇에 크림치즈고등어소스를 담아 함께 낸다.")</f>
        <v>1. 버터를 전자레인지에 돌려 녹인다.
2. 밀가루와 전분에 뜨거운 물을 넣고 치대어 익반죽한다.
3. 고등어 통조림을 체에 밭쳐 건더기만 걸러낸다.
4. 마른 팬에 건져낸 고등어통조림 건더기와 다진 마늘을 넣고 볶는다.
5. 볶던 재료에 우유를 넣고 끓인다.
6. 끓이던 재료에 크림치즈, 슬라이스 체다치즈를 넣고 녹인다.
7. 6에 잘게 썬 표고버섯과 소금을 넣고 끓여 크림치즈고등어소스를 만든다.
8. 도마에 밀가루를 뿌린 뒤, 적당한 크기로 떼어낸 반죽을 밀대로 밀어 춘빙피를 만든다.
9. 얇게 민 춘빙피에 녹인 버터를 바르고, 다른 춘빙피를 겹쳐 밀대로 민다.
10. 마른 팬에 춘빙을 굽는다.
11. 크림치즈고등어소스에 잘게 썬 청양고추를 넣는다.
12. 구운 춘빙을 바닥에 내려쳐 두 장으로 분리한다.
13. 접시에 춘빙을 담고, 그릇에 크림치즈고등어소스를 담아 함께 낸다.</v>
      </c>
    </row>
    <row r="439">
      <c r="A439" s="2" t="str">
        <f>recipe!C439
</f>
        <v>만두 널 사랑해~♬</v>
      </c>
      <c r="B439" s="2" t="str">
        <f>IFERROR(__xludf.DUMMYFUNCTION("TRIM(
  REGEXEXTRACT(
    raw!A439,
    ""●\s*조리\s*방법([\s\S]*)""
  )
)
"),"1. 밀가루에 물을 넣고 저어 반죽을 만든다.
2. 기름에 반죽을 흩뿌리듯 튀겨, 덴카스를 만든다.
3. 튀긴 덴카스를 건져 기름기를 뺀다.
4. 핸드블렌더에 인스턴트 만두의 소만 빼서 넣고, 적당한 크기로 썬
양파와 방울양배추, 표고버섯, 달걀을 더해 곱게 간다.
5. 곱게 간 재료에 전분을 넣고 섞어 고로케소를 만든다.
6. 고로케소에 슬라이스 체다치즈를 넣고 동그랗게 빚어 치즈고로케소를 만든다.
7. 고로케소에 잘"&amp;"게 썬 청양고추와 카레가루를 넣고 섞어 카레고로케소를 만든다.
8. 카레고로케소를 동그랗게 빚는다.
9. 우유에 달걀, 밀가루를 넣고 저어 반죽을 만든다.
10. 치즈고로케소와 카레고로케소에 반죽을 입힌 뒤, 덴카스를 묻혀 튀긴다.
11. 기름을 두른 팬에 슬라이스한 마늘과 케첩, 물, 설탕, 레몬즙,
훠궈 홍탕 소스를 넣고 끓여 칠리소스를 만든다.
12. 칠리소스에 잘게 썬 청양고추를 넣는다.
13. 접시에 칠리소스를"&amp;" 담은 뒤, 치즈고로케와 카레고로케를 올려 마무리한다.")</f>
        <v>1. 밀가루에 물을 넣고 저어 반죽을 만든다.
2. 기름에 반죽을 흩뿌리듯 튀겨, 덴카스를 만든다.
3. 튀긴 덴카스를 건져 기름기를 뺀다.
4. 핸드블렌더에 인스턴트 만두의 소만 빼서 넣고, 적당한 크기로 썬
양파와 방울양배추, 표고버섯, 달걀을 더해 곱게 간다.
5. 곱게 간 재료에 전분을 넣고 섞어 고로케소를 만든다.
6. 고로케소에 슬라이스 체다치즈를 넣고 동그랗게 빚어 치즈고로케소를 만든다.
7. 고로케소에 잘게 썬 청양고추와 카레가루를 넣고 섞어 카레고로케소를 만든다.
8. 카레고로케소를 동그랗게 빚는다.
9. 우유에 달걀, 밀가루를 넣고 저어 반죽을 만든다.
10. 치즈고로케소와 카레고로케소에 반죽을 입힌 뒤, 덴카스를 묻혀 튀긴다.
11. 기름을 두른 팬에 슬라이스한 마늘과 케첩, 물, 설탕, 레몬즙,
훠궈 홍탕 소스를 넣고 끓여 칠리소스를 만든다.
12. 칠리소스에 잘게 썬 청양고추를 넣는다.
13. 접시에 칠리소스를 담은 뒤, 치즈고로케와 카레고로케를 올려 마무리한다.</v>
      </c>
    </row>
    <row r="440">
      <c r="A440" s="2" t="str">
        <f>recipe!C440
</f>
        <v>리소토가 차이나</v>
      </c>
      <c r="B440" s="2" t="str">
        <f>IFERROR(__xludf.DUMMYFUNCTION("TRIM(
  REGEXEXTRACT(
    raw!A440,
    ""●\s*조리\s*방법([\s\S]*)""
  )
)
"),"1. 팬에 버터, 다진 마늘, 다진 양파를 넣고 볶는다.
2. 1에 밀가루를 넣고 볶아 루를 만들고, 우유를 넣고 끓여 크림소스를 만든다.
3. 크림소스에 크림치즈와 잘게 썬 표고버섯을 넣고 끓인다.
4. 대파, 마늘, 양파를 잘게 다져 기름을 두른 팬에 볶는다.
5. 핸드블렌더로 마라소고기를 곱게 간다.
6. 볶던 채소에 곱게 간 마라소고기를 넣고 함께 볶는다.
7. 6에 훠궈 홍탕 소스와 모둠 해물을 넣고 함께 볶는다"&amp;".
8. 볶던 재료에 밥을 넣고 볶아 마라리소토를 만든다.
9. 면근을 체에 밭쳐 건더기를 걸러내고, 국물에 식초, 맛술,
간장, 잘게 썬 청양고추를 넣어 간장소스를 만든다.
10. 양파, 청경채를 가늘게 채 썰어 그릇에 담는다.
11. 채소샐러드 위에 면근을 올린다.
12. 크림소스에 후추를 넣는다.
13. 마라리소토에 잘게 썬 팽이버섯을 넣고 볶는다.
14. 그릇에 크림소스를 담고, 마라리소토를 올린다.
"&amp;"15. 면근샐러드 위에 간장소스를 올려 마무리한다.")</f>
        <v>1. 팬에 버터, 다진 마늘, 다진 양파를 넣고 볶는다.
2. 1에 밀가루를 넣고 볶아 루를 만들고, 우유를 넣고 끓여 크림소스를 만든다.
3. 크림소스에 크림치즈와 잘게 썬 표고버섯을 넣고 끓인다.
4. 대파, 마늘, 양파를 잘게 다져 기름을 두른 팬에 볶는다.
5. 핸드블렌더로 마라소고기를 곱게 간다.
6. 볶던 채소에 곱게 간 마라소고기를 넣고 함께 볶는다.
7. 6에 훠궈 홍탕 소스와 모둠 해물을 넣고 함께 볶는다.
8. 볶던 재료에 밥을 넣고 볶아 마라리소토를 만든다.
9. 면근을 체에 밭쳐 건더기를 걸러내고, 국물에 식초, 맛술,
간장, 잘게 썬 청양고추를 넣어 간장소스를 만든다.
10. 양파, 청경채를 가늘게 채 썰어 그릇에 담는다.
11. 채소샐러드 위에 면근을 올린다.
12. 크림소스에 후추를 넣는다.
13. 마라리소토에 잘게 썬 팽이버섯을 넣고 볶는다.
14. 그릇에 크림소스를 담고, 마라리소토를 올린다.
15. 면근샐러드 위에 간장소스를 올려 마무리한다.</v>
      </c>
    </row>
    <row r="441">
      <c r="A441" s="2" t="str">
        <f>recipe!C441
</f>
        <v>샘차이나</v>
      </c>
      <c r="B441" s="2" t="str">
        <f>IFERROR(__xludf.DUMMYFUNCTION("TRIM(
  REGEXEXTRACT(
    raw!A441,
    ""●\s*조리\s*방법([\s\S]*)""
  )
)
"),"1. 팬에 버터, 밀가루를 넣고 볶아 루를 만든다.
2. 루에 우유를 넣고 끓여 크림소스를 만든다.
3. 끓는 물에 훠궈 버섯탕 수프를 넣고 끓인다.
4. 버섯탕 국물에 청경채를 데친 뒤, 건져내 물기를 뺀다.
5. 표고버섯과 방울양배추를 손질한 뒤, 버섯탕 국물에 데친다.
6. 기름을 두른 팬에 으깬 마늘, 마라갈비, 다진 양파를 넣고 볶는다.
7. 볶던 재료에 버섯탕 국물을 넣고 졸인다.
8. 데친 방울양배추를 "&amp;"건져 식힌다.
9. 버섯탕 국물에 졸인 마라갈비에 라조장을 넣는다.
10. 9에 버터, 밀가루를 넣는다.
11. 크림소스에 크림치즈를 넣고 녹인다.
12. 다진 양파에 연어통조림, 타르타르소스, 마요네즈, 후추를 넣고 섞어 연어샐러드를 만든다.
13. 핸드블렌더에 블랙올리브, 올리브오일을 넣고 갈아 올리브페스토를 만든다.
14. 기름을 두른 팬에 데친 방울양배추와, 표고버섯을 넣고 볶다가 소금, 후추로 간 한다.
1"&amp;"5. 데친 청경채 위에 올리브페스토&gt;연어샐러드&gt;케이퍼&gt;크림치즈소스를 순서대로 올린다.
16. 16을 토치로 직화한다.
17. 방울양배추와 표고버섯을 볶던 팬에 각종 허브를 붓고,
토치로 불을 붙인 뒤 뚜껑을 닫아 향을 입힌다.
18. 접시에 마라갈비소스를 담고, 허브로 훈제한 방울양배추와
표고버섯을 올린 뒤, 크림치즈청경채를 올린다.
19. 크림치즈청경채 위에 올리브페스토&gt;마라갈비소스&gt;올리브오일을 올려 마무리한다.")</f>
        <v>1. 팬에 버터, 밀가루를 넣고 볶아 루를 만든다.
2. 루에 우유를 넣고 끓여 크림소스를 만든다.
3. 끓는 물에 훠궈 버섯탕 수프를 넣고 끓인다.
4. 버섯탕 국물에 청경채를 데친 뒤, 건져내 물기를 뺀다.
5. 표고버섯과 방울양배추를 손질한 뒤, 버섯탕 국물에 데친다.
6. 기름을 두른 팬에 으깬 마늘, 마라갈비, 다진 양파를 넣고 볶는다.
7. 볶던 재료에 버섯탕 국물을 넣고 졸인다.
8. 데친 방울양배추를 건져 식힌다.
9. 버섯탕 국물에 졸인 마라갈비에 라조장을 넣는다.
10. 9에 버터, 밀가루를 넣는다.
11. 크림소스에 크림치즈를 넣고 녹인다.
12. 다진 양파에 연어통조림, 타르타르소스, 마요네즈, 후추를 넣고 섞어 연어샐러드를 만든다.
13. 핸드블렌더에 블랙올리브, 올리브오일을 넣고 갈아 올리브페스토를 만든다.
14. 기름을 두른 팬에 데친 방울양배추와, 표고버섯을 넣고 볶다가 소금, 후추로 간 한다.
15. 데친 청경채 위에 올리브페스토&gt;연어샐러드&gt;케이퍼&gt;크림치즈소스를 순서대로 올린다.
16. 16을 토치로 직화한다.
17. 방울양배추와 표고버섯을 볶던 팬에 각종 허브를 붓고,
토치로 불을 붙인 뒤 뚜껑을 닫아 향을 입힌다.
18. 접시에 마라갈비소스를 담고, 허브로 훈제한 방울양배추와
표고버섯을 올린 뒤, 크림치즈청경채를 올린다.
19. 크림치즈청경채 위에 올리브페스토&gt;마라갈비소스&gt;올리브오일을 올려 마무리한다.</v>
      </c>
    </row>
    <row r="442">
      <c r="A442" s="2" t="str">
        <f>recipe!C442
</f>
        <v>풍당풍당면</v>
      </c>
      <c r="B442" s="2" t="str">
        <f>IFERROR(__xludf.DUMMYFUNCTION("TRIM(
  REGEXEXTRACT(
    raw!A442,
    ""●\s*조리\s*방법([\s\S]*)""
  )
)
"),"1. 핸드블렌더에 적당한 크기로 썬 돼지고기 목심과 새우젓을 넣는다.
2. 1에 명란젓, 새우를 함께 넣고 곱게 간다.
3. 끓는 물에 당면을 삶는다.
4. 기름을 넉넉하게 두른 팬에 새우머리를 넣고 새우기름을 낸다.
5. 새우기름에 잘게 썬 대파, 으깬 마늘, 고춧가루를 넣고 끓인다.
6. 양념한 새우기름에 젓갈과 함께 간 돼지고기를 넣고 끓인다.
7. 6에 식초, 손질한 양파, 표고버섯, 죽순을 넣고 끓인다.
8"&amp;". 끓이던 재료에 삶은 당면을 넣고 함께 끓인다.
9. 끓이던 재료에서 새우머리만 건져낸다.
10. 전분물을 넣는다.
11. 접시에 담아 마무리한다.")</f>
        <v>1. 핸드블렌더에 적당한 크기로 썬 돼지고기 목심과 새우젓을 넣는다.
2. 1에 명란젓, 새우를 함께 넣고 곱게 간다.
3. 끓는 물에 당면을 삶는다.
4. 기름을 넉넉하게 두른 팬에 새우머리를 넣고 새우기름을 낸다.
5. 새우기름에 잘게 썬 대파, 으깬 마늘, 고춧가루를 넣고 끓인다.
6. 양념한 새우기름에 젓갈과 함께 간 돼지고기를 넣고 끓인다.
7. 6에 식초, 손질한 양파, 표고버섯, 죽순을 넣고 끓인다.
8. 끓이던 재료에 삶은 당면을 넣고 함께 끓인다.
9. 끓이던 재료에서 새우머리만 건져낸다.
10. 전분물을 넣는다.
11. 접시에 담아 마무리한다.</v>
      </c>
    </row>
    <row r="443">
      <c r="A443" s="2" t="str">
        <f>recipe!C443
</f>
        <v>언더 더 씨♬</v>
      </c>
      <c r="B443" s="2" t="str">
        <f>IFERROR(__xludf.DUMMYFUNCTION("TRIM(
  REGEXEXTRACT(
    raw!A443,
    ""●\s*조리\s*방법([\s\S]*)""
  )
)
"),"1. 청양고추를 잘게 썬다.
2. 문어를 적당한 크기로 썬다.
3. 감성돔의 살만 발라내 적당한 크기로 썬다.
4. 전복의 내장을 떼어내고, 살만 적당한 크기로 썬다.
5. 기름을 두른 냄비에 잘게 다진 마늘과 양파를 볶다가, 새우머리와 우유를 넣고 수프를 끓인다.
6. 끓이던 수프에서 새우머리만 건져낸다.
7. 새우머리를 건져낸 수프에 버터를 넣어 버터포치수프를 만든다.
8. 버터포치수프에 후추와 소금을 넣는다.
"&amp;"
9. 적당한 크기로 자른 당면을 기름에 튀긴 뒤, 건져내 기름기를 뺀다.
10. 불린 귀리를 데친 뒤, 기름에 튀긴다.
11. 버터포치수프에 손질한 새우와 전복을 데치다가, 전복만 건져낸다.
12. 끓는 물에 손질한 문어와 감성돔을 데친 뒤, 버터포치수프에 넣고 끓인다.
13. 새송이버섯을 적당한 크기로 썬 뒤, 버터포치수프에 넣는다.
14. 버터포치수프에 데친 해산물과 새송이버섯을 건져낸 뒤, 핸드블랜더로 수프를 곱게 "&amp;"간다.
15. 버터포치수프를 병에 담고, 잘게 썬 청양고추를 넣는다.
16. 접시에 튀긴 귀리와 당면을 담는다.
17. 버터포치수프에 데친 각종 해산물을 올린 뒤, 잘게 썬 청양고추를 뿌린다.
18. 해산물시리얼과 버터포치수프를 함께 낸다.")</f>
        <v>1. 청양고추를 잘게 썬다.
2. 문어를 적당한 크기로 썬다.
3. 감성돔의 살만 발라내 적당한 크기로 썬다.
4. 전복의 내장을 떼어내고, 살만 적당한 크기로 썬다.
5. 기름을 두른 냄비에 잘게 다진 마늘과 양파를 볶다가, 새우머리와 우유를 넣고 수프를 끓인다.
6. 끓이던 수프에서 새우머리만 건져낸다.
7. 새우머리를 건져낸 수프에 버터를 넣어 버터포치수프를 만든다.
8. 버터포치수프에 후추와 소금을 넣는다.
9. 적당한 크기로 자른 당면을 기름에 튀긴 뒤, 건져내 기름기를 뺀다.
10. 불린 귀리를 데친 뒤, 기름에 튀긴다.
11. 버터포치수프에 손질한 새우와 전복을 데치다가, 전복만 건져낸다.
12. 끓는 물에 손질한 문어와 감성돔을 데친 뒤, 버터포치수프에 넣고 끓인다.
13. 새송이버섯을 적당한 크기로 썬 뒤, 버터포치수프에 넣는다.
14. 버터포치수프에 데친 해산물과 새송이버섯을 건져낸 뒤, 핸드블랜더로 수프를 곱게 간다.
15. 버터포치수프를 병에 담고, 잘게 썬 청양고추를 넣는다.
16. 접시에 튀긴 귀리와 당면을 담는다.
17. 버터포치수프에 데친 각종 해산물을 올린 뒤, 잘게 썬 청양고추를 뿌린다.
18. 해산물시리얼과 버터포치수프를 함께 낸다.</v>
      </c>
    </row>
    <row r="444">
      <c r="A444" s="2" t="str">
        <f>recipe!C444
</f>
        <v>완도풀 파티</v>
      </c>
      <c r="B444" s="2" t="str">
        <f>IFERROR(__xludf.DUMMYFUNCTION("TRIM(
  REGEXEXTRACT(
    raw!A444,
    ""●\s*조리\s*방법([\s\S]*)""
  )
)
"),"1. 오징어몸통의 껍질을 벗겨내고, 후추로 밑간한다.
2. 기름을 두른 그릴팬에 손질한 오징어몸통을 올리고, 무거운 것으로 눌러 굽는다.
3. 문어다리를 고기망치로 두드려 부드럽게 만들고 후추로 밑간 한 뒤, 그릴팬에 올려 함께 굽는다.
4. 애호박, 당근, 미니파프리카를 적당한 크기로 썰어, 기름을 두른 그릴팬에 굽는다.
5. 해산물을 굽던 그릴팬에 새우도 함께 굽는다.
6. 볼에 올리브오일, 레몬즙, 소금, 후추, 잘게 다"&amp;"진 고구마줄기무침과
할라피뇨를 넣고 섞어 드레싱을 만든다.
7. 구운 오징어를 적당한 크기로 썬 뒤, 고구마줄기드레싱에 무친다.
8. 양파를 잘게 썰어 오징어를 넣은 고구마줄기드레싱에 함께 무친다.
9. 구운 문어다리도 다른 재료들과 함께 고구마줄기드레싱에 무친 뒤, 접시에 담는다.
10. 구운 새우를 곁들인다.
11. 구운 각종채소를 볼에 담고, 다진 마늘, 올리브오일, 후추, 식초를 넣고 버무려 샐러드를 만든다.
1"&amp;"2. 11을 접시에 담는다.
13. 석류알을 뿌린다.
14. 고춧가루를 뿌려 마무리한다.")</f>
        <v>1. 오징어몸통의 껍질을 벗겨내고, 후추로 밑간한다.
2. 기름을 두른 그릴팬에 손질한 오징어몸통을 올리고, 무거운 것으로 눌러 굽는다.
3. 문어다리를 고기망치로 두드려 부드럽게 만들고 후추로 밑간 한 뒤, 그릴팬에 올려 함께 굽는다.
4. 애호박, 당근, 미니파프리카를 적당한 크기로 썰어, 기름을 두른 그릴팬에 굽는다.
5. 해산물을 굽던 그릴팬에 새우도 함께 굽는다.
6. 볼에 올리브오일, 레몬즙, 소금, 후추, 잘게 다진 고구마줄기무침과
할라피뇨를 넣고 섞어 드레싱을 만든다.
7. 구운 오징어를 적당한 크기로 썬 뒤, 고구마줄기드레싱에 무친다.
8. 양파를 잘게 썰어 오징어를 넣은 고구마줄기드레싱에 함께 무친다.
9. 구운 문어다리도 다른 재료들과 함께 고구마줄기드레싱에 무친 뒤, 접시에 담는다.
10. 구운 새우를 곁들인다.
11. 구운 각종채소를 볼에 담고, 다진 마늘, 올리브오일, 후추, 식초를 넣고 버무려 샐러드를 만든다.
12. 11을 접시에 담는다.
13. 석류알을 뿌린다.
14. 고춧가루를 뿌려 마무리한다.</v>
      </c>
    </row>
    <row r="445">
      <c r="A445" s="2" t="str">
        <f>recipe!C445
</f>
        <v>롤 is my everything♬</v>
      </c>
      <c r="B445" s="2" t="str">
        <f>IFERROR(__xludf.DUMMYFUNCTION("TRIM(
  REGEXEXTRACT(
    raw!A445,
    ""●\s*조리\s*방법([\s\S]*)""
  )
)
"),"1. 서대를 얇게 포 뜨고 껍질을 벗긴다.
2. 핸드블렌더에 손질한 새우살과 소금, 참기름, 후추, 달걀흰자, 돼지고기 기름을 넣고 간다.
3. 핸드블렌더로 간 새우살을 적당한 크기로 뭉친 뒤, 전분을 묻힌 서대포로 감싸듯 롤을 만든다.
4. 물이 끓는 찜기에 청주를 넣고, 서대새우롤을 찐다.
5. 끓는 물에 두릅을 데친다.
6. 데친 두릅을 건지고 체에 밭쳐 물기를 뺀다.
7. 냄비에 오렌지주스를 끓인다.
8. 팬"&amp;"에 아로니아즙과 오렌지주스를 끓인다.
9. 끓인 오렌지주스에 삶은 죽순, 레몬즙, 데친 두릅을 넣고 조린다.
10. 오렌지주스에 조린 죽순과 두릅을 접시에 담는다.
11. 기름을 두른 팬에 찐 서대새우롤을 굽는다.
12. 팬에 끓인 아로니아즙과 오렌지주스에 버터를 넣고 녹여 아로니아소스를 만든다.
13. 아로니아소스에 두릅과 죽순을 조린 오렌지주스를 넣는다.
14. 죽순과 두릅 위에 서대새우롤을 올린다.
15. 아로"&amp;"니아소스를 뿌려 마무리한다.")</f>
        <v>1. 서대를 얇게 포 뜨고 껍질을 벗긴다.
2. 핸드블렌더에 손질한 새우살과 소금, 참기름, 후추, 달걀흰자, 돼지고기 기름을 넣고 간다.
3. 핸드블렌더로 간 새우살을 적당한 크기로 뭉친 뒤, 전분을 묻힌 서대포로 감싸듯 롤을 만든다.
4. 물이 끓는 찜기에 청주를 넣고, 서대새우롤을 찐다.
5. 끓는 물에 두릅을 데친다.
6. 데친 두릅을 건지고 체에 밭쳐 물기를 뺀다.
7. 냄비에 오렌지주스를 끓인다.
8. 팬에 아로니아즙과 오렌지주스를 끓인다.
9. 끓인 오렌지주스에 삶은 죽순, 레몬즙, 데친 두릅을 넣고 조린다.
10. 오렌지주스에 조린 죽순과 두릅을 접시에 담는다.
11. 기름을 두른 팬에 찐 서대새우롤을 굽는다.
12. 팬에 끓인 아로니아즙과 오렌지주스에 버터를 넣고 녹여 아로니아소스를 만든다.
13. 아로니아소스에 두릅과 죽순을 조린 오렌지주스를 넣는다.
14. 죽순과 두릅 위에 서대새우롤을 올린다.
15. 아로니아소스를 뿌려 마무리한다.</v>
      </c>
    </row>
    <row r="446">
      <c r="A446" s="2" t="str">
        <f>recipe!C446
</f>
        <v>완소 두부</v>
      </c>
      <c r="B446" s="2" t="str">
        <f>IFERROR(__xludf.DUMMYFUNCTION("TRIM(
  REGEXEXTRACT(
    raw!A446,
    ""●\s*조리\s*방법([\s\S]*)""
  )
)
"),"1. 대파와 마늘은 잘게 다지고, 둥근 호박과 양파, 두부는 적당한 크기로 썬다.
2. 소고기등심을 잘게 다진다.
3. 핸드블렌더에 손질한 새우, 버터, 달걀물, 전분, 생강즙을 넣고 간다.
4. 핸드블렌더로 간 새우에 소금으로 간 한다.
5. 4에 잘게 다진 골뱅이를 넣고 치대어 완자반죽을 만든다.
6. 완자반죽을 적당한 크기로 떼어내 찜기에 찐다.
7. 기름에 누룽지를 튀겨낸 뒤, 체에 밭쳐 기름기를 뺀다.
8."&amp;" 기름을 두른 팬에 손질한 대파와 다진 소고기등심, 고춧가루를 넣고 볶는다.
9. 8에 청주, 간장, 매실엑기스, 손질한 마늘, 둥근 호박, 양파,
두부, 청양고추, 고추장을 넣어 마파두부를 만든다.
10. 마파두부에 사골곰탕을 넣고 볶는다.
11. 볶던 재료에 참기름, 전분물을 넣는다.
12. 그릇에 튀긴 누룽지와 새우골뱅이완자를 담는다.
13. 그릇에 마파두부를 담아 마무리한다.")</f>
        <v>1. 대파와 마늘은 잘게 다지고, 둥근 호박과 양파, 두부는 적당한 크기로 썬다.
2. 소고기등심을 잘게 다진다.
3. 핸드블렌더에 손질한 새우, 버터, 달걀물, 전분, 생강즙을 넣고 간다.
4. 핸드블렌더로 간 새우에 소금으로 간 한다.
5. 4에 잘게 다진 골뱅이를 넣고 치대어 완자반죽을 만든다.
6. 완자반죽을 적당한 크기로 떼어내 찜기에 찐다.
7. 기름에 누룽지를 튀겨낸 뒤, 체에 밭쳐 기름기를 뺀다.
8. 기름을 두른 팬에 손질한 대파와 다진 소고기등심, 고춧가루를 넣고 볶는다.
9. 8에 청주, 간장, 매실엑기스, 손질한 마늘, 둥근 호박, 양파,
두부, 청양고추, 고추장을 넣어 마파두부를 만든다.
10. 마파두부에 사골곰탕을 넣고 볶는다.
11. 볶던 재료에 참기름, 전분물을 넣는다.
12. 그릇에 튀긴 누룽지와 새우골뱅이완자를 담는다.
13. 그릇에 마파두부를 담아 마무리한다.</v>
      </c>
    </row>
    <row r="447">
      <c r="A447" s="2" t="str">
        <f>recipe!C447
</f>
        <v>1등 가자~미!</v>
      </c>
      <c r="B447" s="2" t="str">
        <f>IFERROR(__xludf.DUMMYFUNCTION("TRIM(
  REGEXEXTRACT(
    raw!A447,
    ""●\s*조리\s*방법([\s\S]*)""
  )
)
"),"1. 채소육수를 만든다.
2. 채소육수에 사골곰탕을 넣고 끓인다.
3. 기름을 두른 팬에 적당한 두께로 썬 애호박을 굽다가 소금, 후추로 간 한다.
4. 애호박에 잘게 다진 마늘, 식초, 곰탕채소육수, 버터를 넣고 볶는다.
5. 감자를 원형틀로 찍어낸 뒤, 적당한 두께로 썬다.
6. 기름을 두른 팬에 감자를 굽다가 소금, 후추로 간 한다.
7. 감자에 잘게 다진 마늘, 곰탕채소육수, 식초를 넣고 볶는다.
8. 가자미"&amp;"를 포 뜬 뒤, 버터를 바르고 레몬껍질을 올린다.
9. 가자미포를 반으로 접어 실로 묶는다.
10. 기름을 두른 팬에 대파 흰 부분과 가자미를 굽는다.
11. 종이포일을 말아 그릇을 만든 뒤, 볶은 애호박과 감자를 넣고 오븐에 굽는다.
12. 가자미에 후추로 간 한다.
13. 접시에 구운 대파와 가자미를 담는다.
14. 가자미를 굽던 팬에 레몬즙, 화이트와인, 곰탕채소육수, 버터를 넣고 끓여 소스를 만든다.
15. "&amp;"대파와 가자미가 담긴 접시에 생선소스를 부은 뒤, 전자레인지에 돌린다.
16. 채소가 담긴 종이포일 안에 가자미, 구운 대파, 소스를 넣고, 후추와 올리브오일을 뿌려 마무리한다.")</f>
        <v>1. 채소육수를 만든다.
2. 채소육수에 사골곰탕을 넣고 끓인다.
3. 기름을 두른 팬에 적당한 두께로 썬 애호박을 굽다가 소금, 후추로 간 한다.
4. 애호박에 잘게 다진 마늘, 식초, 곰탕채소육수, 버터를 넣고 볶는다.
5. 감자를 원형틀로 찍어낸 뒤, 적당한 두께로 썬다.
6. 기름을 두른 팬에 감자를 굽다가 소금, 후추로 간 한다.
7. 감자에 잘게 다진 마늘, 곰탕채소육수, 식초를 넣고 볶는다.
8. 가자미를 포 뜬 뒤, 버터를 바르고 레몬껍질을 올린다.
9. 가자미포를 반으로 접어 실로 묶는다.
10. 기름을 두른 팬에 대파 흰 부분과 가자미를 굽는다.
11. 종이포일을 말아 그릇을 만든 뒤, 볶은 애호박과 감자를 넣고 오븐에 굽는다.
12. 가자미에 후추로 간 한다.
13. 접시에 구운 대파와 가자미를 담는다.
14. 가자미를 굽던 팬에 레몬즙, 화이트와인, 곰탕채소육수, 버터를 넣고 끓여 소스를 만든다.
15. 대파와 가자미가 담긴 접시에 생선소스를 부은 뒤, 전자레인지에 돌린다.
16. 채소가 담긴 종이포일 안에 가자미, 구운 대파, 소스를 넣고, 후추와 올리브오일을 뿌려 마무리한다.</v>
      </c>
    </row>
    <row r="448">
      <c r="A448" s="2" t="str">
        <f>recipe!C448
</f>
        <v>플라이 투 더 전복</v>
      </c>
      <c r="B448" s="2" t="str">
        <f>IFERROR(__xludf.DUMMYFUNCTION("TRIM(
  REGEXEXTRACT(
    raw!A448,
    ""●\s*조리\s*방법([\s\S]*)""
  )
)
"),"1. 전복에 뜨거운 물을 부어 데친다.
2. 데친 전복의 내장과 살을 분리한다.
3. 닭가슴살을 적당한 크기로 썰어 소금과 후추로 간 한 뒤, 기름을 두른 팬에 굽는다.
4. 양파를 잘게 썰어 닭가슴살과 함께 굽는다.
5. 4에 불린 누룽지와 파프리카를 넣고 볶는다.
6. 전복살을 적당한 크기로 썬다.
7. 기름을 두른 팬에 채 썬 양파와 전복내장, 청주, 맛술을 넣고 볶는다.
8. 볼에 고춧가루, 으깬 마늘, 잘게"&amp;" 썬 파, 식용유를 넣고 전자레인지에 돌려 고추기름을 낸다.
9. 핸드블렌더에 전복내장과 볶은 양파와 홍삼엑기스를 넣고 간 뒤, 참기름을 넣는다.
10. 9에 고추기름을 넣고 갈아 전복내장소스를 만든다.
11. 전복내장소스에 간장을 섞는다.
12. 볶던 누룽지에 전복내장소스와 전복살을 넣고 소금, 후추를 뿌린 뒤 볶아 전복잠발라야를 만든다.
13. 전복잠발라야를 접시에 담는다.
14. 대파 흰 부분을 가늘게 채 썬 뒤, "&amp;"찬물에 헹궈 아린 맛을 뺀다.
15. 전복잠발라야 위에 파채를 올려 마무리한다.")</f>
        <v>1. 전복에 뜨거운 물을 부어 데친다.
2. 데친 전복의 내장과 살을 분리한다.
3. 닭가슴살을 적당한 크기로 썰어 소금과 후추로 간 한 뒤, 기름을 두른 팬에 굽는다.
4. 양파를 잘게 썰어 닭가슴살과 함께 굽는다.
5. 4에 불린 누룽지와 파프리카를 넣고 볶는다.
6. 전복살을 적당한 크기로 썬다.
7. 기름을 두른 팬에 채 썬 양파와 전복내장, 청주, 맛술을 넣고 볶는다.
8. 볼에 고춧가루, 으깬 마늘, 잘게 썬 파, 식용유를 넣고 전자레인지에 돌려 고추기름을 낸다.
9. 핸드블렌더에 전복내장과 볶은 양파와 홍삼엑기스를 넣고 간 뒤, 참기름을 넣는다.
10. 9에 고추기름을 넣고 갈아 전복내장소스를 만든다.
11. 전복내장소스에 간장을 섞는다.
12. 볶던 누룽지에 전복내장소스와 전복살을 넣고 소금, 후추를 뿌린 뒤 볶아 전복잠발라야를 만든다.
13. 전복잠발라야를 접시에 담는다.
14. 대파 흰 부분을 가늘게 채 썬 뒤, 찬물에 헹궈 아린 맛을 뺀다.
15. 전복잠발라야 위에 파채를 올려 마무리한다.</v>
      </c>
    </row>
    <row r="449">
      <c r="A449" s="2" t="str">
        <f>recipe!C449
</f>
        <v>전복 미씽유♬</v>
      </c>
      <c r="B449" s="2" t="str">
        <f>IFERROR(__xludf.DUMMYFUNCTION("TRIM(
  REGEXEXTRACT(
    raw!A449,
    ""●\s*조리\s*방법([\s\S]*)""
  )
)
"),"1. 끓는 물에 전복을 삶는다.
2. 달걀을 80도의 물에 10분간 담가 온천달걀을 만든다.
3. 김을 가늘게 채 썬다.
4. 양파, 마늘, 새우, 둥근 호박, 부추를 적당한 크기로 손질한다.
5. 삶은 전복은 내장과 살을 분리한다.
6. 핸드블렌더에 전복내장과 청주를 넣고 갈아 전복내장소스를 만든다.
7. 전복살을 적당한 크기로 썬다.
8. 소금을 넣은 끓는 물에 파스타면을 삶는다.
9. 기름을 두른 팬에 손"&amp;"질한 전복, 새우, 둥근 호박, 양파, 소금, 후추를 넣고 볶는다.
10. 볶던 재료에 전복내장소스와 간장을 넣고 볶는다.
11. 삶은 파스타면을 재료를 볶던 팬에 넣고 함께 볶는다
12. 전복파스타에 조미료와 버터를 넣고 볶는다.
13. 전복파스타에 부추를 넣고 볶는다.
14. 전복파스타를 접시에 담고, 채 썬 김을 올린다.
15. 전복파스타 위에 온천달걀을 올려 마무리한다.")</f>
        <v>1. 끓는 물에 전복을 삶는다.
2. 달걀을 80도의 물에 10분간 담가 온천달걀을 만든다.
3. 김을 가늘게 채 썬다.
4. 양파, 마늘, 새우, 둥근 호박, 부추를 적당한 크기로 손질한다.
5. 삶은 전복은 내장과 살을 분리한다.
6. 핸드블렌더에 전복내장과 청주를 넣고 갈아 전복내장소스를 만든다.
7. 전복살을 적당한 크기로 썬다.
8. 소금을 넣은 끓는 물에 파스타면을 삶는다.
9. 기름을 두른 팬에 손질한 전복, 새우, 둥근 호박, 양파, 소금, 후추를 넣고 볶는다.
10. 볶던 재료에 전복내장소스와 간장을 넣고 볶는다.
11. 삶은 파스타면을 재료를 볶던 팬에 넣고 함께 볶는다
12. 전복파스타에 조미료와 버터를 넣고 볶는다.
13. 전복파스타에 부추를 넣고 볶는다.
14. 전복파스타를 접시에 담고, 채 썬 김을 올린다.
15. 전복파스타 위에 온천달걀을 올려 마무리한다.</v>
      </c>
    </row>
    <row r="450">
      <c r="A450" s="2" t="str">
        <f>recipe!C450
</f>
        <v>복수전</v>
      </c>
      <c r="B450" s="2" t="str">
        <f>IFERROR(__xludf.DUMMYFUNCTION("TRIM(
  REGEXEXTRACT(
    raw!A450,
    ""●\s*조리\s*방법([\s\S]*)""
  )
)
"),"1. 옥수수 통조림을 체에 밭쳐 건더기만 걸러낸다.
2. 옥수수에 달걀, 맛술, 소금을 넣고 섞는다.
3. 기름을 두른 팬에 링 모양으로 썬 양파를 올리고, 옥수수달걀물을 채워 전을 굽는다.
4. 3 안에 작은 링 모양의 양파를 넣고 굽는다.
5. 옥수수양파전을 뒤집어 양면으로 굽는다.
6. 토마토에 뜨거운 물을 부어 데친 뒤, 껍질을 벗겨내고 잘게 다진다.
7. 양파, 마늘, 대파를 잘게 다진다.
8. 기름을 두른"&amp;" 팬에 잘게 다진 토마토, 양파, 마늘, 대파를 넣고 볶는다.
9. 사과는 껍질을 벗기고 핸드블렌더로 간다.
10. 곱게 간 사과를 팬에 넣고, 볶던 재료와 함께 볶는다.
11. 볶던 재료에 매실액, 케첩, 레몬즙을 넣어 토마토사과소스를 만든다.
12. 옥수수를 곱게 간다.
13. 곱게 간 옥수수에 옥수수알갱이와 전분을 넣고 치대 반죽을 만든다.
14. 옥수수반죽으로 완자를 빚어 기름에 튀긴다.
15. 옥수수완자튀김"&amp;"을 체에 밭쳐 기름기를 뺀다.
16. 마른 팬에 설탕을 녹인다.
17. 녹인 설탕에 옥수수완자튀김을 버무려 옥수수맛탕을 만든다.
18. 토마토사과소스에 전분물, 소금, 후추를 넣는다.
19. 토마토사과소스를 접시에 담고 옥수수양파전을 적당한 크기로 잘라 올린다.
20. 다른 접시에 옥수수맛탕을 담고 차가운 물을 곁들여낸다.")</f>
        <v>1. 옥수수 통조림을 체에 밭쳐 건더기만 걸러낸다.
2. 옥수수에 달걀, 맛술, 소금을 넣고 섞는다.
3. 기름을 두른 팬에 링 모양으로 썬 양파를 올리고, 옥수수달걀물을 채워 전을 굽는다.
4. 3 안에 작은 링 모양의 양파를 넣고 굽는다.
5. 옥수수양파전을 뒤집어 양면으로 굽는다.
6. 토마토에 뜨거운 물을 부어 데친 뒤, 껍질을 벗겨내고 잘게 다진다.
7. 양파, 마늘, 대파를 잘게 다진다.
8. 기름을 두른 팬에 잘게 다진 토마토, 양파, 마늘, 대파를 넣고 볶는다.
9. 사과는 껍질을 벗기고 핸드블렌더로 간다.
10. 곱게 간 사과를 팬에 넣고, 볶던 재료와 함께 볶는다.
11. 볶던 재료에 매실액, 케첩, 레몬즙을 넣어 토마토사과소스를 만든다.
12. 옥수수를 곱게 간다.
13. 곱게 간 옥수수에 옥수수알갱이와 전분을 넣고 치대 반죽을 만든다.
14. 옥수수반죽으로 완자를 빚어 기름에 튀긴다.
15. 옥수수완자튀김을 체에 밭쳐 기름기를 뺀다.
16. 마른 팬에 설탕을 녹인다.
17. 녹인 설탕에 옥수수완자튀김을 버무려 옥수수맛탕을 만든다.
18. 토마토사과소스에 전분물, 소금, 후추를 넣는다.
19. 토마토사과소스를 접시에 담고 옥수수양파전을 적당한 크기로 잘라 올린다.
20. 다른 접시에 옥수수맛탕을 담고 차가운 물을 곁들여낸다.</v>
      </c>
    </row>
    <row r="451">
      <c r="A451" s="2" t="str">
        <f>recipe!C451
</f>
        <v>신데렐라 피자</v>
      </c>
      <c r="B451" s="2" t="str">
        <f>IFERROR(__xludf.DUMMYFUNCTION("TRIM(
  REGEXEXTRACT(
    raw!A451,
    ""●\s*조리\s*방법([\s\S]*)""
  )
)
"),"1. 단호박을 반으로 잘라 씨를 빼내고 껍질을 벗겨낸다.
2. 단호박 속을 가늘게 채 썬다.
3. 채 썬 단호박에 즉석밥을 넣고 섞는다.
4. 기름을 두른 팬에 단호박밥을 눌러 굽다가 전분을 뿌리고,
동그랗게 모양을 잡아 단호박도우를 만든다.
5. 끓는 기름에 소금을 넣고, 적당한 크기로 썬 삼겹살을 튀긴다.
6. 튀긴 삼겹살을 체에 밭쳐 기름기를 뺀다.
7. 토마토, 사과를 깍둑썰기 한다.
8. 딸기를 적당한 크"&amp;"기로 썬다.
9. 손질한 토마토, 사과, 딸기에 소금, 시리얼, 요거트를 넣고 섞어 과일샐러드를 만든다.
10. 기름을 두른 팬에 고추, 느타리버섯, 옥수수 통조림을 볶다가 크림수프분말을 넣는다.
11. 10에 물을 부어 가며 끓여 크림소스를 만든다.
12. 단호박도우를 접시에 담는다.
13. 기름을 두른 팬에 적당한 크기로 썬 토마토를 굽는다.
14. 단호박도우 위에 크림소스&gt;구운 토마토&gt;크림소스를 차례로 올린다.
"&amp;"
15. 14를 토치로 직화한다.
16. 과일샐러드를 곁들인다.")</f>
        <v>1. 단호박을 반으로 잘라 씨를 빼내고 껍질을 벗겨낸다.
2. 단호박 속을 가늘게 채 썬다.
3. 채 썬 단호박에 즉석밥을 넣고 섞는다.
4. 기름을 두른 팬에 단호박밥을 눌러 굽다가 전분을 뿌리고,
동그랗게 모양을 잡아 단호박도우를 만든다.
5. 끓는 기름에 소금을 넣고, 적당한 크기로 썬 삼겹살을 튀긴다.
6. 튀긴 삼겹살을 체에 밭쳐 기름기를 뺀다.
7. 토마토, 사과를 깍둑썰기 한다.
8. 딸기를 적당한 크기로 썬다.
9. 손질한 토마토, 사과, 딸기에 소금, 시리얼, 요거트를 넣고 섞어 과일샐러드를 만든다.
10. 기름을 두른 팬에 고추, 느타리버섯, 옥수수 통조림을 볶다가 크림수프분말을 넣는다.
11. 10에 물을 부어 가며 끓여 크림소스를 만든다.
12. 단호박도우를 접시에 담는다.
13. 기름을 두른 팬에 적당한 크기로 썬 토마토를 굽는다.
14. 단호박도우 위에 크림소스&gt;구운 토마토&gt;크림소스를 차례로 올린다.
15. 14를 토치로 직화한다.
16. 과일샐러드를 곁들인다.</v>
      </c>
    </row>
    <row r="452">
      <c r="A452" s="2" t="str">
        <f>recipe!C452
</f>
        <v>불량고기</v>
      </c>
      <c r="B452" s="2" t="str">
        <f>IFERROR(__xludf.DUMMYFUNCTION("TRIM(
  REGEXEXTRACT(
    raw!A452,
    ""●\s*조리\s*방법([\s\S]*)""
  )
)
"),"1. 기름을 두른 그릴팬에 적당한 크기로 썬 양파와 파프리카, 느타리버섯을 굽는다.
2. 간장, 설탕, 맛술, 다진 마늘, 깨, 참기름을 섞어 불고기양념을 만든다.
3. 불고기양념에 적당한 크기로 썬 대파와 양파를 버무린다.
4. 불고기양념에 매실액, 소금, 후추를 넣고, 돼지고기 뒷다리살을 재운다.
5. 방울토마토를 반으로 잘라 올리브오일을 뿌리고 소금, 후추로 간한다.
6. 소금, 후추로 간을 한 방울토마토를 예열한 오븐에"&amp;" 굽는다.
7. 잘게 다진 마늘에 간장, 레몬즙, 설탕, 들기름, 올리브오일을 섞어 드레싱을 만든다.
8. 기름을 두른 팬에 재워둔 불고기를 볶는다.
9. 즉석밥 위에 토마토를 얹고 올리브오일을 뿌린 뒤, 랩으로 감싸 전자레인지에 돌린다.
10. 오븐에 구운 방울토마토를 토치로 직화한다.
11. 토마토를 얹고 익힌 즉석밥에 올리브오일을 뿌린 뒤,
구운 방울토마토, 불고기 양념을 넣고 섞는다.
12. 그릇에 토마토밥, 구"&amp;"운 채소를 담고 드레싱을 뿌린다.
13. 그릇에 불고기를 담고 드레싱을 뿌린 뒤, 얇게 썬 대파를 올린다.
14. 후추와 깨를 뿌려 마무리한다.")</f>
        <v>1. 기름을 두른 그릴팬에 적당한 크기로 썬 양파와 파프리카, 느타리버섯을 굽는다.
2. 간장, 설탕, 맛술, 다진 마늘, 깨, 참기름을 섞어 불고기양념을 만든다.
3. 불고기양념에 적당한 크기로 썬 대파와 양파를 버무린다.
4. 불고기양념에 매실액, 소금, 후추를 넣고, 돼지고기 뒷다리살을 재운다.
5. 방울토마토를 반으로 잘라 올리브오일을 뿌리고 소금, 후추로 간한다.
6. 소금, 후추로 간을 한 방울토마토를 예열한 오븐에 굽는다.
7. 잘게 다진 마늘에 간장, 레몬즙, 설탕, 들기름, 올리브오일을 섞어 드레싱을 만든다.
8. 기름을 두른 팬에 재워둔 불고기를 볶는다.
9. 즉석밥 위에 토마토를 얹고 올리브오일을 뿌린 뒤, 랩으로 감싸 전자레인지에 돌린다.
10. 오븐에 구운 방울토마토를 토치로 직화한다.
11. 토마토를 얹고 익힌 즉석밥에 올리브오일을 뿌린 뒤,
구운 방울토마토, 불고기 양념을 넣고 섞는다.
12. 그릇에 토마토밥, 구운 채소를 담고 드레싱을 뿌린다.
13. 그릇에 불고기를 담고 드레싱을 뿌린 뒤, 얇게 썬 대파를 올린다.
14. 후추와 깨를 뿌려 마무리한다.</v>
      </c>
    </row>
    <row r="453">
      <c r="A453" s="2" t="str">
        <f>recipe!C453
</f>
        <v>밥피자 심쿵해♬</v>
      </c>
      <c r="B453" s="2" t="str">
        <f>IFERROR(__xludf.DUMMYFUNCTION("TRIM(
  REGEXEXTRACT(
    raw!A453,
    ""●\s*조리\s*방법([\s\S]*)""
  )
)
"),"1. 마른 팬에 즉석밥을 눌러 누룽지를 굽는다.
2. 팬에 두유, 고추냉이, 설탕, 버터를 넣고 끓여 두유고추냉이소스를 만든다.
3. 적당한 크기로 썬 돼지목심에 유자청을 넣고 섞는다.
4. 3에 다진 마늘, 다진 생강, 된장, 맛술, 간장, 참기름을 넣고 버무린다.
5. 양파를 얇게 썬 뒤, 찬물에 담가둔다.
6. 파프리카, 대파를 잘게 썰어 올리브오일, 레몬즙, 후추를 넣고 드레싱을 만든다.
7. 기름을 두른 팬에 양"&amp;"념한 돼지목심을 볶는다.
8. 누룽지를 뒤집어 양면을 바삭하게 굽는다.
9. 토마토를 얇게 썬 뒤, 돌돌 말아 꽃모양을 만든다.
10. 누룽지를 4등분 한 뒤, 접시에 담는다.
11. 누룽지 위에 찬물에 담가뒀던 양파를 올리고 두유고추냉이 소스를 뿌린다.
12. 11 위에 볶은 돼지고기&gt; 토마토장미&gt; 후추&gt; 두유고추냉이소스를 뿌려 완성한다.")</f>
        <v>1. 마른 팬에 즉석밥을 눌러 누룽지를 굽는다.
2. 팬에 두유, 고추냉이, 설탕, 버터를 넣고 끓여 두유고추냉이소스를 만든다.
3. 적당한 크기로 썬 돼지목심에 유자청을 넣고 섞는다.
4. 3에 다진 마늘, 다진 생강, 된장, 맛술, 간장, 참기름을 넣고 버무린다.
5. 양파를 얇게 썬 뒤, 찬물에 담가둔다.
6. 파프리카, 대파를 잘게 썰어 올리브오일, 레몬즙, 후추를 넣고 드레싱을 만든다.
7. 기름을 두른 팬에 양념한 돼지목심을 볶는다.
8. 누룽지를 뒤집어 양면을 바삭하게 굽는다.
9. 토마토를 얇게 썬 뒤, 돌돌 말아 꽃모양을 만든다.
10. 누룽지를 4등분 한 뒤, 접시에 담는다.
11. 누룽지 위에 찬물에 담가뒀던 양파를 올리고 두유고추냉이 소스를 뿌린다.
12. 11 위에 볶은 돼지고기&gt; 토마토장미&gt; 후추&gt; 두유고추냉이소스를 뿌려 완성한다.</v>
      </c>
    </row>
    <row r="454">
      <c r="A454" s="2" t="str">
        <f>recipe!C454
</f>
        <v>뚝닭뚝닭</v>
      </c>
      <c r="B454" s="2" t="str">
        <f>IFERROR(__xludf.DUMMYFUNCTION("TRIM(
  REGEXEXTRACT(
    raw!A454,
    ""●\s*조리\s*방법([\s\S]*)""
  )
)
"),"1. 마늘은 슬라이스 하고, 대파는 적당한 크기로 썬다.
2. 양파와 깻잎을 채 썬다.
3. 고추와 파프리카를 적당한 크기로 썬다.
4. 마늘을 으깬다.
5. 닭안심을 얇게 슬라이스 한다.
6. 슬라이스한 닭안심에 굴소스, 생강즙, 청주를 섞어 재운다.
7. 기름을 두른 팬에 으깬 마늘과 대파 흰 부분을 넣고 볶는다.
8. 볶던 재료에 간장과 청주, 손질한 양파와 파프리카, 굴소스를 넣고 볶는다.
9. 달궈둔 뚝배기에 볶은 채소, 양념한 "&amp;"닭안심, 채 썬 깻잎을 순서대로 담는다.
10. 끓는 기름에 슬라이스한 마늘과 대파, 고추를 넣고 끓인다.
11. 10에 베트남고추를 넣고 끓인다.
12. 채소와 닭안심이 담긴 뚝배기에 끓는 채소기름을 넣고 뚜껑을 덮어 익힌다.
13. 다진 마늘, 간장, 식초, 굴소스를 섞어 양념장을 만들어 따로 낸다.")</f>
        <v>1. 마늘은 슬라이스 하고, 대파는 적당한 크기로 썬다.
2. 양파와 깻잎을 채 썬다.
3. 고추와 파프리카를 적당한 크기로 썬다.
4. 마늘을 으깬다.
5. 닭안심을 얇게 슬라이스 한다.
6. 슬라이스한 닭안심에 굴소스, 생강즙, 청주를 섞어 재운다.
7. 기름을 두른 팬에 으깬 마늘과 대파 흰 부분을 넣고 볶는다.
8. 볶던 재료에 간장과 청주, 손질한 양파와 파프리카, 굴소스를 넣고 볶는다.
9. 달궈둔 뚝배기에 볶은 채소, 양념한 닭안심, 채 썬 깻잎을 순서대로 담는다.
10. 끓는 기름에 슬라이스한 마늘과 대파, 고추를 넣고 끓인다.
11. 10에 베트남고추를 넣고 끓인다.
12. 채소와 닭안심이 담긴 뚝배기에 끓는 채소기름을 넣고 뚜껑을 덮어 익힌다.
13. 다진 마늘, 간장, 식초, 굴소스를 섞어 양념장을 만들어 따로 낸다.</v>
      </c>
    </row>
    <row r="455">
      <c r="A455" s="2" t="str">
        <f>recipe!C455
</f>
        <v>복된 짜장</v>
      </c>
      <c r="B455" s="2" t="str">
        <f>IFERROR(__xludf.DUMMYFUNCTION("TRIM(
  REGEXEXTRACT(
    raw!A455,
    ""●\s*조리\s*방법([\s\S]*)""
  )
)
"),"1. 밀가루에 물을 넣고 치대어 면 반죽을 한다.
2. 면 반죽을 휴지시킨다.
3. 양파를 적당한 크기로 썬다.
4. 냉동만두소를 꺼내 잘게 다진다.
5. 고추를 잘게 썬다.
6. 오이소박이를 물에 씻어 가늘게 채 썬다.
7. 채 썬 오이소박이에 고추기름, 식초, 설탕을 넣고 섞어 자차이를 만든다.
8. 기름에 된장을 볶는다.
9. 기름을 두른 팬에 만두소, 다진 생강, 고량주, 손질한 양파, 잘게 썬 고추를 "&amp;"넣고 볶는다.
10. 볶던 재료에 기름에 볶은 된장과 굴소스를 넣고 볶아 된장짜장소스를 만든다.
11. 휴지시킨 면 반죽을 치대다가 밀대로 얇게 민다.
12. 면을 적당한 두께로 썰어 끓는 물에 삶는다.
13. 볶던 된장짜장소스에 설탕을 넣는다.
14. 그릇에 된장짜장소스를 담는다.
15. 삶은 면을 찬물에 헹구고 다시 한 번 뜨거운 물에 담갔다가 따로 담아낸다.")</f>
        <v>1. 밀가루에 물을 넣고 치대어 면 반죽을 한다.
2. 면 반죽을 휴지시킨다.
3. 양파를 적당한 크기로 썬다.
4. 냉동만두소를 꺼내 잘게 다진다.
5. 고추를 잘게 썬다.
6. 오이소박이를 물에 씻어 가늘게 채 썬다.
7. 채 썬 오이소박이에 고추기름, 식초, 설탕을 넣고 섞어 자차이를 만든다.
8. 기름에 된장을 볶는다.
9. 기름을 두른 팬에 만두소, 다진 생강, 고량주, 손질한 양파, 잘게 썬 고추를 넣고 볶는다.
10. 볶던 재료에 기름에 볶은 된장과 굴소스를 넣고 볶아 된장짜장소스를 만든다.
11. 휴지시킨 면 반죽을 치대다가 밀대로 얇게 민다.
12. 면을 적당한 두께로 썰어 끓는 물에 삶는다.
13. 볶던 된장짜장소스에 설탕을 넣는다.
14. 그릇에 된장짜장소스를 담는다.
15. 삶은 면을 찬물에 헹구고 다시 한 번 뜨거운 물에 담갔다가 따로 담아낸다.</v>
      </c>
    </row>
    <row r="456">
      <c r="A456" s="2" t="str">
        <f>recipe!C456
</f>
        <v>명풍튀김</v>
      </c>
      <c r="B456" s="2" t="str">
        <f>IFERROR(__xludf.DUMMYFUNCTION("TRIM(
  REGEXEXTRACT(
    raw!A456,
    ""●\s*조리\s*방법([\s\S]*)""
  )
)
"),"1. 잘게 다진 대파에 다진 마늘, 땅콩버터, 고추기름을 넣고 섞는다.
2. 1에 콜라, 물엿, 마요네즈, 식초, 간장을 넣고 소스를 만든다.
3. 볼에 참치 통조림, 밀가루, 전분을 넣고 반죽한다.
4. 명란젓을 적당한 크기로 썬다.
5. 기름을 두른 팬에 달걀프라이를 만든다.
6. 참치반죽 안에 명란젓을 넣고 감싸 동그랗게 모양을 잡는다.
7. 6을 기름에 튀겨 명란참치튀김을 만든다.
8. 명란참치튀김을 건져 기"&amp;"름기를 뺀다.
9. 그릇에 상추와 깻잎을 담는다.
10. 접시에 달걀프라이, 명란참치튀김, 소스를 담아낸다.")</f>
        <v>1. 잘게 다진 대파에 다진 마늘, 땅콩버터, 고추기름을 넣고 섞는다.
2. 1에 콜라, 물엿, 마요네즈, 식초, 간장을 넣고 소스를 만든다.
3. 볼에 참치 통조림, 밀가루, 전분을 넣고 반죽한다.
4. 명란젓을 적당한 크기로 썬다.
5. 기름을 두른 팬에 달걀프라이를 만든다.
6. 참치반죽 안에 명란젓을 넣고 감싸 동그랗게 모양을 잡는다.
7. 6을 기름에 튀겨 명란참치튀김을 만든다.
8. 명란참치튀김을 건져 기름기를 뺀다.
9. 그릇에 상추와 깻잎을 담는다.
10. 접시에 달걀프라이, 명란참치튀김, 소스를 담아낸다.</v>
      </c>
    </row>
    <row r="457">
      <c r="A457" s="2" t="str">
        <f>recipe!C457
</f>
        <v>냉볶이</v>
      </c>
      <c r="B457" s="2" t="str">
        <f>IFERROR(__xludf.DUMMYFUNCTION("TRIM(
  REGEXEXTRACT(
    raw!A457,
    ""●\s*조리\s*방법([\s\S]*)""
  )
)
"),"1. 밀가루에 뜨거운 물을 넣고 익반죽한다.
2. 밀가루반죽을 길게 밀어 떡모양을 만든 뒤, 뜨거운 물에 삶는다.
3. 해물볶음고추장에 레몬즙, 굴소스, 참기름, 설탕을 넣고 섞어 떡볶이소스를 만든다.
4. 끓는 물에 양념게장을 넣고 끓인다.
5. 게장국에 달걀물을 넣는다.
6. 볼에 밀가루, 얇게 썬 대파, 물에 씻은 새우젓, 물을 넣고 섞어 새우젓튀김반죽을 만든다.
7. 새우젓튀김반죽을 적당한 크기로 덜어 기름에 튀긴"&amp;"다.
8. 깻잎을 가늘게 채 썬다.
9. 익힌 떡을 얼음물에 담가 식힌다.
10. 볼에 잘게 찢은 상추, 떡, 떡볶이소스, 참기름을 넣고 비빈다.
11. 접시에 떡볶이와 새우젓튀김을 담은 뒤, 깻잎채를 올린다.
12. 게장국에 후추를 넣은 뒤, 그릇에 담아낸다.")</f>
        <v>1. 밀가루에 뜨거운 물을 넣고 익반죽한다.
2. 밀가루반죽을 길게 밀어 떡모양을 만든 뒤, 뜨거운 물에 삶는다.
3. 해물볶음고추장에 레몬즙, 굴소스, 참기름, 설탕을 넣고 섞어 떡볶이소스를 만든다.
4. 끓는 물에 양념게장을 넣고 끓인다.
5. 게장국에 달걀물을 넣는다.
6. 볼에 밀가루, 얇게 썬 대파, 물에 씻은 새우젓, 물을 넣고 섞어 새우젓튀김반죽을 만든다.
7. 새우젓튀김반죽을 적당한 크기로 덜어 기름에 튀긴다.
8. 깻잎을 가늘게 채 썬다.
9. 익힌 떡을 얼음물에 담가 식힌다.
10. 볼에 잘게 찢은 상추, 떡, 떡볶이소스, 참기름을 넣고 비빈다.
11. 접시에 떡볶이와 새우젓튀김을 담은 뒤, 깻잎채를 올린다.
12. 게장국에 후추를 넣은 뒤, 그릇에 담아낸다.</v>
      </c>
    </row>
    <row r="458">
      <c r="A458" s="2" t="str">
        <f>recipe!C458
</f>
        <v>부굴부굴</v>
      </c>
      <c r="B458" s="2" t="str">
        <f>IFERROR(__xludf.DUMMYFUNCTION("TRIM(
  REGEXEXTRACT(
    raw!A458,
    ""●\s*조리\s*방법([\s\S]*)""
  )
)
"),"1. 끓는 물에 건새우, 청양고추를 넣고 끓여 육수를 낸다.
2. 두부를 적당한 크기로 썰어 속을 동그랗게 파낸다.
3. 채끝등심, 새우, 바지락살, 전분, 소불고기양념, 달걀물을 핸드블렌더로 갈아 완자반죽을 만든다.
4. 완자반죽을 동그랗게 빚어 속을 파낸 두부에 넣는다.
5. 4를 찜기에 넣고 찐다.
6. 달걀물에 전분을 넣고 섞는다.
7. 기름을 두른 팬에 전분을 넣은 달걀물을 넣고 익혀 달걀피를 만든다.
8."&amp;" 굴에 밀가루를 묻혀 달걀피 위에 올리고 반으로 접어 굴만두를 만든다.
9. 액상조미료를 육수에 넣고 끓인다.
10. 재료를 넣고 끓이던 육수를 체에 밭쳐 건더기를 분리한 뒤, 소금을 넣어 끓인다.
11. 애호박과 새송이버섯을 채 썰어 육수에 넣고 끓인다.
12. 두부완자찜과 굴만두를 그릇에 담는다.
13. 12에 애호박과 새송이버섯을 넣고 끓인 육수를 붓고, 잘게 썬 대파를 올려낸다.")</f>
        <v>1. 끓는 물에 건새우, 청양고추를 넣고 끓여 육수를 낸다.
2. 두부를 적당한 크기로 썰어 속을 동그랗게 파낸다.
3. 채끝등심, 새우, 바지락살, 전분, 소불고기양념, 달걀물을 핸드블렌더로 갈아 완자반죽을 만든다.
4. 완자반죽을 동그랗게 빚어 속을 파낸 두부에 넣는다.
5. 4를 찜기에 넣고 찐다.
6. 달걀물에 전분을 넣고 섞는다.
7. 기름을 두른 팬에 전분을 넣은 달걀물을 넣고 익혀 달걀피를 만든다.
8. 굴에 밀가루를 묻혀 달걀피 위에 올리고 반으로 접어 굴만두를 만든다.
9. 액상조미료를 육수에 넣고 끓인다.
10. 재료를 넣고 끓이던 육수를 체에 밭쳐 건더기를 분리한 뒤, 소금을 넣어 끓인다.
11. 애호박과 새송이버섯을 채 썰어 육수에 넣고 끓인다.
12. 두부완자찜과 굴만두를 그릇에 담는다.
13. 12에 애호박과 새송이버섯을 넣고 끓인 육수를 붓고, 잘게 썬 대파를 올려낸다.</v>
      </c>
    </row>
    <row r="459">
      <c r="A459" s="2" t="str">
        <f>recipe!C459
</f>
        <v>월드스탕</v>
      </c>
      <c r="B459" s="2" t="str">
        <f>IFERROR(__xludf.DUMMYFUNCTION("TRIM(
  REGEXEXTRACT(
    raw!A459,
    ""●\s*조리\s*방법([\s\S]*)""
  )
)
"),"1. 끓는 물에 무, 건새우, 대파, 새우머리를 넣고 끓여 육수를 낸다.
2. 전자레인지에 데운 즉석밥을 마른 팬에 넓게 펴서 구워 누룽지를 만든다.
3. 건두부피를 가늘게 채 썬다.
4. 기름을 두른 냄비에 채 썬 건두부피, 트러플 버터, 간장을 넣고 볶는다.
5. 건두부피를 볶던 냄비에 새우, 굴을 넣고 함께 볶는다.
6. 볶은 재료에 육수를 넣고 해물탕을 끓인다.
7. 핸드블렌더에 적당한 크기로 썬 시금치와 물을 넣"&amp;"고 곱게 간다.
8. 간 시금치를 체에 밭쳐 즙만 해물탕에 넣고 끓인다.
9. 시금치해물탕에 액상조미료를 넣고 끓인다.
10. 시금치해물탕에 전분물을 풀어 농도를 조절한다.
11. 누룽지를 별모양 틀로 찍어 모양을 만든다.
12. 별모양으로 만든 누룽지를 기름에 튀긴다.
13. 그릇에 시금치해물탕을 담고 별모양으로 튀긴 누룽지를 따로 담아낸다.")</f>
        <v>1. 끓는 물에 무, 건새우, 대파, 새우머리를 넣고 끓여 육수를 낸다.
2. 전자레인지에 데운 즉석밥을 마른 팬에 넓게 펴서 구워 누룽지를 만든다.
3. 건두부피를 가늘게 채 썬다.
4. 기름을 두른 냄비에 채 썬 건두부피, 트러플 버터, 간장을 넣고 볶는다.
5. 건두부피를 볶던 냄비에 새우, 굴을 넣고 함께 볶는다.
6. 볶은 재료에 육수를 넣고 해물탕을 끓인다.
7. 핸드블렌더에 적당한 크기로 썬 시금치와 물을 넣고 곱게 간다.
8. 간 시금치를 체에 밭쳐 즙만 해물탕에 넣고 끓인다.
9. 시금치해물탕에 액상조미료를 넣고 끓인다.
10. 시금치해물탕에 전분물을 풀어 농도를 조절한다.
11. 누룽지를 별모양 틀로 찍어 모양을 만든다.
12. 별모양으로 만든 누룽지를 기름에 튀긴다.
13. 그릇에 시금치해물탕을 담고 별모양으로 튀긴 누룽지를 따로 담아낸다.</v>
      </c>
    </row>
    <row r="460">
      <c r="A460" s="2" t="str">
        <f>recipe!C460
</f>
        <v>I'm 가리비 a bad boy♬</v>
      </c>
      <c r="B460" s="2" t="str">
        <f>IFERROR(__xludf.DUMMYFUNCTION("TRIM(
  REGEXEXTRACT(
    raw!A460,
    ""●\s*조리\s*방법([\s\S]*)""
  )
)
"),"1. 핸드블렌더에 참깨와 오리엔탈드레싱을 넣고 곱게 간다.
2. 1에 마요네즈와 후추를 넣고 다시 갈아 참깨소스를 만든다.
3. 오징어는 껍질을 벗겨내고, 잘게 다진다.
4. 기름을 두른 팬에 적당한 크기로 썬 쪽파와 시금치를 각각 굽다가 소금, 후추로 간 한다.
5. 기름을 두른 팬에 잘게 다진 오징어를 볶다가 소금, 베이키드빈스,
다진 마늘, 식초, 트러플 꿀, 버터를 넣고 볶는다.
6. 구운 시금치를 원형틀로 모양을 잡"&amp;"아 접시 위에 올린다.
7. 구운 쪽파를 적당한 크기로 썰어 데커레이션 한다.
8. 구운 시금치 위에 오징어볶음을 얹는다.
9. 기름을 두른 팬에 가리비관자를 굽다가, 소금, 후추로 간 한다.
10. 접시에 참깨소스를 올린다.
11. 구운 쪽파 위에 가리비관자구이를 올린다.
12. 잘게 다진 부추를 올려 마무리한다.")</f>
        <v>1. 핸드블렌더에 참깨와 오리엔탈드레싱을 넣고 곱게 간다.
2. 1에 마요네즈와 후추를 넣고 다시 갈아 참깨소스를 만든다.
3. 오징어는 껍질을 벗겨내고, 잘게 다진다.
4. 기름을 두른 팬에 적당한 크기로 썬 쪽파와 시금치를 각각 굽다가 소금, 후추로 간 한다.
5. 기름을 두른 팬에 잘게 다진 오징어를 볶다가 소금, 베이키드빈스,
다진 마늘, 식초, 트러플 꿀, 버터를 넣고 볶는다.
6. 구운 시금치를 원형틀로 모양을 잡아 접시 위에 올린다.
7. 구운 쪽파를 적당한 크기로 썰어 데커레이션 한다.
8. 구운 시금치 위에 오징어볶음을 얹는다.
9. 기름을 두른 팬에 가리비관자를 굽다가, 소금, 후추로 간 한다.
10. 접시에 참깨소스를 올린다.
11. 구운 쪽파 위에 가리비관자구이를 올린다.
12. 잘게 다진 부추를 올려 마무리한다.</v>
      </c>
    </row>
    <row r="461">
      <c r="A461" s="2" t="str">
        <f>recipe!C461
</f>
        <v>두부로 피하고 싶어서♬</v>
      </c>
      <c r="B461" s="2" t="str">
        <f>IFERROR(__xludf.DUMMYFUNCTION("TRIM(
  REGEXEXTRACT(
    raw!A461,
    ""●\s*조리\s*방법([\s\S]*)""
  )
)
"),"1. 마늘은 얇게 슬라이스하고, 오징어는 촘촘하게 칼집을 낸 뒤 채 썬다.
2. 새송이버섯, 파프리카, 양파, 애호박도 채 썬다.
3. 밀가루를 물에 개어 튀김반죽을 만든다.
4. 채끝등심을 채 썬 뒤, 전분과 달걀물을 묻혀 기름에 튀기듯 볶는다.
5. 기름에 볶은 채끝등심을 체에 밭쳐 기름기를 뺀다.
6. 기름을 두른 팬에 손질한 채소들과 오징어, 채끝등심, 설탕, 간장, 소불고기 양념을 넣고 볶는다.
7. 볶던 재료에"&amp;" 후추를 뿌려 중국식잡채를 완성한다.
8. 건두부피에 중국식잡채를 넣고 튀김반죽을 묻혀 돌돌 만다.
9. 건두부피롤에 튀김반죽을 골고루 입혀 기름에 튀긴다.
10. 접시에 중국식잡채를 담는다.
11. 뜨거운 물에 건두부피를 데친다.
12. 데친 건두부피를 접시에 담는다.
13. 건두부피롤튀김을 적당한 크기로 썰어 접시에 담은 뒤, 트러플 꿀을 뿌려 마무리한다.")</f>
        <v>1. 마늘은 얇게 슬라이스하고, 오징어는 촘촘하게 칼집을 낸 뒤 채 썬다.
2. 새송이버섯, 파프리카, 양파, 애호박도 채 썬다.
3. 밀가루를 물에 개어 튀김반죽을 만든다.
4. 채끝등심을 채 썬 뒤, 전분과 달걀물을 묻혀 기름에 튀기듯 볶는다.
5. 기름에 볶은 채끝등심을 체에 밭쳐 기름기를 뺀다.
6. 기름을 두른 팬에 손질한 채소들과 오징어, 채끝등심, 설탕, 간장, 소불고기 양념을 넣고 볶는다.
7. 볶던 재료에 후추를 뿌려 중국식잡채를 완성한다.
8. 건두부피에 중국식잡채를 넣고 튀김반죽을 묻혀 돌돌 만다.
9. 건두부피롤에 튀김반죽을 골고루 입혀 기름에 튀긴다.
10. 접시에 중국식잡채를 담는다.
11. 뜨거운 물에 건두부피를 데친다.
12. 데친 건두부피를 접시에 담는다.
13. 건두부피롤튀김을 적당한 크기로 썰어 접시에 담은 뒤, 트러플 꿀을 뿌려 마무리한다.</v>
      </c>
    </row>
    <row r="462">
      <c r="A462" s="2" t="str">
        <f>recipe!C462
</f>
        <v>알렉스테이크</v>
      </c>
      <c r="B462" s="2" t="str">
        <f>IFERROR(__xludf.DUMMYFUNCTION("TRIM(
  REGEXEXTRACT(
    raw!A462,
    ""●\s*조리\s*방법([\s\S]*)""
  )
)
"),"1. 손질한 양파, 당근, 대파, 아스파라거스를 끓는 물에 넣고 채소육수를 낸다.
2. 양파를 가늘게 채 썬다.
3. 기름을 두른 팬에 채 썬 양파와 발사믹소스를 넣고 볶는다.
4. 살치살에 올리브오일, 소금, 후추를 뿌린다.
5. 기름을 두른 팬에 간을 한 살치살을 굽는다.
6. 살치살을 굽는 팬에 버터를 넣고 고기에 끼얹어가며 익힌다.
7. 볼에 살치살 스테이크와 로즈마리를 넣고 토치로 로즈마리에 불을 붙인 뒤,
랩"&amp;"을 씌워 살치살 스테이크를 훈연한다.
8. 팬에 양상추와 발사믹소스를 넣고 볶다가 채소육수를 넣는다.
9. 8에 버터, 후추, 바닐라 아이스크림을 넣고 졸인다.
10. 훈연한 살치살 스테이크에 발사믹소스에 볶은 양파와 모차렐라치즈를 올린 뒤, 오븐에 익힌다.
11. 기름을 두른 팬에 적당한 크기로 썬 배와 아스파라거스를 굽는다.
12. 11에 소금, 버터, 후추를 넣고, 위스키를 넣어 불을 붙인다.
13. 접시에 구운 아"&amp;"스파라거스와 배를 올리고, 소스에 볶은 양상추를 담는다.
14. 양상추 위에 살치살스테이크를 올린다.
15. 소스를 두르고, 레몬껍질과 후추를 뿌려 마무리한다.")</f>
        <v>1. 손질한 양파, 당근, 대파, 아스파라거스를 끓는 물에 넣고 채소육수를 낸다.
2. 양파를 가늘게 채 썬다.
3. 기름을 두른 팬에 채 썬 양파와 발사믹소스를 넣고 볶는다.
4. 살치살에 올리브오일, 소금, 후추를 뿌린다.
5. 기름을 두른 팬에 간을 한 살치살을 굽는다.
6. 살치살을 굽는 팬에 버터를 넣고 고기에 끼얹어가며 익힌다.
7. 볼에 살치살 스테이크와 로즈마리를 넣고 토치로 로즈마리에 불을 붙인 뒤,
랩을 씌워 살치살 스테이크를 훈연한다.
8. 팬에 양상추와 발사믹소스를 넣고 볶다가 채소육수를 넣는다.
9. 8에 버터, 후추, 바닐라 아이스크림을 넣고 졸인다.
10. 훈연한 살치살 스테이크에 발사믹소스에 볶은 양파와 모차렐라치즈를 올린 뒤, 오븐에 익힌다.
11. 기름을 두른 팬에 적당한 크기로 썬 배와 아스파라거스를 굽는다.
12. 11에 소금, 버터, 후추를 넣고, 위스키를 넣어 불을 붙인다.
13. 접시에 구운 아스파라거스와 배를 올리고, 소스에 볶은 양상추를 담는다.
14. 양상추 위에 살치살스테이크를 올린다.
15. 소스를 두르고, 레몬껍질과 후추를 뿌려 마무리한다.</v>
      </c>
    </row>
    <row r="463">
      <c r="A463" s="2" t="str">
        <f>recipe!C463
</f>
        <v>둘이서 한 덮밥</v>
      </c>
      <c r="B463" s="2" t="str">
        <f>IFERROR(__xludf.DUMMYFUNCTION("TRIM(
  REGEXEXTRACT(
    raw!A463,
    ""●\s*조리\s*방법([\s\S]*)""
  )
)
"),"1. 대파, 마늘, 양파를 핸드블렌더로 간다.
2. 양배추를 가늘게 채 썬다.
3. 돼지목살을 적당한 크기로 썬 뒤, 기름에 튀기듯 볶는다.
4. 볶은 돼지목살을 체에 밭쳐 기름기를 뺀다.
5. 돼지목살을 볶았던 기름에 다진 마늘과 채 썬 양배추, 간장, 식초를 넣고 볶는다.
6. 볶은 양배추를 꺼내둔다.
7. 기름을 두른 팬에 곱게 간 대파, 마늘, 양파와 고춧가루를 넣고 볶아 소스를 만든다.
8. 전자레인지에 즉석밥을 돌린다.
9. 볶"&amp;"던 소스에 돼지목살, 청주를 넣고 함께 볶는다.
10. 재료를 볶던 팬에 채 썬 파프리카와 맛술을 넣고 함께 볶는다.
11. 접시에 밥을 얹고, 양배추볶음을 올린 뒤, 소스와 함께 볶은 돼지목살을 올려 마무리한다.")</f>
        <v>1. 대파, 마늘, 양파를 핸드블렌더로 간다.
2. 양배추를 가늘게 채 썬다.
3. 돼지목살을 적당한 크기로 썬 뒤, 기름에 튀기듯 볶는다.
4. 볶은 돼지목살을 체에 밭쳐 기름기를 뺀다.
5. 돼지목살을 볶았던 기름에 다진 마늘과 채 썬 양배추, 간장, 식초를 넣고 볶는다.
6. 볶은 양배추를 꺼내둔다.
7. 기름을 두른 팬에 곱게 간 대파, 마늘, 양파와 고춧가루를 넣고 볶아 소스를 만든다.
8. 전자레인지에 즉석밥을 돌린다.
9. 볶던 소스에 돼지목살, 청주를 넣고 함께 볶는다.
10. 재료를 볶던 팬에 채 썬 파프리카와 맛술을 넣고 함께 볶는다.
11. 접시에 밥을 얹고, 양배추볶음을 올린 뒤, 소스와 함께 볶은 돼지목살을 올려 마무리한다.</v>
      </c>
    </row>
    <row r="464">
      <c r="A464" s="2" t="str">
        <f>recipe!C464
</f>
        <v>파티가 오레가노</v>
      </c>
      <c r="B464" s="2" t="str">
        <f>IFERROR(__xludf.DUMMYFUNCTION("TRIM(
  REGEXEXTRACT(
    raw!A464,
    ""●\s*조리\s*방법([\s\S]*)""
  )
)
"),"1. 파스타면을 잘게 부순다.
2. 끓는 물에 잘게 부순 파스타면을 넣고 삶는다.
3. 아스파라거스를 손질한 뒤, 끓는 물에 데친다.
4. 기름을 두른 팬에 데친 아스파라거스를 굽는다.
5. 토마토를 적당한 크기로 썬다.
6. 양상추를 채 썬다.
7. 구운 아스파라거스를 적당한 크기로 썬다.
8. 관자에 소금, 후추로 간 한다.
9. 기름을 두른 팬에 관자를 구운 뒤, 냉동실에서 식힌다.
10. 베이컨은 "&amp;"잘게 썰고, 마늘은 으깬다.
11. 팬에 손질한 베이컨과 마늘을 넣고 볶다가, 소금으로 간 한다.
12. 볶은 베이컨과 마늘을 체에 밭쳐 기름기를 뺀 뒤,
레몬즙과 올리브오일, 오레가노를 넣고 소스를 만든다.
13. 소스에 구운 아스파라거스, 식힌 관자를 넣는다.
14. 삶은 파스타면을 체에 밭쳐 거른 뒤, 얼음물에서 식힌다.
15. 파스타면을 소스에 넣는다.
16. 손질한 토마토와 베이컨을 넣고 섞는다.
17. "&amp;"16에 액상조미료를 넣는다.
18. 섞은 냉파스타를 그릇에 담고, 채 썬 양상추를 올려 마무리한다.")</f>
        <v>1. 파스타면을 잘게 부순다.
2. 끓는 물에 잘게 부순 파스타면을 넣고 삶는다.
3. 아스파라거스를 손질한 뒤, 끓는 물에 데친다.
4. 기름을 두른 팬에 데친 아스파라거스를 굽는다.
5. 토마토를 적당한 크기로 썬다.
6. 양상추를 채 썬다.
7. 구운 아스파라거스를 적당한 크기로 썬다.
8. 관자에 소금, 후추로 간 한다.
9. 기름을 두른 팬에 관자를 구운 뒤, 냉동실에서 식힌다.
10. 베이컨은 잘게 썰고, 마늘은 으깬다.
11. 팬에 손질한 베이컨과 마늘을 넣고 볶다가, 소금으로 간 한다.
12. 볶은 베이컨과 마늘을 체에 밭쳐 기름기를 뺀 뒤,
레몬즙과 올리브오일, 오레가노를 넣고 소스를 만든다.
13. 소스에 구운 아스파라거스, 식힌 관자를 넣는다.
14. 삶은 파스타면을 체에 밭쳐 거른 뒤, 얼음물에서 식힌다.
15. 파스타면을 소스에 넣는다.
16. 손질한 토마토와 베이컨을 넣고 섞는다.
17. 16에 액상조미료를 넣는다.
18. 섞은 냉파스타를 그릇에 담고, 채 썬 양상추를 올려 마무리한다.</v>
      </c>
    </row>
    <row r="465">
      <c r="A465" s="2" t="str">
        <f>recipe!C465
</f>
        <v>팬타스틱</v>
      </c>
      <c r="B465" s="2" t="str">
        <f>IFERROR(__xludf.DUMMYFUNCTION("TRIM(
  REGEXEXTRACT(
    raw!A465,
    ""●\s*조리\s*방법([\s\S]*)""
  )
)
"),"1. 아스파라거스를 적당한 크기로 손질한다.
2. 양파, 베이컨을 적당한 크기로 썰어 팬에 볶는다.
3. 다른 팬에 적당한 크기로 썬 소시지와 마늘을 볶다가, 맥주를 붓고 끓인다.
4. 3에 손질한 아스파라거스를 넣는다.
5. 맥주, 연겨자, 달걀, 팬케이크가루를 섞어 팬케이크반죽을 만든다.
6. 팬케이크반죽에 모차렐라치즈를 넣는다.
7. 유리냄비에 버터를 묻히고, 볶은 양파와 베이컨, 팬케이크반죽을 넣고 전자레인지에서 익힌다.
8. 볶던 "&amp;"양파와 베이컨에 버터와 올리브오일을 넣고 다시 한 번 볶는다.
9. 8에 밀가루, 맥주를 넣고 끓이다가, 액상조미료를 넣고 끓인 육수를 부어 함께 끓인다.
10. 끓이던 재료에 후추를 넣어 소스를 만든다.
11. 전자레인지에 익힌 팬케이크반죽을 꺼내 맥주에 끓인 소시지와
아스파라거스를 넣고, 다시 한 번 익혀 낸다.
12. 소스를 유리냄비에 부어 따로 낸다.")</f>
        <v>1. 아스파라거스를 적당한 크기로 손질한다.
2. 양파, 베이컨을 적당한 크기로 썰어 팬에 볶는다.
3. 다른 팬에 적당한 크기로 썬 소시지와 마늘을 볶다가, 맥주를 붓고 끓인다.
4. 3에 손질한 아스파라거스를 넣는다.
5. 맥주, 연겨자, 달걀, 팬케이크가루를 섞어 팬케이크반죽을 만든다.
6. 팬케이크반죽에 모차렐라치즈를 넣는다.
7. 유리냄비에 버터를 묻히고, 볶은 양파와 베이컨, 팬케이크반죽을 넣고 전자레인지에서 익힌다.
8. 볶던 양파와 베이컨에 버터와 올리브오일을 넣고 다시 한 번 볶는다.
9. 8에 밀가루, 맥주를 넣고 끓이다가, 액상조미료를 넣고 끓인 육수를 부어 함께 끓인다.
10. 끓이던 재료에 후추를 넣어 소스를 만든다.
11. 전자레인지에 익힌 팬케이크반죽을 꺼내 맥주에 끓인 소시지와
아스파라거스를 넣고, 다시 한 번 익혀 낸다.
12. 소스를 유리냄비에 부어 따로 낸다.</v>
      </c>
    </row>
    <row r="466">
      <c r="A466" s="2" t="str">
        <f>recipe!C466
</f>
        <v>200% 게살케이크</v>
      </c>
      <c r="B466" s="2" t="str">
        <f>IFERROR(__xludf.DUMMYFUNCTION("TRIM(
  REGEXEXTRACT(
    raw!A466,
    ""●\s*조리\s*방법([\s\S]*)""
  )
)
"),"1. 핸드블렌더에 새우살, 버터, 소금, 후추를 넣고 곱게 간다.
2. 간 새우살에 물기를 짠 대게살을 넣고 섞는다.
3. 원형틀 안쪽에 버터를 바르고 새우대게살을 채운 후, 찜기에 찐다.
4. 날치알을 체에 밭쳐 찬물에 헹군다.
5. 당근을 럭비공모양으로 다듬어 끓는 물에 삶은 뒤 체에 밭쳐 둔다.
6. 냄비에 딸기주스, 삶은 당근, 버터를 넣고 끓여 조린다.
7. 냄비에 버터와 밀가루를 볶아 루를 만들고, 우유, 후추"&amp;"를 넣고 끓여 베샤멜소스를 만든다.
8. 찜기에서 찐 새우대게살 케이크를 기름을 두른 팬에 굽는다.
9. 새우대게살 케이크에 베샤멜소스를 부어 코팅한 뒤 접시에 올린다.
10. 딸기주스에 조린 당근을 곁들인다.
11. 새우대게살 케이크 위에 날치알을 올려 마무리한다.")</f>
        <v>1. 핸드블렌더에 새우살, 버터, 소금, 후추를 넣고 곱게 간다.
2. 간 새우살에 물기를 짠 대게살을 넣고 섞는다.
3. 원형틀 안쪽에 버터를 바르고 새우대게살을 채운 후, 찜기에 찐다.
4. 날치알을 체에 밭쳐 찬물에 헹군다.
5. 당근을 럭비공모양으로 다듬어 끓는 물에 삶은 뒤 체에 밭쳐 둔다.
6. 냄비에 딸기주스, 삶은 당근, 버터를 넣고 끓여 조린다.
7. 냄비에 버터와 밀가루를 볶아 루를 만들고, 우유, 후추를 넣고 끓여 베샤멜소스를 만든다.
8. 찜기에서 찐 새우대게살 케이크를 기름을 두른 팬에 굽는다.
9. 새우대게살 케이크에 베샤멜소스를 부어 코팅한 뒤 접시에 올린다.
10. 딸기주스에 조린 당근을 곁들인다.
11. 새우대게살 케이크 위에 날치알을 올려 마무리한다.</v>
      </c>
    </row>
    <row r="467">
      <c r="A467" s="2" t="str">
        <f>recipe!C467
</f>
        <v>갈치 너비아니</v>
      </c>
      <c r="B467" s="2" t="str">
        <f>IFERROR(__xludf.DUMMYFUNCTION("TRIM(
  REGEXEXTRACT(
    raw!A467,
    ""●\s*조리\s*방법([\s\S]*)""
  )
)
"),"1. 대파, 양파, 더덕을 석쇠에 굽는다.
2. 등갈비에 칼집을 내고 전분을 묻혀 기름에 튀기다가 설탕을 넣는다.
3. 냄비에 설탕, 명이나물장아찌국물, 석쇠에 구운 채소를 넣고 끓인 뒤, 체에 밭쳐 국물만 걸러낸다.
4. 걸러낸 국물을 다시 한 번 끓여 명이나물소스를 만든다.
5. 갈치를 포 뜬 뒤, 전분을 묻힌다.
6. 통조림 햄을 얇게 썰어 전분을 묻힌다.
7. 튀긴 등갈비를 꺼내 살만 바른 뒤, 잘게 다진다.
"&amp;"
8. 잘게 다진 등갈비살에 전분을 뿌린다.
9. 갈치포와 통조림 햄 사이에 등갈비살을 넣고 샌드해 너비아니를 만든다.
10. 기름을 두른 팬에 너비아니를 굽는다.
11. 믹서기에 참나물, 올리브오일, 케일사과주스를 넣고 갈아 참나물소스를 만든다.
12. 핸드블렌더에 배, 고추장, 도라지배즙을 넣고 갈아 고추장소스를 만든다.
13. 너비아니에 고추장소스를 바른다.
14. 콩비지를 전자레인지에 데운 뒤, 접시에 올린다.
"&amp;"
15. 너비아니를 접시에 얹는다.
16. 참나물소스와 명이나물소스를 뿌린다.
17. 참나물을 얹은 뒤, 올리브오일을 뿌려 마무리한다.")</f>
        <v>1. 대파, 양파, 더덕을 석쇠에 굽는다.
2. 등갈비에 칼집을 내고 전분을 묻혀 기름에 튀기다가 설탕을 넣는다.
3. 냄비에 설탕, 명이나물장아찌국물, 석쇠에 구운 채소를 넣고 끓인 뒤, 체에 밭쳐 국물만 걸러낸다.
4. 걸러낸 국물을 다시 한 번 끓여 명이나물소스를 만든다.
5. 갈치를 포 뜬 뒤, 전분을 묻힌다.
6. 통조림 햄을 얇게 썰어 전분을 묻힌다.
7. 튀긴 등갈비를 꺼내 살만 바른 뒤, 잘게 다진다.
8. 잘게 다진 등갈비살에 전분을 뿌린다.
9. 갈치포와 통조림 햄 사이에 등갈비살을 넣고 샌드해 너비아니를 만든다.
10. 기름을 두른 팬에 너비아니를 굽는다.
11. 믹서기에 참나물, 올리브오일, 케일사과주스를 넣고 갈아 참나물소스를 만든다.
12. 핸드블렌더에 배, 고추장, 도라지배즙을 넣고 갈아 고추장소스를 만든다.
13. 너비아니에 고추장소스를 바른다.
14. 콩비지를 전자레인지에 데운 뒤, 접시에 올린다.
15. 너비아니를 접시에 얹는다.
16. 참나물소스와 명이나물소스를 뿌린다.
17. 참나물을 얹은 뒤, 올리브오일을 뿌려 마무리한다.</v>
      </c>
    </row>
    <row r="468">
      <c r="A468" s="2" t="str">
        <f>recipe!C468
</f>
        <v>케이밥스타</v>
      </c>
      <c r="B468" s="2" t="str">
        <f>IFERROR(__xludf.DUMMYFUNCTION("TRIM(
  REGEXEXTRACT(
    raw!A468,
    ""●\s*조리\s*방법([\s\S]*)""
  )
)
"),"1. 오징어와 새우살을 잘게 다진 뒤, 기름을 두른 팬에 볶는다.
2. 밥에 수제양념장과 볶은 해산물을 넣고 섞는다.
3. 양념한 밥으로 주먹밥을 만든 뒤, 명이나물장아찌로 감싼다.
4. 전분, 식용유, 물을 섞어 튀김옷을 만든다.
5. 명이나물주먹밥에 튀김옷을 입혀 기름에 튀긴다.
6. 견과류와 건크랜베리를 잘게 부순 뒤, 크림치즈와 섞는다.
7. 팬에 발사믹소스, 딸기주스, 물을 넣고 끓여 딸기발사믹소스를 만든다.
"&amp;"
8. 끓는 물에 콘수프분말을 녹인다.
9. 콘수프에 후추, 파르메산치즈, 달걀노른자를 넣고 섞어 콘수프소스를 만든다.
10. 접시에 콘수프소스를 올리고, 튀긴 명이나물주먹밥을 올린다.
11. 명이나물주먹밥 위에 견과류와 섞은 크림치즈를 올린다.
12. 딸기발사믹소스와 콘수프소스를 뿌려 마무리한다.")</f>
        <v>1. 오징어와 새우살을 잘게 다진 뒤, 기름을 두른 팬에 볶는다.
2. 밥에 수제양념장과 볶은 해산물을 넣고 섞는다.
3. 양념한 밥으로 주먹밥을 만든 뒤, 명이나물장아찌로 감싼다.
4. 전분, 식용유, 물을 섞어 튀김옷을 만든다.
5. 명이나물주먹밥에 튀김옷을 입혀 기름에 튀긴다.
6. 견과류와 건크랜베리를 잘게 부순 뒤, 크림치즈와 섞는다.
7. 팬에 발사믹소스, 딸기주스, 물을 넣고 끓여 딸기발사믹소스를 만든다.
8. 끓는 물에 콘수프분말을 녹인다.
9. 콘수프에 후추, 파르메산치즈, 달걀노른자를 넣고 섞어 콘수프소스를 만든다.
10. 접시에 콘수프소스를 올리고, 튀긴 명이나물주먹밥을 올린다.
11. 명이나물주먹밥 위에 견과류와 섞은 크림치즈를 올린다.
12. 딸기발사믹소스와 콘수프소스를 뿌려 마무리한다.</v>
      </c>
    </row>
    <row r="469">
      <c r="A469" s="2" t="str">
        <f>recipe!C469
</f>
        <v>레이면인건가♬</v>
      </c>
      <c r="B469" s="2" t="str">
        <f>IFERROR(__xludf.DUMMYFUNCTION("TRIM(
  REGEXEXTRACT(
    raw!A469,
    ""●\s*조리\s*방법([\s\S]*)""
  )
)
"),"1. 기름을 두른 팬에 채 썬 양파를 볶는다.
2. 끓는 물에 라면과 다시마를 넣고 삶는다.
3. 볶던 양파에 손질한 오징어, 레몬즙, 잘게 부순 해시브라운, 소금, 후추, 자숙새우를 넣고 볶는다.
4. 삶은 라면을 체에 밭쳐 물기를 뺀 뒤 라면수프, 전분을 넣고 섞는다.
5. 기름을 두른 팬에 양념한 라면을 넓게 펴서 오코노미야키를 굽는다.
6. 카망베르치즈를 적당한 크기로 썬 뒤, 굽던 오코노미야키 위에 올린다.
7."&amp;" 6 위에 볶은 해산물&gt;양념한 라면&gt;달걀을 올려 굽다가, 뒤집어가며 굽는다.
8. 오코노미야키의 달걀을 올린 부분에 굴소스와 케첩을 섞은 소스를 바르고,
파르메산 치즈를 뿌려 굽다가 뒤집는다.
9. 구운 오코노미야키을 접시에 담은 뒤, 달걀을 올리지 않은 부분에
케첩&amp;굴소스를 바르고 잘게 다진 영양부추를 뿌린다.
10. 오코노미야키 위에 마요네즈를 바르고, 가쓰오부시를 뿌린다.
11. 10 위에 달걀노른자를 올린 뒤, 토치로 직"&amp;"화한다.
12. 잘게 다진 영양부추를 뿌려 마무리한다.")</f>
        <v>1. 기름을 두른 팬에 채 썬 양파를 볶는다.
2. 끓는 물에 라면과 다시마를 넣고 삶는다.
3. 볶던 양파에 손질한 오징어, 레몬즙, 잘게 부순 해시브라운, 소금, 후추, 자숙새우를 넣고 볶는다.
4. 삶은 라면을 체에 밭쳐 물기를 뺀 뒤 라면수프, 전분을 넣고 섞는다.
5. 기름을 두른 팬에 양념한 라면을 넓게 펴서 오코노미야키를 굽는다.
6. 카망베르치즈를 적당한 크기로 썬 뒤, 굽던 오코노미야키 위에 올린다.
7. 6 위에 볶은 해산물&gt;양념한 라면&gt;달걀을 올려 굽다가, 뒤집어가며 굽는다.
8. 오코노미야키의 달걀을 올린 부분에 굴소스와 케첩을 섞은 소스를 바르고,
파르메산 치즈를 뿌려 굽다가 뒤집는다.
9. 구운 오코노미야키을 접시에 담은 뒤, 달걀을 올리지 않은 부분에
케첩&amp;굴소스를 바르고 잘게 다진 영양부추를 뿌린다.
10. 오코노미야키 위에 마요네즈를 바르고, 가쓰오부시를 뿌린다.
11. 10 위에 달걀노른자를 올린 뒤, 토치로 직화한다.
12. 잘게 다진 영양부추를 뿌려 마무리한다.</v>
      </c>
    </row>
    <row r="470">
      <c r="A470" s="2" t="str">
        <f>recipe!C470
</f>
        <v>시금치 나무에서 애벌레 쇼를♬</v>
      </c>
      <c r="B470" s="2" t="str">
        <f>IFERROR(__xludf.DUMMYFUNCTION("TRIM(
  REGEXEXTRACT(
    raw!A470,
    ""●\s*조리\s*방법([\s\S]*)""
  )
)
"),"1. 전자레인지에 즉석밥을 돌린다.
2. 양파를 채 썬다.
3. 밥에 굴소스를 넣는다.
4. 기름을 두른 팬에 다진 마늘, 채 썬 양파, 시금치, 소금, 물을 넣고 끓이다가
핸드블렌더로 곱게 갈아 시금치소스를 만든다.
5. 시금치소스에 전분물을 넣어 농도를 조절한다.
6. 시금치소스에 치킨스톡을 넣는다.
7. 굴소스를 넣은 밥에 딸기고추장, 마요네즈를 넣고 섞는다.
8. 베이컨용 삼겹살 위에 양념한 밥을 올리고 돌"&amp;"돌 만다.
9. 마른 팬에 삼겹살말이를 올린 뒤, 뚜껑을 닫은 채로 굽는다.
10. 삼겹살말이를 토치로 직화한다.
11. 기름을 두른 팬에 두반장, 굴소스, 채 썬 양파, 숙주나물, 식초를 넣고 볶는다.
12. 시금치소스를 체에 밭쳐 곱게 거른다.
13. 접시에 시금치소스로 나무를 그린다.
14. 시금치 나무 위에 삼겹살말이를 올린다.
15. 그릇에 숙주볶음을 담고, 삼겹살말이를 올려 마무리한다.")</f>
        <v>1. 전자레인지에 즉석밥을 돌린다.
2. 양파를 채 썬다.
3. 밥에 굴소스를 넣는다.
4. 기름을 두른 팬에 다진 마늘, 채 썬 양파, 시금치, 소금, 물을 넣고 끓이다가
핸드블렌더로 곱게 갈아 시금치소스를 만든다.
5. 시금치소스에 전분물을 넣어 농도를 조절한다.
6. 시금치소스에 치킨스톡을 넣는다.
7. 굴소스를 넣은 밥에 딸기고추장, 마요네즈를 넣고 섞는다.
8. 베이컨용 삼겹살 위에 양념한 밥을 올리고 돌돌 만다.
9. 마른 팬에 삼겹살말이를 올린 뒤, 뚜껑을 닫은 채로 굽는다.
10. 삼겹살말이를 토치로 직화한다.
11. 기름을 두른 팬에 두반장, 굴소스, 채 썬 양파, 숙주나물, 식초를 넣고 볶는다.
12. 시금치소스를 체에 밭쳐 곱게 거른다.
13. 접시에 시금치소스로 나무를 그린다.
14. 시금치 나무 위에 삼겹살말이를 올린다.
15. 그릇에 숙주볶음을 담고, 삼겹살말이를 올려 마무리한다.</v>
      </c>
    </row>
    <row r="471">
      <c r="A471" s="2" t="str">
        <f>recipe!C471
</f>
        <v>신의 물고기</v>
      </c>
      <c r="B471" s="2" t="str">
        <f>IFERROR(__xludf.DUMMYFUNCTION("TRIM(
  REGEXEXTRACT(
    raw!A471,
    ""●\s*조리\s*방법([\s\S]*)""
  )
)
"),"1. 식빵테두리를 잘라내고 적당한 크기로 썬 뒤, 핸드블렌더로 곱게 갈아 빵가루를 만들어 튀긴다.
2. 마늘을 다진다.
3. 다진 마늘을 튀긴다.
4. 기름기를 뺀 튀긴 빵가루와 튀긴 마늘에 후추, 우스터소스를 섞는다.
5. 삼치를 손질해 전분을 묻힌다.
6. 냄비에 청주와 진을 넣고, 전분을 묻힌 삼치 절반을 넣은 뒤 불을 붙여 익힌다.
7. 전분을 묻힌 삼치 남은 절반을 튀긴다.
8. 튀긴 삼치와 술에 익힌 삼치"&amp;"를 각각 건져내 한 김 식힌다.
9. 볼에 간장, 설탕, 레몬즙, 물을 넣고 섞어 초절임소스를 만든다.
10. 오이와 셀러리를 가늘게 채 썰어 그릇에 담고, 초절임소스를 붓는다.
11. 접시에 튀긴 삼치와 술에 익힌 삼치를 접시에 담는다.
12. 술에 익힌 삼치 위에 명란젓을 올리고, 튀긴 마늘빵가루를 뿌린다.
13. 튀긴 삼치 위에 튀긴 마늘빵가루를 뿌린다.
14. 잘게 부순 감자칩을 올려 마무리한다.")</f>
        <v>1. 식빵테두리를 잘라내고 적당한 크기로 썬 뒤, 핸드블렌더로 곱게 갈아 빵가루를 만들어 튀긴다.
2. 마늘을 다진다.
3. 다진 마늘을 튀긴다.
4. 기름기를 뺀 튀긴 빵가루와 튀긴 마늘에 후추, 우스터소스를 섞는다.
5. 삼치를 손질해 전분을 묻힌다.
6. 냄비에 청주와 진을 넣고, 전분을 묻힌 삼치 절반을 넣은 뒤 불을 붙여 익힌다.
7. 전분을 묻힌 삼치 남은 절반을 튀긴다.
8. 튀긴 삼치와 술에 익힌 삼치를 각각 건져내 한 김 식힌다.
9. 볼에 간장, 설탕, 레몬즙, 물을 넣고 섞어 초절임소스를 만든다.
10. 오이와 셀러리를 가늘게 채 썰어 그릇에 담고, 초절임소스를 붓는다.
11. 접시에 튀긴 삼치와 술에 익힌 삼치를 접시에 담는다.
12. 술에 익힌 삼치 위에 명란젓을 올리고, 튀긴 마늘빵가루를 뿌린다.
13. 튀긴 삼치 위에 튀긴 마늘빵가루를 뿌린다.
14. 잘게 부순 감자칩을 올려 마무리한다.</v>
      </c>
    </row>
    <row r="472">
      <c r="A472" s="2" t="str">
        <f>recipe!C472
</f>
        <v>시금치~즈</v>
      </c>
      <c r="B472" s="2" t="str">
        <f>IFERROR(__xludf.DUMMYFUNCTION("TRIM(
  REGEXEXTRACT(
    raw!A472,
    ""●\s*조리\s*방법([\s\S]*)""
  )
)
"),"1. 소금을 넣은 끓는 물에 시금치를 데친다.
2. 소고기등심을 두드려 얇게 편 뒤, 적당한 크기로 잘라 소금으로 간 한다.
3. 기름을 두른 팬에 손질한 소고기등심과 채 썬 양파를 볶는다.
4. 데친 시금치를 체에 밭쳐 물기를 뺀다.
5. 냄비에 적당한 크기로 썬 시금치, 크림치즈, 체다치즈, 소금, 후추, 우유를 넣고 끓인다.
6. 달걀과 밀가루, 우유를 섞어 크레이프 반죽을 만든다.
7. 팬에 반죽을 얇게 부어 크레"&amp;"이프를 굽는다.
8. 적당한 크기로 썬 로메인상추에 레몬즙, 오이, 올리브오일, 소금을 섞어 샐러드를 만든다.
9. 두 개의 접시에 각각 샐러드를 담는다.
10. 크레이프 위에 크림치즈, 양파와 함께 볶은 등심을 올려 감싼다.
11. 10 위에 모차렐라치즈를 올린 뒤, 오븐에 익힌다.
12. 구운 크레이프에 치즈와 함께 끓인 시금치를 올려 감싸고 사과로 고정한다.
13. 샐러드가 담긴 접시 위에 시금치 치즈 크레이프를 올"&amp;"린다.
14. 샐러드가 담긴 다른 접시에 등심 치즈 크레이프와 레몬을 올려 마무리한다.")</f>
        <v>1. 소금을 넣은 끓는 물에 시금치를 데친다.
2. 소고기등심을 두드려 얇게 편 뒤, 적당한 크기로 잘라 소금으로 간 한다.
3. 기름을 두른 팬에 손질한 소고기등심과 채 썬 양파를 볶는다.
4. 데친 시금치를 체에 밭쳐 물기를 뺀다.
5. 냄비에 적당한 크기로 썬 시금치, 크림치즈, 체다치즈, 소금, 후추, 우유를 넣고 끓인다.
6. 달걀과 밀가루, 우유를 섞어 크레이프 반죽을 만든다.
7. 팬에 반죽을 얇게 부어 크레이프를 굽는다.
8. 적당한 크기로 썬 로메인상추에 레몬즙, 오이, 올리브오일, 소금을 섞어 샐러드를 만든다.
9. 두 개의 접시에 각각 샐러드를 담는다.
10. 크레이프 위에 크림치즈, 양파와 함께 볶은 등심을 올려 감싼다.
11. 10 위에 모차렐라치즈를 올린 뒤, 오븐에 익힌다.
12. 구운 크레이프에 치즈와 함께 끓인 시금치를 올려 감싸고 사과로 고정한다.
13. 샐러드가 담긴 접시 위에 시금치 치즈 크레이프를 올린다.
14. 샐러드가 담긴 다른 접시에 등심 치즈 크레이프와 레몬을 올려 마무리한다.</v>
      </c>
    </row>
    <row r="473">
      <c r="A473" s="2" t="str">
        <f>recipe!C473
</f>
        <v>미소 밀푀유</v>
      </c>
      <c r="B473" s="2" t="str">
        <f>IFERROR(__xludf.DUMMYFUNCTION("TRIM(
  REGEXEXTRACT(
    raw!A473,
    ""●\s*조리\s*방법([\s\S]*)""
  )
)
"),"1. 냄비에 우유, 옥수수를 넣고 끓인다.
2. 손질한 양배추에 소금을 뿌린 뒤, 팬에 굽는다.
3. 소고기등심을 반으로 갈라 넓게 편 뒤, 소금, 후추로 간 하고 기름을 두른 팬에 굽는다.
4. 구운 양배추를 한 김 식힌다.
5. 믹서기에 우유에 끓인 옥수수, 크림치즈를 넣고 갈아 퓌레를 만든다.
6. 간 퓌레를 체에 밭쳐 곱게 거른 뒤, 적미소를 넣고 섞는다.
7. 감자칼로 셀러리를 얇게 벗겨 얼음물에 담가둔다.
"&amp;"
8. 기름을 두른 팬에 잘게 다진 양파를 볶다가 흑초를 넣고 끓여 흑초소스를 만든다.
9. 다른 팬에 버터를 녹인 뒤, 밀가루를 넣고, 흑초소스를 부어 끓인다.
10. 구운 등심&gt;미소옥수수퓌레&gt;구운 양배추&gt;구운 등심&gt;미소옥수수퓌레&gt;구운 양배추 순으로 쌓는다.
11. 10을 꼬지로 고정한 뒤, 적당한 크기로 썰어 접시에 담는다.
12. 미소 밀푀유 위에 셀러리를 올린다.
13. 흑초소스를 한 김 식힌 뒤, 씨겨자, 올리브오일,"&amp;" 소금, 후추를 넣고 섞는다.
14. 미소 밀푀유에 흑초소스를 뿌려 마무리한다.")</f>
        <v>1. 냄비에 우유, 옥수수를 넣고 끓인다.
2. 손질한 양배추에 소금을 뿌린 뒤, 팬에 굽는다.
3. 소고기등심을 반으로 갈라 넓게 편 뒤, 소금, 후추로 간 하고 기름을 두른 팬에 굽는다.
4. 구운 양배추를 한 김 식힌다.
5. 믹서기에 우유에 끓인 옥수수, 크림치즈를 넣고 갈아 퓌레를 만든다.
6. 간 퓌레를 체에 밭쳐 곱게 거른 뒤, 적미소를 넣고 섞는다.
7. 감자칼로 셀러리를 얇게 벗겨 얼음물에 담가둔다.
8. 기름을 두른 팬에 잘게 다진 양파를 볶다가 흑초를 넣고 끓여 흑초소스를 만든다.
9. 다른 팬에 버터를 녹인 뒤, 밀가루를 넣고, 흑초소스를 부어 끓인다.
10. 구운 등심&gt;미소옥수수퓌레&gt;구운 양배추&gt;구운 등심&gt;미소옥수수퓌레&gt;구운 양배추 순으로 쌓는다.
11. 10을 꼬지로 고정한 뒤, 적당한 크기로 썰어 접시에 담는다.
12. 미소 밀푀유 위에 셀러리를 올린다.
13. 흑초소스를 한 김 식힌 뒤, 씨겨자, 올리브오일, 소금, 후추를 넣고 섞는다.
14. 미소 밀푀유에 흑초소스를 뿌려 마무리한다.</v>
      </c>
    </row>
    <row r="474">
      <c r="A474" s="2" t="str">
        <f>recipe!C474
</f>
        <v>everyday I 스테이크♬</v>
      </c>
      <c r="B474" s="2" t="str">
        <f>IFERROR(__xludf.DUMMYFUNCTION("TRIM(
  REGEXEXTRACT(
    raw!A474,
    ""●\s*조리\s*방법([\s\S]*)""
  )
)
"),"1. 간장, 청주, 맛술, 설탕을 1:1:1:0.8 비율로 섞어 고기양념을 만든다.
2. 소고기등심을 고기양념에 재워둔다.
3. 끓는 물에 치킨스톡, 멸치액젓을 넣고 끓여 국물을 만든다.
4. 끓이던 국물에 게맛살을 잘게 찢어 넣고, 후추를 뿌린다.
5. 4에 달걀물과 전분물을 넣는다.
6. 팬에 올리브오일과 식용유를 뿌린 뒤, 채 썬 양파를 볶다가 소금, 후추로 간 한다.
7. 팬 한 편에서 양념에 재워둔 소고기를 굽는"&amp;"다.
8. 7에 고기양념을 적당량 붓고, 졸인다.
9. 볶은 양파를 건져낸다.
10. 즉석밥을 전자레인지에 돌린다.
11. 사과는 껍질을 깎고 잘게 썬다.
12. 밥에 잘게 썬 사과를 넣고 섞는다.
13. 사과밥에 레몬즙을 넣는다.
14. 구운 소고기스테이크를 석쇠 위에 올리고, 토치로 직화한다.
15. 그릇에 사과밥과 볶은 양파를 담고, 크림치즈를 올린다.
16. 적당한 크기로 썬 소고기스테이크를 얹고,"&amp;" 레몬껍질을 갈아 올린다.
17. 다른 그릇에 게살수프를 담아 함께 낸다.")</f>
        <v>1. 간장, 청주, 맛술, 설탕을 1:1:1:0.8 비율로 섞어 고기양념을 만든다.
2. 소고기등심을 고기양념에 재워둔다.
3. 끓는 물에 치킨스톡, 멸치액젓을 넣고 끓여 국물을 만든다.
4. 끓이던 국물에 게맛살을 잘게 찢어 넣고, 후추를 뿌린다.
5. 4에 달걀물과 전분물을 넣는다.
6. 팬에 올리브오일과 식용유를 뿌린 뒤, 채 썬 양파를 볶다가 소금, 후추로 간 한다.
7. 팬 한 편에서 양념에 재워둔 소고기를 굽는다.
8. 7에 고기양념을 적당량 붓고, 졸인다.
9. 볶은 양파를 건져낸다.
10. 즉석밥을 전자레인지에 돌린다.
11. 사과는 껍질을 깎고 잘게 썬다.
12. 밥에 잘게 썬 사과를 넣고 섞는다.
13. 사과밥에 레몬즙을 넣는다.
14. 구운 소고기스테이크를 석쇠 위에 올리고, 토치로 직화한다.
15. 그릇에 사과밥과 볶은 양파를 담고, 크림치즈를 올린다.
16. 적당한 크기로 썬 소고기스테이크를 얹고, 레몬껍질을 갈아 올린다.
17. 다른 그릇에 게살수프를 담아 함께 낸다.</v>
      </c>
    </row>
    <row r="475">
      <c r="A475" s="2" t="str">
        <f>recipe!C475
</f>
        <v>숲 속의 완자님</v>
      </c>
      <c r="B475" s="2" t="str">
        <f>IFERROR(__xludf.DUMMYFUNCTION("TRIM(
  REGEXEXTRACT(
    raw!A475,
    ""●\s*조리\s*방법([\s\S]*)""
  )
)
"),"1. 양파, 대파, 당근을 적당한 크기로 썬다.
2. 기름을 두른 냄비에 적당한 크기로 썬 채소와 버터를 넣고 볶는다.
3. 볶던 채소에 뜨거운 물을 붓고 끓이다가, 적당한 크기로 썬 통조림 햄을 넣는다.
4. 파스타면을 적당한 크기로 잘라 넣고 끓인다.
5. 끓이던 재료에 치킨스톡, 파슬리가루, 후추를 넣고 끓여 햄누들수프를 만든다.
6. 인스턴트 만두의 소만 발라낸다.
7. 핸드블렌더로 만두소와 두부를 곱게 간다.
"&amp;"
8. 5를 적당한 크기로 뭉쳐 완자를 빚고, 전분을 묻힌다.
9. 완자를 기름에 튀긴 뒤, 체에 밭쳐 기름기를 뺀다.
10. 기름기를 뺀 튀김완자를 다시 한 번 튀긴 뒤, 건져서 기름기를 뺀다.
11. 땅콩버터, 매실청, 스위트칠리소스, 레몬즙을 섞어 땅콩칠리소스를 만든다.
12. 튀김완자에 땅콩칠리소스를 묻힌다.
13. 끓이던 햄누들수프에 레몬즙을 뿌리고, 그릇에 담는다.
14. 햄누들수프 위에 튀김완자를 올려 마무"&amp;"리한다.")</f>
        <v>1. 양파, 대파, 당근을 적당한 크기로 썬다.
2. 기름을 두른 냄비에 적당한 크기로 썬 채소와 버터를 넣고 볶는다.
3. 볶던 채소에 뜨거운 물을 붓고 끓이다가, 적당한 크기로 썬 통조림 햄을 넣는다.
4. 파스타면을 적당한 크기로 잘라 넣고 끓인다.
5. 끓이던 재료에 치킨스톡, 파슬리가루, 후추를 넣고 끓여 햄누들수프를 만든다.
6. 인스턴트 만두의 소만 발라낸다.
7. 핸드블렌더로 만두소와 두부를 곱게 간다.
8. 5를 적당한 크기로 뭉쳐 완자를 빚고, 전분을 묻힌다.
9. 완자를 기름에 튀긴 뒤, 체에 밭쳐 기름기를 뺀다.
10. 기름기를 뺀 튀김완자를 다시 한 번 튀긴 뒤, 건져서 기름기를 뺀다.
11. 땅콩버터, 매실청, 스위트칠리소스, 레몬즙을 섞어 땅콩칠리소스를 만든다.
12. 튀김완자에 땅콩칠리소스를 묻힌다.
13. 끓이던 햄누들수프에 레몬즙을 뿌리고, 그릇에 담는다.
14. 햄누들수프 위에 튀김완자를 올려 마무리한다.</v>
      </c>
    </row>
    <row r="476">
      <c r="A476" s="2" t="str">
        <f>recipe!C476
</f>
        <v>미식이 오믈렛</v>
      </c>
      <c r="B476" s="2" t="str">
        <f>IFERROR(__xludf.DUMMYFUNCTION("TRIM(
  REGEXEXTRACT(
    raw!A476,
    ""●\s*조리\s*방법([\s\S]*)""
  )
)
"),"1. 기름을 두른 팬에 적당한 크기로 썬 삼겹살을 볶는다.
2. 핸드블렌더에 달걀, 소금, 두부를 넣고 곱게 간다.
3. 기름을 두른 팬에 2를 붓고, 뚜껑을 닫아 익혀 달걀지단을 만든다.
4. 양파를 가늘게 채 썬다.
5. 볶던 삼겹살에 양파채, 후추, 스테이크시즈닝을 넣고 함께 볶는다.
6. 5에 레드와인, 고추장을 넣고 볶는다.
7. 볼에 으깬 마늘과 간장을 넣고, 적당한 크기로 썬 두부를 담가 재워둔다.
8."&amp;" 믹서기로 견과류를 곱게 간다.
9. 견과류가루와 파르메산치즈가루를 섞어둔다.
10. 볶던 삼겹살에 파슬리가루를 넣는다.
11. 10에 적당한 크기로 썬 사과와 치즈견과가루를 넣는다.
12. 간장에 재워둔 두부에 밀가루&gt;달걀물&gt;치즈견과가루를 차례로 묻혀 기름에 튀긴다.
13. 달걀지단을 깐 그릇에 양념해 볶은 삼겹살을 담고, 접시에 뒤집어 올려 오믈렛 모양을 낸다.
14. 오믈렛이 담긴 접시에 두부튀김을 올린다.
1"&amp;"5. 알타리무김치를 곁들이고, 치즈견과가루를 뿌려 마무리한다.")</f>
        <v>1. 기름을 두른 팬에 적당한 크기로 썬 삼겹살을 볶는다.
2. 핸드블렌더에 달걀, 소금, 두부를 넣고 곱게 간다.
3. 기름을 두른 팬에 2를 붓고, 뚜껑을 닫아 익혀 달걀지단을 만든다.
4. 양파를 가늘게 채 썬다.
5. 볶던 삼겹살에 양파채, 후추, 스테이크시즈닝을 넣고 함께 볶는다.
6. 5에 레드와인, 고추장을 넣고 볶는다.
7. 볼에 으깬 마늘과 간장을 넣고, 적당한 크기로 썬 두부를 담가 재워둔다.
8. 믹서기로 견과류를 곱게 간다.
9. 견과류가루와 파르메산치즈가루를 섞어둔다.
10. 볶던 삼겹살에 파슬리가루를 넣는다.
11. 10에 적당한 크기로 썬 사과와 치즈견과가루를 넣는다.
12. 간장에 재워둔 두부에 밀가루&gt;달걀물&gt;치즈견과가루를 차례로 묻혀 기름에 튀긴다.
13. 달걀지단을 깐 그릇에 양념해 볶은 삼겹살을 담고, 접시에 뒤집어 올려 오믈렛 모양을 낸다.
14. 오믈렛이 담긴 접시에 두부튀김을 올린다.
15. 알타리무김치를 곁들이고, 치즈견과가루를 뿌려 마무리한다.</v>
      </c>
    </row>
    <row r="477">
      <c r="A477" s="2" t="str">
        <f>recipe!C477
</f>
        <v>꿀먹었삼</v>
      </c>
      <c r="B477" s="2" t="str">
        <f>IFERROR(__xludf.DUMMYFUNCTION("TRIM(
  REGEXEXTRACT(
    raw!A477,
    ""●\s*조리\s*방법([\s\S]*)""
  )
)
"),"1. 끓는 기름에 고구마를 통째로 튀긴다.
2. 소금을 넣은 끓는 물에 양배추를 삶는다.
3. 즉석밥을 전자레인지에 돌린다.
4. 삼겹살에 촘촘하게 칼집을 낸다.
5. 마른 팬에 칼집 낸 삼겹살을 굽는다.
6. 핸드블렌더에 꿀생강청, 굴소스, 인스턴트커피, 사과를 넣고 갈아 꿀사과소스를 만든다.
7. 구운 삼겹살을 꺼내서 한 쪽 면에 꿀사과소스를 바른다.
8. 꿀사과소스를 바른 삼겹살을 다시 한 번 굽는다.
9"&amp;". 튀긴 고구마를 석쇠 위에 올리고, 토치로 직화한다.
10. 군고구마의 껍질을 벗겨 한 김 식힌다.
11. 알타리무장아찌를 강판에 간다.
12. 김발 위에 삶은 양배추&gt; 밥&gt;슬라이스한 군고구마&gt;곱게 간 알타리무장아찌를 올리고 돌돌 만다.
13. 돌돌 만 김발을 고정한 뒤, 찜기에 찐다.
14. 꿀사과소스와 곱게 간 알타리무장아찌, 굴소스, 설탕, 식초를 섞어 알타리무소스를 만든다.
15. 찜기에 찐 양배추롤을 적당한 크"&amp;"기로 썰어 접시에 담는다.
16. 양배추롤 위에 꿀사과삼겹살을 올린다.
17. 알타리무소스를 뿌려 마무리한다.")</f>
        <v>1. 끓는 기름에 고구마를 통째로 튀긴다.
2. 소금을 넣은 끓는 물에 양배추를 삶는다.
3. 즉석밥을 전자레인지에 돌린다.
4. 삼겹살에 촘촘하게 칼집을 낸다.
5. 마른 팬에 칼집 낸 삼겹살을 굽는다.
6. 핸드블렌더에 꿀생강청, 굴소스, 인스턴트커피, 사과를 넣고 갈아 꿀사과소스를 만든다.
7. 구운 삼겹살을 꺼내서 한 쪽 면에 꿀사과소스를 바른다.
8. 꿀사과소스를 바른 삼겹살을 다시 한 번 굽는다.
9. 튀긴 고구마를 석쇠 위에 올리고, 토치로 직화한다.
10. 군고구마의 껍질을 벗겨 한 김 식힌다.
11. 알타리무장아찌를 강판에 간다.
12. 김발 위에 삶은 양배추&gt; 밥&gt;슬라이스한 군고구마&gt;곱게 간 알타리무장아찌를 올리고 돌돌 만다.
13. 돌돌 만 김발을 고정한 뒤, 찜기에 찐다.
14. 꿀사과소스와 곱게 간 알타리무장아찌, 굴소스, 설탕, 식초를 섞어 알타리무소스를 만든다.
15. 찜기에 찐 양배추롤을 적당한 크기로 썰어 접시에 담는다.
16. 양배추롤 위에 꿀사과삼겹살을 올린다.
17. 알타리무소스를 뿌려 마무리한다.</v>
      </c>
    </row>
    <row r="478">
      <c r="A478" s="2" t="str">
        <f>recipe!C478
</f>
        <v>에라 모르겠닭♬</v>
      </c>
      <c r="B478" s="2" t="str">
        <f>IFERROR(__xludf.DUMMYFUNCTION("TRIM(
  REGEXEXTRACT(
    raw!A478,
    ""●\s*조리\s*방법([\s\S]*)""
  )
)
"),"1. 팬에 기름을 넉넉히 두르고, 다진 마늘을 볶는다.
2. 다진 마늘을 볶던 팬에 대파, 양파를 잘라 넣는다.
3. 볶던 채소에 된장과 고체카레, 고춧가루, 돈가스소스를 넣고 볶는다.
4. 3에 굴소스를 넣고 볶는다.
5. 훈제 닭가슴살을 두드려 결대로 찢는다.
6. 볶던 재료에 결대로 찢은 훈제 닭가슴살을 넣고 볶다가, 달걀을 넣어 섞는다.
7. 볶던 재료에 끓는 물을 붓는다.
8. 접시에 밥을 담고, 닭카레를 "&amp;"올려 마무리한다.")</f>
        <v>1. 팬에 기름을 넉넉히 두르고, 다진 마늘을 볶는다.
2. 다진 마늘을 볶던 팬에 대파, 양파를 잘라 넣는다.
3. 볶던 채소에 된장과 고체카레, 고춧가루, 돈가스소스를 넣고 볶는다.
4. 3에 굴소스를 넣고 볶는다.
5. 훈제 닭가슴살을 두드려 결대로 찢는다.
6. 볶던 재료에 결대로 찢은 훈제 닭가슴살을 넣고 볶다가, 달걀을 넣어 섞는다.
7. 볶던 재료에 끓는 물을 붓는다.
8. 접시에 밥을 담고, 닭카레를 올려 마무리한다.</v>
      </c>
    </row>
    <row r="479">
      <c r="A479" s="2" t="str">
        <f>recipe!C479
</f>
        <v>쉬워서 오야코</v>
      </c>
      <c r="B479" s="2" t="str">
        <f>IFERROR(__xludf.DUMMYFUNCTION("TRIM(
  REGEXEXTRACT(
    raw!A479,
    ""●\s*조리\s*방법([\s\S]*)""
  )
)
"),"1. 김밥햄과 대파를 적당한 크기로 자른다
2. 양파를 적당한 크기로 자른다.
3. 팬에 올리브오일을 넉넉히 두르고, 건고추와 손질한 대파, 양파, 통마늘을 넣고 끓여 고추기름을 낸다.
4. 고추기름과 건고추를 덜어내고, 남은 채소에 손질한 김밥햄과 소금, 후추를 넣고 볶는다.
5. 볶던 재료에 간장, 맛술, 물, 설탕, 굴소스를 넣고 끓인다.
6. 그릇에 달걀노른자와 밥을 넣고 잘 섞어준 뒤, 참기름, 깨, 고추기름을 넣는다"&amp;".
7. 끓이던 재료에 간장, 달걀을 넣고 섞는다.
8. 7을 달걀밥 위에 올린 뒤, 고추기름과 깨를 뿌린다.
9. 대파를 잘게 썰어 올려 마무리한다.")</f>
        <v>1. 김밥햄과 대파를 적당한 크기로 자른다
2. 양파를 적당한 크기로 자른다.
3. 팬에 올리브오일을 넉넉히 두르고, 건고추와 손질한 대파, 양파, 통마늘을 넣고 끓여 고추기름을 낸다.
4. 고추기름과 건고추를 덜어내고, 남은 채소에 손질한 김밥햄과 소금, 후추를 넣고 볶는다.
5. 볶던 재료에 간장, 맛술, 물, 설탕, 굴소스를 넣고 끓인다.
6. 그릇에 달걀노른자와 밥을 넣고 잘 섞어준 뒤, 참기름, 깨, 고추기름을 넣는다.
7. 끓이던 재료에 간장, 달걀을 넣고 섞는다.
8. 7을 달걀밥 위에 올린 뒤, 고추기름과 깨를 뿌린다.
9. 대파를 잘게 썰어 올려 마무리한다.</v>
      </c>
    </row>
    <row r="480">
      <c r="A480" s="2" t="str">
        <f>recipe!C480
</f>
        <v>브레드 피그</v>
      </c>
      <c r="B480" s="2" t="str">
        <f>IFERROR(__xludf.DUMMYFUNCTION("TRIM(
  REGEXEXTRACT(
    raw!A480,
    ""●\s*조리\s*방법([\s\S]*)""
  )
)
"),"1. 팬에 버터를 녹인다.
2. 두 개의 볼에 밀가루와 소금을 넣고, 하나는 뜨거운 물을 부어 익반죽 한다.
3. 또 다른 하나에는 뜨거운 물과 녹인 버터를 넣어 익반죽한다.
4. 물반죽과 기름반죽을 숙성시킨다.
5. 물반죽과 기름반죽을 겹쳐 여러 번 접고, 밀대로 미는 과정을 반복한다.
6. 마른 팬에 적당한 크기로 자른 반죽을 올리고 뚜껑을 닫아 굽는다.
7. 삼겹살을 편으로 썬다.
8. 편으로 썬 삼겹살에 전분"&amp;", 달걀물을 묻힌다.
9. 넉넉한 기름을 두른 팬에 손질한 삼겹살을 넣고 튀기듯 볶는다.
10. 양파, 대파, 청양고추를 적당한 크기로 썬다.
11. 볶은 삼겹살을 건져 기름기를 뺀다.
12. 삼겹살을 볶던 팬에 다진 마늘, 양파, 대파, 청양고추를 볶다가 간장, 후추를 넣는다.
13. 채소를 볶던 팬에 볶은 삼겹살을 더해 함께 볶는다.
14. 구운 빵을 반으로 갈라 접시에 담는다.
15. 다른 접시에 회과육을 담아"&amp;"낸다.")</f>
        <v>1. 팬에 버터를 녹인다.
2. 두 개의 볼에 밀가루와 소금을 넣고, 하나는 뜨거운 물을 부어 익반죽 한다.
3. 또 다른 하나에는 뜨거운 물과 녹인 버터를 넣어 익반죽한다.
4. 물반죽과 기름반죽을 숙성시킨다.
5. 물반죽과 기름반죽을 겹쳐 여러 번 접고, 밀대로 미는 과정을 반복한다.
6. 마른 팬에 적당한 크기로 자른 반죽을 올리고 뚜껑을 닫아 굽는다.
7. 삼겹살을 편으로 썬다.
8. 편으로 썬 삼겹살에 전분, 달걀물을 묻힌다.
9. 넉넉한 기름을 두른 팬에 손질한 삼겹살을 넣고 튀기듯 볶는다.
10. 양파, 대파, 청양고추를 적당한 크기로 썬다.
11. 볶은 삼겹살을 건져 기름기를 뺀다.
12. 삼겹살을 볶던 팬에 다진 마늘, 양파, 대파, 청양고추를 볶다가 간장, 후추를 넣는다.
13. 채소를 볶던 팬에 볶은 삼겹살을 더해 함께 볶는다.
14. 구운 빵을 반으로 갈라 접시에 담는다.
15. 다른 접시에 회과육을 담아낸다.</v>
      </c>
    </row>
    <row r="481">
      <c r="A481" s="2" t="str">
        <f>recipe!C481
</f>
        <v>햄카츄~ 야키소바츄~♬</v>
      </c>
      <c r="B481" s="2" t="str">
        <f>IFERROR(__xludf.DUMMYFUNCTION("TRIM(
  REGEXEXTRACT(
    raw!A481,
    ""●\s*조리\s*방법([\s\S]*)""
  )
)
"),"1. 믹서기에 시리얼을 곱게 간다.
2. 라면 면을 삶는다.
3. 양파, 당근, 김밥햄, 청양고추를 적당한 크기로 썬다.
4. 기름을 두른 팬에 손질한 채소와 김밥햄을 볶다가, 게맛살을 넣고 함께 볶는다.
5. 삶은 면을 찬물에 헹군 뒤, 재료를 볶던 팬에 넣고 함께 볶아 야키소바를 만든다.
6. 야키소바에 전분, 돈가스소스, 굴소스를 넣어 양념한다.
7. 비닐백에 마요네즈, 돈가스소스, 케첩을 넣고 모서리에 구멍을 낸다"&amp;".
8. 밀가루와 달걀물을 섞어 튀김옷을 만든다.
9. 적당한 크기로 썬 김밥햄에 전분을 묻힌 뒤, 튀김옷을 입힌다.
10. 튀김옷을 입힌 김밥햄에 시리얼가루를 묻힌다.
11. 10을 기름에 튀겨 햄카츠를 만든 뒤, 기름기를 뺀다.
12. 접시에 야키소바를 담는다.
13. 팬에 버터를 녹인 뒤, 달걀물을 부어 오믈렛을 만든다.
14. 야키소바 위에 오믈렛을 올린다.
15. 오믈렛 위에 돈가스소스&gt;마요네즈&gt;케첩을"&amp;" 순서대로 뿌린다.
16. 햄카츠를 곁들인 뒤, 케첩을 올려 마무리한다.")</f>
        <v>1. 믹서기에 시리얼을 곱게 간다.
2. 라면 면을 삶는다.
3. 양파, 당근, 김밥햄, 청양고추를 적당한 크기로 썬다.
4. 기름을 두른 팬에 손질한 채소와 김밥햄을 볶다가, 게맛살을 넣고 함께 볶는다.
5. 삶은 면을 찬물에 헹군 뒤, 재료를 볶던 팬에 넣고 함께 볶아 야키소바를 만든다.
6. 야키소바에 전분, 돈가스소스, 굴소스를 넣어 양념한다.
7. 비닐백에 마요네즈, 돈가스소스, 케첩을 넣고 모서리에 구멍을 낸다.
8. 밀가루와 달걀물을 섞어 튀김옷을 만든다.
9. 적당한 크기로 썬 김밥햄에 전분을 묻힌 뒤, 튀김옷을 입힌다.
10. 튀김옷을 입힌 김밥햄에 시리얼가루를 묻힌다.
11. 10을 기름에 튀겨 햄카츠를 만든 뒤, 기름기를 뺀다.
12. 접시에 야키소바를 담는다.
13. 팬에 버터를 녹인 뒤, 달걀물을 부어 오믈렛을 만든다.
14. 야키소바 위에 오믈렛을 올린다.
15. 오믈렛 위에 돈가스소스&gt;마요네즈&gt;케첩을 순서대로 뿌린다.
16. 햄카츠를 곁들인 뒤, 케첩을 올려 마무리한다.</v>
      </c>
    </row>
    <row r="482">
      <c r="A482" s="2" t="str">
        <f>recipe!C482
</f>
        <v>비상식난</v>
      </c>
      <c r="B482" s="2" t="str">
        <f>IFERROR(__xludf.DUMMYFUNCTION("TRIM(
  REGEXEXTRACT(
    raw!A482,
    ""●\s*조리\s*방법([\s\S]*)""
  )
)
"),"1. 끓는 물에 소금, 밀가루를 붓고 잘 섞어가며 익반죽 한다.
2. 다른 팬에 통조림 참치, 통조림 햄을 넣고 으깬다.
3. 2에 통조림 옥수수를 넣고 볶는다.
4. 볶던 재료에 설탕을 넣고, 물을 붓고 끓여 소스를 만든다.
5. 마른 팬에 밀가루를 두르고, 적당한 크기로 떼어낸 반죽을 납작하게 굽는다.
6. 끓이던 소스에 밀가루물을 넣어 농도를 맞춘다.
7. 소스를 그릇에 담는다.
8. 접시에 난을 담아 마무리한"&amp;"다.")</f>
        <v>1. 끓는 물에 소금, 밀가루를 붓고 잘 섞어가며 익반죽 한다.
2. 다른 팬에 통조림 참치, 통조림 햄을 넣고 으깬다.
3. 2에 통조림 옥수수를 넣고 볶는다.
4. 볶던 재료에 설탕을 넣고, 물을 붓고 끓여 소스를 만든다.
5. 마른 팬에 밀가루를 두르고, 적당한 크기로 떼어낸 반죽을 납작하게 굽는다.
6. 끓이던 소스에 밀가루물을 넣어 농도를 맞춘다.
7. 소스를 그릇에 담는다.
8. 접시에 난을 담아 마무리한다.</v>
      </c>
    </row>
    <row r="483">
      <c r="A483" s="2" t="str">
        <f>recipe!C483
</f>
        <v>죽지 않아~!</v>
      </c>
      <c r="B483" s="2" t="str">
        <f>IFERROR(__xludf.DUMMYFUNCTION("TRIM(
  REGEXEXTRACT(
    raw!A483,
    ""●\s*조리\s*방법([\s\S]*)""
  )
)
"),"1. 쌀을 곱게 으깬다.
2. 끓는 물에 김, 으깬 쌀을 넣고 죽을 끓인다.
3. 끓이던 죽에 통조림 옥수수를 넣는다.
4. 마른 팬에 통조림 번데기를 볶은 뒤, 으깬다.
5. 으깬 번데기를 죽에 넣고 끓인다.
6. 통조림 햄을 적당한 크기로 썬다.
7. 마른 팬에 손질한 햄을 굽다가, 위스키를 넣어 플람베한다.
8. 익힌 햄에 골뱅이 통조림의 국물만 넣어 조린다.
9. 끓이던 죽에 참기름을 넣는다.
10"&amp;". 햄장조림을 그릇에 담아낸다.
11. 죽을 함께 낸다.")</f>
        <v>1. 쌀을 곱게 으깬다.
2. 끓는 물에 김, 으깬 쌀을 넣고 죽을 끓인다.
3. 끓이던 죽에 통조림 옥수수를 넣는다.
4. 마른 팬에 통조림 번데기를 볶은 뒤, 으깬다.
5. 으깬 번데기를 죽에 넣고 끓인다.
6. 통조림 햄을 적당한 크기로 썬다.
7. 마른 팬에 손질한 햄을 굽다가, 위스키를 넣어 플람베한다.
8. 익힌 햄에 골뱅이 통조림의 국물만 넣어 조린다.
9. 끓이던 죽에 참기름을 넣는다.
10. 햄장조림을 그릇에 담아낸다.
11. 죽을 함께 낸다.</v>
      </c>
    </row>
    <row r="484">
      <c r="A484" s="2" t="str">
        <f>recipe!C484
</f>
        <v>굿럭탕</v>
      </c>
      <c r="B484" s="2" t="str">
        <f>IFERROR(__xludf.DUMMYFUNCTION("TRIM(
  REGEXEXTRACT(
    raw!A484,
    ""●\s*조리\s*방법([\s\S]*)""
  )
)
"),"1. 끓는 물에 대추, 장뇌삼, 수삼을 우려낸다.
2. 다른 냄비에 전복을 삶는다.
3. 우럭을 손질한 뒤, 살만 적당한 크기로 썬다.
4. 핸드블렌더에 우럭살, 달걀흰자, 전분, 올리브오일, 청주, 소금을 넣고 곱게 간다.
5. 양파, 당근을 잘게 썬다.
6. 잘게 썬 채소에 곱게 간 우럭살을 섞은 뒤, 완자를 빚어 끓는 물에 익힌다.
7. 삶은 전복, 불린 표고버섯과 대파를 잘게 썬 뒤, 달걀과 소금을 넣고 섞어 달걀"&amp;"전병 반죽을 만든다.
8. 팬에 참기름을 두른 뒤, 달걀전병 반죽을 넣고 익혀 전복달걀전병을 만든다.
9. 익히던 완자에 약재를 우려낸 물을 넣고 끓인다.
10. 참기름을 두른 팬에 데친 시래기를 볶다가 국간장으로 간한다.
11. 그릇에 볶은 시래기를 담는다.
12. 전복달걀전병을 적당한 크기로 썬 뒤 그릇에 함께 담는다.
13. 익힌 완자를 건져 그릇에 함께 담는다.
14. 완자를 건져낸 약재 우린 물에 소금으로 "&amp;"간 하고, 그릇에 부어 마무리한다.")</f>
        <v>1. 끓는 물에 대추, 장뇌삼, 수삼을 우려낸다.
2. 다른 냄비에 전복을 삶는다.
3. 우럭을 손질한 뒤, 살만 적당한 크기로 썬다.
4. 핸드블렌더에 우럭살, 달걀흰자, 전분, 올리브오일, 청주, 소금을 넣고 곱게 간다.
5. 양파, 당근을 잘게 썬다.
6. 잘게 썬 채소에 곱게 간 우럭살을 섞은 뒤, 완자를 빚어 끓는 물에 익힌다.
7. 삶은 전복, 불린 표고버섯과 대파를 잘게 썬 뒤, 달걀과 소금을 넣고 섞어 달걀전병 반죽을 만든다.
8. 팬에 참기름을 두른 뒤, 달걀전병 반죽을 넣고 익혀 전복달걀전병을 만든다.
9. 익히던 완자에 약재를 우려낸 물을 넣고 끓인다.
10. 참기름을 두른 팬에 데친 시래기를 볶다가 국간장으로 간한다.
11. 그릇에 볶은 시래기를 담는다.
12. 전복달걀전병을 적당한 크기로 썬 뒤 그릇에 함께 담는다.
13. 익힌 완자를 건져 그릇에 함께 담는다.
14. 완자를 건져낸 약재 우린 물에 소금으로 간 하고, 그릇에 부어 마무리한다.</v>
      </c>
    </row>
    <row r="485">
      <c r="A485" s="2" t="str">
        <f>recipe!C485
</f>
        <v>솥태미나</v>
      </c>
      <c r="B485" s="2" t="str">
        <f>IFERROR(__xludf.DUMMYFUNCTION("TRIM(
  REGEXEXTRACT(
    raw!A485,
    ""●\s*조리\s*방법([\s\S]*)""
  )
)
"),"1. 끓는 물에 겨우살이와 상황버섯을 넣고 끓여 밥물을 만든다.
2. 우려낸 밥물을 돌솥에 넣고 불린 쌀, 데친 시래기, 불린 연꽃씨앗을 넣은 뒤 뚜껑을 닫고 끓인다.
3. 냄비에 들기름을 두르고 잘게 다진 마늘과 미역을 넣고 볶는다.
4. 볶던 미역에 물을 붓고 끓인다.
5. 끓는 물에 우엉과 헛개를 우리다가 불린 표고버섯, 설탕,
솔잎올리고당, 국간장을 넣고 끓여 표고버섯 장아찌를 만든다.
6. 전복은 손질 해 살만 적당"&amp;"한 크기로 썬다.
7. 삶은 문어를 적당한 크기로 썬다.
8. 돌솥밥에 문어&gt;전복살&gt;대추, 장뇌삼을 넣고 다시 뚜껑을 닫아 끓인다.
9. 대파, 마늘을 잘게 다진다.
10. 잘게 다진 대파와 마늘에 생강청, 고추장, 식초, 고춧가루, 깨를 넣고 불린 수삼을 넣어 무친다.
11. 표고버섯 장아찌 국물에 설탕, 참기름, 깨를 넣고 소스를 만들어 종지에 담아낸다.
12. 미역국에 참기름과 국간장을 넣는다.
13. 미역국,"&amp;" 표고버섯장아찌, 수삼무침을 각각 따로 담아낸다.
14. 돌솥밥을 따로 낸다.")</f>
        <v>1. 끓는 물에 겨우살이와 상황버섯을 넣고 끓여 밥물을 만든다.
2. 우려낸 밥물을 돌솥에 넣고 불린 쌀, 데친 시래기, 불린 연꽃씨앗을 넣은 뒤 뚜껑을 닫고 끓인다.
3. 냄비에 들기름을 두르고 잘게 다진 마늘과 미역을 넣고 볶는다.
4. 볶던 미역에 물을 붓고 끓인다.
5. 끓는 물에 우엉과 헛개를 우리다가 불린 표고버섯, 설탕,
솔잎올리고당, 국간장을 넣고 끓여 표고버섯 장아찌를 만든다.
6. 전복은 손질 해 살만 적당한 크기로 썬다.
7. 삶은 문어를 적당한 크기로 썬다.
8. 돌솥밥에 문어&gt;전복살&gt;대추, 장뇌삼을 넣고 다시 뚜껑을 닫아 끓인다.
9. 대파, 마늘을 잘게 다진다.
10. 잘게 다진 대파와 마늘에 생강청, 고추장, 식초, 고춧가루, 깨를 넣고 불린 수삼을 넣어 무친다.
11. 표고버섯 장아찌 국물에 설탕, 참기름, 깨를 넣고 소스를 만들어 종지에 담아낸다.
12. 미역국에 참기름과 국간장을 넣는다.
13. 미역국, 표고버섯장아찌, 수삼무침을 각각 따로 담아낸다.
14. 돌솥밥을 따로 낸다.</v>
      </c>
    </row>
    <row r="486">
      <c r="A486" s="2" t="str">
        <f>recipe!C486
</f>
        <v>사랑의 초밥</v>
      </c>
      <c r="B486" s="2" t="str">
        <f>IFERROR(__xludf.DUMMYFUNCTION("TRIM(
  REGEXEXTRACT(
    raw!A486,
    ""●\s*조리\s*방법([\s\S]*)""
  )
)
"),"1. 전복을 데친다.
2. 식초, 소금, 설탕을 섞어 단촛물을 만든 뒤, 밥과 섞어 양념밥을 만든다.
3. 달걀, 설탕, 전분을 섞어 달걀물을 만든 뒤, 체에 밭쳐 곱게 거른다.
4. 기름을 두른 팬에 체에 거른 달걀물을 붓고 지단을 부친다.
5. 달걀지단을 잘게 다진다.
6. 김을 굽는다.
7. 데친 전복을 건져 껍데기와 살을 분리하고, 찬물에 헹궈 식힌다.
8. 전복을 포 뜬 뒤, 격자로 칼집을 넣는다.
9"&amp;". 훈제연어를 적당한 크기로 썰어 칼집을 넣는다.
10. 냄비에 간장, 청주, 맛술, 설탕을 넣고 끓여 간장소스를 만든다.
11. 잘게 썬 배추김치를 물에 헹군 뒤, 깨, 참기름, 구운 김을 찢어 넣고 섞는다.
12. 랩 위에 달걀지단, 훈제연어, 데친 전복, 양념김치를 각각 올린다.
13. 각 재료 위에 양념밥을 올린 뒤, 랩으로 감싸 동그랗게 모양을 잡는다.
14. 초밥을 감싼 랩을 벗기고 접시 위에 올린다.
15. "&amp;"전복초밥위에 간장소스를 바른다.
16. 훈제연어초밥을 토치로 직화한 뒤, 마요네즈를 올린다.
17. 달걀초밥 위에 케첩을 올린다.
18. 훈제연어초밥 위에 잘게 썬 청양고추를 올린다.")</f>
        <v>1. 전복을 데친다.
2. 식초, 소금, 설탕을 섞어 단촛물을 만든 뒤, 밥과 섞어 양념밥을 만든다.
3. 달걀, 설탕, 전분을 섞어 달걀물을 만든 뒤, 체에 밭쳐 곱게 거른다.
4. 기름을 두른 팬에 체에 거른 달걀물을 붓고 지단을 부친다.
5. 달걀지단을 잘게 다진다.
6. 김을 굽는다.
7. 데친 전복을 건져 껍데기와 살을 분리하고, 찬물에 헹궈 식힌다.
8. 전복을 포 뜬 뒤, 격자로 칼집을 넣는다.
9. 훈제연어를 적당한 크기로 썰어 칼집을 넣는다.
10. 냄비에 간장, 청주, 맛술, 설탕을 넣고 끓여 간장소스를 만든다.
11. 잘게 썬 배추김치를 물에 헹군 뒤, 깨, 참기름, 구운 김을 찢어 넣고 섞는다.
12. 랩 위에 달걀지단, 훈제연어, 데친 전복, 양념김치를 각각 올린다.
13. 각 재료 위에 양념밥을 올린 뒤, 랩으로 감싸 동그랗게 모양을 잡는다.
14. 초밥을 감싼 랩을 벗기고 접시 위에 올린다.
15. 전복초밥위에 간장소스를 바른다.
16. 훈제연어초밥을 토치로 직화한 뒤, 마요네즈를 올린다.
17. 달걀초밥 위에 케첩을 올린다.
18. 훈제연어초밥 위에 잘게 썬 청양고추를 올린다.</v>
      </c>
    </row>
    <row r="487">
      <c r="A487" s="2" t="str">
        <f>recipe!C487
</f>
        <v>전복의 후예</v>
      </c>
      <c r="B487" s="2" t="str">
        <f>IFERROR(__xludf.DUMMYFUNCTION("TRIM(
  REGEXEXTRACT(
    raw!A487,
    ""●\s*조리\s*방법([\s\S]*)""
  )
)
"),"1. 치즈빵 속의 앙금을 빼내고, 적당한 크기로 썰어 오븐에 굽는다.
2. 전복의 껍데기와 살을 분리하고, 깨끗이 씻어 격자로 칼집을 낸 뒤 적당한 크기로 썬다.
3. 대파를 가늘게 채 썰어 찬물에 담가둔다.
4. 대파를 적당한 크기로 썬다.
5. 마늘은 편 썰고 양파는 가늘게 채 썬다.
6. 김을 굽는다.
7. 기름을 두른 팬에 손질한 대파와 마늘을 볶다가 간장, 쌈장, 손질한 양파를 넣고 함께 볶는다.
8. 구운"&amp;" 김을 잘게 썬다.
9. 볶던 재료에 전복을 넣고 함께 볶는다.
10. 치즈빵을 마른 팬에 굽는다.
11. 구운 치즈빵 위에 볶은 전복과 채소를 올린다.
12. 토사전복 위에 파채와 자몽청, 구운 김을 올려 마무리한다.")</f>
        <v>1. 치즈빵 속의 앙금을 빼내고, 적당한 크기로 썰어 오븐에 굽는다.
2. 전복의 껍데기와 살을 분리하고, 깨끗이 씻어 격자로 칼집을 낸 뒤 적당한 크기로 썬다.
3. 대파를 가늘게 채 썰어 찬물에 담가둔다.
4. 대파를 적당한 크기로 썬다.
5. 마늘은 편 썰고 양파는 가늘게 채 썬다.
6. 김을 굽는다.
7. 기름을 두른 팬에 손질한 대파와 마늘을 볶다가 간장, 쌈장, 손질한 양파를 넣고 함께 볶는다.
8. 구운 김을 잘게 썬다.
9. 볶던 재료에 전복을 넣고 함께 볶는다.
10. 치즈빵을 마른 팬에 굽는다.
11. 구운 치즈빵 위에 볶은 전복과 채소를 올린다.
12. 토사전복 위에 파채와 자몽청, 구운 김을 올려 마무리한다.</v>
      </c>
    </row>
    <row r="488">
      <c r="A488" s="2" t="str">
        <f>recipe!C488
</f>
        <v>깐초이면</v>
      </c>
      <c r="B488" s="2" t="str">
        <f>IFERROR(__xludf.DUMMYFUNCTION("TRIM(
  REGEXEXTRACT(
    raw!A488,
    ""●\s*조리\s*방법([\s\S]*)""
  )
)
"),"1. 볼에 대파, 고춧가루, 다진 마늘과 끓인 기름을 넣고 전자레인지에 돌려 고추기름을 낸다.
2. 소갈빗살을 적당한 크기로 썬 뒤, 핸드블렌더에 넣고 간다.
3. 간 소갈빗살에 전분, 후추, 소금, 간장을 넣는다.
4. 두부를 면보로 감싸 물기를 짜낸다.
5. 물기 짠 두부를 양념한 소갈빗살과 섞어 완자를 만든다.
6. 갈비두부완자에 달걀흰자와 전분을 차례로 입혀 기름에 튀긴다.
7. 튀긴 갈비두부완자를 건져 기름기를 "&amp;"뺀다.
8. 마늘은 으깨고, 청양고추는 잘게 썬다.
9. 끓는 물에 칼국수면을 삶는다.
10. 고추기름을 체에 밭쳐 거른다.
11. 기름을 두른 팬에 고추기름, 손질한 마늘과 청양고추, 간장, 인스턴트 꼬리곰탕 국물을 넣고 끓인다.
12. 끓이던 재료에 조미료, 고추장을 넣어 깐풍소스를 만든다.
13. 깐풍소스에 완자튀김을 넣는다.
14. 삶은 칼국수면을 찬물에 헹군다.
15. 완자튀김을 넣은 깐풍소스에 삶은 "&amp;"칼국수면과 고추기름을 넣고 볶는다.
16. 그릇에 깐풍완자볶음면을 담는다.
17. 대파 흰 부분을 가늘게 채 썬 뒤, 찬물에 헹궈 깐풍완자볶음면 위에 얹는다.
18. 고추기름을 뿌려 마무리한다.")</f>
        <v>1. 볼에 대파, 고춧가루, 다진 마늘과 끓인 기름을 넣고 전자레인지에 돌려 고추기름을 낸다.
2. 소갈빗살을 적당한 크기로 썬 뒤, 핸드블렌더에 넣고 간다.
3. 간 소갈빗살에 전분, 후추, 소금, 간장을 넣는다.
4. 두부를 면보로 감싸 물기를 짜낸다.
5. 물기 짠 두부를 양념한 소갈빗살과 섞어 완자를 만든다.
6. 갈비두부완자에 달걀흰자와 전분을 차례로 입혀 기름에 튀긴다.
7. 튀긴 갈비두부완자를 건져 기름기를 뺀다.
8. 마늘은 으깨고, 청양고추는 잘게 썬다.
9. 끓는 물에 칼국수면을 삶는다.
10. 고추기름을 체에 밭쳐 거른다.
11. 기름을 두른 팬에 고추기름, 손질한 마늘과 청양고추, 간장, 인스턴트 꼬리곰탕 국물을 넣고 끓인다.
12. 끓이던 재료에 조미료, 고추장을 넣어 깐풍소스를 만든다.
13. 깐풍소스에 완자튀김을 넣는다.
14. 삶은 칼국수면을 찬물에 헹군다.
15. 완자튀김을 넣은 깐풍소스에 삶은 칼국수면과 고추기름을 넣고 볶는다.
16. 그릇에 깐풍완자볶음면을 담는다.
17. 대파 흰 부분을 가늘게 채 썬 뒤, 찬물에 헹궈 깐풍완자볶음면 위에 얹는다.
18. 고추기름을 뿌려 마무리한다.</v>
      </c>
    </row>
    <row r="489">
      <c r="A489" s="2" t="str">
        <f>recipe!C489
</f>
        <v>갈크러쉬</v>
      </c>
      <c r="B489" s="2" t="str">
        <f>IFERROR(__xludf.DUMMYFUNCTION("TRIM(
  REGEXEXTRACT(
    raw!A489,
    ""●\s*조리\s*방법([\s\S]*)""
  )
)
"),"1. 기름을 두른 팬에 된장, 설탕, 다진 마늘을 넣고 볶다가 간장을 넣고 함께 볶는다.
2. 볶던 재료에 물을 넣고 끓여 된장소스를 만든다.
3. 양파와 대파 흰 부분을 적당한 크기로 썬 뒤, 밀가루를 묻혀 기름에 튀긴다.
4. 튀긴 양파와 대파를 건져내 기름기를 뺀다.
5. 밀가루에 물을 넣고 치대어 면반죽을 만든 뒤, 밀대로 밀어 생면을 만든다.
6. 생면을 썰어 끓는 물에 넣고 익힌다.
7. 기름을 두른 팬에 으깬"&amp;" 마늘, 잘게 썬 청양고추와 대파를 볶다가,
잘게 썬 소갈빗살과 밀가루를 묻힌 양파를 넣고 볶는다.
8. 볶던 재료에 된장소스와 잘게 썬 대파, 후추를 넣고 끓여 된장갈비소스를 만든다.
9. 된장갈비소스에 고춧가루, 후추를 넣는다.
10. 된장갈비소스에 삶은 면을 넣고 볶는다.
11. 볶던 면에 조미료를 넣고 함께 볶는다.
12. 된장갈비볶음면을 접시에 담은 뒤, 위에 양파&amp;대파튀김을 얹는다.
13. 잘게 썬 청양고추를"&amp;" 올려 마무리한다.")</f>
        <v>1. 기름을 두른 팬에 된장, 설탕, 다진 마늘을 넣고 볶다가 간장을 넣고 함께 볶는다.
2. 볶던 재료에 물을 넣고 끓여 된장소스를 만든다.
3. 양파와 대파 흰 부분을 적당한 크기로 썬 뒤, 밀가루를 묻혀 기름에 튀긴다.
4. 튀긴 양파와 대파를 건져내 기름기를 뺀다.
5. 밀가루에 물을 넣고 치대어 면반죽을 만든 뒤, 밀대로 밀어 생면을 만든다.
6. 생면을 썰어 끓는 물에 넣고 익힌다.
7. 기름을 두른 팬에 으깬 마늘, 잘게 썬 청양고추와 대파를 볶다가,
잘게 썬 소갈빗살과 밀가루를 묻힌 양파를 넣고 볶는다.
8. 볶던 재료에 된장소스와 잘게 썬 대파, 후추를 넣고 끓여 된장갈비소스를 만든다.
9. 된장갈비소스에 고춧가루, 후추를 넣는다.
10. 된장갈비소스에 삶은 면을 넣고 볶는다.
11. 볶던 면에 조미료를 넣고 함께 볶는다.
12. 된장갈비볶음면을 접시에 담은 뒤, 위에 양파&amp;대파튀김을 얹는다.
13. 잘게 썬 청양고추를 올려 마무리한다.</v>
      </c>
    </row>
    <row r="490">
      <c r="A490" s="2" t="str">
        <f>recipe!C490
</f>
        <v>고기만두 먹으러 왜 안 왔어?</v>
      </c>
      <c r="B490" s="2" t="str">
        <f>IFERROR(__xludf.DUMMYFUNCTION("TRIM(
  REGEXEXTRACT(
    raw!A490,
    ""●\s*조리\s*방법([\s\S]*)""
  )
)
"),"1. 핸드블렌더에 적당한 크기로 썬 부챗살과 삼겹살, 버터를 넣는다.
2. 1에 후추, 생강즙, 청주, 굴소스를 넣고 간다.
3. 양파, 대파를 잘게 썰어 갈아놓은 고기와 섞어 만두소를 만든다.
4. 목살을 고기망치로 두드려 얇고 넓게 편 뒤, 소금과 후추를 뿌린다.
5. 넓게 편 목살에 만두소를 넣고 돌돌 말아 전분을 묻힌 뒤, 기름에 튀긴다.
6. 만두를 튀기는 냄비의 뚜껑을 닫는다.
7. 볼에 고춧가루와 적당한 크기"&amp;"로 썬 대파를 담고, 끓인 기름을 넣어 고추기름을 낸다.
8. 양송이버섯을 적당한 크기로 썰고, 양파, 당근, 애호박은 채 썬다.
9. 마늘은 으깨고 대파는 적당한 크기로 썬다.
10. 팬에 고추기름을 두른 뒤, 손질한 채소들을 한데 넣고 볶다가
간장, 물, 굴소스, XO소스를 넣고 끓여 소스를 만든다.
11. 만두를 튀기던 냄비의 기름을 따라낸 뒤, 물을 넣고 뚜껑을 덮어 속까지 익힌다.
12. 채소볶음소스에 전분물을 넣는"&amp;"다.
13. 그릇에 고기만두를 담고, 채소볶음소스를 올려 마무리한다.")</f>
        <v>1. 핸드블렌더에 적당한 크기로 썬 부챗살과 삼겹살, 버터를 넣는다.
2. 1에 후추, 생강즙, 청주, 굴소스를 넣고 간다.
3. 양파, 대파를 잘게 썰어 갈아놓은 고기와 섞어 만두소를 만든다.
4. 목살을 고기망치로 두드려 얇고 넓게 편 뒤, 소금과 후추를 뿌린다.
5. 넓게 편 목살에 만두소를 넣고 돌돌 말아 전분을 묻힌 뒤, 기름에 튀긴다.
6. 만두를 튀기는 냄비의 뚜껑을 닫는다.
7. 볼에 고춧가루와 적당한 크기로 썬 대파를 담고, 끓인 기름을 넣어 고추기름을 낸다.
8. 양송이버섯을 적당한 크기로 썰고, 양파, 당근, 애호박은 채 썬다.
9. 마늘은 으깨고 대파는 적당한 크기로 썬다.
10. 팬에 고추기름을 두른 뒤, 손질한 채소들을 한데 넣고 볶다가
간장, 물, 굴소스, XO소스를 넣고 끓여 소스를 만든다.
11. 만두를 튀기던 냄비의 기름을 따라낸 뒤, 물을 넣고 뚜껑을 덮어 속까지 익힌다.
12. 채소볶음소스에 전분물을 넣는다.
13. 그릇에 고기만두를 담고, 채소볶음소스를 올려 마무리한다.</v>
      </c>
    </row>
    <row r="491">
      <c r="A491" s="2" t="str">
        <f>recipe!C491
</f>
        <v>안심펀치 쓰리강냉이</v>
      </c>
      <c r="B491" s="2" t="str">
        <f>IFERROR(__xludf.DUMMYFUNCTION("TRIM(
  REGEXEXTRACT(
    raw!A491,
    ""●\s*조리\s*방법([\s\S]*)""
  )
)
"),"1. 소고기 안심에 소금, 후추를 뿌린 뒤, 베이컨으로 감싸 조리용 실로 묶는다.
2. 중탕하는 기름에 트러플오일을 넣고, 베이컨으로 감싼 안심을 데친다.
3. 기름을 두른 팬에 으깬 마늘, 기름에 데친 안심베이컨말이, 버터를 넣고 굽는다.
4. 냄비에 청주, 채 썬 양파, 으깬 마늘, 휘핑크림, 푸아그라를 넣고 끓여 크림 소스를 만든다.
5. 크림소스에 버터와 소금을 넣는다.
6. 끓이던 크림소스에 후추, 파르메산 치즈를 넣"&amp;"고, 핸드블렌더로 곱게 간 뒤, 끓인다.
7. 굽던 안심베이컨말이를 꺼내 조리용 실을 벗겨낸다.
8. 가지는 껍질을 벗긴 뒤, 깊게 칼집을 내고 기름에 튀긴다.
9. 튀긴 가지를 적당한 크기로 썰어 마른 팬에 볶다가 스테이크시즈닝을 뿌린다.
10. 양파, 마늘을 잘게 썰어 가지와 함께 볶다가, 파르메산 치즈를 갈아 넣는다.
11. 접시에 안심베이컨말이을 담고, 튀긴 가지볶음을 올린 뒤, 크림소스를 담아낸다.
12. 대파를"&amp;" 얇게 썰어 올려 마무리한다.")</f>
        <v>1. 소고기 안심에 소금, 후추를 뿌린 뒤, 베이컨으로 감싸 조리용 실로 묶는다.
2. 중탕하는 기름에 트러플오일을 넣고, 베이컨으로 감싼 안심을 데친다.
3. 기름을 두른 팬에 으깬 마늘, 기름에 데친 안심베이컨말이, 버터를 넣고 굽는다.
4. 냄비에 청주, 채 썬 양파, 으깬 마늘, 휘핑크림, 푸아그라를 넣고 끓여 크림 소스를 만든다.
5. 크림소스에 버터와 소금을 넣는다.
6. 끓이던 크림소스에 후추, 파르메산 치즈를 넣고, 핸드블렌더로 곱게 간 뒤, 끓인다.
7. 굽던 안심베이컨말이를 꺼내 조리용 실을 벗겨낸다.
8. 가지는 껍질을 벗긴 뒤, 깊게 칼집을 내고 기름에 튀긴다.
9. 튀긴 가지를 적당한 크기로 썰어 마른 팬에 볶다가 스테이크시즈닝을 뿌린다.
10. 양파, 마늘을 잘게 썰어 가지와 함께 볶다가, 파르메산 치즈를 갈아 넣는다.
11. 접시에 안심베이컨말이을 담고, 튀긴 가지볶음을 올린 뒤, 크림소스를 담아낸다.
12. 대파를 얇게 썰어 올려 마무리한다.</v>
      </c>
    </row>
    <row r="492">
      <c r="A492" s="2" t="str">
        <f>recipe!C492
</f>
        <v>긴풍면</v>
      </c>
      <c r="B492" s="2" t="str">
        <f>IFERROR(__xludf.DUMMYFUNCTION("TRIM(
  REGEXEXTRACT(
    raw!A492,
    ""●\s*조리\s*방법([\s\S]*)""
  )
)
"),"1. 핸드블렌더에 밀가루와 물을 넣고 돌려 면 반죽을 만든다.
2. 핸드블렌더에 적당한 크기로 썬 대파와 소고기 안심, 무, 들기름을 넣고 간다.
3. 기름을 두른 팬에 곱게 간 재료들을 볶다가,
피시소스, 굴소스, 맛술, 식초, 뜨거운 물을 붓고 끓인다.
4. 기름이 넉넉하게 담긴 팬에 고춧가루, 대파, 다진 마늘을 넣고 끓여 고추기름을 낸다.
5. 면 반죽을 길고 가늘게 늘여 면을 뽑는다.
6. 면을 삶는다.
7. "&amp;"그릇에 면을 담는다.
8. 끓인 국물을 체에 밭쳐 걸러 면이 담긴 그릇에 붓는다.
9. 고추기름을 올려 마무리한다.")</f>
        <v>1. 핸드블렌더에 밀가루와 물을 넣고 돌려 면 반죽을 만든다.
2. 핸드블렌더에 적당한 크기로 썬 대파와 소고기 안심, 무, 들기름을 넣고 간다.
3. 기름을 두른 팬에 곱게 간 재료들을 볶다가,
피시소스, 굴소스, 맛술, 식초, 뜨거운 물을 붓고 끓인다.
4. 기름이 넉넉하게 담긴 팬에 고춧가루, 대파, 다진 마늘을 넣고 끓여 고추기름을 낸다.
5. 면 반죽을 길고 가늘게 늘여 면을 뽑는다.
6. 면을 삶는다.
7. 그릇에 면을 담는다.
8. 끓인 국물을 체에 밭쳐 걸러 면이 담긴 그릇에 붓는다.
9. 고추기름을 올려 마무리한다.</v>
      </c>
    </row>
    <row r="493">
      <c r="A493" s="2" t="str">
        <f>recipe!C493
</f>
        <v>우동 튀튀♬</v>
      </c>
      <c r="B493" s="2" t="str">
        <f>IFERROR(__xludf.DUMMYFUNCTION("TRIM(
  REGEXEXTRACT(
    raw!A493,
    ""●\s*조리\s*방법([\s\S]*)""
  )
)
"),"1. 핸드블렌더에 밀가루와 물, 소금을 넣고 돌려 면 반죽을 만든다.
2. 면 반죽을 숙성시킨다.
3. 냄비에 맛술, 간장, 설탕을 1:3:1 비율로 넣고 끓인다.
4. 끓인 간장소스에 물을 섞고 냉동실에 넣어 차게 식힌다.
5. 면 반죽을 밀대로 얇게 민다.
6. 얇게 민 면 반죽을 썰어 생면을 만든다.
7. 끓는 물에 식초를 넣은 뒤, 생면을 삶는다.
8. 삶은 면을 얼음물에 식힌 뒤, 그릇에 담는다.
9."&amp;" 애호박, 가지, 당근, 만가닥버섯은 채 썰고 관자는 적당한 크기로 썬다.
10. 손질한 채소와 관자에 밀가루, 물을 넣고 섞어 튀김옷을 입힌 뒤, 기름에 튀긴다.
11. 채소관자튀김을 건져 기름기를 뺀다.
12. 밀가루반죽을 기름에 튀겨 덴카스를 만든다.
13. 면 위에 강판에 간 무, 레몬, 잘게 썬 쪽파와 덴카스를 올린다.
14. 채소관자튀김을 반으로 썰어 다른 접시에 담아낸다.
15. 차갑게 식힌 간장소스를 면과 "&amp;"함께 담아낸다.")</f>
        <v>1. 핸드블렌더에 밀가루와 물, 소금을 넣고 돌려 면 반죽을 만든다.
2. 면 반죽을 숙성시킨다.
3. 냄비에 맛술, 간장, 설탕을 1:3:1 비율로 넣고 끓인다.
4. 끓인 간장소스에 물을 섞고 냉동실에 넣어 차게 식힌다.
5. 면 반죽을 밀대로 얇게 민다.
6. 얇게 민 면 반죽을 썰어 생면을 만든다.
7. 끓는 물에 식초를 넣은 뒤, 생면을 삶는다.
8. 삶은 면을 얼음물에 식힌 뒤, 그릇에 담는다.
9. 애호박, 가지, 당근, 만가닥버섯은 채 썰고 관자는 적당한 크기로 썬다.
10. 손질한 채소와 관자에 밀가루, 물을 넣고 섞어 튀김옷을 입힌 뒤, 기름에 튀긴다.
11. 채소관자튀김을 건져 기름기를 뺀다.
12. 밀가루반죽을 기름에 튀겨 덴카스를 만든다.
13. 면 위에 강판에 간 무, 레몬, 잘게 썬 쪽파와 덴카스를 올린다.
14. 채소관자튀김을 반으로 썰어 다른 접시에 담아낸다.
15. 차갑게 식힌 간장소스를 면과 함께 담아낸다.</v>
      </c>
    </row>
    <row r="494">
      <c r="A494" s="2" t="str">
        <f>recipe!C494
</f>
        <v>산해딘미</v>
      </c>
      <c r="B494" s="2" t="str">
        <f>IFERROR(__xludf.DUMMYFUNCTION("TRIM(
  REGEXEXTRACT(
    raw!A494,
    ""●\s*조리\s*방법([\s\S]*)""
  )
)
"),"1. 식빵은 테두리를 잘라내고, 적당한 크기로 썰어 핸드블렌더에 갈아 빵가루를 만든다.
2. 오징어는 적당한 크기로 썰고, 새우살은 씻어서 핸드블렌더에 넣는다.
3. 황민어의 살만 발라낸다.
4. 오징어와 새우살을 넣은 핸드블렌더에 황민어살도 함께 넣고 곱게 간다.
5. 4에 달걀, 소금, 밀가루를 넣고 다시 한 번 간다.
6. 곱게 간 해산물반죽에 밀가루를 넣고 치대어 완자반죽을 만든다.
7. 완자반죽을 적당한 크기로 "&amp;"떼어 동그랗게 빚은 후, 빵가루를 묻혀 기름에 튀긴다.
8. 튀긴 해산물완자를 전자레인지에 한 번 더 익힌다.
9. 기름을 두른 팬에 옥수수, 버터, 설탕을 넣고 볶은 뒤, 핸드블렌더로 곱게 간다.
10. 마른 팬에 곱게 간 옥수수를 넣고, 밀가루와 버터, 슬라이스 모차렐라치즈를 넣어 잘 섞어준다.
11. 강판에 사과를 갈고, 청국장, 올리브오일, 요구르트, 마요네즈를 넣고 섞어 청국장드레싱을 만든다.
12. 그릇에 옥수수소스"&amp;"를 담고, 부추를 잘게 썰어 올린다.
13. 청국장드레싱에 레몬즙을 넣는다.
14. 부추 위에 청국장드레싱을 올린 뒤, 잘게 썬 부추를 흩뿌린다.
15. 해산물완자를 다시 한 번 튀긴 뒤, 그릇에 올리고 청국장드레싱을 끼얹어 마무리한다.")</f>
        <v>1. 식빵은 테두리를 잘라내고, 적당한 크기로 썰어 핸드블렌더에 갈아 빵가루를 만든다.
2. 오징어는 적당한 크기로 썰고, 새우살은 씻어서 핸드블렌더에 넣는다.
3. 황민어의 살만 발라낸다.
4. 오징어와 새우살을 넣은 핸드블렌더에 황민어살도 함께 넣고 곱게 간다.
5. 4에 달걀, 소금, 밀가루를 넣고 다시 한 번 간다.
6. 곱게 간 해산물반죽에 밀가루를 넣고 치대어 완자반죽을 만든다.
7. 완자반죽을 적당한 크기로 떼어 동그랗게 빚은 후, 빵가루를 묻혀 기름에 튀긴다.
8. 튀긴 해산물완자를 전자레인지에 한 번 더 익힌다.
9. 기름을 두른 팬에 옥수수, 버터, 설탕을 넣고 볶은 뒤, 핸드블렌더로 곱게 간다.
10. 마른 팬에 곱게 간 옥수수를 넣고, 밀가루와 버터, 슬라이스 모차렐라치즈를 넣어 잘 섞어준다.
11. 강판에 사과를 갈고, 청국장, 올리브오일, 요구르트, 마요네즈를 넣고 섞어 청국장드레싱을 만든다.
12. 그릇에 옥수수소스를 담고, 부추를 잘게 썰어 올린다.
13. 청국장드레싱에 레몬즙을 넣는다.
14. 부추 위에 청국장드레싱을 올린 뒤, 잘게 썬 부추를 흩뿌린다.
15. 해산물완자를 다시 한 번 튀긴 뒤, 그릇에 올리고 청국장드레싱을 끼얹어 마무리한다.</v>
      </c>
    </row>
    <row r="495">
      <c r="A495" s="2" t="str">
        <f>recipe!C495
</f>
        <v>딘토불이 떡볶이</v>
      </c>
      <c r="B495" s="2" t="str">
        <f>IFERROR(__xludf.DUMMYFUNCTION("TRIM(
  REGEXEXTRACT(
    raw!A495,
    ""●\s*조리\s*방법([\s\S]*)""
  )
)
"),"1. 매생이를 다진다.
2. 밀가루에 물, 다진 매생이를 넣고 잘 저어 매생이 반죽을 만든다.
3. 기름을 두른 팬에 매생이 반죽을 두른 뒤, 매생이 전병을 만들어 기름기를 뺀다.
4. 민어의 살만 발라낸다.
5. 즉석밥을 핸드블렌더에 넣고 간다.
6. 5에 뜨거운 물, 찹쌀가루, 밀가루를 넣고 치대어 떡 반죽을 만든다.
7. 떡 반죽을 길게 민 뒤, 적당한 크기로 썰어 끓는 물에 삶는다.
8. 채끝살에 소금, 후추를 뿌린 뒤 기름을 두른 "&amp;"팬에 구워 한 김 식힌다.
9. 핸드블렌더에 채끝살, 새우살, 민어살을 넣고 곱게 간다.
10. 매생이 전병에 밀가루를 묻힌 뒤, 곱게 간 재료들을 넣어 돌돌 말고, 튀김옷을 입혀 기름에 튀긴다.
11. 불린 가죽나물의 물기를 짜내고, 기름을 두른 팬에 볶는다.
12. 볶던 가죽나물에 양파채와 깻잎장아찌 국물, 고추장아찌 국물,
설탕, 식초, 사골육수, 장조림 국물을 넣고 끓인다.
13. 익힌 떡을 건져 찬물에 담가 식힌 뒤, 재료를 끓이던 팬"&amp;"에 넣고 함께 끓인다.
14. 구운 채끝살을 적당한 크기로 썰어 떡볶이에 넣고 함께 끓인다.
15. 끓이던 떡볶이에 전분물을 넣는다.
16. 매생이 전병튀김을 적당한 크기로 썰어 떡볶이에 함께 넣고 끓인다.
17. 떡볶이에 잘게 다진 매생이를 넣고 끓인다.
18. 떡볶이에 설탕, 후추를 넣는다.
19. 그릇에 매생이 떡볶이를 담는다.")</f>
        <v>1. 매생이를 다진다.
2. 밀가루에 물, 다진 매생이를 넣고 잘 저어 매생이 반죽을 만든다.
3. 기름을 두른 팬에 매생이 반죽을 두른 뒤, 매생이 전병을 만들어 기름기를 뺀다.
4. 민어의 살만 발라낸다.
5. 즉석밥을 핸드블렌더에 넣고 간다.
6. 5에 뜨거운 물, 찹쌀가루, 밀가루를 넣고 치대어 떡 반죽을 만든다.
7. 떡 반죽을 길게 민 뒤, 적당한 크기로 썰어 끓는 물에 삶는다.
8. 채끝살에 소금, 후추를 뿌린 뒤 기름을 두른 팬에 구워 한 김 식힌다.
9. 핸드블렌더에 채끝살, 새우살, 민어살을 넣고 곱게 간다.
10. 매생이 전병에 밀가루를 묻힌 뒤, 곱게 간 재료들을 넣어 돌돌 말고, 튀김옷을 입혀 기름에 튀긴다.
11. 불린 가죽나물의 물기를 짜내고, 기름을 두른 팬에 볶는다.
12. 볶던 가죽나물에 양파채와 깻잎장아찌 국물, 고추장아찌 국물,
설탕, 식초, 사골육수, 장조림 국물을 넣고 끓인다.
13. 익힌 떡을 건져 찬물에 담가 식힌 뒤, 재료를 끓이던 팬에 넣고 함께 끓인다.
14. 구운 채끝살을 적당한 크기로 썰어 떡볶이에 넣고 함께 끓인다.
15. 끓이던 떡볶이에 전분물을 넣는다.
16. 매생이 전병튀김을 적당한 크기로 썰어 떡볶이에 함께 넣고 끓인다.
17. 떡볶이에 잘게 다진 매생이를 넣고 끓인다.
18. 떡볶이에 설탕, 후추를 넣는다.
19. 그릇에 매생이 떡볶이를 담는다.</v>
      </c>
    </row>
    <row r="496">
      <c r="A496" s="2" t="str">
        <f>recipe!C496
</f>
        <v>Caesar Salad with Deep fried oyster</v>
      </c>
      <c r="B496" s="2" t="str">
        <f>IFERROR(__xludf.DUMMYFUNCTION("TRIM(
  REGEXEXTRACT(
    raw!A496,
    ""●\s*조리\s*방법([\s\S]*)""
  )
)
"),"1. 식빵의 테두리를 잘라내고, 깍둑썰기 한다.
2. 버터를 녹인 팬에 깍둑썰기한 식빵을 굽는다.
3. 적당한 크기로 썬 식빵을 핸드블렌더에 넣고 갈아 빵가루를 만든다.
4. 핸드블렌더에 새우젓, 멸치액젓, 올리브오일을 넣고 갈아 젓갈소스를 만든다.
5. 알배추를 적당한 크기로 썬다.
6. 달걀물을 만든다.
7. 굴에 후추&gt;밀가루&gt;달걀물&gt;빵가루 순으로 튀김옷을 입혀 기름에 튀긴 뒤, 체에 밭쳐 기름기를 뺀다.
8. "&amp;"베이컨을 잘게 썰어 마른 팬에 굽는다.
9. 구운 베이컨을 체에 밭쳐 기름기를 뺀다.
10. 식용유와 올리브오일을 섞는다.
11. 허니머스터드에 달걀노른자, 젓갈소스를 더해 섞다가,
식용유+올리브오일을 조금씩 부어가며 계속해서 섞어준다.
12. 11에 레몬즙을 넣어 시저 드레싱을 만든다.
13. 시저 드레싱에 다진 마늘, 파르메산 치즈가루, 구운 베이컨, 크루통,
샐러드채소와 알배추를 넣고 버무린다.
14. 접시에 시"&amp;"저 샐러드를 담는다.
15. 굴튀김을 올려 마무리한다.")</f>
        <v>1. 식빵의 테두리를 잘라내고, 깍둑썰기 한다.
2. 버터를 녹인 팬에 깍둑썰기한 식빵을 굽는다.
3. 적당한 크기로 썬 식빵을 핸드블렌더에 넣고 갈아 빵가루를 만든다.
4. 핸드블렌더에 새우젓, 멸치액젓, 올리브오일을 넣고 갈아 젓갈소스를 만든다.
5. 알배추를 적당한 크기로 썬다.
6. 달걀물을 만든다.
7. 굴에 후추&gt;밀가루&gt;달걀물&gt;빵가루 순으로 튀김옷을 입혀 기름에 튀긴 뒤, 체에 밭쳐 기름기를 뺀다.
8. 베이컨을 잘게 썰어 마른 팬에 굽는다.
9. 구운 베이컨을 체에 밭쳐 기름기를 뺀다.
10. 식용유와 올리브오일을 섞는다.
11. 허니머스터드에 달걀노른자, 젓갈소스를 더해 섞다가,
식용유+올리브오일을 조금씩 부어가며 계속해서 섞어준다.
12. 11에 레몬즙을 넣어 시저 드레싱을 만든다.
13. 시저 드레싱에 다진 마늘, 파르메산 치즈가루, 구운 베이컨, 크루통,
샐러드채소와 알배추를 넣고 버무린다.
14. 접시에 시저 샐러드를 담는다.
15. 굴튀김을 올려 마무리한다.</v>
      </c>
    </row>
    <row r="497">
      <c r="A497" s="2" t="str">
        <f>recipe!C497
</f>
        <v>돈코츠 드소</v>
      </c>
      <c r="B497" s="2" t="str">
        <f>IFERROR(__xludf.DUMMYFUNCTION("TRIM(
  REGEXEXTRACT(
    raw!A497,
    ""●\s*조리\s*방법([\s\S]*)""
  )
)
"),"1. 마른 팬에 토르티야를 굽는다.
2. 버터에 마늘을 갈아 넣고, 전자레인지에 돌려 녹인다.
3. 녹인 버터를 구운 토르티야에 바르고 다시 한 번 굽는다.
4. 버터를 발라 구운 토르티야를 전자레인지에 돌린다.
5. 양파, 대파를 잘게 다진다.
6. 기름을 두른 팬에 잘게 다진 양파와 대파, 다진 돼지고기,
베이컨, 사골육수, 된장을 넣고 끓인다.
7. 끓이던 재료에 슬라이스 모차렐라치즈를 넣고 끓여 돈코츠 치즈소스를"&amp;" 만든다.
8. 안창살, 양파, 브로콜리를 적당한 크기로 손질한다.
9. 기름을 두른 팬에 잘게 썬 안창살과 채 썬 양파를 볶다가 후추를 뿌린다.
10. 볶던 재료에 잘게 썬 브로콜리, 슬라이스 체다치즈와
슬라이스 모차렐라치즈를 넣고 뚜껑을 덮어 익힌다.
11. 토르티야 위에 치즈를 얹은 안창살볶음을 올리고 돌돌 말아 롤을 만든 뒤, 적당한 크기로 썬다.
12. 접시에 토르티야 롤을 담는다.
13. 그릇에 돈코츠 치즈소"&amp;"스를 담고, 잘게 다진 브로콜리를 올린다.
14. 구운 토르티야를 따로 내 마무리한다.")</f>
        <v>1. 마른 팬에 토르티야를 굽는다.
2. 버터에 마늘을 갈아 넣고, 전자레인지에 돌려 녹인다.
3. 녹인 버터를 구운 토르티야에 바르고 다시 한 번 굽는다.
4. 버터를 발라 구운 토르티야를 전자레인지에 돌린다.
5. 양파, 대파를 잘게 다진다.
6. 기름을 두른 팬에 잘게 다진 양파와 대파, 다진 돼지고기,
베이컨, 사골육수, 된장을 넣고 끓인다.
7. 끓이던 재료에 슬라이스 모차렐라치즈를 넣고 끓여 돈코츠 치즈소스를 만든다.
8. 안창살, 양파, 브로콜리를 적당한 크기로 손질한다.
9. 기름을 두른 팬에 잘게 썬 안창살과 채 썬 양파를 볶다가 후추를 뿌린다.
10. 볶던 재료에 잘게 썬 브로콜리, 슬라이스 체다치즈와
슬라이스 모차렐라치즈를 넣고 뚜껑을 덮어 익힌다.
11. 토르티야 위에 치즈를 얹은 안창살볶음을 올리고 돌돌 말아 롤을 만든 뒤, 적당한 크기로 썬다.
12. 접시에 토르티야 롤을 담는다.
13. 그릇에 돈코츠 치즈소스를 담고, 잘게 다진 브로콜리를 올린다.
14. 구운 토르티야를 따로 내 마무리한다.</v>
      </c>
    </row>
    <row r="498">
      <c r="A498" s="2" t="str">
        <f>recipe!C498
</f>
        <v>장어튀겼쌈</v>
      </c>
      <c r="B498" s="2" t="str">
        <f>IFERROR(__xludf.DUMMYFUNCTION("TRIM(
  REGEXEXTRACT(
    raw!A498,
    ""●\s*조리\s*방법([\s\S]*)""
  )
)
"),"1. 양파를 채 썰어 찬물에 담가 둔다.
2. 무를 채 썬 뒤 소금에 절여놓는다.
3. 밀가루, 전분, 물, 달걀, 식용유를 섞어 튀김반죽을 만든다.
4. 장어를 손질해 튀김반죽을 입힌 뒤 기름에 튀긴다.
5. 핸드블렌더에 밀가루, 물, 소금을 넣고 갈아 물반죽을 만든다.
6. 마른 팬에 물반죽을 얇게 부쳐 전병을 두 장 만든다.
7. 장어튀김을 체에 밭쳐 기름기를 뺀다.
8. 전병 한 장을 기름에 튀긴다.
9"&amp;". 명란젓과 마요네즈를 섞어 명란마요소스를 만든다.
10. 케첩에 다진 마늘, 설탕, 레몬즙을 섞어 칠리소스를 만든다.
11. 튀긴 전병을 건져 기름기를 뺀다.
12. 오징어다리에 밀가루를 묻혀 기름에 튀긴다.
13. 구운 전병에 칠리소스를 바르고 절인 무채, 채 썬 양파를 올린다
14. 13 위에 장어튀김을 얹고 명란마요소스를 바른 뒤 쌈 싼다.
15. 접시에 절인 무채, 채 썬 양파를 올리고, 장어전병쌈을 함께 낸다."&amp;"
16. 무&amp;양파채 위에 칠리소스를 뿌린다.
17. 오징어다리튀김을 곁들인다.
18. 장어전병쌈 안에 튀긴 전병을 부숴 넣어 마무리한다.")</f>
        <v>1. 양파를 채 썰어 찬물에 담가 둔다.
2. 무를 채 썬 뒤 소금에 절여놓는다.
3. 밀가루, 전분, 물, 달걀, 식용유를 섞어 튀김반죽을 만든다.
4. 장어를 손질해 튀김반죽을 입힌 뒤 기름에 튀긴다.
5. 핸드블렌더에 밀가루, 물, 소금을 넣고 갈아 물반죽을 만든다.
6. 마른 팬에 물반죽을 얇게 부쳐 전병을 두 장 만든다.
7. 장어튀김을 체에 밭쳐 기름기를 뺀다.
8. 전병 한 장을 기름에 튀긴다.
9. 명란젓과 마요네즈를 섞어 명란마요소스를 만든다.
10. 케첩에 다진 마늘, 설탕, 레몬즙을 섞어 칠리소스를 만든다.
11. 튀긴 전병을 건져 기름기를 뺀다.
12. 오징어다리에 밀가루를 묻혀 기름에 튀긴다.
13. 구운 전병에 칠리소스를 바르고 절인 무채, 채 썬 양파를 올린다
14. 13 위에 장어튀김을 얹고 명란마요소스를 바른 뒤 쌈 싼다.
15. 접시에 절인 무채, 채 썬 양파를 올리고, 장어전병쌈을 함께 낸다.
16. 무&amp;양파채 위에 칠리소스를 뿌린다.
17. 오징어다리튀김을 곁들인다.
18. 장어전병쌈 안에 튀긴 전병을 부숴 넣어 마무리한다.</v>
      </c>
    </row>
    <row r="499">
      <c r="A499" s="2" t="str">
        <f>recipe!C499
</f>
        <v>육회한 파튀</v>
      </c>
      <c r="B499" s="2" t="str">
        <f>IFERROR(__xludf.DUMMYFUNCTION("TRIM(
  REGEXEXTRACT(
    raw!A499,
    ""●\s*조리\s*방법([\s\S]*)""
  )
)
"),"1. 튀김가루에 물을 넣고 섞어 튀김반죽을 만든다.
2. 파의 겉면을 벗겨낸 뒤 적당한 크기로 썬다.
3. 무를 적당한 크기로 썬다.
4. 손질한 파와 무에 튀김반죽을 입힌다.
5. 튀김반죽을 입힌 파와 무를 기름에 튀긴다.
6. 고춧가루, 후추, 간장, 생강청, 설탕, 고추장, 식초, 참기름, 다진 마늘을 섞어 육회양념을 만든다.
7. 채끝등심을 얇게 썰어 육회양념에 버무린다.
8. 핸드블렌더에 머스터드소스와 마요"&amp;"네즈, 견과류를 넣고 곱게 간다.
9. 접시에 무튀김과 파튀김을 올린다.
10. 튀김 위에 양념에 버무린 육회를 올리고, 견과머스터드소스를 따로 낸다.")</f>
        <v>1. 튀김가루에 물을 넣고 섞어 튀김반죽을 만든다.
2. 파의 겉면을 벗겨낸 뒤 적당한 크기로 썬다.
3. 무를 적당한 크기로 썬다.
4. 손질한 파와 무에 튀김반죽을 입힌다.
5. 튀김반죽을 입힌 파와 무를 기름에 튀긴다.
6. 고춧가루, 후추, 간장, 생강청, 설탕, 고추장, 식초, 참기름, 다진 마늘을 섞어 육회양념을 만든다.
7. 채끝등심을 얇게 썰어 육회양념에 버무린다.
8. 핸드블렌더에 머스터드소스와 마요네즈, 견과류를 넣고 곱게 간다.
9. 접시에 무튀김과 파튀김을 올린다.
10. 튀김 위에 양념에 버무린 육회를 올리고, 견과머스터드소스를 따로 낸다.</v>
      </c>
    </row>
    <row r="500">
      <c r="A500" s="2" t="str">
        <f>recipe!C500
</f>
        <v>피자하면 LA야~ LA야♬</v>
      </c>
      <c r="B500" s="2" t="str">
        <f>IFERROR(__xludf.DUMMYFUNCTION("TRIM(
  REGEXEXTRACT(
    raw!A500,
    ""●\s*조리\s*방법([\s\S]*)""
  )
)
"),"1. 밀가루에 뜨거운 물과 소금을 넣고 치대어 익반죽한다.
2. 핸드블렌더에 삼겹살, 채끝등심, 로즈마리, 소금을 넣고 간다.
3. 양송이버섯, 파프리카, 양파, 마늘을 적당한 크기로 썬다.
4. 기름을 두른 팬에 마늘을 볶다가, 양송이버섯과 양파를 넣고 소금, 후추를 뿌려 볶는다.
5. 곱게 간 삼겹살과 채끝등심을 채소와 함께 볶는다.
6. 도우 반죽을 밀대로 얇게 민 뒤 동그랗게 모양을 잡는다.
7. 마른 팬에 도우 "&amp;"반죽을 굽는다.
8. 베이컨을 썰어 팬에 넣고 다른 재료들과 함께 볶는다.
9. 파프리카를 팬에 넣고 함께 볶은 뒤, 꺼내둔다.
10. 구운 도우를 토치로 직화한다.
11. 도우를 뒤집어 토마토소스를 바르고 파르메산치즈 가루를 뿌린 뒤, 토치로 직화한다.
12. 도우 위에 볶은 재료들과 모차렐라치즈, 파슬리를 뿌린다.
13. 피자를 토치로 직화한다.
14. 모차렐라치즈를 전자레인지에 녹인 뒤, 피자 위에 올려 마무리"&amp;"한다.")</f>
        <v>1. 밀가루에 뜨거운 물과 소금을 넣고 치대어 익반죽한다.
2. 핸드블렌더에 삼겹살, 채끝등심, 로즈마리, 소금을 넣고 간다.
3. 양송이버섯, 파프리카, 양파, 마늘을 적당한 크기로 썬다.
4. 기름을 두른 팬에 마늘을 볶다가, 양송이버섯과 양파를 넣고 소금, 후추를 뿌려 볶는다.
5. 곱게 간 삼겹살과 채끝등심을 채소와 함께 볶는다.
6. 도우 반죽을 밀대로 얇게 민 뒤 동그랗게 모양을 잡는다.
7. 마른 팬에 도우 반죽을 굽는다.
8. 베이컨을 썰어 팬에 넣고 다른 재료들과 함께 볶는다.
9. 파프리카를 팬에 넣고 함께 볶은 뒤, 꺼내둔다.
10. 구운 도우를 토치로 직화한다.
11. 도우를 뒤집어 토마토소스를 바르고 파르메산치즈 가루를 뿌린 뒤, 토치로 직화한다.
12. 도우 위에 볶은 재료들과 모차렐라치즈, 파슬리를 뿌린다.
13. 피자를 토치로 직화한다.
14. 모차렐라치즈를 전자레인지에 녹인 뒤, 피자 위에 올려 마무리한다.</v>
      </c>
    </row>
    <row r="501">
      <c r="A501" s="2" t="str">
        <f>recipe!C501
</f>
        <v>역시 피자는 시카고야~ 시카고야♬</v>
      </c>
      <c r="B501" s="2" t="str">
        <f>IFERROR(__xludf.DUMMYFUNCTION("TRIM(
  REGEXEXTRACT(
    raw!A501,
    ""●\s*조리\s*방법([\s\S]*)""
  )
)
"),"1. 밀가루, 달걀노른자, 올리브오일, 뜨거운 물, 파르메산치즈 가루,
로즈마리, 소금을 넣고 치대어 익반죽한다.
2. 도우 반죽을 밀대로 밀어 넓게 펴고 동그랗게 자른다.
3. 버터를 바른 내열접시 위에 도우반죽을 올리고 깊은 그릇 모양으로 만든 뒤, 바닥에 포크로 구멍을 낸다.
4. 도우반죽을 전자레인지에 넣고 익힌다.
5. 마늘, 슬라이스 햄, 베이컨, 양송이버섯을 잘게 썬다.
6. 기름을 두른 팬에 손질한 재료들을 볶"&amp;"다가 후추를 뿌린다.
7. 전자레인지에 익힌 도우를 기름에 튀긴다.
8. 볶은 재료에 토마토소스, 모차렐라치즈를 넣고 섞는다.
9. 8을 도우에 가득 채운다.
10. 슬라이스 체다치즈와 슬라이스 에멘탈치즈를 올린다.
11. 피자를 전자레인지에 넣고 익힌다.
12. 전자레인지에서 익힌 피자를 꺼내 토치로 직화한다.
13. 피자 위에 파르메산치즈 가루와 파슬리를 뿌려 마무리한다.")</f>
        <v>1. 밀가루, 달걀노른자, 올리브오일, 뜨거운 물, 파르메산치즈 가루,
로즈마리, 소금을 넣고 치대어 익반죽한다.
2. 도우 반죽을 밀대로 밀어 넓게 펴고 동그랗게 자른다.
3. 버터를 바른 내열접시 위에 도우반죽을 올리고 깊은 그릇 모양으로 만든 뒤, 바닥에 포크로 구멍을 낸다.
4. 도우반죽을 전자레인지에 넣고 익힌다.
5. 마늘, 슬라이스 햄, 베이컨, 양송이버섯을 잘게 썬다.
6. 기름을 두른 팬에 손질한 재료들을 볶다가 후추를 뿌린다.
7. 전자레인지에 익힌 도우를 기름에 튀긴다.
8. 볶은 재료에 토마토소스, 모차렐라치즈를 넣고 섞는다.
9. 8을 도우에 가득 채운다.
10. 슬라이스 체다치즈와 슬라이스 에멘탈치즈를 올린다.
11. 피자를 전자레인지에 넣고 익힌다.
12. 전자레인지에서 익힌 피자를 꺼내 토치로 직화한다.
13. 피자 위에 파르메산치즈 가루와 파슬리를 뿌려 마무리한다.</v>
      </c>
    </row>
    <row r="502">
      <c r="A502" s="2" t="str">
        <f>recipe!C502
</f>
        <v>어차피 우승은 나자냐~</v>
      </c>
      <c r="B502" s="2" t="str">
        <f>IFERROR(__xludf.DUMMYFUNCTION("TRIM(
  REGEXEXTRACT(
    raw!A502,
    ""●\s*조리\s*방법([\s\S]*)""
  )
)
"),"1. 소금을 넣은 끓는 물에 전복을 삶는다.
2. 새우는 껍질을 벗기고 내장을 빼낸다.
3. 삶은 전복은 내장을 제거한 뒤, 살만 적당한 크기로 썬다.
4. 기름을 두른 팬에 전복살과 새우를 볶는다.
5. 냄비에 버터와 밀가루를 볶아 루를 만든 뒤, 우유를 넣고 끓여 크림소스를 만든다.
6. 볶던 전복과 새우에 크림소스, 카망베르치즈, 우유, 모차렐라치즈를 넣어 볶는다.
7. 믹서기에 달걀, 우유, 밀가루를 넣고 갈아 반"&amp;"죽을 만든 뒤, 체에 밭쳐 거른다.
8. 기름을 두른 팬에 밀가루 반죽을 얇게 부쳐 크레이프를 만든다.
9. 볶던 해산물에 후추를 뿌리고, 취장아찌를 넣어 볶는다.
10. 크레이프를 그릇에 펼친 뒤, 크림해산물장아찌볶음을 채우고 양념명란젓을 올린다.
11. 10 위에 잘게 썬 마늘을 올리고 참기름을 뿌린다.
12. 크레이프로 내용물을 완전히 감싼 뒤, 전자레인지에서 익힌다.
13. 볼에 밀가루, 물, 톳가루를 넣어 물반죽"&amp;"한 뒤, 기름에 튀겨 톳덴카스를 만든다.
14. 전자레인지에 익힌 명란해산물라자냐를 꺼내 접시에 올린다.
15. 명란해산물라자냐 위에 크림소스를 올린다.
16. 라자냐 위에 톳덴카스를 올려 마무리한다.")</f>
        <v>1. 소금을 넣은 끓는 물에 전복을 삶는다.
2. 새우는 껍질을 벗기고 내장을 빼낸다.
3. 삶은 전복은 내장을 제거한 뒤, 살만 적당한 크기로 썬다.
4. 기름을 두른 팬에 전복살과 새우를 볶는다.
5. 냄비에 버터와 밀가루를 볶아 루를 만든 뒤, 우유를 넣고 끓여 크림소스를 만든다.
6. 볶던 전복과 새우에 크림소스, 카망베르치즈, 우유, 모차렐라치즈를 넣어 볶는다.
7. 믹서기에 달걀, 우유, 밀가루를 넣고 갈아 반죽을 만든 뒤, 체에 밭쳐 거른다.
8. 기름을 두른 팬에 밀가루 반죽을 얇게 부쳐 크레이프를 만든다.
9. 볶던 해산물에 후추를 뿌리고, 취장아찌를 넣어 볶는다.
10. 크레이프를 그릇에 펼친 뒤, 크림해산물장아찌볶음을 채우고 양념명란젓을 올린다.
11. 10 위에 잘게 썬 마늘을 올리고 참기름을 뿌린다.
12. 크레이프로 내용물을 완전히 감싼 뒤, 전자레인지에서 익힌다.
13. 볼에 밀가루, 물, 톳가루를 넣어 물반죽한 뒤, 기름에 튀겨 톳덴카스를 만든다.
14. 전자레인지에 익힌 명란해산물라자냐를 꺼내 접시에 올린다.
15. 명란해산물라자냐 위에 크림소스를 올린다.
16. 라자냐 위에 톳덴카스를 올려 마무리한다.</v>
      </c>
    </row>
    <row r="503">
      <c r="A503" s="2" t="str">
        <f>recipe!C503
</f>
        <v>크로켓 맛있찌</v>
      </c>
      <c r="B503" s="2" t="str">
        <f>IFERROR(__xludf.DUMMYFUNCTION("TRIM(
  REGEXEXTRACT(
    raw!A503,
    ""●\s*조리\s*방법([\s\S]*)""
  )
)
"),"1. 양상추를 잘게 썬다.
2. 잘게 썬 양상추에 총각김치를 갈아 넣고, 소금, 올리브오일, 후추, 식초를 넣고 무쳐 샐러드를 만든다.
3. 끓는 물에 브로콜리, 콜리플라워, 아스파라거스를 데친 뒤, 체에 밭쳐 물기를 뺀다.
4. 데친 브로콜리와 콜리플라워를 잘게 다진다.
5. 달걀물에 다진 채소, 양념명란젓, 밀가루, 크림치즈를 넣고 반죽한다.
6. 크로켓 반죽을 동그랗게 뭉친 뒤, 밀가루를 묻혀 기름에 튀긴다.
7. "&amp;"베이컨을 가늘게 썬다.
8. 기름을 두른 팬에 채 썬 베이컨과 후추를 넣고 볶는다.
9. 볶던 베이컨에 간 토마토와 편마늘을 넣고 함께 볶는다.
10. 볶던 재료에 잘게 다진 울외장아찌와 청양고추, 후추, 잘게 다진 취장아찌를 넣고 볶는다.
11. 볶던 재료에 마늘을 갈아 넣고, 고춧가루, 설탕을 뿌린다.
12. 채소크로켓의 기름기를 뺀다.
13. 베이컨장아찌볶음을 접시에 넓게 깐다.
14. 베이컨장아찌볶음 위에 채"&amp;"소크로켓을 올린 뒤, 파르메산치즈를 갈아 올리고
데친 아스파라거스를 곁들인다.
15. 총각김치샐러드를 함께 낸다.")</f>
        <v>1. 양상추를 잘게 썬다.
2. 잘게 썬 양상추에 총각김치를 갈아 넣고, 소금, 올리브오일, 후추, 식초를 넣고 무쳐 샐러드를 만든다.
3. 끓는 물에 브로콜리, 콜리플라워, 아스파라거스를 데친 뒤, 체에 밭쳐 물기를 뺀다.
4. 데친 브로콜리와 콜리플라워를 잘게 다진다.
5. 달걀물에 다진 채소, 양념명란젓, 밀가루, 크림치즈를 넣고 반죽한다.
6. 크로켓 반죽을 동그랗게 뭉친 뒤, 밀가루를 묻혀 기름에 튀긴다.
7. 베이컨을 가늘게 썬다.
8. 기름을 두른 팬에 채 썬 베이컨과 후추를 넣고 볶는다.
9. 볶던 베이컨에 간 토마토와 편마늘을 넣고 함께 볶는다.
10. 볶던 재료에 잘게 다진 울외장아찌와 청양고추, 후추, 잘게 다진 취장아찌를 넣고 볶는다.
11. 볶던 재료에 마늘을 갈아 넣고, 고춧가루, 설탕을 뿌린다.
12. 채소크로켓의 기름기를 뺀다.
13. 베이컨장아찌볶음을 접시에 넓게 깐다.
14. 베이컨장아찌볶음 위에 채소크로켓을 올린 뒤, 파르메산치즈를 갈아 올리고
데친 아스파라거스를 곁들인다.
15. 총각김치샐러드를 함께 낸다.</v>
      </c>
    </row>
    <row r="504">
      <c r="A504" s="2" t="str">
        <f>recipe!C504
</f>
        <v>제육과의 동침</v>
      </c>
      <c r="B504" s="2" t="str">
        <f>IFERROR(__xludf.DUMMYFUNCTION("TRIM(
  REGEXEXTRACT(
    raw!A504,
    ""●\s*조리\s*방법([\s\S]*)""
  )
)
"),"1. 무를 나박썰기 한 뒤, 소금에 절여둔다.
2. 볼에 물, 소금, 다진 마늘, 설탕, 식초를 넣고 섞어 동치미국물을 만든다.
3. 사과는 껍질을 벗기고 적당한 크기로 썰어 동치미국물에 담근다.
4. 양상추, 방울토마토, 양파를 적당한 크기로 동치미국물에 담근다.
5. 핸드블렌더에 사과와 물을 넣고 갈아 사과즙을 만든다.
6. 볼에 적당한 크기로 썬 삼겹살에 손질한 양파, 대파, 아스파라거스, 콜리플라워를 담는다.
7. 6에에 토마토소스와 "&amp;"라면수프, 사과즙, 다진 마늘을 넣어 버무린다.
8. 마른 팬에 양념한 삼겹살을 볶는다.
9. 볶던 재료에 후추를 넣는다.
10. 전자레인지에 즉석밥을 돌린 뒤, 그릇에 담는다.
11. 소금에 절인 무를 물에 헹궈내고, 동치미와 함께 섞어 그릇에 담아낸다.
12. 제육볶음을 접시에 담은 뒤, 고추를 잘게 썰어 올린다.
13. 제육볶음, 동치미, 밥을 함께 낸다.")</f>
        <v>1. 무를 나박썰기 한 뒤, 소금에 절여둔다.
2. 볼에 물, 소금, 다진 마늘, 설탕, 식초를 넣고 섞어 동치미국물을 만든다.
3. 사과는 껍질을 벗기고 적당한 크기로 썰어 동치미국물에 담근다.
4. 양상추, 방울토마토, 양파를 적당한 크기로 동치미국물에 담근다.
5. 핸드블렌더에 사과와 물을 넣고 갈아 사과즙을 만든다.
6. 볼에 적당한 크기로 썬 삼겹살에 손질한 양파, 대파, 아스파라거스, 콜리플라워를 담는다.
7. 6에에 토마토소스와 라면수프, 사과즙, 다진 마늘을 넣어 버무린다.
8. 마른 팬에 양념한 삼겹살을 볶는다.
9. 볶던 재료에 후추를 넣는다.
10. 전자레인지에 즉석밥을 돌린 뒤, 그릇에 담는다.
11. 소금에 절인 무를 물에 헹궈내고, 동치미와 함께 섞어 그릇에 담아낸다.
12. 제육볶음을 접시에 담은 뒤, 고추를 잘게 썰어 올린다.
13. 제육볶음, 동치미, 밥을 함께 낸다.</v>
      </c>
    </row>
    <row r="505">
      <c r="A505" s="2" t="str">
        <f>recipe!C505
</f>
        <v>보쌈하새우</v>
      </c>
      <c r="B505" s="2" t="str">
        <f>IFERROR(__xludf.DUMMYFUNCTION("TRIM(
  REGEXEXTRACT(
    raw!A505,
    ""●\s*조리\s*방법([\s\S]*)""
  )
)
"),"1. 끓는 물에 간장과 설탕을 붓고, 게 등껍질, 새우, 게의 알을 넣고 끓인다.
2. 양파를 채 썬 뒤, 찜기에 넣는다.
3. 뜨거운 기름에 대파, 고추, 삼겹살을 넣어 데치듯이 튀긴 뒤, 체에 밭쳐 기름기를 뺀다.
4. 튀긴 삼겹살과 채소를 찜기에 넣는다.
5. 삼겹살과 채소 위에 더치커피와 맛술을 뿌린 뒤, 뚜껑을 덮어 찐다.
6. 소금물을 끓여 알배추와 아스파라거스를 데친다.
7. 가늘게 채 썬 무에 소금, 고춧가"&amp;"루, 식초를 넣고 버무려 무생채를 만든다.
8. 데친 알배추와 아스파라거스를 얼음물에 담가 식힌다.
9. 강판에 간 무와 토마토소스, 고춧가루, 식초, 깻잎, 다진 대파에 무생채,
삶은 아스파라거스를 넣고 버무려 김치소를 만든다.
10. 전자레인지에 즉석밥을 돌린 뒤, 그릇에 담는다.
11. 간장물에 끓인 게와 새우를 건져 식힌다.
12. 11에 발사믹식초와 식초를 넣고 섞는다.
13. 알배추를 펼쳐 김치소를 넣고 감싼"&amp;" 뒤, 먹기 좋게 잘라 그릇 위에 올린다.
14. 김치 위에 김치소 국물을 뿌린다.
15. 접시에 수육을 담는다.
16. 새우장아찌의 껍질을 깐 뒤, 국물과 함께 접시에 담아낸다.
17. 수육, 보쌈김치, 새우장아찌와 밥을 함께 낸다.")</f>
        <v>1. 끓는 물에 간장과 설탕을 붓고, 게 등껍질, 새우, 게의 알을 넣고 끓인다.
2. 양파를 채 썬 뒤, 찜기에 넣는다.
3. 뜨거운 기름에 대파, 고추, 삼겹살을 넣어 데치듯이 튀긴 뒤, 체에 밭쳐 기름기를 뺀다.
4. 튀긴 삼겹살과 채소를 찜기에 넣는다.
5. 삼겹살과 채소 위에 더치커피와 맛술을 뿌린 뒤, 뚜껑을 덮어 찐다.
6. 소금물을 끓여 알배추와 아스파라거스를 데친다.
7. 가늘게 채 썬 무에 소금, 고춧가루, 식초를 넣고 버무려 무생채를 만든다.
8. 데친 알배추와 아스파라거스를 얼음물에 담가 식힌다.
9. 강판에 간 무와 토마토소스, 고춧가루, 식초, 깻잎, 다진 대파에 무생채,
삶은 아스파라거스를 넣고 버무려 김치소를 만든다.
10. 전자레인지에 즉석밥을 돌린 뒤, 그릇에 담는다.
11. 간장물에 끓인 게와 새우를 건져 식힌다.
12. 11에 발사믹식초와 식초를 넣고 섞는다.
13. 알배추를 펼쳐 김치소를 넣고 감싼 뒤, 먹기 좋게 잘라 그릇 위에 올린다.
14. 김치 위에 김치소 국물을 뿌린다.
15. 접시에 수육을 담는다.
16. 새우장아찌의 껍질을 깐 뒤, 국물과 함께 접시에 담아낸다.
17. 수육, 보쌈김치, 새우장아찌와 밥을 함께 낸다.</v>
      </c>
    </row>
    <row r="506">
      <c r="A506" s="2" t="str">
        <f>recipe!C506
</f>
        <v>돔비지마</v>
      </c>
      <c r="B506" s="2" t="str">
        <f>IFERROR(__xludf.DUMMYFUNCTION("TRIM(
  REGEXEXTRACT(
    raw!A506,
    ""●\s*조리\s*방법([\s\S]*)""
  )
)
"),"1. 감성돔 살을 적당한 크기로 썬다.
2. 핸드블렌더에 적당한 크기로 썬 감성돔 살, 자숙새우, 전복을 넣고 간다.
3. 간 해산물에 밀가루, 소금, 후추, 비지를 넣고 치대어 스테이크 반죽을 만든다.
4. 스테이크 반죽을 적당한 크기로 뭉쳐 기름을 두른 팬에 굽는다.
5. 올리브오일을 두른 접시에 돔 스테이크를 올린 뒤, 장어구이소스를 바른다.
6. 장어구이소스를 바른 돔 스테이크를 오븐에 넣고 익힌다.
7. 기름을 "&amp;"두른 팬에 적당한 크기로 썬 양파와 대파를 볶다가 뜨거운 물을 넣고 끓인다.
8. 끓인 재료와 고추를 핸드블렌더로 곱게 갈아 대파 퓌레를 만들어 체에 밭쳐 거른다.
9. 체에 거른 대파 퓌레에 소금과 후추를 뿌려 끓인다.
10. 대파 퓌레에 고추와 버터를 넣고 끓인다.
11. 인절미를 밀대로 얇게 민다.
12. 얇게 민 인절미를 기름에 튀긴 뒤, 건져서 기름기를 뺀다.
13. 양파, 대파, 마늘쫑 장아찌, 삶은 달걀을 잘"&amp;"게 다져 볼에 담고, 마요네즈와 섞어 타르타르소스를 만든다.
14. 접시에 대파 퓌레를 깔고, 오븐에서 익힌 돔 스테이크를 올린 뒤 타르타르소스를 얹는다.
15. 13 위에 인절미튀김을 올리고, 레몬껍질을 갈아서 뿌려 마무리한다.")</f>
        <v>1. 감성돔 살을 적당한 크기로 썬다.
2. 핸드블렌더에 적당한 크기로 썬 감성돔 살, 자숙새우, 전복을 넣고 간다.
3. 간 해산물에 밀가루, 소금, 후추, 비지를 넣고 치대어 스테이크 반죽을 만든다.
4. 스테이크 반죽을 적당한 크기로 뭉쳐 기름을 두른 팬에 굽는다.
5. 올리브오일을 두른 접시에 돔 스테이크를 올린 뒤, 장어구이소스를 바른다.
6. 장어구이소스를 바른 돔 스테이크를 오븐에 넣고 익힌다.
7. 기름을 두른 팬에 적당한 크기로 썬 양파와 대파를 볶다가 뜨거운 물을 넣고 끓인다.
8. 끓인 재료와 고추를 핸드블렌더로 곱게 갈아 대파 퓌레를 만들어 체에 밭쳐 거른다.
9. 체에 거른 대파 퓌레에 소금과 후추를 뿌려 끓인다.
10. 대파 퓌레에 고추와 버터를 넣고 끓인다.
11. 인절미를 밀대로 얇게 민다.
12. 얇게 민 인절미를 기름에 튀긴 뒤, 건져서 기름기를 뺀다.
13. 양파, 대파, 마늘쫑 장아찌, 삶은 달걀을 잘게 다져 볼에 담고, 마요네즈와 섞어 타르타르소스를 만든다.
14. 접시에 대파 퓌레를 깔고, 오븐에서 익힌 돔 스테이크를 올린 뒤 타르타르소스를 얹는다.
15. 13 위에 인절미튀김을 올리고, 레몬껍질을 갈아서 뿌려 마무리한다.</v>
      </c>
    </row>
    <row r="507">
      <c r="A507" s="2" t="str">
        <f>recipe!C507
</f>
        <v>마파 돔돔돔돔♬</v>
      </c>
      <c r="B507" s="2" t="str">
        <f>IFERROR(__xludf.DUMMYFUNCTION("TRIM(
  REGEXEXTRACT(
    raw!A507,
    ""●\s*조리\s*방법([\s\S]*)""
  )
)
"),"1. 감성돔의 살을 발라낸다.
2. 살을 발라낸 감성돔 뼈에 전분을 묻혀 기름에 튀긴다.
3. 핸드블렌더에 적당한 크기로 썬 감성돔 살과 오징어,
전분, 청주, 달걀노른자를 넣고 갈아 완자 반죽을 만든다.
4. 자숙새우와 전복을 잘게 썬다.
5. 잘게 썬 자숙새우와 전복, 완자 반죽과 전분을 넣고 치댄다.
6. 두부를 동그란 모양으로 파내 전분을 묻혀 튀긴다.
7. 튀긴 두부를 건져 기름기를 뺀다.
8. 완자 반죽"&amp;"을 동그랗게 떼어 기름에 튀긴다.
9. 전자레인지에 즉석밥을 넣고 데운다.
10. 핸드블렌더에 항정살, 마늘, 대파, 양파를 넣고 간다.
11. 고추기름과 식용유를 두른 팬에 채소와 함께 간 항정살, 두반장,
굴소스, 설탕, 맛술, 물을 넣고 끓여 마파소스를 만든다.
12. 기름에 튀긴 감성돔 뼈를 건져 기름기를 뺀다.
13. 완자튀김을 체에 밭쳐 기름기를 뺀다.
14. 마파소스에 간장을 넣는다.
15. 전자레인지"&amp;"에서 데운 즉석밥을 그릇에 담는다.
16. 마파소스에 전분물을 부어 농도를 조절한다.
17. 두부튀김과 완자튀김을 마파소스에 버무린다.
18. 접시에 감성돔 뼈 튀김을 올리고, 마파소스에 버무린 두부튀김과 완자튀김을 담는다.
19. 대파 흰 부분을 채썰어 올려 완성한다.")</f>
        <v>1. 감성돔의 살을 발라낸다.
2. 살을 발라낸 감성돔 뼈에 전분을 묻혀 기름에 튀긴다.
3. 핸드블렌더에 적당한 크기로 썬 감성돔 살과 오징어,
전분, 청주, 달걀노른자를 넣고 갈아 완자 반죽을 만든다.
4. 자숙새우와 전복을 잘게 썬다.
5. 잘게 썬 자숙새우와 전복, 완자 반죽과 전분을 넣고 치댄다.
6. 두부를 동그란 모양으로 파내 전분을 묻혀 튀긴다.
7. 튀긴 두부를 건져 기름기를 뺀다.
8. 완자 반죽을 동그랗게 떼어 기름에 튀긴다.
9. 전자레인지에 즉석밥을 넣고 데운다.
10. 핸드블렌더에 항정살, 마늘, 대파, 양파를 넣고 간다.
11. 고추기름과 식용유를 두른 팬에 채소와 함께 간 항정살, 두반장,
굴소스, 설탕, 맛술, 물을 넣고 끓여 마파소스를 만든다.
12. 기름에 튀긴 감성돔 뼈를 건져 기름기를 뺀다.
13. 완자튀김을 체에 밭쳐 기름기를 뺀다.
14. 마파소스에 간장을 넣는다.
15. 전자레인지에서 데운 즉석밥을 그릇에 담는다.
16. 마파소스에 전분물을 부어 농도를 조절한다.
17. 두부튀김과 완자튀김을 마파소스에 버무린다.
18. 접시에 감성돔 뼈 튀김을 올리고, 마파소스에 버무린 두부튀김과 완자튀김을 담는다.
19. 대파 흰 부분을 채썰어 올려 완성한다.</v>
      </c>
    </row>
    <row r="508">
      <c r="A508" s="2" t="str">
        <f>recipe!C508
</f>
        <v>짜장과 정열을 그대에게</v>
      </c>
      <c r="B508" s="2" t="str">
        <f>IFERROR(__xludf.DUMMYFUNCTION("TRIM(
  REGEXEXTRACT(
    raw!A508,
    ""●\s*조리\s*방법([\s\S]*)""
  )
)
"),"1. 두부를 적당한 크기로 썰어 튀긴다.
2. 볼에 밀가루, 소금, 물을 넣고 치대어 면 반죽을 만든다.
3. 끓인 기름에 춘장을 튀기듯이 볶는다.
4. 마늘은 다지고, 대파는 적당한 크기로 썬다.
5. 양파, 애호박, 항정살을 잘게 썬다.
6. 기름을 넉넉히 두른 팬에 손질한 마늘, 대파를 볶다가 항정살을 넣고 볶는다.
7. 볶던 재료에 간장, 손질한 채소, 튀기듯 볶은 춘장, 설탕, 굴소스를 넣고 볶아 짜장소스를 만든"&amp;"다.
8. 면 반죽을 밀대로 얇게 밀고, 적당한 두께로 썰어 삶는다.
9. 짜장소스에 전분물을 넣는다.
10. 튀긴 두부를 건져 짜장소스에 넣고 함께 볶는다.
11. 삶은 면을 찬물에 담가 식힌다.
12. 식힌 면을 다시 한 번 뜨거운 물에 담갔다가 그릇에 담는다.
13. 면과 짜장소스를 따로 담아낸다.")</f>
        <v>1. 두부를 적당한 크기로 썰어 튀긴다.
2. 볼에 밀가루, 소금, 물을 넣고 치대어 면 반죽을 만든다.
3. 끓인 기름에 춘장을 튀기듯이 볶는다.
4. 마늘은 다지고, 대파는 적당한 크기로 썬다.
5. 양파, 애호박, 항정살을 잘게 썬다.
6. 기름을 넉넉히 두른 팬에 손질한 마늘, 대파를 볶다가 항정살을 넣고 볶는다.
7. 볶던 재료에 간장, 손질한 채소, 튀기듯 볶은 춘장, 설탕, 굴소스를 넣고 볶아 짜장소스를 만든다.
8. 면 반죽을 밀대로 얇게 밀고, 적당한 두께로 썰어 삶는다.
9. 짜장소스에 전분물을 넣는다.
10. 튀긴 두부를 건져 짜장소스에 넣고 함께 볶는다.
11. 삶은 면을 찬물에 담가 식힌다.
12. 식힌 면을 다시 한 번 뜨거운 물에 담갔다가 그릇에 담는다.
13. 면과 짜장소스를 따로 담아낸다.</v>
      </c>
    </row>
    <row r="509">
      <c r="A509" s="2" t="str">
        <f>recipe!C509
</f>
        <v>낙지엄지척♬</v>
      </c>
      <c r="B509" s="2" t="str">
        <f>IFERROR(__xludf.DUMMYFUNCTION("TRIM(
  REGEXEXTRACT(
    raw!A509,
    ""●\s*조리\s*방법([\s\S]*)""
  )
)
"),"1. 냄비에 적당한 크기로 썬 무와 인스턴트 재첩국을 넣고 끓인다.
2. 핸드블렌더에 마늘을 넣고 간다.
3. 기름을 두른 팬에 손질한 무와 대파, 간 마늘을 넣고 볶는다.
4. 적당한 크기로 썬 소고기 등심과 손질한 낙지를 팬에 넣고 함께 볶는다..
5. 볶던 재료를 간장과 고춧가루로 양념한다.
6. 무와 애호박을 채 썬다.
7. 마른 팬에 채 썬 무와 애호박, 간 마늘, 소금, 후추를 넣고 볶는다.
8. 잘게 다"&amp;"진 조개젓에 식초, 참기름, 다진 대파를 넣고 섞는다.
9. 8에 볶은 무와 애호박, 올리브오일을 넣고 섞는다.
10. 볶은 낙지와 채소에 뜨거운 물을 붓고 끓인다.
11. 끓이던 낙지탕에 적당한 크기로 썬 전복과 무와 함께 끓인 재첩국을 넣고 함께 끓인다.
12. 그릇에 낙지탕을 담은 뒤, 애호박조개젓무침과 잘게 썬 대파를 올린다.
13. 데운 즉석밥을 그릇에 담고 잘게 썬 대파를 곁들여낸다.")</f>
        <v>1. 냄비에 적당한 크기로 썬 무와 인스턴트 재첩국을 넣고 끓인다.
2. 핸드블렌더에 마늘을 넣고 간다.
3. 기름을 두른 팬에 손질한 무와 대파, 간 마늘을 넣고 볶는다.
4. 적당한 크기로 썬 소고기 등심과 손질한 낙지를 팬에 넣고 함께 볶는다..
5. 볶던 재료를 간장과 고춧가루로 양념한다.
6. 무와 애호박을 채 썬다.
7. 마른 팬에 채 썬 무와 애호박, 간 마늘, 소금, 후추를 넣고 볶는다.
8. 잘게 다진 조개젓에 식초, 참기름, 다진 대파를 넣고 섞는다.
9. 8에 볶은 무와 애호박, 올리브오일을 넣고 섞는다.
10. 볶은 낙지와 채소에 뜨거운 물을 붓고 끓인다.
11. 끓이던 낙지탕에 적당한 크기로 썬 전복과 무와 함께 끓인 재첩국을 넣고 함께 끓인다.
12. 그릇에 낙지탕을 담은 뒤, 애호박조개젓무침과 잘게 썬 대파를 올린다.
13. 데운 즉석밥을 그릇에 담고 잘게 썬 대파를 곁들여낸다.</v>
      </c>
    </row>
    <row r="510">
      <c r="A510" s="2" t="str">
        <f>recipe!C510
</f>
        <v>무빙스타</v>
      </c>
      <c r="B510" s="2" t="str">
        <f>IFERROR(__xludf.DUMMYFUNCTION("TRIM(
  REGEXEXTRACT(
    raw!A510,
    ""●\s*조리\s*방법([\s\S]*)""
  )
)
"),"1. 삼겹살을 적당한 크기로 썬다.
2. 적당한 크기로 썬 삼겹살을 기름에 튀기듯이 볶는다.
3. 볶은 삼겹살을 체에 밭쳐 기름을 뺀다.
4. 무를 가늘게 채 썬다.
5. 무채에 소금으로 간 한다.
6. 소금으로 간 한 무채를 팬에 볶는다.
7. 볶던 무채에 잘게 썬 대파와 으깬 마늘, 삼겹살을 볶았던 기름을 넣고 볶는다.
8. 볶은 무채에 간장으로 간 한다.
9. 핸드블렌더에 고추장, 밀가루, 물을 넣고 갈아"&amp;" 빙떡반죽을 만든다.
10. 기름을 두른 팬에 반죽을 얇게 부쳐 고추장빙떡을 만든다.
11. 고추장빙떡을 뒤집어 부친다.
12. 핸드블렌더에 아몬드, 통조림옥수수, 마요네즈를 넣고 갈아 소스를 만든다.
13. 고추장빙떡에 볶은 무채와 삼겹살을 넣고 돌돌 만다.
14. 고추장빙떡말이를 적당한 크기로 썰어 접시에 올린다.
15. 소스를 얹어 마무리한다.")</f>
        <v>1. 삼겹살을 적당한 크기로 썬다.
2. 적당한 크기로 썬 삼겹살을 기름에 튀기듯이 볶는다.
3. 볶은 삼겹살을 체에 밭쳐 기름을 뺀다.
4. 무를 가늘게 채 썬다.
5. 무채에 소금으로 간 한다.
6. 소금으로 간 한 무채를 팬에 볶는다.
7. 볶던 무채에 잘게 썬 대파와 으깬 마늘, 삼겹살을 볶았던 기름을 넣고 볶는다.
8. 볶은 무채에 간장으로 간 한다.
9. 핸드블렌더에 고추장, 밀가루, 물을 넣고 갈아 빙떡반죽을 만든다.
10. 기름을 두른 팬에 반죽을 얇게 부쳐 고추장빙떡을 만든다.
11. 고추장빙떡을 뒤집어 부친다.
12. 핸드블렌더에 아몬드, 통조림옥수수, 마요네즈를 넣고 갈아 소스를 만든다.
13. 고추장빙떡에 볶은 무채와 삼겹살을 넣고 돌돌 만다.
14. 고추장빙떡말이를 적당한 크기로 썰어 접시에 올린다.
15. 소스를 얹어 마무리한다.</v>
      </c>
    </row>
    <row r="511">
      <c r="A511" s="2" t="str">
        <f>recipe!C511
</f>
        <v>퍼펙트 스튜</v>
      </c>
      <c r="B511" s="2" t="str">
        <f>IFERROR(__xludf.DUMMYFUNCTION("TRIM(
  REGEXEXTRACT(
    raw!A511,
    ""●\s*조리\s*방법([\s\S]*)""
  )
)
"),"1. 감자는 껍질을 벗겨 슬라이스 한 뒤, 소금을 넣은 끓는 물에 삶는다.
2. 기름을 두른 팬에 간 소고기를 볶는다.
3. 양파, 당근, 마늘을 잘게 썰어 간 소고기와 함께 볶는다.
4. 볶던 재료에 밀가루, 레드와인, 버터, 고추장을 넣고 볶아 소고기고추장스튜를 만든다.
5. 삶은 감자를 체에 밭쳐 물기를 뺀 뒤, 후추, 소금, 버터를 넣고 으깨 감자퓌레를 만든다.
6. 그릇에 소고기고추장스튜를 담는다.
7. 소고기고"&amp;"추장스튜 위에 감자퓌레를 올린다.
8. 적당한 크기로 썬 고추를 뿌려 마무리한다.")</f>
        <v>1. 감자는 껍질을 벗겨 슬라이스 한 뒤, 소금을 넣은 끓는 물에 삶는다.
2. 기름을 두른 팬에 간 소고기를 볶는다.
3. 양파, 당근, 마늘을 잘게 썰어 간 소고기와 함께 볶는다.
4. 볶던 재료에 밀가루, 레드와인, 버터, 고추장을 넣고 볶아 소고기고추장스튜를 만든다.
5. 삶은 감자를 체에 밭쳐 물기를 뺀 뒤, 후추, 소금, 버터를 넣고 으깨 감자퓌레를 만든다.
6. 그릇에 소고기고추장스튜를 담는다.
7. 소고기고추장스튜 위에 감자퓌레를 올린다.
8. 적당한 크기로 썬 고추를 뿌려 마무리한다.</v>
      </c>
    </row>
    <row r="512">
      <c r="A512" s="2" t="str">
        <f>recipe!C512
</f>
        <v>소면이 술술</v>
      </c>
      <c r="B512" s="2" t="str">
        <f>IFERROR(__xludf.DUMMYFUNCTION("TRIM(
  REGEXEXTRACT(
    raw!A512,
    ""●\s*조리\s*방법([\s\S]*)""
  )
)
"),"1. 무, 대파, 애호박, 고추 장아찌, 양파를 적당한 크기로 썰어 볼에 담는다.
2. 손질한 채소에 간장, 소금, 고춧가루를 넣고 버무려 양념한다.
3. 냄비에 적당한 크기로 썬 대파 흰 부분과 으깬 마늘을 넣고 볶는다.
4. 대파와 마늘을 볶은 냄비에 인스턴트 갈비탕을 체에 밭쳐 국물만 넣고 끓인다.
5. 4에 양념한 채소와 물을 넣고 함께 끓인다.
6. 살얼은 소고기 등심을 면처럼 길게 썬다.
7. 소고기면을 소금, 전"&amp;"분, 후추, 고추장아찌 국물로 양념한다.
8. 양념한 소고기면을 찜기에 찐다.
9. 냉이에 전분을 묻힌다.
10. 전분물을 만들어 전분을 묻힌 냉이 위에 한 번 더 입혀서 기름에 튀긴다.
11. 튀긴 냉이를 체에 밭쳐 기름기를 빼고, 소금을 뿌린다.
12. 전자레인지에 즉석밥을 돌린다.
13. 찐 소고기면을 건져 끓이던 국물에 넣고, 잘게 썬 고추를 넣어 육개장을 만든다.
14. 육개장에 고춧가루, 잘게 썬 시금치를"&amp;" 넣고 끓인다.
15. 그릇에 밥과 냉이튀김을 각각 담아낸다.
16. 뚝배기에 육개장을 담아 끓이다가 고춧가루를 뿌려 마무리한다.")</f>
        <v>1. 무, 대파, 애호박, 고추 장아찌, 양파를 적당한 크기로 썰어 볼에 담는다.
2. 손질한 채소에 간장, 소금, 고춧가루를 넣고 버무려 양념한다.
3. 냄비에 적당한 크기로 썬 대파 흰 부분과 으깬 마늘을 넣고 볶는다.
4. 대파와 마늘을 볶은 냄비에 인스턴트 갈비탕을 체에 밭쳐 국물만 넣고 끓인다.
5. 4에 양념한 채소와 물을 넣고 함께 끓인다.
6. 살얼은 소고기 등심을 면처럼 길게 썬다.
7. 소고기면을 소금, 전분, 후추, 고추장아찌 국물로 양념한다.
8. 양념한 소고기면을 찜기에 찐다.
9. 냉이에 전분을 묻힌다.
10. 전분물을 만들어 전분을 묻힌 냉이 위에 한 번 더 입혀서 기름에 튀긴다.
11. 튀긴 냉이를 체에 밭쳐 기름기를 빼고, 소금을 뿌린다.
12. 전자레인지에 즉석밥을 돌린다.
13. 찐 소고기면을 건져 끓이던 국물에 넣고, 잘게 썬 고추를 넣어 육개장을 만든다.
14. 육개장에 고춧가루, 잘게 썬 시금치를 넣고 끓인다.
15. 그릇에 밥과 냉이튀김을 각각 담아낸다.
16. 뚝배기에 육개장을 담아 끓이다가 고춧가루를 뿌려 마무리한다.</v>
      </c>
    </row>
    <row r="513">
      <c r="A513" s="2" t="str">
        <f>recipe!C513
</f>
        <v>박살면</v>
      </c>
      <c r="B513" s="2" t="str">
        <f>IFERROR(__xludf.DUMMYFUNCTION("TRIM(
  REGEXEXTRACT(
    raw!A513,
    ""●\s*조리\s*방법([\s\S]*)""
  )
)
"),"1. 어포를 직화로 굽고, 핸드블렌더로 간다.
2. 볼에 어포가루, 밀가루, 뜨거운 물을 넣고 치대어 익반죽한 뒤, 숙성시킨다.
3. 마늘은 다지고, 대파, 애호박, 양파, 고추를 잘게 썬다.
4. 삼겹살의 살코기와 비계를 분리한 뒤, 비계만 핸드블렌더로 간다.
5. 마른 팬에 간 비계를 볶는다.
6. 삼겹살 살코기와 오징어를 잘게 썰어 비계를 볶던 팬에 함께 볶는다.
7. 6에 간장, 손질한 채소, 멸치육수를 넣고 볶아"&amp;" 오징어삼겹살볶음을 만든다.
8. 맛술, 멸치액젓, 액상조미료, 후추, 잘게 썬 고추와 대파, 설탕을 섞어 소스를 만든다.
9. 오징어삼겹살볶음에 소스를 넣고 볶는다.
10. 숙성시킨 어포면반죽을 밀대로 얇게 민 뒤, 가늘게 썰어 어포면을 만든다.
11. 어포면을 체 사이에 끼워 그릇모양으로 만든 뒤, 기름에 튀긴다.
12. 튀긴 면을 건져 기름기를 뺀다.
13. 그릇에 오징어삼겹살볶음을 담는다.
14. 대파 흰 부"&amp;"분을 가늘게 채 썰어 오징어삼겹살볶음 위에 올린다.
15. 14 위에 튀긴 면을 올려 마무리한다.")</f>
        <v>1. 어포를 직화로 굽고, 핸드블렌더로 간다.
2. 볼에 어포가루, 밀가루, 뜨거운 물을 넣고 치대어 익반죽한 뒤, 숙성시킨다.
3. 마늘은 다지고, 대파, 애호박, 양파, 고추를 잘게 썬다.
4. 삼겹살의 살코기와 비계를 분리한 뒤, 비계만 핸드블렌더로 간다.
5. 마른 팬에 간 비계를 볶는다.
6. 삼겹살 살코기와 오징어를 잘게 썰어 비계를 볶던 팬에 함께 볶는다.
7. 6에 간장, 손질한 채소, 멸치육수를 넣고 볶아 오징어삼겹살볶음을 만든다.
8. 맛술, 멸치액젓, 액상조미료, 후추, 잘게 썬 고추와 대파, 설탕을 섞어 소스를 만든다.
9. 오징어삼겹살볶음에 소스를 넣고 볶는다.
10. 숙성시킨 어포면반죽을 밀대로 얇게 민 뒤, 가늘게 썰어 어포면을 만든다.
11. 어포면을 체 사이에 끼워 그릇모양으로 만든 뒤, 기름에 튀긴다.
12. 튀긴 면을 건져 기름기를 뺀다.
13. 그릇에 오징어삼겹살볶음을 담는다.
14. 대파 흰 부분을 가늘게 채 썰어 오징어삼겹살볶음 위에 올린다.
15. 14 위에 튀긴 면을 올려 마무리한다.</v>
      </c>
    </row>
    <row r="514">
      <c r="A514" s="2" t="str">
        <f>recipe!C514
</f>
        <v>아빠의 바다</v>
      </c>
      <c r="B514" s="2" t="str">
        <f>IFERROR(__xludf.DUMMYFUNCTION("TRIM(
  REGEXEXTRACT(
    raw!A514,
    ""●\s*조리\s*방법([\s\S]*)""
  )
)
"),"1. 끓는 물에 전복을 삶는다.
2. 대파 흰 부분을 적당한 크기로 썰어 기름에 튀긴다.
3. 2에 고춧가루, 양파를 넣고 튀겨 고추기름을 낸다.
4. 고추기름을 체에 밭쳐 기름만 빼낸다.
5. 양파를 적당한 크기로 썰어 한 겹씩 분리한다.
6. 양파, 대파, 마늘을 잘게 썬다.
7. 팬에 고추기름을 두른 뒤, 손질한 채소와 케첩, 물, 메이플시럽, 굴소스를 넣고 졸여 칠리소스를 만든다.
8. 오징어를 손질해 끓는 "&amp;"물에 데친다.
9. 삶은 전복과 데친 오징어를 찬물에 헹군다.
10. 삶은 전복은 살을 분리해 칼집을 낸다.
11. 칼집 낸 전복살을 칠리소스에 넣고 조린다.
12. 양파와 파프리카를 채 썬다.
13. 데친 오징어의 껍질을 벗겨내고 격자로 촘촘하게 칼집을 낸 뒤, 길게 썬다.
14. 삶은 전복을 적당한 크기로 썬다.
15. 손질한 채소, 오징어, 전복에 고추장, 참기름, 굴소스, 메이플시럽을 넣고 버무려 냉채를 만든"&amp;"다.
16. 한 겹씩 분리한 양파 위에 양념에 버무린 전복&amp;오징어냉채를 올려 접시에 담는다.
17. 전복껍데기 위에 칠리전복을 올려 접시에 담는다.
18. 잘게 썬 고추를 전복냉채와 칠리전복 위에 얹어 마무리한다.")</f>
        <v>1. 끓는 물에 전복을 삶는다.
2. 대파 흰 부분을 적당한 크기로 썰어 기름에 튀긴다.
3. 2에 고춧가루, 양파를 넣고 튀겨 고추기름을 낸다.
4. 고추기름을 체에 밭쳐 기름만 빼낸다.
5. 양파를 적당한 크기로 썰어 한 겹씩 분리한다.
6. 양파, 대파, 마늘을 잘게 썬다.
7. 팬에 고추기름을 두른 뒤, 손질한 채소와 케첩, 물, 메이플시럽, 굴소스를 넣고 졸여 칠리소스를 만든다.
8. 오징어를 손질해 끓는 물에 데친다.
9. 삶은 전복과 데친 오징어를 찬물에 헹군다.
10. 삶은 전복은 살을 분리해 칼집을 낸다.
11. 칼집 낸 전복살을 칠리소스에 넣고 조린다.
12. 양파와 파프리카를 채 썬다.
13. 데친 오징어의 껍질을 벗겨내고 격자로 촘촘하게 칼집을 낸 뒤, 길게 썬다.
14. 삶은 전복을 적당한 크기로 썬다.
15. 손질한 채소, 오징어, 전복에 고추장, 참기름, 굴소스, 메이플시럽을 넣고 버무려 냉채를 만든다.
16. 한 겹씩 분리한 양파 위에 양념에 버무린 전복&amp;오징어냉채를 올려 접시에 담는다.
17. 전복껍데기 위에 칠리전복을 올려 접시에 담는다.
18. 잘게 썬 고추를 전복냉채와 칠리전복 위에 얹어 마무리한다.</v>
      </c>
    </row>
    <row r="515">
      <c r="A515" s="2" t="str">
        <f>recipe!C515
</f>
        <v>엄마의 바다</v>
      </c>
      <c r="B515" s="2" t="str">
        <f>IFERROR(__xludf.DUMMYFUNCTION("TRIM(
  REGEXEXTRACT(
    raw!A515,
    ""●\s*조리\s*방법([\s\S]*)""
  )
)
"),"1. 양념돼지갈비에 잘게 칼집을 낸 뒤, 적당한 크기로 썬다.
2. 끓는 물에 손질한 양념돼지갈비와 소갈빗살, 설탕, 간장, 대파,
양파, 씨를 발라낸 대추, 당근을 넣고 익힌다.
3. 전복의 살과 껍데기를 분리한다.
4. 갈비찜에 전복 껍데기를 넣고 끓인다.
5. 전복살은 칼집을 낸 뒤, 갈비찜에 넣고 끓인다.
6. 갈비찜에 통마늘을 .넣고 함께 끓인다.
7. 갈비찜에 매실원액을 넣고 끓인다.
8. 적당한 크기로"&amp;" 썬 전복살에 밀가루와 물을 섞은 튀김옷을 입혀 기름에 튀긴다.
9. 튀긴 전복을 건진 뒤, 체에 밭쳐 기름기를 뺀다.
10. 설탕, 식초, 깨를 밥에 섞는다.
11. 김발 위에 배추김치를 펴고 양념한 밥 &gt; 깻잎장아찌 &gt; 전복튀김 순으로 올려 반으로 접어 감싼다.
12. 김치전복말이를 적당한 크기로 썰어 접시에 담는다.
13. 전복갈비찜에 전분물을 푼다.
14. 전복갈비찜을 그릇에 담아낸다.")</f>
        <v>1. 양념돼지갈비에 잘게 칼집을 낸 뒤, 적당한 크기로 썬다.
2. 끓는 물에 손질한 양념돼지갈비와 소갈빗살, 설탕, 간장, 대파,
양파, 씨를 발라낸 대추, 당근을 넣고 익힌다.
3. 전복의 살과 껍데기를 분리한다.
4. 갈비찜에 전복 껍데기를 넣고 끓인다.
5. 전복살은 칼집을 낸 뒤, 갈비찜에 넣고 끓인다.
6. 갈비찜에 통마늘을 .넣고 함께 끓인다.
7. 갈비찜에 매실원액을 넣고 끓인다.
8. 적당한 크기로 썬 전복살에 밀가루와 물을 섞은 튀김옷을 입혀 기름에 튀긴다.
9. 튀긴 전복을 건진 뒤, 체에 밭쳐 기름기를 뺀다.
10. 설탕, 식초, 깨를 밥에 섞는다.
11. 김발 위에 배추김치를 펴고 양념한 밥 &gt; 깻잎장아찌 &gt; 전복튀김 순으로 올려 반으로 접어 감싼다.
12. 김치전복말이를 적당한 크기로 썰어 접시에 담는다.
13. 전복갈비찜에 전분물을 푼다.
14. 전복갈비찜을 그릇에 담아낸다.</v>
      </c>
    </row>
    <row r="516">
      <c r="A516" s="2" t="str">
        <f>recipe!C516
</f>
        <v>믿어주길 바라♬</v>
      </c>
      <c r="B516" s="2" t="str">
        <f>IFERROR(__xludf.DUMMYFUNCTION("TRIM(
  REGEXEXTRACT(
    raw!A516,
    ""●\s*조리\s*방법([\s\S]*)""
  )
)
"),"1. 소금을 넣은 끓는 물에 달걀을 삶는다.
2. 뜨거운 물에 옥수수수프 분말을 갠 뒤, 얼음물 위에 놓고 우유를 섞어 크림소스를 만든다.
3. 포도, 천혜향을 손질한 뒤 올리브오일, 석류식초, 후추를 넣고 절여둔다.
4. 팬케이크 가루에 물을 섞어 반죽을 만든다.
5. 팬케이크 반죽을 체에 내려 기름에 튀긴다.
6. 튀긴 팬케이크 반죽을 체에 밭쳐 기름기를 뺀다.
7. 절인 천혜향에 설탕을 뿌린 뒤 토치로 직화한다.
"&amp;"
8. 직화한 천혜향을 냉동실에 넣어 차게 만든다.
9. 채끝등심에 후추, 소금으로 간을 한 뒤 기름을 두른 팬에 굽는다.
10. 블랙올리브 페이스트, 된장, 올리브오일, 설탕, 식초, 다진 마늘,
잘게 썬 무장아찌와 고추장아찌를 섞어 된장소스를 만든다.
11. 해시 브라운 포테이토를 원형틀로 찍어낸 뒤 기름에 튀긴다.
12. 튀긴 해시 브라운 포테이토를 체에 밭쳐 기름기를 뺀다.
13. 삶은 달걀을 으깬 뒤 마요네즈, 소"&amp;"금, 후추를 섞어 소스를 만든다.
14. 접시에 차게 식힌 크림소스를 두르고, 튀긴 해시 브라운 포테이토를 올린다.
15. 14에 달걀마요네즈소스를 올린 뒤 절인 포도를 곁들인다.
16. 15 위에 캐비아와 잘게 썬 대파를 올린다.
17. 차게 만든 천혜향에 식힌 크림소스를 붓는다.
18. 17 위에 튀긴 팬케이크 반죽, 말린 과일칩을 올린다.
19. 채 썬 양파, 대파를 된장소스에 넣고 버무린다.
20. 적당한 크"&amp;"기로 썬 채끝등심을 접시에 담고, 된장소스에 버무린 채소를 올린다.
21. 스테이크 위에 얇게 썬 양파를 올린다.
22. 스테이크 위에 참기름을 뿌려 마무리한다.")</f>
        <v>1. 소금을 넣은 끓는 물에 달걀을 삶는다.
2. 뜨거운 물에 옥수수수프 분말을 갠 뒤, 얼음물 위에 놓고 우유를 섞어 크림소스를 만든다.
3. 포도, 천혜향을 손질한 뒤 올리브오일, 석류식초, 후추를 넣고 절여둔다.
4. 팬케이크 가루에 물을 섞어 반죽을 만든다.
5. 팬케이크 반죽을 체에 내려 기름에 튀긴다.
6. 튀긴 팬케이크 반죽을 체에 밭쳐 기름기를 뺀다.
7. 절인 천혜향에 설탕을 뿌린 뒤 토치로 직화한다.
8. 직화한 천혜향을 냉동실에 넣어 차게 만든다.
9. 채끝등심에 후추, 소금으로 간을 한 뒤 기름을 두른 팬에 굽는다.
10. 블랙올리브 페이스트, 된장, 올리브오일, 설탕, 식초, 다진 마늘,
잘게 썬 무장아찌와 고추장아찌를 섞어 된장소스를 만든다.
11. 해시 브라운 포테이토를 원형틀로 찍어낸 뒤 기름에 튀긴다.
12. 튀긴 해시 브라운 포테이토를 체에 밭쳐 기름기를 뺀다.
13. 삶은 달걀을 으깬 뒤 마요네즈, 소금, 후추를 섞어 소스를 만든다.
14. 접시에 차게 식힌 크림소스를 두르고, 튀긴 해시 브라운 포테이토를 올린다.
15. 14에 달걀마요네즈소스를 올린 뒤 절인 포도를 곁들인다.
16. 15 위에 캐비아와 잘게 썬 대파를 올린다.
17. 차게 만든 천혜향에 식힌 크림소스를 붓는다.
18. 17 위에 튀긴 팬케이크 반죽, 말린 과일칩을 올린다.
19. 채 썬 양파, 대파를 된장소스에 넣고 버무린다.
20. 적당한 크기로 썬 채끝등심을 접시에 담고, 된장소스에 버무린 채소를 올린다.
21. 스테이크 위에 얇게 썬 양파를 올린다.
22. 스테이크 위에 참기름을 뿌려 마무리한다.</v>
      </c>
    </row>
    <row r="517">
      <c r="A517" s="2" t="str">
        <f>recipe!C517
</f>
        <v>아임 쇼 맨♬</v>
      </c>
      <c r="B517" s="2" t="str">
        <f>IFERROR(__xludf.DUMMYFUNCTION("TRIM(
  REGEXEXTRACT(
    raw!A517,
    ""●\s*조리\s*방법([\s\S]*)""
  )
)
"),"1. 연시에 물과 마누카 꿀을 넣고, 얼음물 위에 올려 차게 만든다.
2. 황태포, 해시 브라운 포테이토를 전자레인지에 넣고 돌린다.
3. 잘게 다진 양파에 레몬즙, 마요네즈를 넣고 섞는다.
4. 해시 브라운 포테이토를 으깬 뒤, 마요네즈 소스를 넣고 섞는다.
5. 황태포를 믹서기에 간 뒤, 양념한 해시 브라운 포테이토와 함께 섞는다.
6. 굴비를 손질한다.
7. 손질한 굴비에 밀가루를 묻힌 뒤, 기름을 두른 팬에 굽다가"&amp;" 청주를 붓는다.
8. 삼겹살을 적당한 크기로 썰어 냄비에 넣고 굽는다.
9. 굽던 삼겹살에 손질한 마늘, 고추, 대파를 넣고 볶는다.
10. 볶던 재료에 고춧가루와 구운 굴비, 간장, 맛술, 물, 설탕을 넣고 조린다.
11. 파프리카는 껍질을 벗겨내고 잘게 다진다.
12. 잘게 다진 파프리카에 소금, 매실원액을 넣고 섞는다.
13. 접시에 양념한 해시 브라운 포테이토를 담고, 매실원액과 섞은 파프리카를 곁들인다.
"&amp;"14. 양념한 해시 브라운 포테이토에 캐비아를 올린다.
15. 달걀노른자만 분리한 뒤 전자레인지에 돌려 익힌다.
16. 꿀에 절인 연시, 잘게 다진 참외를 그릇에 담는다.
17. 매실원액에 연유를 섞은 뒤, 연시 위에 뿌려준다.
18. 굴비삼겹살조림을 접시에 담는다.
19. 익힌 달걀노른자를 잘게 부순 뒤 캐비아 위에 올린다.")</f>
        <v>1. 연시에 물과 마누카 꿀을 넣고, 얼음물 위에 올려 차게 만든다.
2. 황태포, 해시 브라운 포테이토를 전자레인지에 넣고 돌린다.
3. 잘게 다진 양파에 레몬즙, 마요네즈를 넣고 섞는다.
4. 해시 브라운 포테이토를 으깬 뒤, 마요네즈 소스를 넣고 섞는다.
5. 황태포를 믹서기에 간 뒤, 양념한 해시 브라운 포테이토와 함께 섞는다.
6. 굴비를 손질한다.
7. 손질한 굴비에 밀가루를 묻힌 뒤, 기름을 두른 팬에 굽다가 청주를 붓는다.
8. 삼겹살을 적당한 크기로 썰어 냄비에 넣고 굽는다.
9. 굽던 삼겹살에 손질한 마늘, 고추, 대파를 넣고 볶는다.
10. 볶던 재료에 고춧가루와 구운 굴비, 간장, 맛술, 물, 설탕을 넣고 조린다.
11. 파프리카는 껍질을 벗겨내고 잘게 다진다.
12. 잘게 다진 파프리카에 소금, 매실원액을 넣고 섞는다.
13. 접시에 양념한 해시 브라운 포테이토를 담고, 매실원액과 섞은 파프리카를 곁들인다.
14. 양념한 해시 브라운 포테이토에 캐비아를 올린다.
15. 달걀노른자만 분리한 뒤 전자레인지에 돌려 익힌다.
16. 꿀에 절인 연시, 잘게 다진 참외를 그릇에 담는다.
17. 매실원액에 연유를 섞은 뒤, 연시 위에 뿌려준다.
18. 굴비삼겹살조림을 접시에 담는다.
19. 익힌 달걀노른자를 잘게 부순 뒤 캐비아 위에 올린다.</v>
      </c>
    </row>
    <row r="518">
      <c r="A518" s="2" t="str">
        <f>recipe!C518
</f>
        <v>골뱅이 완전히 새됐어♬</v>
      </c>
      <c r="B518" s="2" t="str">
        <f>IFERROR(__xludf.DUMMYFUNCTION("TRIM(
  REGEXEXTRACT(
    raw!A518,
    ""●\s*조리\s*방법([\s\S]*)""
  )
)
"),"1. 핸드블렌더에 밀가루, 뜨거운 물을 넣고 돌려 익반죽한다.
2. 반죽을 치댄 뒤, 숙성시킨다.
3. 숙성한 반죽을 밀대로 얇게 민 뒤, 원형틀로 찍어 만두피를 만든다.
4. 핸드블랜더에 골뱅이국물과 녹인 버터, 적당한 크기로 썬 삼겹살을 넣고 간다.
5. 간 삼겹살에 적당한 크기로 썬 골뱅이와 씻은 김치, 설탕, 고춧가루, 간장을 넣고 섞어 만두소를 만든다.
6. 만두피에 골뱅이만두소를 넣고 모양을 빚는다.
7. 기름"&amp;"을 두른 팬에 골뱅이만두를 굽는다.
8. 골뱅이만두를 굽는 팬에 전분물을 붓는다.
9. 분홍소시지를 적당한 크기로 썬 뒤, 골뱅이날개만두에 곁들이고 뚜껑을 덮어 굽는다.
10. 식초, 설탕, 간장, 잘게 썬 청양고추를 섞어 초간장을 만든다.
11. 골뱅이날개만두를 접시에 담고 초간장을 곁들여 낸다.")</f>
        <v>1. 핸드블렌더에 밀가루, 뜨거운 물을 넣고 돌려 익반죽한다.
2. 반죽을 치댄 뒤, 숙성시킨다.
3. 숙성한 반죽을 밀대로 얇게 민 뒤, 원형틀로 찍어 만두피를 만든다.
4. 핸드블랜더에 골뱅이국물과 녹인 버터, 적당한 크기로 썬 삼겹살을 넣고 간다.
5. 간 삼겹살에 적당한 크기로 썬 골뱅이와 씻은 김치, 설탕, 고춧가루, 간장을 넣고 섞어 만두소를 만든다.
6. 만두피에 골뱅이만두소를 넣고 모양을 빚는다.
7. 기름을 두른 팬에 골뱅이만두를 굽는다.
8. 골뱅이만두를 굽는 팬에 전분물을 붓는다.
9. 분홍소시지를 적당한 크기로 썬 뒤, 골뱅이날개만두에 곁들이고 뚜껑을 덮어 굽는다.
10. 식초, 설탕, 간장, 잘게 썬 청양고추를 섞어 초간장을 만든다.
11. 골뱅이날개만두를 접시에 담고 초간장을 곁들여 낸다.</v>
      </c>
    </row>
    <row r="519">
      <c r="A519" s="2" t="str">
        <f>recipe!C519
</f>
        <v>골뱅이 프린세스</v>
      </c>
      <c r="B519" s="2" t="str">
        <f>IFERROR(__xludf.DUMMYFUNCTION("TRIM(
  REGEXEXTRACT(
    raw!A519,
    ""●\s*조리\s*방법([\s\S]*)""
  )
)
"),"1. 골뱅이와 비엔나소시지를 적당한 크기로 썬다.
2. 기름을 두른 팬에 골뱅이와 비엔나소시지를 볶는다.
3. 볶던 재료에 버터, 편으로 썬 마늘, 소금, 후추를 넣고 볶는다.
4. 밀가루, 버터, 플레인요거트를 넣고 치대어 반죽을 만든 뒤, 밀대로 얇게 민다.
5. 볶던 재료에 화이트와인, 간장, 전분물을 넣고 끓인다.
6. 그릇에 골뱅이볶음을 담고, 크림치즈를 올린다.
7. 골뱅이볶음이 담긴 그릇 위에 얇게 민 반죽을"&amp;" 씌운 뒤, 모차렐라치즈를 얹는다.
8. 7을 오븐에 굽는다.
9. 빵 반죽을 덮어 오븐에 구운 골뱅이볶음을 꺼낸 뒤, 빵 위에 버터를 바른다.
10. 청양고추를 어슷하게 썰어 빵 위에 올려 마무리한다.")</f>
        <v>1. 골뱅이와 비엔나소시지를 적당한 크기로 썬다.
2. 기름을 두른 팬에 골뱅이와 비엔나소시지를 볶는다.
3. 볶던 재료에 버터, 편으로 썬 마늘, 소금, 후추를 넣고 볶는다.
4. 밀가루, 버터, 플레인요거트를 넣고 치대어 반죽을 만든 뒤, 밀대로 얇게 민다.
5. 볶던 재료에 화이트와인, 간장, 전분물을 넣고 끓인다.
6. 그릇에 골뱅이볶음을 담고, 크림치즈를 올린다.
7. 골뱅이볶음이 담긴 그릇 위에 얇게 민 반죽을 씌운 뒤, 모차렐라치즈를 얹는다.
8. 7을 오븐에 굽는다.
9. 빵 반죽을 덮어 오븐에 구운 골뱅이볶음을 꺼낸 뒤, 빵 위에 버터를 바른다.
10. 청양고추를 어슷하게 썰어 빵 위에 올려 마무리한다.</v>
      </c>
    </row>
    <row r="520">
      <c r="A520" s="2" t="str">
        <f>recipe!C520
</f>
        <v>맵단세트</v>
      </c>
      <c r="B520" s="2" t="str">
        <f>IFERROR(__xludf.DUMMYFUNCTION("TRIM(
  REGEXEXTRACT(
    raw!A520,
    ""●\s*조리\s*방법([\s\S]*)""
  )
)
"),"1. 버터를 두른 팬에 적당한 크기로 썬 양파와 대파를 볶는다.
2. 볶던 채소에 고춧가루, 고추장, 간장을 넣고 끓여 떡볶이 양념을 만든다.
3. 떡볶이 양념에 불린 떡국떡과 물을 넣고 끓인다.
4. 통삼겹살을 적당한 크기로 썬다.
5. 적당한 크기로 썬 통삼겹살에 맛소금을 뿌린 뒤, 전분을 골고루 입힌다.
6. 전분을 입힌 통삼겹살을 기름에 튀긴다.
7. 사과는 껍질을 벗겨내고, 적당한 크기로 썰어 핸드블랜더로 곱게 "&amp;"간다.
8. 삼겹살튀김을 체에 밭쳐 기름을 빼낸다.
9. 삼겹살튀김에 곱게 간 사과를 넣고 볶는다.
10. 껍질을 벗긴 사과를 얇게 썰어 팬에 넣고 함께 볶는다.
11. 10에 설탕과 계피가루를 넣고 볶는다.
12. 끓이던 떡볶이에 맛소금을 넣는다.
13. 끓이던 떡볶이에 짜장라면수프를 넣는다.
14. 끓이던 떡볶이에 설탕을 넣는다.
15. 그릇에 삼겹살사과볶음과 떡볶이를 각각 담는다.")</f>
        <v>1. 버터를 두른 팬에 적당한 크기로 썬 양파와 대파를 볶는다.
2. 볶던 채소에 고춧가루, 고추장, 간장을 넣고 끓여 떡볶이 양념을 만든다.
3. 떡볶이 양념에 불린 떡국떡과 물을 넣고 끓인다.
4. 통삼겹살을 적당한 크기로 썬다.
5. 적당한 크기로 썬 통삼겹살에 맛소금을 뿌린 뒤, 전분을 골고루 입힌다.
6. 전분을 입힌 통삼겹살을 기름에 튀긴다.
7. 사과는 껍질을 벗겨내고, 적당한 크기로 썰어 핸드블랜더로 곱게 간다.
8. 삼겹살튀김을 체에 밭쳐 기름을 빼낸다.
9. 삼겹살튀김에 곱게 간 사과를 넣고 볶는다.
10. 껍질을 벗긴 사과를 얇게 썰어 팬에 넣고 함께 볶는다.
11. 10에 설탕과 계피가루를 넣고 볶는다.
12. 끓이던 떡볶이에 맛소금을 넣는다.
13. 끓이던 떡볶이에 짜장라면수프를 넣는다.
14. 끓이던 떡볶이에 설탕을 넣는다.
15. 그릇에 삼겹살사과볶음과 떡볶이를 각각 담는다.</v>
      </c>
    </row>
    <row r="521">
      <c r="A521" s="2" t="str">
        <f>recipe!C521
</f>
        <v>니가 젓소</v>
      </c>
      <c r="B521" s="2" t="str">
        <f>IFERROR(__xludf.DUMMYFUNCTION("TRIM(
  REGEXEXTRACT(
    raw!A521,
    ""●\s*조리\s*방법([\s\S]*)""
  )
)
"),"1. 전분, 밀가루와 달걀, 물을 섞어 튀김옷을 만든다.
2. 분홍소시지를 적당한 크기로 썰어 튀김옷을 입힌다.
3. 떡볶이 떡을 반으로 자른다.
4. 기름을 두른 팬에 오징어젓, 고춧가루, 설탕을 넣고 볶다가 떡볶이 떡과 물을 넣고 볶는다.
5. 채소수프분말을 체에 밭쳐 채소건더기를 걸러낸다.
6. 끓는 물에 채소수프 분말을 풀어 끓인다.
7. 튀김옷을 입힌 분홍소시지를 기름에 넣고 튀긴다.
8. 케첩, 설탕, 다"&amp;"진 마늘을 섞은 뒤, 기름을 두른 팬에 볶아 강정소스를 만든다.
9. 강정소스에 채 썬 양파와 잘게 다진 견과류멸치볶음을 넣는다.
10. 강정소스에 분홍소시지튀김, 물엿, 참기름을 넣고 섞어 소시지강정을 만든다.
11. 잘게 썬 고추와 낙지젓을 떡볶이에 넣고 볶는다.
12. 그릇에 소시지강정과 젓갈떡볶이를 각각 담고, 소시지강정 위에 잘게 썬 대파를 올린다.
13. 끓이던 수프에 모차렐라치즈를 넣어 크림치즈소스를 만든다.
"&amp;"
14. 크림치즈소스를 그릇에 담고, 고춧가루를 뿌려 마무리한다.")</f>
        <v>1. 전분, 밀가루와 달걀, 물을 섞어 튀김옷을 만든다.
2. 분홍소시지를 적당한 크기로 썰어 튀김옷을 입힌다.
3. 떡볶이 떡을 반으로 자른다.
4. 기름을 두른 팬에 오징어젓, 고춧가루, 설탕을 넣고 볶다가 떡볶이 떡과 물을 넣고 볶는다.
5. 채소수프분말을 체에 밭쳐 채소건더기를 걸러낸다.
6. 끓는 물에 채소수프 분말을 풀어 끓인다.
7. 튀김옷을 입힌 분홍소시지를 기름에 넣고 튀긴다.
8. 케첩, 설탕, 다진 마늘을 섞은 뒤, 기름을 두른 팬에 볶아 강정소스를 만든다.
9. 강정소스에 채 썬 양파와 잘게 다진 견과류멸치볶음을 넣는다.
10. 강정소스에 분홍소시지튀김, 물엿, 참기름을 넣고 섞어 소시지강정을 만든다.
11. 잘게 썬 고추와 낙지젓을 떡볶이에 넣고 볶는다.
12. 그릇에 소시지강정과 젓갈떡볶이를 각각 담고, 소시지강정 위에 잘게 썬 대파를 올린다.
13. 끓이던 수프에 모차렐라치즈를 넣어 크림치즈소스를 만든다.
14. 크림치즈소스를 그릇에 담고, 고춧가루를 뿌려 마무리한다.</v>
      </c>
    </row>
    <row r="522">
      <c r="A522" s="2" t="str">
        <f>recipe!C522
</f>
        <v>오늘 밤 안주는 나야 나♬</v>
      </c>
      <c r="B522" s="2" t="str">
        <f>IFERROR(__xludf.DUMMYFUNCTION("TRIM(
  REGEXEXTRACT(
    raw!A522,
    ""●\s*조리\s*방법([\s\S]*)""
  )
)
"),"1. 냄비에 설탕과 물을 넣고 끓여 시럽을 만든다.
2. 핸드블렌더에 달걀노른자, 밀가루, 플레인 요거트, 소금, 설탕,
버터를 넣고 갈아 타르트 반죽을 만든다.
3. 달걀흰자에 레몬즙을 넣고 거품기로 저어 머랭을 친다.
4. 타르트 반죽에 밀가루를 더해 치댄다.
5. 타르트 반죽을 적당량 떼어낸 뒤, 마른 팬에 넓게 펼쳐 굽는다.
6. 레몬즙을 넣은 달걀흰자에 끓인 시럽을 부어가며 저어 이탈리안 머랭을 만든다.
7. "&amp;"핸드블렌더에 손질한 아보카도, 마스카르포네 치즈, 레몬즙, 설탕을 넣고 갈아 아보카도 크림을 만든다.
8. 접시에 구운 타르트 반죽을 올린다.
9. 아보카도 크림에 이탈리안 머랭을 넣고 섞는다.
10. 이탈리안 머랭을 섞은 아보카도 크림을 구운 타르트 위에 얹는다.
11. 10 위에 이탈리안 머랭을 얹고 토치로 직화한다.
12. 끓인 시럽을 포크로 가늘고 길게 늘어뜨려 엔젤헤어를 만든다.
13. 엔젤헤어를 동그랗게 뭉친 "&amp;"뒤, 구운 이탈리안 머랭 위에 올려 완성한다.")</f>
        <v>1. 냄비에 설탕과 물을 넣고 끓여 시럽을 만든다.
2. 핸드블렌더에 달걀노른자, 밀가루, 플레인 요거트, 소금, 설탕,
버터를 넣고 갈아 타르트 반죽을 만든다.
3. 달걀흰자에 레몬즙을 넣고 거품기로 저어 머랭을 친다.
4. 타르트 반죽에 밀가루를 더해 치댄다.
5. 타르트 반죽을 적당량 떼어낸 뒤, 마른 팬에 넓게 펼쳐 굽는다.
6. 레몬즙을 넣은 달걀흰자에 끓인 시럽을 부어가며 저어 이탈리안 머랭을 만든다.
7. 핸드블렌더에 손질한 아보카도, 마스카르포네 치즈, 레몬즙, 설탕을 넣고 갈아 아보카도 크림을 만든다.
8. 접시에 구운 타르트 반죽을 올린다.
9. 아보카도 크림에 이탈리안 머랭을 넣고 섞는다.
10. 이탈리안 머랭을 섞은 아보카도 크림을 구운 타르트 위에 얹는다.
11. 10 위에 이탈리안 머랭을 얹고 토치로 직화한다.
12. 끓인 시럽을 포크로 가늘고 길게 늘어뜨려 엔젤헤어를 만든다.
13. 엔젤헤어를 동그랗게 뭉친 뒤, 구운 이탈리안 머랭 위에 올려 완성한다.</v>
      </c>
    </row>
    <row r="523">
      <c r="A523" s="2" t="str">
        <f>recipe!C523
</f>
        <v>안심하고 드세요</v>
      </c>
      <c r="B523" s="2" t="str">
        <f>IFERROR(__xludf.DUMMYFUNCTION("TRIM(
  REGEXEXTRACT(
    raw!A523,
    ""●\s*조리\s*방법([\s\S]*)""
  )
)
"),"1. 비닐팩에 올리브 오일을 뿌리고, 안심을 넣는다.
2. 비닐팩에 넣은 안심을 고기망치로 두드려 얇게 편다.
3. 고기망치로 편 고기를 칼등으로 두드리고 후추로 간을 한다.
4. 손질한 안심을 적당한 크기로 썰어 소금으로 간을 한다.
5. 허브크림치즈, 트러플 치즈소스, 과일치즈, 고다치즈를 넣고 돌돌 말아 고정한다.
6. 핸드블렌더에 카사바칩을 넣고 간다.
7. 달걀을 풀어 달걀물을 만든다.
8. 안심치즈말이에 "&amp;"밀가루&gt;달걀물&gt;카사바칩 가루 순으로 튀김옷을 입힌 뒤, 기름에 튀긴다.
9. 안심치즈말이를 튀기는 기름에 타임을 넣고 함께 튀겨 향을 입힌다.
10. 튀긴 타임을 접시에 깔고 플레인 요거트와 블루베리 퓌레, 발사믹 식초를 곁들인다.
11. 접시에 안심치즈말이를 올리고 레몬즙을 뿌린다.
12. 안심치즈 말이 위에 칼라만시원액을 뿌려 완성한다.")</f>
        <v>1. 비닐팩에 올리브 오일을 뿌리고, 안심을 넣는다.
2. 비닐팩에 넣은 안심을 고기망치로 두드려 얇게 편다.
3. 고기망치로 편 고기를 칼등으로 두드리고 후추로 간을 한다.
4. 손질한 안심을 적당한 크기로 썰어 소금으로 간을 한다.
5. 허브크림치즈, 트러플 치즈소스, 과일치즈, 고다치즈를 넣고 돌돌 말아 고정한다.
6. 핸드블렌더에 카사바칩을 넣고 간다.
7. 달걀을 풀어 달걀물을 만든다.
8. 안심치즈말이에 밀가루&gt;달걀물&gt;카사바칩 가루 순으로 튀김옷을 입힌 뒤, 기름에 튀긴다.
9. 안심치즈말이를 튀기는 기름에 타임을 넣고 함께 튀겨 향을 입힌다.
10. 튀긴 타임을 접시에 깔고 플레인 요거트와 블루베리 퓌레, 발사믹 식초를 곁들인다.
11. 접시에 안심치즈말이를 올리고 레몬즙을 뿌린다.
12. 안심치즈 말이 위에 칼라만시원액을 뿌려 완성한다.</v>
      </c>
    </row>
    <row r="524">
      <c r="A524" s="2" t="str">
        <f>recipe!C524
</f>
        <v>울면 안 돼♬</v>
      </c>
      <c r="B524" s="2" t="str">
        <f>IFERROR(__xludf.DUMMYFUNCTION("TRIM(
  REGEXEXTRACT(
    raw!A524,
    ""●\s*조리\s*방법([\s\S]*)""
  )
)
"),"1. 자차이를 물에 담가 짠기를 뺀다.
2. 항정살을 적당한 크기로 썰어 끓는 물에 데친다.
3. 데친 항정살을 다른 냄비로 옮겨 육수를 내고, 적당한 크기로 썬 관자를 끓는 물에 데친다.
4. 핸드블렌더에 새우, 버터, 전분, 달걀흰자를 넣고 갈아 완자 반죽을 만든다.
5. 물에 담가뒀던 자차이를 건져 물기를 짜고 잘게 썬다.
6. 완자 반죽에 잘게 썬 자차이를 넣고 섞는다.
7. 완자 반죽을 동그랗게 떼어 기름에 튀긴다.
8. 인스턴트 "&amp;"쌀국수면을 뜨거운 물에 불린다.
9. 항정살 육수에 소금으로 간을 한다.
10. 간을 한 육수에 적당한 크기로 썬 아스파라거스와 양파를 넣고 끓여 울면 국물을 만든다.
11. 데친 관자를 체에 밭쳐 물기를 뺀다.
12. 불린 쌀국수면을 찬물에 헹군 뒤 물기를 짜고 그릇에 담는다.
13. 튀긴 새우완자와 데친 관자를 쌀국수면 위에 올린다.
14. 울면 국물에 전분물을 조금씩 넣어가며 점도를 조절한다.
15. 울면 국물에 달걀물을 풀어 넣는다."&amp;"
16. 해물 쌀국수 위에 울면 국물을 부어 완성한다.")</f>
        <v>1. 자차이를 물에 담가 짠기를 뺀다.
2. 항정살을 적당한 크기로 썰어 끓는 물에 데친다.
3. 데친 항정살을 다른 냄비로 옮겨 육수를 내고, 적당한 크기로 썬 관자를 끓는 물에 데친다.
4. 핸드블렌더에 새우, 버터, 전분, 달걀흰자를 넣고 갈아 완자 반죽을 만든다.
5. 물에 담가뒀던 자차이를 건져 물기를 짜고 잘게 썬다.
6. 완자 반죽에 잘게 썬 자차이를 넣고 섞는다.
7. 완자 반죽을 동그랗게 떼어 기름에 튀긴다.
8. 인스턴트 쌀국수면을 뜨거운 물에 불린다.
9. 항정살 육수에 소금으로 간을 한다.
10. 간을 한 육수에 적당한 크기로 썬 아스파라거스와 양파를 넣고 끓여 울면 국물을 만든다.
11. 데친 관자를 체에 밭쳐 물기를 뺀다.
12. 불린 쌀국수면을 찬물에 헹군 뒤 물기를 짜고 그릇에 담는다.
13. 튀긴 새우완자와 데친 관자를 쌀국수면 위에 올린다.
14. 울면 국물에 전분물을 조금씩 넣어가며 점도를 조절한다.
15. 울면 국물에 달걀물을 풀어 넣는다.
16. 해물 쌀국수 위에 울면 국물을 부어 완성한다.</v>
      </c>
    </row>
    <row r="525">
      <c r="A525" s="2" t="str">
        <f>recipe!C525
</f>
        <v>수프 원샷</v>
      </c>
      <c r="B525" s="2" t="str">
        <f>IFERROR(__xludf.DUMMYFUNCTION("TRIM(
  REGEXEXTRACT(
    raw!A525,
    ""●\s*조리\s*방법([\s\S]*)""
  )
)
"),"1. 당근을 적당한 크기로 썰어 기름을 두른 팬에 볶는다.
2. 적당한 크기로 썬 사과를 팬에 넣고 당근과 함께 볶는다.
3. 핸드블렌더에 손질한 아보카도, 마스카르포네 치즈, 페퍼민트, 레몬즙을 넣는다.
4. 3에 애플망고 요거트, 청양고추, 소금, 후추, 물을 더해 갈아 차가운 아보카도수프를 만든다.
5. 볶던 당근과 사과에 물을 붓고 끓여 당근사과수프를 만든다.
6. 당근사과수프에 후추, 생강청, 소금을 넣어 간한다.
"&amp;"
7. 간을 한 당근사과수프에 고구마죽과 레몬즙을 넣어 함께 끓인다.
8. 라임, 레몬, 아보카도를 적당한 크기로 썬다.
9. 썰어놓은 아보카도에 레몬즙과 트러플 소금을 뿌린다.
10. 샷잔에 차가운 아보카도수프를 담는다.
11. 아보카도수프 위에 레몬조각과 트러플 소금을 얹는다.
12. 적당한 크기로 썬 대파를 당근사과수프에 넣고 함께 끓인다.
13. 끓인 당근사과수프를 핸드블렌더로 간다.
14. 당근사과수프에 "&amp;"얼음을 넣어 식힌다.
15. 샷잔에 당근사과수프를 담는다.
16. 당근사과수프 위에 레몬즙을 뿌린 아보카도를 올린다.
17. 로즈마리, 페퍼민트, 타임, 라임으로 데커레이션 한다.")</f>
        <v>1. 당근을 적당한 크기로 썰어 기름을 두른 팬에 볶는다.
2. 적당한 크기로 썬 사과를 팬에 넣고 당근과 함께 볶는다.
3. 핸드블렌더에 손질한 아보카도, 마스카르포네 치즈, 페퍼민트, 레몬즙을 넣는다.
4. 3에 애플망고 요거트, 청양고추, 소금, 후추, 물을 더해 갈아 차가운 아보카도수프를 만든다.
5. 볶던 당근과 사과에 물을 붓고 끓여 당근사과수프를 만든다.
6. 당근사과수프에 후추, 생강청, 소금을 넣어 간한다.
7. 간을 한 당근사과수프에 고구마죽과 레몬즙을 넣어 함께 끓인다.
8. 라임, 레몬, 아보카도를 적당한 크기로 썬다.
9. 썰어놓은 아보카도에 레몬즙과 트러플 소금을 뿌린다.
10. 샷잔에 차가운 아보카도수프를 담는다.
11. 아보카도수프 위에 레몬조각과 트러플 소금을 얹는다.
12. 적당한 크기로 썬 대파를 당근사과수프에 넣고 함께 끓인다.
13. 끓인 당근사과수프를 핸드블렌더로 간다.
14. 당근사과수프에 얼음을 넣어 식힌다.
15. 샷잔에 당근사과수프를 담는다.
16. 당근사과수프 위에 레몬즙을 뿌린 아보카도를 올린다.
17. 로즈마리, 페퍼민트, 타임, 라임으로 데커레이션 한다.</v>
      </c>
    </row>
    <row r="526">
      <c r="A526" s="2" t="str">
        <f>recipe!C526
</f>
        <v>에너지닭</v>
      </c>
      <c r="B526" s="2" t="str">
        <f>IFERROR(__xludf.DUMMYFUNCTION("TRIM(
  REGEXEXTRACT(
    raw!A526,
    ""●\s*조리\s*방법([\s\S]*)""
  )
)
"),"1. 닭을 발골한다.
2. 발골한 닭 위에 소금, 후추를 뿌린 뒤 고기망치로 얇게 펴고 밀가루를 묻힌다.
3. 기름을 두른 팬에 닭을 올리고 종이포일을 덮은 뒤, 무거운 것으로 눌러 편평하게 굽는다.
4. 양파를 적당한 크기로 썰어 기름을 두른 팬에 볶는다.
5. 대파, 애호박, 파프리카를 적당한 크기로 썬 뒤 양파와 함께 볶는다.
6. 채소를 볶던 팬에 적당한 크기로 썬 베이컨을 넣고 함께 볶는다.
7. 6에 떡갈비와 "&amp;"잘게 썬 통조림 햄, 다진 마늘을 넣고 함께 볶는다.
8. 닭을 뒤집어 바삭하게 굽는다.
9. 냄비에 버터, 밀가루, 우유, 슬라이스 체다치즈를 넣고 끓여 치즈소스를 만든다.
10. 양배추를 가늘게 채 썬다.
11. 핸드블렌더로 피클을 간다.
12. 볼에 마요네즈, 양배추채, 곱게 간 피클을 넣고 버무리다가 소금을 뿌려 코울슬로를 만든다.
13. 구운 닭을 포를 떠서 껍질부분과 살부분을 나눈다.
14. 그릇에 닭 살"&amp;"코기 &gt; 치즈소스 &gt; 고기채소볶음 &gt; 치즈소스 &gt; 구운 닭껍질 순으로 켜켜이 쌓는다.
15. 구운 닭 껍질을 올린다.
16. 마요네즈, 쌈장, 머스터드소스, 식초, 케첩, 후추, 설탕, 레몬즙을 섞어 특제소스를 만든다.
17. 특제소스와 양배추 코울슬로를 각각 접시에 담아낸다.
18. 닭 라자냐 위에 모차렐라치즈를 뿌린 뒤 토치로 직화한다.")</f>
        <v>1. 닭을 발골한다.
2. 발골한 닭 위에 소금, 후추를 뿌린 뒤 고기망치로 얇게 펴고 밀가루를 묻힌다.
3. 기름을 두른 팬에 닭을 올리고 종이포일을 덮은 뒤, 무거운 것으로 눌러 편평하게 굽는다.
4. 양파를 적당한 크기로 썰어 기름을 두른 팬에 볶는다.
5. 대파, 애호박, 파프리카를 적당한 크기로 썬 뒤 양파와 함께 볶는다.
6. 채소를 볶던 팬에 적당한 크기로 썬 베이컨을 넣고 함께 볶는다.
7. 6에 떡갈비와 잘게 썬 통조림 햄, 다진 마늘을 넣고 함께 볶는다.
8. 닭을 뒤집어 바삭하게 굽는다.
9. 냄비에 버터, 밀가루, 우유, 슬라이스 체다치즈를 넣고 끓여 치즈소스를 만든다.
10. 양배추를 가늘게 채 썬다.
11. 핸드블렌더로 피클을 간다.
12. 볼에 마요네즈, 양배추채, 곱게 간 피클을 넣고 버무리다가 소금을 뿌려 코울슬로를 만든다.
13. 구운 닭을 포를 떠서 껍질부분과 살부분을 나눈다.
14. 그릇에 닭 살코기 &gt; 치즈소스 &gt; 고기채소볶음 &gt; 치즈소스 &gt; 구운 닭껍질 순으로 켜켜이 쌓는다.
15. 구운 닭 껍질을 올린다.
16. 마요네즈, 쌈장, 머스터드소스, 식초, 케첩, 후추, 설탕, 레몬즙을 섞어 특제소스를 만든다.
17. 특제소스와 양배추 코울슬로를 각각 접시에 담아낸다.
18. 닭 라자냐 위에 모차렐라치즈를 뿌린 뒤 토치로 직화한다.</v>
      </c>
    </row>
    <row r="527">
      <c r="A527" s="2" t="str">
        <f>recipe!C527
</f>
        <v>오삼포테이토</v>
      </c>
      <c r="B527" s="2" t="str">
        <f>IFERROR(__xludf.DUMMYFUNCTION("TRIM(
  REGEXEXTRACT(
    raw!A527,
    ""●\s*조리\s*방법([\s\S]*)""
  )
)
"),"1. 양파를 채 썬다.
2. 감자는 껍질을 벗겨낸 뒤, 적당한 크기로 썬다.
3. 볼에 감자, 뜨거운 물, 통마늘을 넣은 뒤 랩으로 감싸 전자레인지에 돌려 익힌다.
4. 고추를 잘게 썬다.
5. 기름을 두른 팬에 손질한 양파와 고추, 오렌지즙, 소금을 넣고 끓인다.
6. 삼겹살은 비계를 떼어내고, 살코기에 소금과 후추를 뿌린 뒤 밀가루를 묻힌다.
7. 기름을 넉넉하게 두른 팬에 삼겹살을 튀기듯이 굽는다.
8. 오렌지"&amp;"소스에 구운 삼겹살을 넣고 조린다.
9. 익힌 감자와 우유를 냄비에 넣고, 으깨면서 익힌다.
10. 매시드 포테이토에 슬라이스 체다치즈와 버터를 넣고 으깨며 섞는다.
11. 매시드 포테이토를 체에 내린다.
12. 기름을 두른 팬에 베이컨을 바삭하게 구운 뒤, 잘게 썬다.
13. 매시드포테이토에 구운 베이컨과 소금을 넣고 섞는다.
14. 13에 잘게 썬 대파를 넣고 섞는다.
15. 베이컨포테이토를 접시에 담는다.
"&amp;"
16. 베이컨을 구운 팬에 방울토마토를 굽는다.
17. 베이컨포테이토 위에 오렌지삼겹살을 올린 뒤, 오렌지소스를 붓는다.
18. 접시에 구운 방울토마토를 올리고, 잘게 썬 대파를 뿌려 마무리한다.")</f>
        <v>1. 양파를 채 썬다.
2. 감자는 껍질을 벗겨낸 뒤, 적당한 크기로 썬다.
3. 볼에 감자, 뜨거운 물, 통마늘을 넣은 뒤 랩으로 감싸 전자레인지에 돌려 익힌다.
4. 고추를 잘게 썬다.
5. 기름을 두른 팬에 손질한 양파와 고추, 오렌지즙, 소금을 넣고 끓인다.
6. 삼겹살은 비계를 떼어내고, 살코기에 소금과 후추를 뿌린 뒤 밀가루를 묻힌다.
7. 기름을 넉넉하게 두른 팬에 삼겹살을 튀기듯이 굽는다.
8. 오렌지소스에 구운 삼겹살을 넣고 조린다.
9. 익힌 감자와 우유를 냄비에 넣고, 으깨면서 익힌다.
10. 매시드 포테이토에 슬라이스 체다치즈와 버터를 넣고 으깨며 섞는다.
11. 매시드 포테이토를 체에 내린다.
12. 기름을 두른 팬에 베이컨을 바삭하게 구운 뒤, 잘게 썬다.
13. 매시드포테이토에 구운 베이컨과 소금을 넣고 섞는다.
14. 13에 잘게 썬 대파를 넣고 섞는다.
15. 베이컨포테이토를 접시에 담는다.
16. 베이컨을 구운 팬에 방울토마토를 굽는다.
17. 베이컨포테이토 위에 오렌지삼겹살을 올린 뒤, 오렌지소스를 붓는다.
18. 접시에 구운 방울토마토를 올리고, 잘게 썬 대파를 뿌려 마무리한다.</v>
      </c>
    </row>
    <row r="528">
      <c r="A528" s="2" t="str">
        <f>recipe!C528
</f>
        <v>shake it♬ 버거</v>
      </c>
      <c r="B528" s="2" t="str">
        <f>IFERROR(__xludf.DUMMYFUNCTION("TRIM(
  REGEXEXTRACT(
    raw!A528,
    ""●\s*조리\s*방법([\s\S]*)""
  )
)
"),"1. 핸드블렌더에 떡갈비와 삼겹살을 3:1 비율로 넣고 간다.
2. 감자를 적당한 크기로 썬 뒤, 기름에 튀긴다.
3. 마요네즈, 머스터드소스, 잘게 썬 피클, 레몬즙, 후추를 넣고 섞어 타르타르소스를 만든다.
4. 슬라이스 체다치즈를 볼에 담은 뒤, 전자레인지에 돌려 녹인다.
5. 기름을 두른 팬에 잘게 다진 양파를 볶는다.
6. 핸드블렌더로 간 고기에 볶은 양파, 후추를 넣고 섞어 패티 반죽을 만든다.
7. 양상추와 "&amp;"방울토마토를 잘게 썬다.
8. 잘게 썬 양상추와 방울토마토를 타르타르소스와 섞어 샐러드를 만든다.
9. 튀긴 감자를 건져낸 뒤, 냉동실에 넣고 차게 식힌다.
10. 기름을 두른 팬에 적당한 크기로 썬 베이컨을 굽는다.
11. 베이컨을 굽는 팬에 채 썬 양파를 굽는다.
12. 패티 반죽을 적당한 크기로 빚어 팬에 넣고 함께 굽는다.
13. 냉동실에서 식힌 감자튀김을 다시 한 번 튀긴다.
14. 구운 베이컨과 양파를 건"&amp;"져 기름기를 뺀다.
15. 패티 위에 슬라이스 체다치즈를 올려 치즈를 녹인다.
16. 모닝빵을 반으로 잘라 안쪽만 굽는다.
17. 감자튀김을 건져 소금으로 간하고 접시에 담는다.
18. 구운 모닝빵 위에 샐러드 &gt; 치즈를 올려 구운 패티 &gt; 구운 베이컨&amp;양파를 차례로 올리고 빵으로 덮어 버거를 만든다.
19. 감자튀김 위에 녹인 체다치즈를 뿌려 마무리한다.")</f>
        <v>1. 핸드블렌더에 떡갈비와 삼겹살을 3:1 비율로 넣고 간다.
2. 감자를 적당한 크기로 썬 뒤, 기름에 튀긴다.
3. 마요네즈, 머스터드소스, 잘게 썬 피클, 레몬즙, 후추를 넣고 섞어 타르타르소스를 만든다.
4. 슬라이스 체다치즈를 볼에 담은 뒤, 전자레인지에 돌려 녹인다.
5. 기름을 두른 팬에 잘게 다진 양파를 볶는다.
6. 핸드블렌더로 간 고기에 볶은 양파, 후추를 넣고 섞어 패티 반죽을 만든다.
7. 양상추와 방울토마토를 잘게 썬다.
8. 잘게 썬 양상추와 방울토마토를 타르타르소스와 섞어 샐러드를 만든다.
9. 튀긴 감자를 건져낸 뒤, 냉동실에 넣고 차게 식힌다.
10. 기름을 두른 팬에 적당한 크기로 썬 베이컨을 굽는다.
11. 베이컨을 굽는 팬에 채 썬 양파를 굽는다.
12. 패티 반죽을 적당한 크기로 빚어 팬에 넣고 함께 굽는다.
13. 냉동실에서 식힌 감자튀김을 다시 한 번 튀긴다.
14. 구운 베이컨과 양파를 건져 기름기를 뺀다.
15. 패티 위에 슬라이스 체다치즈를 올려 치즈를 녹인다.
16. 모닝빵을 반으로 잘라 안쪽만 굽는다.
17. 감자튀김을 건져 소금으로 간하고 접시에 담는다.
18. 구운 모닝빵 위에 샐러드 &gt; 치즈를 올려 구운 패티 &gt; 구운 베이컨&amp;양파를 차례로 올리고 빵으로 덮어 버거를 만든다.
19. 감자튀김 위에 녹인 체다치즈를 뿌려 마무리한다.</v>
      </c>
    </row>
    <row r="529">
      <c r="A529" s="2" t="str">
        <f>recipe!C529
</f>
        <v>무~보이♬</v>
      </c>
      <c r="B529" s="2" t="str">
        <f>IFERROR(__xludf.DUMMYFUNCTION("TRIM(
  REGEXEXTRACT(
    raw!A529,
    ""●\s*조리\s*방법([\s\S]*)""
  )
)
"),"1. 방울토마토를 끓는 물에 데친 뒤, 찬물에 담가 식힌다.
2. 국거리용 소고기와 베이컨을 잘게 썬 뒤, 기름을 두른 팬에 볶는다.
3. 양파, 대파, 당근을 잘게 썰어 볶던 고기와 함께 볶다가 후추로 간 한다.
4. 무와 대파 흰 부분을 얇고 가늘게 썬다.
5. 파스타면을 삶는다.
6. 볶던 재료에 레드와인, 면수를 넣고 끓인다.
7. 6에 데친 방울토마토의 껍질을 벗기고 으깨어 넣어 볼로네제 소스를 만든다.
8"&amp;". 기름을 두른 팬에 으깬 마늘을 볶다가 채 썬 무와 대파를 넣고 소금을 뿌려 볶는다.
9. 접시 위에 원형틀을 올린 뒤, 볶은 무&amp;대파면을 넣는다.
10. 끓는 물을 한 방향으로 저은 뒤, 가운데 달걀을 깨뜨려 넣어 수란을 만든다.
11. 수란에 소금으로 간을 한다.
12. 삶은 파스타면에 올리브오일, 볼로네제소스를 넣고 버무린다.
13. 원형틀에 담긴 무&amp;대파면 위에 볼로네제소스에 버무린 파스타면을 넣는다.
14. 볼"&amp;"로네제소스를 접시에 듬뿍 담는다.
15. 수란을 건져 파스타 위에 올린다.
16. 원형틀을 빼내어 마무리한다.")</f>
        <v>1. 방울토마토를 끓는 물에 데친 뒤, 찬물에 담가 식힌다.
2. 국거리용 소고기와 베이컨을 잘게 썬 뒤, 기름을 두른 팬에 볶는다.
3. 양파, 대파, 당근을 잘게 썰어 볶던 고기와 함께 볶다가 후추로 간 한다.
4. 무와 대파 흰 부분을 얇고 가늘게 썬다.
5. 파스타면을 삶는다.
6. 볶던 재료에 레드와인, 면수를 넣고 끓인다.
7. 6에 데친 방울토마토의 껍질을 벗기고 으깨어 넣어 볼로네제 소스를 만든다.
8. 기름을 두른 팬에 으깬 마늘을 볶다가 채 썬 무와 대파를 넣고 소금을 뿌려 볶는다.
9. 접시 위에 원형틀을 올린 뒤, 볶은 무&amp;대파면을 넣는다.
10. 끓는 물을 한 방향으로 저은 뒤, 가운데 달걀을 깨뜨려 넣어 수란을 만든다.
11. 수란에 소금으로 간을 한다.
12. 삶은 파스타면에 올리브오일, 볼로네제소스를 넣고 버무린다.
13. 원형틀에 담긴 무&amp;대파면 위에 볼로네제소스에 버무린 파스타면을 넣는다.
14. 볼로네제소스를 접시에 듬뿍 담는다.
15. 수란을 건져 파스타 위에 올린다.
16. 원형틀을 빼내어 마무리한다.</v>
      </c>
    </row>
    <row r="530">
      <c r="A530" s="2" t="str">
        <f>recipe!C530
</f>
        <v>미스동파육</v>
      </c>
      <c r="B530" s="2" t="str">
        <f>IFERROR(__xludf.DUMMYFUNCTION("TRIM(
  REGEXEXTRACT(
    raw!A530,
    ""●\s*조리\s*방법([\s\S]*)""
  )
)
"),"1. 기름을 두른 팬에 적당한 크기로 썬 삼겹살과 대파를 넣고 볶는다.
2. 볶던 재료에 간장, 청주를 넣고 청양고추를 썰어 넣는다.
3. 2에 다진 마늘, 생강즙, 물, 굴소스, 후추, 설탕을 넣고 끓인다.
4. 끓인 재료를 압력솥에 넣고 찐다.
5. 바나나는 껍질을 벗기고 적당한 크기로 썰어 밀가루를 묻힌다.
6. 밀가루를 묻힌 바나나에 물을 뿌려준 뒤, 다시 한 번 밀가루를 묻힌다.
7. 밀가루를 묻힌 바나나를 기름"&amp;"에 튀긴다.
8. 쟁반에 들기름을 묻힌다.
9. 마른 팬에 설탕을 녹인다.
10. 기름에 튀긴 바나나를 체에 밭쳐 기름기를 뺀다.
11. 녹인 설탕에 바나나튀김을 버무린 뒤, 들기름을 묻힌 쟁반에 부어 식힌다.
12. 접시에 바나나맛탕을 담는다.
13. 쌈추를 적당한 크기로 썰어 데친 뒤, 접시에 담는다.
14. 쌈추를 담은 접시에 동파육과 육수를 담아낸다.")</f>
        <v>1. 기름을 두른 팬에 적당한 크기로 썬 삼겹살과 대파를 넣고 볶는다.
2. 볶던 재료에 간장, 청주를 넣고 청양고추를 썰어 넣는다.
3. 2에 다진 마늘, 생강즙, 물, 굴소스, 후추, 설탕을 넣고 끓인다.
4. 끓인 재료를 압력솥에 넣고 찐다.
5. 바나나는 껍질을 벗기고 적당한 크기로 썰어 밀가루를 묻힌다.
6. 밀가루를 묻힌 바나나에 물을 뿌려준 뒤, 다시 한 번 밀가루를 묻힌다.
7. 밀가루를 묻힌 바나나를 기름에 튀긴다.
8. 쟁반에 들기름을 묻힌다.
9. 마른 팬에 설탕을 녹인다.
10. 기름에 튀긴 바나나를 체에 밭쳐 기름기를 뺀다.
11. 녹인 설탕에 바나나튀김을 버무린 뒤, 들기름을 묻힌 쟁반에 부어 식힌다.
12. 접시에 바나나맛탕을 담는다.
13. 쌈추를 적당한 크기로 썰어 데친 뒤, 접시에 담는다.
14. 쌈추를 담은 접시에 동파육과 육수를 담아낸다.</v>
      </c>
    </row>
    <row r="531">
      <c r="A531" s="2" t="str">
        <f>recipe!C531
</f>
        <v>미트코리아 진</v>
      </c>
      <c r="B531" s="2" t="str">
        <f>IFERROR(__xludf.DUMMYFUNCTION("TRIM(
  REGEXEXTRACT(
    raw!A531,
    ""●\s*조리\s*방법([\s\S]*)""
  )
)
"),"1. 마른 팬에 모차렐라치즈를 넓게 펴서 굽다가, 잘게 썬 청양고추를 올린다.
2. 핸드블렌더에 적당한 크기로 썬 삼겹살과 살치살을 넣고 곱게 갈아 반죽을 만든다.
3. 적당한 크기로 썬 식빵에 우유를 부어 불린 뒤, 고기반죽과 함께 섞는다.
4. 3에 소금, 후추로 간 하고 네모나게 모양을 잡는다.
5. 기름을 두른 팬에 모양을 잡은 고기반죽을 구워 미트로프를 만든다.
6. 기름을 두른 팬에 채 썬 양파와 으깬 마늘을 볶는다"&amp;".
7. 볶던 채소에 토마토소스, 물, 크림소스, 우유를 넣고 끓여 로제소스를 만든다.
8. 로제소스를 체에 밭쳐 건더기를 걸러내고 다시 한 번 끓인다.
9. 넓게 펴서 구운 모차렐라치즈 위에 미트로프를 올려 감싼다.
10. 치즈로 감싼 미트로프를 뚜껑을 덮어 굽는다.
11. 튀김과자를 잘게 부순다.
12. 사과를 얇게 썬 뒤, 설탕을 뿌리고 밀가루를 묻힌다.
13. 밀가루를 묻힌 사과에 달걀물을 묻히고 튀김과자가루"&amp;"를 입혀 기름에 튀긴다.
14. 접시에 로제소스를 깔고 치즈로 감싼 미트로프를 올린다.
15. 다른 접시에 사과튀김을 담아낸다.")</f>
        <v>1. 마른 팬에 모차렐라치즈를 넓게 펴서 굽다가, 잘게 썬 청양고추를 올린다.
2. 핸드블렌더에 적당한 크기로 썬 삼겹살과 살치살을 넣고 곱게 갈아 반죽을 만든다.
3. 적당한 크기로 썬 식빵에 우유를 부어 불린 뒤, 고기반죽과 함께 섞는다.
4. 3에 소금, 후추로 간 하고 네모나게 모양을 잡는다.
5. 기름을 두른 팬에 모양을 잡은 고기반죽을 구워 미트로프를 만든다.
6. 기름을 두른 팬에 채 썬 양파와 으깬 마늘을 볶는다.
7. 볶던 채소에 토마토소스, 물, 크림소스, 우유를 넣고 끓여 로제소스를 만든다.
8. 로제소스를 체에 밭쳐 건더기를 걸러내고 다시 한 번 끓인다.
9. 넓게 펴서 구운 모차렐라치즈 위에 미트로프를 올려 감싼다.
10. 치즈로 감싼 미트로프를 뚜껑을 덮어 굽는다.
11. 튀김과자를 잘게 부순다.
12. 사과를 얇게 썬 뒤, 설탕을 뿌리고 밀가루를 묻힌다.
13. 밀가루를 묻힌 사과에 달걀물을 묻히고 튀김과자가루를 입혀 기름에 튀긴다.
14. 접시에 로제소스를 깔고 치즈로 감싼 미트로프를 올린다.
15. 다른 접시에 사과튀김을 담아낸다.</v>
      </c>
    </row>
    <row r="532">
      <c r="A532" s="2" t="str">
        <f>recipe!C532
</f>
        <v>가지에 빠져빠져♬</v>
      </c>
      <c r="B532" s="2" t="str">
        <f>IFERROR(__xludf.DUMMYFUNCTION("TRIM(
  REGEXEXTRACT(
    raw!A532,
    ""●\s*조리\s*방법([\s\S]*)""
  )
)
"),"1. 가지를 반으로 갈라 속을 파낸다.
2. 속을 파낸 가지에 밀가루를 묻힌 뒤 기름에 튀긴다.
3. 애호박과 가지를 적당한 크기로 썬 뒤, 밀가루를 묻혀 기름에 튀긴다.
4. 기름을 두른 팬에 으깬 마늘, 잘게 썬 애호박과 새송이버섯을 볶는다.
5. 볶던 채소에 양배추를 채썰어 넣고 소금, 후추를 뿌려 볶는다.
6. 즉석밥을 전자레인지에 넣고 돌린다.
7. 랩 위에 훈제연어를 넓게 펴고, 크림치즈를 올린다.
8. "&amp;"볼에 참기름, 즉석밥, 볶은 애호박, 새송이버섯, 양배추, 소금, 후리카케를 넣고 섞는다.
9. 크림치즈를 올린 훈제연어 위에 양념한 밥을 올리고 돌돌 만다.
10. 튀긴 가지와 애호박을 건져 기름기를 뺀다.
11. 토마토소스, 식초, 올리브오일, 레몬즙, 설탕을 섞어 소스를 만든다.
12. 튀긴 채소에 소금으로 간을 하고, 소스에 버무린다.
13. 튀긴 가지를 건져낸 뒤 소금, 후추를 뿌린다.
14. 접시에 튀긴 가지를"&amp;" 깔고, 소스에 버무린 튀긴 채소를 올린다.
15. 14 위에 훈제연어롤을 올리고 소스에 버무린 튀긴 채소를 곁들인다.
16. 요거트에 레몬즙, 후추를 뿌려 요거트소스를 만든다.
17. 훈제연어롤 위에 요거트소스를 뿌려 마무리한다.")</f>
        <v>1. 가지를 반으로 갈라 속을 파낸다.
2. 속을 파낸 가지에 밀가루를 묻힌 뒤 기름에 튀긴다.
3. 애호박과 가지를 적당한 크기로 썬 뒤, 밀가루를 묻혀 기름에 튀긴다.
4. 기름을 두른 팬에 으깬 마늘, 잘게 썬 애호박과 새송이버섯을 볶는다.
5. 볶던 채소에 양배추를 채썰어 넣고 소금, 후추를 뿌려 볶는다.
6. 즉석밥을 전자레인지에 넣고 돌린다.
7. 랩 위에 훈제연어를 넓게 펴고, 크림치즈를 올린다.
8. 볼에 참기름, 즉석밥, 볶은 애호박, 새송이버섯, 양배추, 소금, 후리카케를 넣고 섞는다.
9. 크림치즈를 올린 훈제연어 위에 양념한 밥을 올리고 돌돌 만다.
10. 튀긴 가지와 애호박을 건져 기름기를 뺀다.
11. 토마토소스, 식초, 올리브오일, 레몬즙, 설탕을 섞어 소스를 만든다.
12. 튀긴 채소에 소금으로 간을 하고, 소스에 버무린다.
13. 튀긴 가지를 건져낸 뒤 소금, 후추를 뿌린다.
14. 접시에 튀긴 가지를 깔고, 소스에 버무린 튀긴 채소를 올린다.
15. 14 위에 훈제연어롤을 올리고 소스에 버무린 튀긴 채소를 곁들인다.
16. 요거트에 레몬즙, 후추를 뿌려 요거트소스를 만든다.
17. 훈제연어롤 위에 요거트소스를 뿌려 마무리한다.</v>
      </c>
    </row>
    <row r="533">
      <c r="A533" s="2" t="str">
        <f>recipe!C533
</f>
        <v>난 이제 더 이상 찌개가 아니에요♬</v>
      </c>
      <c r="B533" s="2" t="str">
        <f>IFERROR(__xludf.DUMMYFUNCTION("TRIM(
  REGEXEXTRACT(
    raw!A533,
    ""●\s*조리\s*방법([\s\S]*)""
  )
)
"),"1. 끓는 물에 소금을 넣고, 양배추를 데친다.
2. 데친 양배추를 얼음물에 담가 식힌다.
3. 기름을 두른 팬에 다진 마늘과 적당한 크기로 썬 삼겹살을 넣고 볶는다.
4. 삼겹살에 잘게 썬 김치를 넣고 함께 볶다가 물을 붓고 끓인다.
5. 닭가슴살을 얇게 펴고 칼집을 낸다.
6. 핸드블렌더에 적당한 크기로 썬 채끝살, 대파 흰 부분, 굴소스, 청주, 달걀을 넣고 곱게 간다.
7. 데친 양배추를 넓게 편 뒤 칼집을 낸 닭"&amp;"가슴살, 곱게 간 채끝살, 떡볶이 떡을 넣고 돌돌 만다.
8. 양배추롤을 그릇에 담은 뒤, 김치찌개 국물을 넣고 전자레인지에 돌린다.
9. 믹서기에 김치찌개를 넣고 곱게 갈아 김치찌개소스를 만든다.
10. 김치찌개소스에 설탕을 넣고 끓인다.
11. 끓는 물에 전복을 데친다.
12. 데친 전복을 잘게 썰어 김치찌개소스에 넣는다.
13. 양배추롤을 전자레인지에서 꺼내 적당한 크기로 썬다.
14. 적당한 크기로 썬 양배추"&amp;"롤을 김치찌개소스에 넣고 조린다.
15. 그릇에 김치찌개소스를 담고, 양배추롤을 올려 마무리한다.")</f>
        <v>1. 끓는 물에 소금을 넣고, 양배추를 데친다.
2. 데친 양배추를 얼음물에 담가 식힌다.
3. 기름을 두른 팬에 다진 마늘과 적당한 크기로 썬 삼겹살을 넣고 볶는다.
4. 삼겹살에 잘게 썬 김치를 넣고 함께 볶다가 물을 붓고 끓인다.
5. 닭가슴살을 얇게 펴고 칼집을 낸다.
6. 핸드블렌더에 적당한 크기로 썬 채끝살, 대파 흰 부분, 굴소스, 청주, 달걀을 넣고 곱게 간다.
7. 데친 양배추를 넓게 편 뒤 칼집을 낸 닭가슴살, 곱게 간 채끝살, 떡볶이 떡을 넣고 돌돌 만다.
8. 양배추롤을 그릇에 담은 뒤, 김치찌개 국물을 넣고 전자레인지에 돌린다.
9. 믹서기에 김치찌개를 넣고 곱게 갈아 김치찌개소스를 만든다.
10. 김치찌개소스에 설탕을 넣고 끓인다.
11. 끓는 물에 전복을 데친다.
12. 데친 전복을 잘게 썰어 김치찌개소스에 넣는다.
13. 양배추롤을 전자레인지에서 꺼내 적당한 크기로 썬다.
14. 적당한 크기로 썬 양배추롤을 김치찌개소스에 넣고 조린다.
15. 그릇에 김치찌개소스를 담고, 양배추롤을 올려 마무리한다.</v>
      </c>
    </row>
    <row r="534">
      <c r="A534" s="2" t="str">
        <f>recipe!C534
</f>
        <v>미식이볼 맛있당께</v>
      </c>
      <c r="B534" s="2" t="str">
        <f>IFERROR(__xludf.DUMMYFUNCTION("TRIM(
  REGEXEXTRACT(
    raw!A534,
    ""●\s*조리\s*방법([\s\S]*)""
  )
)
"),"1. 달걀을 삶는다.
2. 그릴팬에 청양고추를 굽는다.
3. 소고기 양지, 삼겹살을 핸드블렌더에 곱게 간다.
4. 곱게 간 고기에 소금, 후추로 간 한다.
5. 간을 한 고기에 잘게 썬 양파를 넣는다.
6. 식빵을 물에 불린 뒤, 물기를 짠다.
7. 간 고기, 잘게 썬 양파, 불린 식빵을 잘 섞어준다.
8. 7에 달걀과 밀가루를 넣고 치대 미트볼 반죽을 만든다.
9. 미트볼 반죽을 적당한 크기로 빚은 뒤, 밀가"&amp;"루를 묻히고 기름을 두른 팬에 굽는다.
10. 구운 청양고추에 식초, 올리브오일, 소금, 편마늘을 넣고 버무린다.
11. 대파, 오이, 상추를 잘게 썰어 볼에 담고, 식초, 소금, 올리브오일에 버무려 샐러드를 만든다.
12. 접시에 샐러드를 담고, 삶은 달걀을 반으로 잘라 곁들인다.
13. 다른 접시에 구워서 오일에 버무린 청양고추를 담는다.
14. 토마토를 적당한 크기로 썰어 샐러드에 곁들인다.
15. 샐러드와 함께 미"&amp;"트볼을 담아낸다.
16. 미트볼 위에 후추를 뿌려 마무리한다.")</f>
        <v>1. 달걀을 삶는다.
2. 그릴팬에 청양고추를 굽는다.
3. 소고기 양지, 삼겹살을 핸드블렌더에 곱게 간다.
4. 곱게 간 고기에 소금, 후추로 간 한다.
5. 간을 한 고기에 잘게 썬 양파를 넣는다.
6. 식빵을 물에 불린 뒤, 물기를 짠다.
7. 간 고기, 잘게 썬 양파, 불린 식빵을 잘 섞어준다.
8. 7에 달걀과 밀가루를 넣고 치대 미트볼 반죽을 만든다.
9. 미트볼 반죽을 적당한 크기로 빚은 뒤, 밀가루를 묻히고 기름을 두른 팬에 굽는다.
10. 구운 청양고추에 식초, 올리브오일, 소금, 편마늘을 넣고 버무린다.
11. 대파, 오이, 상추를 잘게 썰어 볼에 담고, 식초, 소금, 올리브오일에 버무려 샐러드를 만든다.
12. 접시에 샐러드를 담고, 삶은 달걀을 반으로 잘라 곁들인다.
13. 다른 접시에 구워서 오일에 버무린 청양고추를 담는다.
14. 토마토를 적당한 크기로 썰어 샐러드에 곁들인다.
15. 샐러드와 함께 미트볼을 담아낸다.
16. 미트볼 위에 후추를 뿌려 마무리한다.</v>
      </c>
    </row>
    <row r="535">
      <c r="A535" s="2" t="str">
        <f>recipe!C535
</f>
        <v>이런 안주 파쌈?</v>
      </c>
      <c r="B535" s="2" t="str">
        <f>IFERROR(__xludf.DUMMYFUNCTION("TRIM(
  REGEXEXTRACT(
    raw!A535,
    ""●\s*조리\s*방법([\s\S]*)""
  )
)
"),"1. 인스턴트 물만두의 피와 소를 분리한다.
2. 적당한 크기로 썬 항정살과 인스턴트 고기구이, 다진 마늘, 물만두소, 두부를 핸드블렌더에 넣고 갈아 고기반죽을 만든다.
3. 김 위에 깻잎을 깔고 고기반죽을 올려 돌돌 만다.
4. 밀가루, 달걀, 소금을 섞어 튀김옷을 만든다.
5. 김말이에 튀김옷을 입혀 기름 에 튀긴다.
6. 마른 팬에 적당한 크기로 썬 차돌박이를 볶는다.
7. 대파 흰 부분, 양파, 새송이버섯을 잘게 "&amp;"썰어 차돌박이와 함께 볶는다.
8. 볶던 재료에 다진 마늘, 고춧가루, 고추장, 잘게 다진 청양고추, 된장을 넣고 볶아 차돌박이 강된장을 만든다.
9. 대파 파란 부분을 적당한 크기로 썰어 그릇에 담는다.
10. 대파 흰 부분을 가늘게 썰어 찬물에 담가둔다.
11. 김말이튀김을 건진 뒤, 적당한 크기로 썰어 그릇에 담는다.
12. 김말이튀김 위에 차돌박이 강된장을 얹는다.
13. 찬물에 담가둔 대파를 올려 마무리한다.")</f>
        <v>1. 인스턴트 물만두의 피와 소를 분리한다.
2. 적당한 크기로 썬 항정살과 인스턴트 고기구이, 다진 마늘, 물만두소, 두부를 핸드블렌더에 넣고 갈아 고기반죽을 만든다.
3. 김 위에 깻잎을 깔고 고기반죽을 올려 돌돌 만다.
4. 밀가루, 달걀, 소금을 섞어 튀김옷을 만든다.
5. 김말이에 튀김옷을 입혀 기름 에 튀긴다.
6. 마른 팬에 적당한 크기로 썬 차돌박이를 볶는다.
7. 대파 흰 부분, 양파, 새송이버섯을 잘게 썰어 차돌박이와 함께 볶는다.
8. 볶던 재료에 다진 마늘, 고춧가루, 고추장, 잘게 다진 청양고추, 된장을 넣고 볶아 차돌박이 강된장을 만든다.
9. 대파 파란 부분을 적당한 크기로 썰어 그릇에 담는다.
10. 대파 흰 부분을 가늘게 썰어 찬물에 담가둔다.
11. 김말이튀김을 건진 뒤, 적당한 크기로 썰어 그릇에 담는다.
12. 김말이튀김 위에 차돌박이 강된장을 얹는다.
13. 찬물에 담가둔 대파를 올려 마무리한다.</v>
      </c>
    </row>
    <row r="536">
      <c r="A536" s="2" t="str">
        <f>recipe!C536
</f>
        <v>국밥 맞고등?</v>
      </c>
      <c r="B536" s="2" t="str">
        <f>IFERROR(__xludf.DUMMYFUNCTION("TRIM(
  REGEXEXTRACT(
    raw!A536,
    ""●\s*조리\s*방법([\s\S]*)""
  )
)
"),"1. 적당한 크기로 썬 고등어를 기름에 튀긴다.
2. 끓는 물에 튀긴 고등어와 들깻가루를 넣고 끓여 육수를 낸다.
3. 대파, 차돌박이, 항정살을 적당한 크기로 썬다.
4. 기름을 두른 팬에 손질한 차돌박이와 항정살, 대파, 다진 마늘을 넣고 볶는다.
5. 볶던 재료에 고춧가루, 멸치액젓, 적당한 크기로 썬 새송이버섯을 넣는다.
6. 5에 고등어육수를 체에 밭쳐 육수만 넣고 끓인다.
7. 순대를 적당한 크기로 썰어 끓이던"&amp;" 재료에 넣는다.
8. 육수를 낸 튀긴 고등어를 핸드블렌더로 곱게 간다.
9. 곱게 간 고등어와 생강즙을 끓이던 재료에 넣어 고등엇국을 만든다.
10. 전자레인지에 즉석밥을 돌린다.
11. 오이를 적당한 크기로 썰어 고등엇국에 넣는다.
12. 즉석밥을 가열된 뚝배기에 넣고, 고등엇국을 부어 끓인다.
13. 고등어국밥과 청양고추, 고추장을 함께 낸다.")</f>
        <v>1. 적당한 크기로 썬 고등어를 기름에 튀긴다.
2. 끓는 물에 튀긴 고등어와 들깻가루를 넣고 끓여 육수를 낸다.
3. 대파, 차돌박이, 항정살을 적당한 크기로 썬다.
4. 기름을 두른 팬에 손질한 차돌박이와 항정살, 대파, 다진 마늘을 넣고 볶는다.
5. 볶던 재료에 고춧가루, 멸치액젓, 적당한 크기로 썬 새송이버섯을 넣는다.
6. 5에 고등어육수를 체에 밭쳐 육수만 넣고 끓인다.
7. 순대를 적당한 크기로 썰어 끓이던 재료에 넣는다.
8. 육수를 낸 튀긴 고등어를 핸드블렌더로 곱게 간다.
9. 곱게 간 고등어와 생강즙을 끓이던 재료에 넣어 고등엇국을 만든다.
10. 전자레인지에 즉석밥을 돌린다.
11. 오이를 적당한 크기로 썰어 고등엇국에 넣는다.
12. 즉석밥을 가열된 뚝배기에 넣고, 고등엇국을 부어 끓인다.
13. 고등어국밥과 청양고추, 고추장을 함께 낸다.</v>
      </c>
    </row>
    <row r="537">
      <c r="A537" s="2" t="str">
        <f>recipe!C537
</f>
        <v>소박한 국밥</v>
      </c>
      <c r="B537" s="2" t="str">
        <f>IFERROR(__xludf.DUMMYFUNCTION("TRIM(
  REGEXEXTRACT(
    raw!A537,
    ""●\s*조리\s*방법([\s\S]*)""
  )
)
"),"1. 끓는 물에 인스턴트 양념닭발을 데친다.
2. 항정살을 기름에 튀긴다.
3. 데친 양념닭발을 체에 밭쳐 양념을 씻어내고, 튀긴 항정살과 함께 물에 넣고 끓여 고기육수를 낸다.
4. 오이에 칼집을 내고 소금물에 끓여 절인다.
5. 참기름을 두른 팬에 적당한 크기로 썬 양파와 대파, 으깬 마늘을 넣고 볶는다.
6. 볶던 채소에 고기육수를 조금 붓고 끓인 뒤, 고기육수와 섞어 함께 끓인다.
7. 순대를 적당한 크기로 썰어 "&amp;"넣는다.
8. 끓이던 재료에 들깻가루, 새우젓, 잘게 썬 대파와 청양고추를 넣고 끓여 순댓국을 만든다.
9. 소금물에 절인 오이를 얼음물에 담가 식힌다.
10. 잘게 다진 갓김치에 김칫소, 식초를 넣고 섞어 김치 양념을 만든 뒤, 절인 오이를 버무린다.
11. 전자레인지에 즉석밥을 돌린다.
12. 김칫소, 고춧가루, 맛술, 후추, 다진 마늘, 잘게 썬 대파를 섞어 양념장을 만든다.
13. 순댓국을 가열된 뚝배기에 옮겨 담"&amp;"고 끓이다가 소금으로 간 한다.
14. 즉석밥을 순댓국에 넣고 끓인다.
15. 오이소박이를 접시에 담는다.
16. 다른 접시에 청양고추와 편으로 썬 마늘을 담는다.
17. 순댓국에 들깻가루를 뿌린다.
18. 순대국밥, 오이소박이, 청양고추와 마늘, 양념장, 새우젓을 함께 낸다.")</f>
        <v>1. 끓는 물에 인스턴트 양념닭발을 데친다.
2. 항정살을 기름에 튀긴다.
3. 데친 양념닭발을 체에 밭쳐 양념을 씻어내고, 튀긴 항정살과 함께 물에 넣고 끓여 고기육수를 낸다.
4. 오이에 칼집을 내고 소금물에 끓여 절인다.
5. 참기름을 두른 팬에 적당한 크기로 썬 양파와 대파, 으깬 마늘을 넣고 볶는다.
6. 볶던 채소에 고기육수를 조금 붓고 끓인 뒤, 고기육수와 섞어 함께 끓인다.
7. 순대를 적당한 크기로 썰어 넣는다.
8. 끓이던 재료에 들깻가루, 새우젓, 잘게 썬 대파와 청양고추를 넣고 끓여 순댓국을 만든다.
9. 소금물에 절인 오이를 얼음물에 담가 식힌다.
10. 잘게 다진 갓김치에 김칫소, 식초를 넣고 섞어 김치 양념을 만든 뒤, 절인 오이를 버무린다.
11. 전자레인지에 즉석밥을 돌린다.
12. 김칫소, 고춧가루, 맛술, 후추, 다진 마늘, 잘게 썬 대파를 섞어 양념장을 만든다.
13. 순댓국을 가열된 뚝배기에 옮겨 담고 끓이다가 소금으로 간 한다.
14. 즉석밥을 순댓국에 넣고 끓인다.
15. 오이소박이를 접시에 담는다.
16. 다른 접시에 청양고추와 편으로 썬 마늘을 담는다.
17. 순댓국에 들깻가루를 뿌린다.
18. 순대국밥, 오이소박이, 청양고추와 마늘, 양념장, 새우젓을 함께 낸다.</v>
      </c>
    </row>
    <row r="538">
      <c r="A538" s="2" t="str">
        <f>recipe!C538
</f>
        <v>숙모닝</v>
      </c>
      <c r="B538" s="2" t="str">
        <f>IFERROR(__xludf.DUMMYFUNCTION("TRIM(
  REGEXEXTRACT(
    raw!A538,
    ""●\s*조리\s*방법([\s\S]*)""
  )
)
"),"1. 두 개의 팬에 버터를 녹인다.
2. 브리치즈를 반으로 가른 뒤, 물을 묻힌다.
3. 물을 묻힌 브리치즈에 밀가루와 달걀물을 차례로 입히고 버터를 녹인 팬에 굽는다.
4. 달걀물에 설탕, 소금, 밀가루를 넣고 섞어 팬케이크 반죽을 만든다.
5. 팬케이크 반죽에 우유를 부어가며 섞는다.
6. 버터를 녹인 팬에 팬케이크를 굽는다.
7. 마른 팬에 설탕을 녹인다.
8. 녹인 설탕에 뜨거운 물, 버터를 넣고 끓여 캐러멜"&amp;"소스를 만든다.
9. 구운 팬케이크와 구운 브리치즈의 기름기를 뺀다.
10. 모과청과 꿀을 섞어 모과소스를 만든다.
11. 접시에 팬케이크&gt;모과소스&gt;구운 브리치즈&gt;팬케이크를 차례로 쌓는다.
12. 캐러멜소스에 레몬즙을 넣는다.
13. 쌓은 팬케이크 위에 캐러멜소스를 바르고 구운 브리치즈&gt;팬케이크를 덮는다.
14. 팬케이크 위에 캐러멜소스를 뿌린다.
15. 접시에 모과소스를 흩뿌려 마무리한다.")</f>
        <v>1. 두 개의 팬에 버터를 녹인다.
2. 브리치즈를 반으로 가른 뒤, 물을 묻힌다.
3. 물을 묻힌 브리치즈에 밀가루와 달걀물을 차례로 입히고 버터를 녹인 팬에 굽는다.
4. 달걀물에 설탕, 소금, 밀가루를 넣고 섞어 팬케이크 반죽을 만든다.
5. 팬케이크 반죽에 우유를 부어가며 섞는다.
6. 버터를 녹인 팬에 팬케이크를 굽는다.
7. 마른 팬에 설탕을 녹인다.
8. 녹인 설탕에 뜨거운 물, 버터를 넣고 끓여 캐러멜소스를 만든다.
9. 구운 팬케이크와 구운 브리치즈의 기름기를 뺀다.
10. 모과청과 꿀을 섞어 모과소스를 만든다.
11. 접시에 팬케이크&gt;모과소스&gt;구운 브리치즈&gt;팬케이크를 차례로 쌓는다.
12. 캐러멜소스에 레몬즙을 넣는다.
13. 쌓은 팬케이크 위에 캐러멜소스를 바르고 구운 브리치즈&gt;팬케이크를 덮는다.
14. 팬케이크 위에 캐러멜소스를 뿌린다.
15. 접시에 모과소스를 흩뿌려 마무리한다.</v>
      </c>
    </row>
    <row r="539">
      <c r="A539" s="2" t="str">
        <f>recipe!C539
</f>
        <v>숙나잇</v>
      </c>
      <c r="B539" s="2" t="str">
        <f>IFERROR(__xludf.DUMMYFUNCTION("TRIM(
  REGEXEXTRACT(
    raw!A539,
    ""●\s*조리\s*방법([\s\S]*)""
  )
)
"),"1. 끓는 물에 당면을 삶는다.
2. 인스턴트 만두의 피와 소를 분리한다.
3. 기름을 두른 팬에 다진 마늘과 만두소를 볶다가, 달걀을 넣고 함께 볶는다.
4. 볶던 재료에 콜라를 붓고 끓이다가 간장을 넣는다.
5. 끓이던 재료에 물과 고추장을 넣고 끓여 팟타이소스를 만든다.
6. 양파, 대파, 오이, 당근을 채 썬다.
7. 어묵은 채 썰고, 청양고추는 잘게 썬다.
8. 볼에 올리브오일, 칼라만시식초, 설탕, 다진 "&amp;"마늘, 소금, 후추, 잘게 썬 청양고추를 넣고 섞어 솜땀소스를 만든다.
9. 게맛살을 잘게 찢는다.
10. 볼에 잘게 찢은 게맛살과 채 썬 재료들을 넣고, 오징어포과자를 부숴 넣는다.
11. 10에 솜땀소스를 붓고 섞는다.
12. 솜땀을 접시에 담는다.
13. 삶은 당면을 체에 밭쳐 거른 뒤, 찬물에 헹군다.
14. 팟타이소스에 당면을 넣고 볶는다.
15. 팟타이에 칼라만시식초를 넣는다.
16. 팟타이를 접시에"&amp;" 담고 깨를 뿌려 완성한다.")</f>
        <v>1. 끓는 물에 당면을 삶는다.
2. 인스턴트 만두의 피와 소를 분리한다.
3. 기름을 두른 팬에 다진 마늘과 만두소를 볶다가, 달걀을 넣고 함께 볶는다.
4. 볶던 재료에 콜라를 붓고 끓이다가 간장을 넣는다.
5. 끓이던 재료에 물과 고추장을 넣고 끓여 팟타이소스를 만든다.
6. 양파, 대파, 오이, 당근을 채 썬다.
7. 어묵은 채 썰고, 청양고추는 잘게 썬다.
8. 볼에 올리브오일, 칼라만시식초, 설탕, 다진 마늘, 소금, 후추, 잘게 썬 청양고추를 넣고 섞어 솜땀소스를 만든다.
9. 게맛살을 잘게 찢는다.
10. 볼에 잘게 찢은 게맛살과 채 썬 재료들을 넣고, 오징어포과자를 부숴 넣는다.
11. 10에 솜땀소스를 붓고 섞는다.
12. 솜땀을 접시에 담는다.
13. 삶은 당면을 체에 밭쳐 거른 뒤, 찬물에 헹군다.
14. 팟타이소스에 당면을 넣고 볶는다.
15. 팟타이에 칼라만시식초를 넣는다.
16. 팟타이를 접시에 담고 깨를 뿌려 완성한다.</v>
      </c>
    </row>
    <row r="540">
      <c r="A540" s="2" t="str">
        <f>recipe!C540
</f>
        <v>이길 만두 하지? 당근!</v>
      </c>
      <c r="B540" s="2" t="str">
        <f>IFERROR(__xludf.DUMMYFUNCTION("TRIM(
  REGEXEXTRACT(
    raw!A540,
    ""●\s*조리\s*방법([\s\S]*)""
  )
)
"),"1. 당근을 적당한 크기로 썬다.
2. 믹서기에 적당한 크기로 썬 당근을 넣고 간다.
3. 곱게 간 당근을 면보에 짜서 당근즙과 밀가루를 섞어 만두피 반죽을 만든다.
4. 핸드블렌더에 어묵, 버터, 게맛살을 넣고 곱게 간다.
5. 곱게 간 당근에 잘게 썬 당근을 넣고 섞어 당근 만두소를 만든다.
6. 오징어포과자를 곱게 간 뒤, 당근만두소에 넣고 섞는다.
7. 당근만두피 반죽을 적당량 떼어낸 뒤, 밀대로 밀어 동그랗게 만"&amp;"든다.
8. 당근만두피에 당근만두소를 넣고 만두를 빚는다.
9. 끓는 물에 당근만두를 넣고 삶는다.
10. 당근, 오이, 양파를 적당한 크기로 썬다.
11. 팬에 물, 간장, 설탕, 칼라만시식초, 손질한 채소를 넣고 끓여 탕수소스를 만든다.
12. 삶은 당근만두를 건져내 물기를 뺀다.
13. 당근을 모양내 당근꽃을 만든다.
14. 대파를 가늘게 채 썰어 그릇에 담고, 위에 당근꽃을 올린다.
15. 당근만두를 그"&amp;"릇에 담는다.
16. 탕수소스에 전분물을 부어 농도를 조절한다.
17. 당근만두 위에 탕수소스를 부어 마무리한다.")</f>
        <v>1. 당근을 적당한 크기로 썬다.
2. 믹서기에 적당한 크기로 썬 당근을 넣고 간다.
3. 곱게 간 당근을 면보에 짜서 당근즙과 밀가루를 섞어 만두피 반죽을 만든다.
4. 핸드블렌더에 어묵, 버터, 게맛살을 넣고 곱게 간다.
5. 곱게 간 당근에 잘게 썬 당근을 넣고 섞어 당근 만두소를 만든다.
6. 오징어포과자를 곱게 간 뒤, 당근만두소에 넣고 섞는다.
7. 당근만두피 반죽을 적당량 떼어낸 뒤, 밀대로 밀어 동그랗게 만든다.
8. 당근만두피에 당근만두소를 넣고 만두를 빚는다.
9. 끓는 물에 당근만두를 넣고 삶는다.
10. 당근, 오이, 양파를 적당한 크기로 썬다.
11. 팬에 물, 간장, 설탕, 칼라만시식초, 손질한 채소를 넣고 끓여 탕수소스를 만든다.
12. 삶은 당근만두를 건져내 물기를 뺀다.
13. 당근을 모양내 당근꽃을 만든다.
14. 대파를 가늘게 채 썰어 그릇에 담고, 위에 당근꽃을 올린다.
15. 당근만두를 그릇에 담는다.
16. 탕수소스에 전분물을 부어 농도를 조절한다.
17. 당근만두 위에 탕수소스를 부어 마무리한다.</v>
      </c>
    </row>
    <row r="541">
      <c r="A541" s="2" t="str">
        <f>recipe!C541
</f>
        <v>오늘 나~ 이길 거 맞지♬</v>
      </c>
      <c r="B541" s="2" t="str">
        <f>IFERROR(__xludf.DUMMYFUNCTION("TRIM(
  REGEXEXTRACT(
    raw!A541,
    ""●\s*조리\s*방법([\s\S]*)""
  )
)
"),"1. 당근을 채 썬다.
2. 팬에 버터, 채 썬 당근, 설탕을 넣고 볶는다.
3. 다른 팬에 버터를 녹인 뒤, 다진 마늘을 볶아 갈릭버터를 만든다.
4. 핸드블렌더에 밤식빵을 넣고 간다.
5. 갈릭버터에 밤식빵가루를 넣고 볶는다.
6. 냄비에 버터를 녹인 뒤, 밀가루를 볶아 루를 만든다.
7. 루에 우유를 붓고 끓여 베샤멜소스를 만든다.
8. 베샤멜소스에 크림치즈, 소금을 넣는다.
9. 볼에 크림소스를 적당량 "&amp;"덜어낸 뒤, 남은 크림소스에 채 썬 당근과 게맛살, 우유를 넣는다.
10. 9를 핸드블렌더로 곱게 갈아 당근수프를 만든다.
11. 볶은 밤식빵가루를 다시 한 번 곱게 간다.
12. 접시에 밤식빵가루를 담는다.
13. 접시에 당근수프를 담는다.
14. 밤식빵가루와 당근수프의 경계에 크림소스를 올린다.
15. 설탕에 볶은 당근을 밤식빵가루 위에 얹는다.")</f>
        <v>1. 당근을 채 썬다.
2. 팬에 버터, 채 썬 당근, 설탕을 넣고 볶는다.
3. 다른 팬에 버터를 녹인 뒤, 다진 마늘을 볶아 갈릭버터를 만든다.
4. 핸드블렌더에 밤식빵을 넣고 간다.
5. 갈릭버터에 밤식빵가루를 넣고 볶는다.
6. 냄비에 버터를 녹인 뒤, 밀가루를 볶아 루를 만든다.
7. 루에 우유를 붓고 끓여 베샤멜소스를 만든다.
8. 베샤멜소스에 크림치즈, 소금을 넣는다.
9. 볼에 크림소스를 적당량 덜어낸 뒤, 남은 크림소스에 채 썬 당근과 게맛살, 우유를 넣는다.
10. 9를 핸드블렌더로 곱게 갈아 당근수프를 만든다.
11. 볶은 밤식빵가루를 다시 한 번 곱게 간다.
12. 접시에 밤식빵가루를 담는다.
13. 접시에 당근수프를 담는다.
14. 밤식빵가루와 당근수프의 경계에 크림소스를 올린다.
15. 설탕에 볶은 당근을 밤식빵가루 위에 얹는다.</v>
      </c>
    </row>
    <row r="542">
      <c r="A542" s="2" t="str">
        <f>recipe!C542
</f>
        <v>해산물이 맛있셧업♬</v>
      </c>
      <c r="B542" s="2" t="str">
        <f>IFERROR(__xludf.DUMMYFUNCTION("TRIM(
  REGEXEXTRACT(
    raw!A542,
    ""●\s*조리\s*방법([\s\S]*)""
  )
)
"),"1. 기름을 두른 냄비에 마늘, 양파, 당근, 백합를 넣는다.
2. 1에 화이트와인과 뜨거운 물을 붓고 끓여 채소조개육수를 낸다.
3. 볼에 올리브오일, 적당한 크기로 썬 가지와 파프리카를 넣고 소금, 후추를 뿌려 버무린다.
4. 양념한 가지와 파프리카를 그릴팬에 굽는다.
5. 기름을 두른 팬에 잘게 다진 양파와 불린 렌틸콩을 넣고 소금으로 간한 뒤, 채소조개육수를 부어 끓인다.
6. 데친 문어는 물결모양으로 썰고, 낙지는 채소조개육수에 데쳐 "&amp;"적당한 크기로 썬 뒤 올리브오일, 소금, 후추에 버무린다.
7. 미나리에 올리브오일, 소금, 후추를 넣고 버무린다.
8. 양념한 미나리를 구워 적당한 크기로 썬다.
9. 레몬즙, 올리브오일, 설탕을 섞어 레몬오일소스를 만든다.
10. 구운 파프리카를 잘게 썬다.
11. 10을 레몬오일소스에 넣고 허브시즈닝을 뿌린 뒤, 올리브오일을 더해 파프리카허브소스를 만든다.
12. 백합의 살을 발라낸 뒤 잘게 다진다.
13. 조개육수에 끓이던 렌틸콩에 "&amp;"백합살, 레몬즙을 넣고 끓인다.
14. 볼에 구운 가지와 미나리를 담은 뒤, 포일에 허브시즈닝을 담아 불을 붙이고 뚜껑을 닫아 훈연한다.
15. 그릴팬에 양념한 문어와 낙지를 굽는다.
16. 구운 문어를 접시에 담고, 렌틸콩을 올린다.
17. 훈연한 가지와 미나리를 올리고, 파프리카허브소스를 얹은 뒤, 후추를 뿌려 마무리한다.")</f>
        <v>1. 기름을 두른 냄비에 마늘, 양파, 당근, 백합를 넣는다.
2. 1에 화이트와인과 뜨거운 물을 붓고 끓여 채소조개육수를 낸다.
3. 볼에 올리브오일, 적당한 크기로 썬 가지와 파프리카를 넣고 소금, 후추를 뿌려 버무린다.
4. 양념한 가지와 파프리카를 그릴팬에 굽는다.
5. 기름을 두른 팬에 잘게 다진 양파와 불린 렌틸콩을 넣고 소금으로 간한 뒤, 채소조개육수를 부어 끓인다.
6. 데친 문어는 물결모양으로 썰고, 낙지는 채소조개육수에 데쳐 적당한 크기로 썬 뒤 올리브오일, 소금, 후추에 버무린다.
7. 미나리에 올리브오일, 소금, 후추를 넣고 버무린다.
8. 양념한 미나리를 구워 적당한 크기로 썬다.
9. 레몬즙, 올리브오일, 설탕을 섞어 레몬오일소스를 만든다.
10. 구운 파프리카를 잘게 썬다.
11. 10을 레몬오일소스에 넣고 허브시즈닝을 뿌린 뒤, 올리브오일을 더해 파프리카허브소스를 만든다.
12. 백합의 살을 발라낸 뒤 잘게 다진다.
13. 조개육수에 끓이던 렌틸콩에 백합살, 레몬즙을 넣고 끓인다.
14. 볼에 구운 가지와 미나리를 담은 뒤, 포일에 허브시즈닝을 담아 불을 붙이고 뚜껑을 닫아 훈연한다.
15. 그릴팬에 양념한 문어와 낙지를 굽는다.
16. 구운 문어를 접시에 담고, 렌틸콩을 올린다.
17. 훈연한 가지와 미나리를 올리고, 파프리카허브소스를 얹은 뒤, 후추를 뿌려 마무리한다.</v>
      </c>
    </row>
    <row r="543">
      <c r="A543" s="2" t="str">
        <f>recipe!C543
</f>
        <v>잉글리쉿</v>
      </c>
      <c r="B543" s="2" t="str">
        <f>IFERROR(__xludf.DUMMYFUNCTION("TRIM(
  REGEXEXTRACT(
    raw!A543,
    ""●\s*조리\s*방법([\s\S]*)""
  )
)
"),"1. 대파는 적당한 크기로 썰고 마늘은 으깬 뒤, 마른 냄비에 넣고 볶는다.
2. 손질한 양파와 고추, 으깬 통후추를 냄비에 넣고 함께 볶는다.
3. 볶던 재료에 화이트와인과 백합, 바지락살을 넣고 뚜껑을 닫아 끓인다.
4. 3에 뜨거운 물을 넣고 끓인다.
5. 조개육수를 체에 밭쳐 건더기와 육수를 분리한다.
6. 백합의 살을 발라낸다.
7. 끓는 물에 소금을 넣고, 불린 렌틸콩을 삶는다.
8. 양파, 당근, 마늘을"&amp;" 잘게 썰어 기름을 두른 팬에 볶는다.
9. 삶은 렌틸콩을 체에 밭쳐 물기를 뺀 뒤, 채소를 볶던 팬에 넣고 함께 볶는다.
10. 볶던 재료에 소금과 후추로 간을 한다.
11. 양파, 당근, 파프리카, 애호박, 마늘을 적당한 크기로 썬다.
12. 기름을 두른 팬에 손질한 채소를 볶는다.
13. 손질한 채소를 볶던 팬에 불린 표고버섯도 적당한 크기로 썰어 넣고 함께 볶다가, 백합살과 바지락살을 넣고 볶는다.
14. 볶던 재"&amp;"료에 조개육수를 부어가며 끓인다.
15. 14에 허브시즈닝, 강황가루, 버터를 넣고 끓여 프리카세를 만든다.
16. 볶은 렌틸콩을 접시에 담아낸다.
17. 그릇에 프리카세를 담는다.
18. 마른 팬에 감태를 구운 뒤, 잘게 찢어 프리카세 위에 올려 마무리한다.")</f>
        <v>1. 대파는 적당한 크기로 썰고 마늘은 으깬 뒤, 마른 냄비에 넣고 볶는다.
2. 손질한 양파와 고추, 으깬 통후추를 냄비에 넣고 함께 볶는다.
3. 볶던 재료에 화이트와인과 백합, 바지락살을 넣고 뚜껑을 닫아 끓인다.
4. 3에 뜨거운 물을 넣고 끓인다.
5. 조개육수를 체에 밭쳐 건더기와 육수를 분리한다.
6. 백합의 살을 발라낸다.
7. 끓는 물에 소금을 넣고, 불린 렌틸콩을 삶는다.
8. 양파, 당근, 마늘을 잘게 썰어 기름을 두른 팬에 볶는다.
9. 삶은 렌틸콩을 체에 밭쳐 물기를 뺀 뒤, 채소를 볶던 팬에 넣고 함께 볶는다.
10. 볶던 재료에 소금과 후추로 간을 한다.
11. 양파, 당근, 파프리카, 애호박, 마늘을 적당한 크기로 썬다.
12. 기름을 두른 팬에 손질한 채소를 볶는다.
13. 손질한 채소를 볶던 팬에 불린 표고버섯도 적당한 크기로 썰어 넣고 함께 볶다가, 백합살과 바지락살을 넣고 볶는다.
14. 볶던 재료에 조개육수를 부어가며 끓인다.
15. 14에 허브시즈닝, 강황가루, 버터를 넣고 끓여 프리카세를 만든다.
16. 볶은 렌틸콩을 접시에 담아낸다.
17. 그릇에 프리카세를 담는다.
18. 마른 팬에 감태를 구운 뒤, 잘게 찢어 프리카세 위에 올려 마무리한다.</v>
      </c>
    </row>
    <row r="544">
      <c r="A544" s="2" t="str">
        <f>recipe!C544
</f>
        <v>지천명 반상</v>
      </c>
      <c r="B544" s="2" t="str">
        <f>IFERROR(__xludf.DUMMYFUNCTION("TRIM(
  REGEXEXTRACT(
    raw!A544,
    ""●\s*조리\s*방법([\s\S]*)""
  )
)
"),"1. 디포리를 토치로 직화한다.
2. 끓는 물에 건새우와 직화한 디포리를 넣고 육수를 낸다.
3. 냄비에 참기름을 두르고, 적당한 크기로 썬 불린 표고버섯, 대파, 양파, 으깬 마늘을 넣고 볶는다.
4. 3에 낙지를 넣고 볶는다.
5. 육수를 체에 밭쳐 건더기를 걸러내고, 볶던 재료에 붓고 끓여 연포탕을 만든다.
6. 연포탕에 어간장을 넣는다.
7. 연포탕에 적당한 크기로 썬 알배추와 고추를 넣은 뒤 뚜껑을 닫고 끓인다."&amp;"
8. 즉석밥을 전자레인지에 돌린다.
9. 끓는 물에 소금을 넣고 불린 완두콩과 브로콜리를 데친다.
10. 볼에 밀가루, 달걀노른자, 물을 넣고 섞어 달걀반죽을 만든다.
11. 원형틀로 애호박의 속을 파내고, 밀가루를 묻힌 뒤 속에 명란젓을 끼워 적당한 크기로 썬다.
12. 명란젓을 끼운 애호박에 밀가루와 달걀반죽을 순서대로 입힌 뒤 기름을 두른 팬에 굽는다.
13. 석쇠에 식초를 바른 뒤, 참기름을 바른 가자미를 올리고"&amp;" 굽는다.
14. 잘게 다진 명이나물장아찌, 명이나물장아찌 국물, 고춧가루, 깨, 참기름을 섞어 간장소스를 만든 뒤, 종지에 담아낸다.
15. 뚝배기에 밥을 넣고 데친 완두콩과 브로콜리를 올린 뒤, 구운 가자미를 얹는다.
16. 접시에 명란애호박전을 담는다.
17. 연포탕에 감태를 풀어준 뒤 그릇에 담는다.
18. 감태연포탕과 가자미솥밥, 명란애호박전을 함께 낸다.")</f>
        <v>1. 디포리를 토치로 직화한다.
2. 끓는 물에 건새우와 직화한 디포리를 넣고 육수를 낸다.
3. 냄비에 참기름을 두르고, 적당한 크기로 썬 불린 표고버섯, 대파, 양파, 으깬 마늘을 넣고 볶는다.
4. 3에 낙지를 넣고 볶는다.
5. 육수를 체에 밭쳐 건더기를 걸러내고, 볶던 재료에 붓고 끓여 연포탕을 만든다.
6. 연포탕에 어간장을 넣는다.
7. 연포탕에 적당한 크기로 썬 알배추와 고추를 넣은 뒤 뚜껑을 닫고 끓인다.
8. 즉석밥을 전자레인지에 돌린다.
9. 끓는 물에 소금을 넣고 불린 완두콩과 브로콜리를 데친다.
10. 볼에 밀가루, 달걀노른자, 물을 넣고 섞어 달걀반죽을 만든다.
11. 원형틀로 애호박의 속을 파내고, 밀가루를 묻힌 뒤 속에 명란젓을 끼워 적당한 크기로 썬다.
12. 명란젓을 끼운 애호박에 밀가루와 달걀반죽을 순서대로 입힌 뒤 기름을 두른 팬에 굽는다.
13. 석쇠에 식초를 바른 뒤, 참기름을 바른 가자미를 올리고 굽는다.
14. 잘게 다진 명이나물장아찌, 명이나물장아찌 국물, 고춧가루, 깨, 참기름을 섞어 간장소스를 만든 뒤, 종지에 담아낸다.
15. 뚝배기에 밥을 넣고 데친 완두콩과 브로콜리를 올린 뒤, 구운 가자미를 얹는다.
16. 접시에 명란애호박전을 담는다.
17. 연포탕에 감태를 풀어준 뒤 그릇에 담는다.
18. 감태연포탕과 가자미솥밥, 명란애호박전을 함께 낸다.</v>
      </c>
    </row>
    <row r="545">
      <c r="A545" s="2" t="str">
        <f>recipe!C545
</f>
        <v>따르릉~ 내가 니 문어야♬</v>
      </c>
      <c r="B545" s="2" t="str">
        <f>IFERROR(__xludf.DUMMYFUNCTION("TRIM(
  REGEXEXTRACT(
    raw!A545,
    ""●\s*조리\s*방법([\s\S]*)""
  )
)
"),"1. 압력솥에 물, 표고버섯 우린 물, 간장, 맛술, 청주, 설탕을 넣은 뒤, 데친 문어를 넣고 뚜껑을 닫아 조린다.
2. 오이에 촘촘하게 칼집을 낸다.
3. 소금물에 칼집 낸 오이를 절여둔다.
4. 데친 문어를 물결무늬로 썬 뒤, 접시에 담는다.
5. 채 썬 양파를 찬물에 헹군 뒤, 접시에 담는다.
6. 끓는 물에 소금을 넣고 불린 미역을 데친다.
7. 데친 미역을 찬물에 담가 식힌 뒤, 접시에 담는다.
8. 즉석"&amp;"밥을 전자레인지에 돌린다.
9. 볼에 식초, 설탕, 물을 넣고 섞어 초절임소스를 만든다.
10. 소금에 절인 오이를 초절임소스에 담가둔다.
11. 가지와 문어를 적당한 크기로 썬다.
12. 밀가루와 물을 섞어 튀김옷을 만든 뒤, 적당한 크기로 썬 가지와 문어에 입혀 튀긴다.
13. 가지튀김과 문어튀김을 건져낸 뒤, 체에 밭쳐 기름기를 뺀다.
14. 식초, 설탕, 맛술, 간장, 레몬즙을 섞어 초회소스를 만든다.
15."&amp;" 초회소스에 마키베리분말을 넣고 섞은 뒤, 종지에 담아낸다.
16. 초절임한 오이를 적당한 크기로 썰어 문어초회 접시에 담는다.
17. 밥, 가지튀김, 문어튀김, 잘게 썬 미나리를 한데 넣는다.
18. 압력솥에서 조린 문어조림을 적당한 크기로 썬 뒤 밥에 넣고, 조림양념도 함께 넣어 섞어준다.
19. 문어조림밥을 그릇에 담아낸다.
20. 문어초회와 문어조림밥을 함께 낸다.")</f>
        <v>1. 압력솥에 물, 표고버섯 우린 물, 간장, 맛술, 청주, 설탕을 넣은 뒤, 데친 문어를 넣고 뚜껑을 닫아 조린다.
2. 오이에 촘촘하게 칼집을 낸다.
3. 소금물에 칼집 낸 오이를 절여둔다.
4. 데친 문어를 물결무늬로 썬 뒤, 접시에 담는다.
5. 채 썬 양파를 찬물에 헹군 뒤, 접시에 담는다.
6. 끓는 물에 소금을 넣고 불린 미역을 데친다.
7. 데친 미역을 찬물에 담가 식힌 뒤, 접시에 담는다.
8. 즉석밥을 전자레인지에 돌린다.
9. 볼에 식초, 설탕, 물을 넣고 섞어 초절임소스를 만든다.
10. 소금에 절인 오이를 초절임소스에 담가둔다.
11. 가지와 문어를 적당한 크기로 썬다.
12. 밀가루와 물을 섞어 튀김옷을 만든 뒤, 적당한 크기로 썬 가지와 문어에 입혀 튀긴다.
13. 가지튀김과 문어튀김을 건져낸 뒤, 체에 밭쳐 기름기를 뺀다.
14. 식초, 설탕, 맛술, 간장, 레몬즙을 섞어 초회소스를 만든다.
15. 초회소스에 마키베리분말을 넣고 섞은 뒤, 종지에 담아낸다.
16. 초절임한 오이를 적당한 크기로 썰어 문어초회 접시에 담는다.
17. 밥, 가지튀김, 문어튀김, 잘게 썬 미나리를 한데 넣는다.
18. 압력솥에서 조린 문어조림을 적당한 크기로 썬 뒤 밥에 넣고, 조림양념도 함께 넣어 섞어준다.
19. 문어조림밥을 그릇에 담아낸다.
20. 문어초회와 문어조림밥을 함께 낸다.</v>
      </c>
    </row>
    <row r="546">
      <c r="A546" s="2" t="str">
        <f>recipe!C546
</f>
        <v>M.S.G</v>
      </c>
      <c r="B546" s="2" t="str">
        <f>IFERROR(__xludf.DUMMYFUNCTION("TRIM(
  REGEXEXTRACT(
    raw!A546,
    ""●\s*조리\s*방법([\s\S]*)""
  )
)
"),"1. 팬에 버터를 녹인다.
2. 버터를 녹인 팬에 느타리버섯과 팽이버섯을 볶는다.
3. 기름을 두른 팬에 잘게 썬 비엔나소시지를 굽는다.
4. 기름을 두른 팬에 적당한 크기로 썬 소고기 등심을 볶는다.
5. 채 썬 양파에 소금을 뿌려 섞은 뒤, 등심과 함께 볶는다.
6. 볶은 등심과 양파를 체에 밭쳐 기름기를 뺀 뒤, 다시 볶는다.
7. 볶던 버섯에 체에 밭쳐 내린 밀가루를 더해 함께 볶는다.
8. 밀가루를 뿌려 볶"&amp;"은 버섯에 인스턴트 샤부샤부육수와 레드와인을 넣고 졸인다.
9. 8에 물을 붓고 끓여 소스를 만든다.
10. 소스에 구운 비엔나소시지를 넣고 함께 끓인다.
11. 등심볶음에 모차렐라치즈를 넣고 섞는다.
12. 접시에 원형틀을 올리고, 치즈등심볶음을 담는다.
13. 통조림알감자를 적당한 크기로 썰어 소스에 넣고 끓인다.
14. 치즈등심볶음 위에 소스를 붓는다.
15. 파채를 얹어 마무리한다.")</f>
        <v>1. 팬에 버터를 녹인다.
2. 버터를 녹인 팬에 느타리버섯과 팽이버섯을 볶는다.
3. 기름을 두른 팬에 잘게 썬 비엔나소시지를 굽는다.
4. 기름을 두른 팬에 적당한 크기로 썬 소고기 등심을 볶는다.
5. 채 썬 양파에 소금을 뿌려 섞은 뒤, 등심과 함께 볶는다.
6. 볶은 등심과 양파를 체에 밭쳐 기름기를 뺀 뒤, 다시 볶는다.
7. 볶던 버섯에 체에 밭쳐 내린 밀가루를 더해 함께 볶는다.
8. 밀가루를 뿌려 볶은 버섯에 인스턴트 샤부샤부육수와 레드와인을 넣고 졸인다.
9. 8에 물을 붓고 끓여 소스를 만든다.
10. 소스에 구운 비엔나소시지를 넣고 함께 끓인다.
11. 등심볶음에 모차렐라치즈를 넣고 섞는다.
12. 접시에 원형틀을 올리고, 치즈등심볶음을 담는다.
13. 통조림알감자를 적당한 크기로 썰어 소스에 넣고 끓인다.
14. 치즈등심볶음 위에 소스를 붓는다.
15. 파채를 얹어 마무리한다.</v>
      </c>
    </row>
    <row r="547">
      <c r="A547" s="2" t="str">
        <f>recipe!C547
</f>
        <v>샘희태닭</v>
      </c>
      <c r="B547" s="2" t="str">
        <f>IFERROR(__xludf.DUMMYFUNCTION("TRIM(
  REGEXEXTRACT(
    raw!A547,
    ""●\s*조리\s*방법([\s\S]*)""
  )
)
"),"1. 닭을 손질한다.
2. 표고버섯, 느타리버섯을 적당한 크기로 썬다.
3. 닭뼈를 우려 닭육수를 낸다.
4. 닭육수에 액상조미료를 넣는다.
5. 손질한 닭에 칼집을 내고 후추와 소금을 뿌린다.
6. 기름을 두른 팬에 닭을 굽는다.
7. 기름을 두른 그릴 팬에 파김치와 대파 흰 부분을 굽는다.
8. 양파를 잘게 썰어 닭을 굽는 팬에서 볶는다.
9. 굽던 닭을 그릴팬으로 옮겨 굽는다.
10. 볶던 양파에 손"&amp;"질한 표고버섯과 느타리버섯을 넣고 소금, 후추를 뿌려 볶는다.
11. 볶던 버섯에 닭육수를 붓고 끓인다.
12. 11에 구운 닭과 버터를 넣고 조린다.
13. 닭을 조리는 소스에 통조림옥수수의 국물만 넣는다.
14. 구운 파김치와 대파를 잘게 썬 뒤, 올리브오일과 후추를 뿌려 버무린다.
15. 접시에 조린 닭을 올린다.
16. 닭을 건져내고 팬에 남은 소스에 밀가루를 넣어 농도를 조절한다.
17. 닭 위에 소스를 붓"&amp;"고 구운 파김치와 파를 올린다.")</f>
        <v>1. 닭을 손질한다.
2. 표고버섯, 느타리버섯을 적당한 크기로 썬다.
3. 닭뼈를 우려 닭육수를 낸다.
4. 닭육수에 액상조미료를 넣는다.
5. 손질한 닭에 칼집을 내고 후추와 소금을 뿌린다.
6. 기름을 두른 팬에 닭을 굽는다.
7. 기름을 두른 그릴 팬에 파김치와 대파 흰 부분을 굽는다.
8. 양파를 잘게 썰어 닭을 굽는 팬에서 볶는다.
9. 굽던 닭을 그릴팬으로 옮겨 굽는다.
10. 볶던 양파에 손질한 표고버섯과 느타리버섯을 넣고 소금, 후추를 뿌려 볶는다.
11. 볶던 버섯에 닭육수를 붓고 끓인다.
12. 11에 구운 닭과 버터를 넣고 조린다.
13. 닭을 조리는 소스에 통조림옥수수의 국물만 넣는다.
14. 구운 파김치와 대파를 잘게 썬 뒤, 올리브오일과 후추를 뿌려 버무린다.
15. 접시에 조린 닭을 올린다.
16. 닭을 건져내고 팬에 남은 소스에 밀가루를 넣어 농도를 조절한다.
17. 닭 위에 소스를 붓고 구운 파김치와 파를 올린다.</v>
      </c>
    </row>
    <row r="548">
      <c r="A548" s="2" t="str">
        <f>recipe!C548
</f>
        <v>복면라왕</v>
      </c>
      <c r="B548" s="2" t="str">
        <f>IFERROR(__xludf.DUMMYFUNCTION("TRIM(
  REGEXEXTRACT(
    raw!A548,
    ""●\s*조리\s*방법([\s\S]*)""
  )
)
"),"1. 냄비에 인스턴트 사골곰탕을 붓고, 모시조개를 넣어 끓인다.
2. 닭을 발골한다.
3. 전분, 물, 달걀물, 식용유를 섞어 튀김옷을 만든다.
4. 닭다리살에 튀김옷을 입혀 기름에 튀긴다.
5. 생칼국수면을 삶는다.
6. 핸드블렌더에 적당한 크기로 썬 닭가슴살과 전분, 버터, 잘게 썬 양파, 소금, 액상조미료, 달걀물을 넣고 갈아 완자반죽을 만든다.
7. 칼국수면을 건져 찬물에 식힌다.
8. 완자 반죽을 적당한 크"&amp;"기로 떼어 면수에 넣고 삶는다.
9. 채 썬 양파에 물엿, 식초, 간장, 맛술, 잘게 썬 대파와 고추, 물, 참기름을 넣고 섞어 완자소스를 만든다.
10. 삶은 닭가슴살 완자를 건져 접시에 담는다.
11. 즉석밥을 전자레인지에 돌린다.
12. 찬물에 식힌 칼국수면을 뜨거운 면수에 담가둔다.
13. 대파, 마늘, 홍고추를 잘게 썰고, 절인 배추를 적당한 크기로 썬다.
14. 기름을 두른 팬에 손질한 채소들과 고춧가루, 적당"&amp;"한 크기로 썬 애호박과 조개곰탕육수를 넣고 끓여 라조기소스를 만든다.
15. 닭가슴살 완자 위에 완자소스를 붓는다.
16. 칼국수면을 그릇에 담고, 조개곰탕육수를 붓는다.
17. 튀긴 닭다리살을 라조기소스에 넣고 볶는다.
18. 칼국수 위에 라조기를 부어 라조기탕면을 완성한다.")</f>
        <v>1. 냄비에 인스턴트 사골곰탕을 붓고, 모시조개를 넣어 끓인다.
2. 닭을 발골한다.
3. 전분, 물, 달걀물, 식용유를 섞어 튀김옷을 만든다.
4. 닭다리살에 튀김옷을 입혀 기름에 튀긴다.
5. 생칼국수면을 삶는다.
6. 핸드블렌더에 적당한 크기로 썬 닭가슴살과 전분, 버터, 잘게 썬 양파, 소금, 액상조미료, 달걀물을 넣고 갈아 완자반죽을 만든다.
7. 칼국수면을 건져 찬물에 식힌다.
8. 완자 반죽을 적당한 크기로 떼어 면수에 넣고 삶는다.
9. 채 썬 양파에 물엿, 식초, 간장, 맛술, 잘게 썬 대파와 고추, 물, 참기름을 넣고 섞어 완자소스를 만든다.
10. 삶은 닭가슴살 완자를 건져 접시에 담는다.
11. 즉석밥을 전자레인지에 돌린다.
12. 찬물에 식힌 칼국수면을 뜨거운 면수에 담가둔다.
13. 대파, 마늘, 홍고추를 잘게 썰고, 절인 배추를 적당한 크기로 썬다.
14. 기름을 두른 팬에 손질한 채소들과 고춧가루, 적당한 크기로 썬 애호박과 조개곰탕육수를 넣고 끓여 라조기소스를 만든다.
15. 닭가슴살 완자 위에 완자소스를 붓는다.
16. 칼국수면을 그릇에 담고, 조개곰탕육수를 붓는다.
17. 튀긴 닭다리살을 라조기소스에 넣고 볶는다.
18. 칼국수 위에 라조기를 부어 라조기탕면을 완성한다.</v>
      </c>
    </row>
    <row r="549">
      <c r="A549" s="2" t="str">
        <f>recipe!C549
</f>
        <v>렛츠고 짬짜면</v>
      </c>
      <c r="B549" s="2" t="str">
        <f>IFERROR(__xludf.DUMMYFUNCTION("TRIM(
  REGEXEXTRACT(
    raw!A549,
    ""●\s*조리\s*방법([\s\S]*)""
  )
)
"),"1. 끓는 물에 소금을 넣은 뒤, 생칼국수면을 삶는다.
2. 볼에 고춧가루, 적당한 크기로 썬 대파 흰 부분과 생강을 넣고 끓는 기름을 부어 고추기름을 낸다.
3. 고추기름을 체에 밭쳐 건더기를 걸러낸 뒤, 팬에 두른다.
4. 양파, 대파, 당근을 적당한 크기로 썬 뒤, 고추기름을 두른 팬에 넣고 볶는다.
5. 볶던 채소에 생강을 넣고 볶는다.
6. 표고버섯을 적당한 크기로 썰어 채소를 볶던 팬에 넣고 함께 볶는다.
7."&amp;" 볶던 채소에 간장, 맛술, 설탕, 액상조미료를 넣는다.
8. 즉석밥을 전자레인지에 돌린다.
9. 팬에 고추기름을 두른 뒤, 칵테일새우, 바지락살, 낙지다리를 넣고 볶는다.
10. 볶은 해산물을 채소를 볶던 팬에 넣고 함께 볶는다.
11. 삶은 칼국수면을 찬물에 헹군 뒤, 그릇에 담는다.
12. 밥을 그릇에 담은 뒤, 깨를 올린다.
13. 해산물채소볶음에 물, 후추, 전분물을 넣고 끓여 물짜장소스를 만든다.
14. "&amp;"면 위에 물짜장소스를 붓고, 파채와 깨를 올려 마무리한다.")</f>
        <v>1. 끓는 물에 소금을 넣은 뒤, 생칼국수면을 삶는다.
2. 볼에 고춧가루, 적당한 크기로 썬 대파 흰 부분과 생강을 넣고 끓는 기름을 부어 고추기름을 낸다.
3. 고추기름을 체에 밭쳐 건더기를 걸러낸 뒤, 팬에 두른다.
4. 양파, 대파, 당근을 적당한 크기로 썬 뒤, 고추기름을 두른 팬에 넣고 볶는다.
5. 볶던 채소에 생강을 넣고 볶는다.
6. 표고버섯을 적당한 크기로 썰어 채소를 볶던 팬에 넣고 함께 볶는다.
7. 볶던 채소에 간장, 맛술, 설탕, 액상조미료를 넣는다.
8. 즉석밥을 전자레인지에 돌린다.
9. 팬에 고추기름을 두른 뒤, 칵테일새우, 바지락살, 낙지다리를 넣고 볶는다.
10. 볶은 해산물을 채소를 볶던 팬에 넣고 함께 볶는다.
11. 삶은 칼국수면을 찬물에 헹군 뒤, 그릇에 담는다.
12. 밥을 그릇에 담은 뒤, 깨를 올린다.
13. 해산물채소볶음에 물, 후추, 전분물을 넣고 끓여 물짜장소스를 만든다.
14. 면 위에 물짜장소스를 붓고, 파채와 깨를 올려 마무리한다.</v>
      </c>
    </row>
    <row r="550">
      <c r="A550" s="2" t="str">
        <f>recipe!C550
</f>
        <v>떡이라자냐</v>
      </c>
      <c r="B550" s="2" t="str">
        <f>IFERROR(__xludf.DUMMYFUNCTION("TRIM(
  REGEXEXTRACT(
    raw!A550,
    ""●\s*조리\s*방법([\s\S]*)""
  )
)
"),"1. 끓는 물에 올리브오일을 뿌리고 라자냐면을 삶는다.
2. 양파, 파프리카를 잘게 썬다.
3. 기름을 두른 팬에 잘게 썬 양파, 다진 마늘, 잘게 썬 파프리카를 넣고 볶는다.
4. 채소를 볶던 팬에 잘게 다진 수제돈가스와 후추, 적당한 크기로 썬 표고버섯을 넣고 볶는다.
5. 볶던 재료에 토마토소스, 고춧가루, 크림소스를 넣고 볶는다.
6. 핸드블렌더에 즉석밥, 옥수수통조림, 뜨거운 물, 소금을 넣고 갈아 옥수수떡반죽을 만든"&amp;"다.
7. 꼬치에 가래떡을 꽂고 올리브오일을 바른 뒤, 석쇠에서 굽는다.
8. 쟁반에 올리브오일을 두르고 라자냐면을 건져 놓는다.
9. 아스파라거스를 데친 뒤 찬물에 담가둔다.
10. 구운 가래떡을 적당한 크기로 썬다.
11. 라자냐면을 원형틀로 찍어 모양을 낸다.
12. 원형틀 안에 라자냐면&gt;토마토돈가스볶음&gt;라자냐면&gt;옥수수떡반죽&amp;구운 가래떡&gt;슬라이스 체다치즈를 겹겹이 쌓은 뒤, 위에 라클렛치즈를 올린다.
13. 1"&amp;"2를 오븐에 굽는다.
14. 달걀노른자와 바질페스토를 섞어 소스를 만든 뒤, 접시에 뿌린다.
15. 블랙올리브를 곱게 갈아 접시에 올린다.
16. 참외, 파프리카, 데친 아스파라거스를 잘게 썬다.
17. 쌀국수면을 기름에 튀긴 뒤, 건져서 기름기를 뺀다.
18. 오븐에서 라자냐를 꺼내 접시에 담는다.
19. 데친 아스파라거스와, 잘게 썬 참외, 파프리카, 아스파라거스를 곁들인다.
20. 튀긴 쌀국수면을 올려 마무리한"&amp;"다.")</f>
        <v>1. 끓는 물에 올리브오일을 뿌리고 라자냐면을 삶는다.
2. 양파, 파프리카를 잘게 썬다.
3. 기름을 두른 팬에 잘게 썬 양파, 다진 마늘, 잘게 썬 파프리카를 넣고 볶는다.
4. 채소를 볶던 팬에 잘게 다진 수제돈가스와 후추, 적당한 크기로 썬 표고버섯을 넣고 볶는다.
5. 볶던 재료에 토마토소스, 고춧가루, 크림소스를 넣고 볶는다.
6. 핸드블렌더에 즉석밥, 옥수수통조림, 뜨거운 물, 소금을 넣고 갈아 옥수수떡반죽을 만든다.
7. 꼬치에 가래떡을 꽂고 올리브오일을 바른 뒤, 석쇠에서 굽는다.
8. 쟁반에 올리브오일을 두르고 라자냐면을 건져 놓는다.
9. 아스파라거스를 데친 뒤 찬물에 담가둔다.
10. 구운 가래떡을 적당한 크기로 썬다.
11. 라자냐면을 원형틀로 찍어 모양을 낸다.
12. 원형틀 안에 라자냐면&gt;토마토돈가스볶음&gt;라자냐면&gt;옥수수떡반죽&amp;구운 가래떡&gt;슬라이스 체다치즈를 겹겹이 쌓은 뒤, 위에 라클렛치즈를 올린다.
13. 12를 오븐에 굽는다.
14. 달걀노른자와 바질페스토를 섞어 소스를 만든 뒤, 접시에 뿌린다.
15. 블랙올리브를 곱게 갈아 접시에 올린다.
16. 참외, 파프리카, 데친 아스파라거스를 잘게 썬다.
17. 쌀국수면을 기름에 튀긴 뒤, 건져서 기름기를 뺀다.
18. 오븐에서 라자냐를 꺼내 접시에 담는다.
19. 데친 아스파라거스와, 잘게 썬 참외, 파프리카, 아스파라거스를 곁들인다.
20. 튀긴 쌀국수면을 올려 마무리한다.</v>
      </c>
    </row>
    <row r="551">
      <c r="A551" s="2" t="str">
        <f>recipe!C551
</f>
        <v>육떡진 롤</v>
      </c>
      <c r="B551" s="2" t="str">
        <f>IFERROR(__xludf.DUMMYFUNCTION("TRIM(
  REGEXEXTRACT(
    raw!A551,
    ""●\s*조리\s*방법([\s\S]*)""
  )
)
"),"1. 냄비 안에 고춧가루와 나무젓가락을 넣고, 나무젓가락에 불을 붙인 뒤 뚜껑을 덮어 고춧가루를 훈연한다.
2. 가지에 칼집을 내고 토치로 직화한다.
3. 기름을 두른 팬에 적당한 크기로 썬 양파와 파프리카를 볶는다.
4. 다른 팬에 기름을 두른 뒤, 다진 돼지고기를 볶는다.
5. 볶던 돼지고기에 레드와인을 붓고 볶는다.
6. 볶던 채소와 돼지고기에 후추를 뿌린다.
7. 팬에 버터를 녹인 뒤, 떡국떡을 볶는다.
8."&amp;" 볶은 채소와 돼지고기를 한 팬에 담고, 스테이크소스, 다진 마늘, 훈연한 고춧가루를 넣고 볶는다.
9. 8에 버터에 볶은 떡, 마요네즈, 슬라이스 체다치즈, 라클렛치즈를 넣고 볶는다.
10. 알배추의 밑둥을 밀대로 밀어 펴고, 볼에 담아 랩으로 감싼 뒤, 전자레인지에 돌린다.
11. 핸드블렌더에 블랙올리브와 잣을 넣고 곱게 간다.
12. 전자레인지에서 익힌 알배추를 김발 위에 편 뒤, 잣을 넣고 간 블랙올리브와 돼지고기 떡볶음을 "&amp;"넣고 돌돌 만다.
13. 직화한 가지를 물에 씻어 탄 껍질을 벗겨낸다.
14. 껍질을 벗긴 가지를 핸드블렌더로 곱게 간다.
15. 사워크림, 곱게 간 가지, 홀그레인머스터드를 섞어 가지소스를 만든다
16. 돼지고기떡롤을 적당한 크기로 썰어 접시에 담는다.
17. 가지소스에 후추, 발사믹크림, 레몬즙, 설탕을 넣고 섞는다.
18. 돼지고기떡롤에 가지소스를 곁들이고 얇게 썬 대파를 뿌린다.
19. 잣을 올려 마무리한다.")</f>
        <v>1. 냄비 안에 고춧가루와 나무젓가락을 넣고, 나무젓가락에 불을 붙인 뒤 뚜껑을 덮어 고춧가루를 훈연한다.
2. 가지에 칼집을 내고 토치로 직화한다.
3. 기름을 두른 팬에 적당한 크기로 썬 양파와 파프리카를 볶는다.
4. 다른 팬에 기름을 두른 뒤, 다진 돼지고기를 볶는다.
5. 볶던 돼지고기에 레드와인을 붓고 볶는다.
6. 볶던 채소와 돼지고기에 후추를 뿌린다.
7. 팬에 버터를 녹인 뒤, 떡국떡을 볶는다.
8. 볶은 채소와 돼지고기를 한 팬에 담고, 스테이크소스, 다진 마늘, 훈연한 고춧가루를 넣고 볶는다.
9. 8에 버터에 볶은 떡, 마요네즈, 슬라이스 체다치즈, 라클렛치즈를 넣고 볶는다.
10. 알배추의 밑둥을 밀대로 밀어 펴고, 볼에 담아 랩으로 감싼 뒤, 전자레인지에 돌린다.
11. 핸드블렌더에 블랙올리브와 잣을 넣고 곱게 간다.
12. 전자레인지에서 익힌 알배추를 김발 위에 편 뒤, 잣을 넣고 간 블랙올리브와 돼지고기 떡볶음을 넣고 돌돌 만다.
13. 직화한 가지를 물에 씻어 탄 껍질을 벗겨낸다.
14. 껍질을 벗긴 가지를 핸드블렌더로 곱게 간다.
15. 사워크림, 곱게 간 가지, 홀그레인머스터드를 섞어 가지소스를 만든다
16. 돼지고기떡롤을 적당한 크기로 썰어 접시에 담는다.
17. 가지소스에 후추, 발사믹크림, 레몬즙, 설탕을 넣고 섞는다.
18. 돼지고기떡롤에 가지소스를 곁들이고 얇게 썬 대파를 뿌린다.
19. 잣을 올려 마무리한다.</v>
      </c>
    </row>
    <row r="552">
      <c r="A552" s="2" t="str">
        <f>recipe!C552
</f>
        <v>조동아리 샌드</v>
      </c>
      <c r="B552" s="2" t="str">
        <f>IFERROR(__xludf.DUMMYFUNCTION("TRIM(
  REGEXEXTRACT(
    raw!A552,
    ""●\s*조리\s*방법([\s\S]*)""
  )
)
"),"1. 데친 우거지에 수제막장, 된장, 다진 마늘을 넣고 무친다.
2. 누룽지를 기름에 튀긴다.
3. 곤약을 적당한 크기로 썰어 물에 데친다.
4. 튀긴 누룽지를 건져 기름기를 뺀다.
5. 데친 곤약에 올리브오일, 다진 마늘을 더해 볶는다.
6. 5에 굴소스와 뜨거운 물을 붓고 조린다.
7. 두부를 적당한 크기로 썰어 기름에 튀긴다.
8. 씻어서 잘게 썬 총각김치와 채 썬 당근에 참기름을 넣고 버무린다.
9. 8"&amp;"에 잘게 썬 명이나물장아찌와 식초를 넣고 버무려 총각김치무침을 만든다.
10. 두부튀김을 건져 기름기를 뺀다.
11. 기름을 두른 팬에 우거지무침, 뜨거운 물, 멸치를 넣고 끓여 조린다.
12. 핸드블렌더에 슬라이스아몬드를 넣고 간다.
13. 조린 우거지무침에 아몬드가루를 넣고 볶는다.
14. 튀긴 누룽지, 곤약조림, 두부튀김, 총각김치무침, 우거지볶음을 각각 그릇에 담아낸다.")</f>
        <v>1. 데친 우거지에 수제막장, 된장, 다진 마늘을 넣고 무친다.
2. 누룽지를 기름에 튀긴다.
3. 곤약을 적당한 크기로 썰어 물에 데친다.
4. 튀긴 누룽지를 건져 기름기를 뺀다.
5. 데친 곤약에 올리브오일, 다진 마늘을 더해 볶는다.
6. 5에 굴소스와 뜨거운 물을 붓고 조린다.
7. 두부를 적당한 크기로 썰어 기름에 튀긴다.
8. 씻어서 잘게 썬 총각김치와 채 썬 당근에 참기름을 넣고 버무린다.
9. 8에 잘게 썬 명이나물장아찌와 식초를 넣고 버무려 총각김치무침을 만든다.
10. 두부튀김을 건져 기름기를 뺀다.
11. 기름을 두른 팬에 우거지무침, 뜨거운 물, 멸치를 넣고 끓여 조린다.
12. 핸드블렌더에 슬라이스아몬드를 넣고 간다.
13. 조린 우거지무침에 아몬드가루를 넣고 볶는다.
14. 튀긴 누룽지, 곤약조림, 두부튀김, 총각김치무침, 우거지볶음을 각각 그릇에 담아낸다.</v>
      </c>
    </row>
    <row r="553">
      <c r="A553" s="2" t="str">
        <f>recipe!C553
</f>
        <v>김치브레이커♬</v>
      </c>
      <c r="B553" s="2" t="str">
        <f>IFERROR(__xludf.DUMMYFUNCTION("TRIM(
  REGEXEXTRACT(
    raw!A553,
    ""●\s*조리\s*방법([\s\S]*)""
  )
)
"),"1. 김치를 물로 헹군 뒤, 길게 찢는다.
2. 김밥용 김을 길게 자른다.
3. 삼치를 얇게 포 뜬다.
4. 김 위에 삼치&gt;김치&gt;삼겹살을 순서대로 올려 돌돌 만다.
5. 밀가루와 물을 섞어 튀김옷을 만든다.
6. 김치삼치고기말이에 튀김옷을 입혀 기름에 튀겨낸 후, 건져서 기름기를 뺀다.
7. 당면을 삶는다.
8. 뜨거운 물에 가쓰오부시를 넣고 우려서 육수를 낸다.
9. 삶은 당면을 차가운 물에 헹군 뒤, 체에 "&amp;"밭쳐 물기를 뺀다.
10. 기름을 두른 팬에 편마늘, 적당한 크기로 썬 삼겹살, 대파, 김치를 넣고 볶는다.
11. 9에 채 썬 양파, 표고버섯, 파프리카, 애호박과 두반장, 굴소스, 설탕을 넣고 볶는다.
12. 볶던 재료에 삶은 당면과 가쓰오부시육수를 넣고 볶아 중화풍 잡채를 만든다.
13. 잡채에 다진 마늘과 맛술을 넣고 볶는다.
14. 식초, 설탕, 물, 간장, 전분물을 끓여 탕수소스를 만든다.
15. 김치삼치고기말"&amp;"이를 탕수소스에 버무린다.
16. 접시에 잡채를 담고 탕수소스에 버무린 김치삼치고기말이를 적당한 크기로 잘라 곁들인다.")</f>
        <v>1. 김치를 물로 헹군 뒤, 길게 찢는다.
2. 김밥용 김을 길게 자른다.
3. 삼치를 얇게 포 뜬다.
4. 김 위에 삼치&gt;김치&gt;삼겹살을 순서대로 올려 돌돌 만다.
5. 밀가루와 물을 섞어 튀김옷을 만든다.
6. 김치삼치고기말이에 튀김옷을 입혀 기름에 튀겨낸 후, 건져서 기름기를 뺀다.
7. 당면을 삶는다.
8. 뜨거운 물에 가쓰오부시를 넣고 우려서 육수를 낸다.
9. 삶은 당면을 차가운 물에 헹군 뒤, 체에 밭쳐 물기를 뺀다.
10. 기름을 두른 팬에 편마늘, 적당한 크기로 썬 삼겹살, 대파, 김치를 넣고 볶는다.
11. 9에 채 썬 양파, 표고버섯, 파프리카, 애호박과 두반장, 굴소스, 설탕을 넣고 볶는다.
12. 볶던 재료에 삶은 당면과 가쓰오부시육수를 넣고 볶아 중화풍 잡채를 만든다.
13. 잡채에 다진 마늘과 맛술을 넣고 볶는다.
14. 식초, 설탕, 물, 간장, 전분물을 끓여 탕수소스를 만든다.
15. 김치삼치고기말이를 탕수소스에 버무린다.
16. 접시에 잡채를 담고 탕수소스에 버무린 김치삼치고기말이를 적당한 크기로 잘라 곁들인다.</v>
      </c>
    </row>
    <row r="554">
      <c r="A554" s="2" t="str">
        <f>recipe!C554
</f>
        <v>복면닭호</v>
      </c>
      <c r="B554" s="2" t="str">
        <f>IFERROR(__xludf.DUMMYFUNCTION("TRIM(
  REGEXEXTRACT(
    raw!A554,
    ""●\s*조리\s*방법([\s\S]*)""
  )
)
"),"1. 밀가루, 소금, 물을 섞어 면 반죽을 만든다.
2. 면 반죽을 비닐로 감싸 숙성시킨다.
3. 채끝살을 적당한 크기로 썰어 핸드블렌더에 곱게 간다.
4. 닭다리를 발골 한 뒤 먹기 좋은 크기로 썬다.
5. 어묵을 먹기 좋은 크기로 썬다.
6. 간 채끝살, 닭다리살, 어묵에 참기름과 고추장을 넣어 버무린다.
7. 면 반죽을 밀대로 얇게 민 뒤, 적당한 크기로 썰어 면을 만든다.
8. 끓는 물에 면을 넣고 삶은 뒤 "&amp;"찬물에 담가 식힌다.
9. 기름을 두른 팬에 잘게 썬 마늘, 새송이버섯, 양파, 양념한 고기와 어묵을 넣어 함께 볶는다.
10. 찬물에 식힌 면을 뜨거운 물에 데친 뒤, 볶던 재료에 넣고 함께 볶는다.
11. 접시에 볶음면을 담은 뒤 잘게 썬 쪽파를 올려 마무리한다.")</f>
        <v>1. 밀가루, 소금, 물을 섞어 면 반죽을 만든다.
2. 면 반죽을 비닐로 감싸 숙성시킨다.
3. 채끝살을 적당한 크기로 썰어 핸드블렌더에 곱게 간다.
4. 닭다리를 발골 한 뒤 먹기 좋은 크기로 썬다.
5. 어묵을 먹기 좋은 크기로 썬다.
6. 간 채끝살, 닭다리살, 어묵에 참기름과 고추장을 넣어 버무린다.
7. 면 반죽을 밀대로 얇게 민 뒤, 적당한 크기로 썰어 면을 만든다.
8. 끓는 물에 면을 넣고 삶은 뒤 찬물에 담가 식힌다.
9. 기름을 두른 팬에 잘게 썬 마늘, 새송이버섯, 양파, 양념한 고기와 어묵을 넣어 함께 볶는다.
10. 찬물에 식힌 면을 뜨거운 물에 데친 뒤, 볶던 재료에 넣고 함께 볶는다.
11. 접시에 볶음면을 담은 뒤 잘게 썬 쪽파를 올려 마무리한다.</v>
      </c>
    </row>
    <row r="555">
      <c r="A555" s="2" t="str">
        <f>recipe!C555
</f>
        <v>면들에게 물어봐♬</v>
      </c>
      <c r="B555" s="2" t="str">
        <f>IFERROR(__xludf.DUMMYFUNCTION("TRIM(
  REGEXEXTRACT(
    raw!A555,
    ""●\s*조리\s*방법([\s\S]*)""
  )
)
"),"1. 핸드블렌더에 밀가루와 달걀노른자를 넣고 섞어 면 반죽을 만든다.
2. 면 반죽을 치댄 뒤, 밀가루를 뿌려 숙성시킨다.
3. 고등어를 손질한 뒤 적당한 크기로 썬다.
4. 기름을 두른 냄비에 마늘을 볶다가 모시조개, 화이트와인을 넣고 뚜껑을 덮어 익힌다.
5. 면 반죽을 밀대로 얇게 민 뒤 적당한 크기로 썰어 면을 만든다.
6. 기름을 두른 팬에 다진 마늘, 다진 페페론치노를 넣고 볶는다.
7. 6에 익힌 모시조개의 "&amp;"살, 고등어를 넣고 함께 볶는다.
8. 볶던 재료에 소금, 화이트와인, 물, 조개육수, 잘게 썬 대파를 넣고 끓인다.
9. 소금을 넣은 끓는 물에 면을 익힌다.
10. 볶던 재료에 면을 넣고 함께 볶아 고등어파스타를 만든다.
11. 고등어파스타에 올리브오일을 둘러가며 볶는다.
12. 접시에 고등어파스타를 담은 뒤 올리브오일을 뿌려 마무리한다.")</f>
        <v>1. 핸드블렌더에 밀가루와 달걀노른자를 넣고 섞어 면 반죽을 만든다.
2. 면 반죽을 치댄 뒤, 밀가루를 뿌려 숙성시킨다.
3. 고등어를 손질한 뒤 적당한 크기로 썬다.
4. 기름을 두른 냄비에 마늘을 볶다가 모시조개, 화이트와인을 넣고 뚜껑을 덮어 익힌다.
5. 면 반죽을 밀대로 얇게 민 뒤 적당한 크기로 썰어 면을 만든다.
6. 기름을 두른 팬에 다진 마늘, 다진 페페론치노를 넣고 볶는다.
7. 6에 익힌 모시조개의 살, 고등어를 넣고 함께 볶는다.
8. 볶던 재료에 소금, 화이트와인, 물, 조개육수, 잘게 썬 대파를 넣고 끓인다.
9. 소금을 넣은 끓는 물에 면을 익힌다.
10. 볶던 재료에 면을 넣고 함께 볶아 고등어파스타를 만든다.
11. 고등어파스타에 올리브오일을 둘러가며 볶는다.
12. 접시에 고등어파스타를 담은 뒤 올리브오일을 뿌려 마무리한다.</v>
      </c>
    </row>
    <row r="556">
      <c r="A556" s="2" t="str">
        <f>recipe!C556
</f>
        <v>외할머니의 집으로~ 이경규가 간닭!</v>
      </c>
      <c r="B556" s="2" t="str">
        <f>IFERROR(__xludf.DUMMYFUNCTION("TRIM(
  REGEXEXTRACT(
    raw!A556,
    ""●\s*조리\s*방법([\s\S]*)""
  )
)
"),"1. 압력밥솥에 불린 쌀과 물, 들기름, 소금을 넣어 밥을 안친다.
2. 토종닭을 먹기 좋게 손질한다.
3. 손질한 토종닭을 고기망치로 두드린다.
4. 토종닭을 끓는 물에 데친 뒤 들기름, 소금, 후추, 잘게 썬 대파와 함께 버무린다.
5. 양념한 토종닭을 끓는 물에 넣고 익혀 닭곰탕을 만든다.
6. 끓는 물에 쪽파를 데친다.
7. 끓이던 닭곰탕에 인스턴트 사골곰탕을 넣고 끓인다.
8. 데친 쪽파를 얼음물에 담가 차"&amp;"게 식힌다.
9. 김치 국물, 고춧가루, 다진 마늘, 간장을 섞어 양념장을 만든다.
10. 물기를 제거한 쪽파에 양념장, 식초를 넣고 버무려 파김치를 만든다.
11. 파김치를 먹기 좋게 썰어 접시에 담는다.
12. 접시에 콩잎장아찌와 후추를 섞은 소금을 각각 담는다.
13. 닭곰탕의 국물은 면포에 거르고, 익힌 닭은 건져낸다.
14. 면포에 거른 국물에 대파를 넣어 끓인다.
15. 익힌 닭의 살을 먹기 좋은 크기로 "&amp;"찢는다.
16. 익힌 닭에 소금과 후추로 간 한다.
17. 간을 한 닭을 닭곰탕에 넣어 함께 끓인다.
18. 그릇에 밥을 담는다.
19. 양은냄비에 닭곰탕을 담아낸다.")</f>
        <v>1. 압력밥솥에 불린 쌀과 물, 들기름, 소금을 넣어 밥을 안친다.
2. 토종닭을 먹기 좋게 손질한다.
3. 손질한 토종닭을 고기망치로 두드린다.
4. 토종닭을 끓는 물에 데친 뒤 들기름, 소금, 후추, 잘게 썬 대파와 함께 버무린다.
5. 양념한 토종닭을 끓는 물에 넣고 익혀 닭곰탕을 만든다.
6. 끓는 물에 쪽파를 데친다.
7. 끓이던 닭곰탕에 인스턴트 사골곰탕을 넣고 끓인다.
8. 데친 쪽파를 얼음물에 담가 차게 식힌다.
9. 김치 국물, 고춧가루, 다진 마늘, 간장을 섞어 양념장을 만든다.
10. 물기를 제거한 쪽파에 양념장, 식초를 넣고 버무려 파김치를 만든다.
11. 파김치를 먹기 좋게 썰어 접시에 담는다.
12. 접시에 콩잎장아찌와 후추를 섞은 소금을 각각 담는다.
13. 닭곰탕의 국물은 면포에 거르고, 익힌 닭은 건져낸다.
14. 면포에 거른 국물에 대파를 넣어 끓인다.
15. 익힌 닭의 살을 먹기 좋은 크기로 찢는다.
16. 익힌 닭에 소금과 후추로 간 한다.
17. 간을 한 닭을 닭곰탕에 넣어 함께 끓인다.
18. 그릇에 밥을 담는다.
19. 양은냄비에 닭곰탕을 담아낸다.</v>
      </c>
    </row>
    <row r="557">
      <c r="A557" s="2" t="str">
        <f>recipe!C557
</f>
        <v>꼬꼬탕</v>
      </c>
      <c r="B557" s="2" t="str">
        <f>IFERROR(__xludf.DUMMYFUNCTION("TRIM(
  REGEXEXTRACT(
    raw!A557,
    ""●\s*조리\s*방법([\s\S]*)""
  )
)
"),"1. 끓는 물에 대파, 마늘, 양파를 넣고 끓여 채소육수를 낸다.
2. 토종닭을 손질한 뒤 채소육수에 넣어 익힌다.
3. 양파와 대파를 채 썬 뒤 찬물에 담가 아린 맛을 뺀다.
4. 설탕, 식초, 맛술, 간장, 고추냉이를 섞어 소스를 만든다.
5. 닭육수에 소스, 땅콩버터를 섞어 초계탕 국물을 만든다.
6. 초계탕 국물을 냉동실에 넣어 차게 식힌다.
7. 익힌 닭의 살을 잘게 찢는다.
8. 닭고기에 쌈장, 참기름을 "&amp;"넣고 버무린다.
9. 마늘종장아찌를 잘게 썬다.
10. 달걀물을 만든 뒤 기름을 두른 팬에 부어 달걀지단을 만든다.
11. 달걀지단 위에 채 썬 양파와 대파, 잘게 썬 마늘종장아찌, 양념한 닭고기, 다진 오이피클, 후추를 올린다.
12. 각종 재료를 올린 달걀지단을 접시에 뒤집어 담은 뒤 깨를 뿌린다.
13. 유리포트를 얼음물에 담가 차게 만든다.
14. 차게 식힌 초계탕 국물을 골고루 섞이도록 잘 저어준다.
15."&amp;" 유리포트에 초계탕 국물을 담아낸다.")</f>
        <v>1. 끓는 물에 대파, 마늘, 양파를 넣고 끓여 채소육수를 낸다.
2. 토종닭을 손질한 뒤 채소육수에 넣어 익힌다.
3. 양파와 대파를 채 썬 뒤 찬물에 담가 아린 맛을 뺀다.
4. 설탕, 식초, 맛술, 간장, 고추냉이를 섞어 소스를 만든다.
5. 닭육수에 소스, 땅콩버터를 섞어 초계탕 국물을 만든다.
6. 초계탕 국물을 냉동실에 넣어 차게 식힌다.
7. 익힌 닭의 살을 잘게 찢는다.
8. 닭고기에 쌈장, 참기름을 넣고 버무린다.
9. 마늘종장아찌를 잘게 썬다.
10. 달걀물을 만든 뒤 기름을 두른 팬에 부어 달걀지단을 만든다.
11. 달걀지단 위에 채 썬 양파와 대파, 잘게 썬 마늘종장아찌, 양념한 닭고기, 다진 오이피클, 후추를 올린다.
12. 각종 재료를 올린 달걀지단을 접시에 뒤집어 담은 뒤 깨를 뿌린다.
13. 유리포트를 얼음물에 담가 차게 만든다.
14. 차게 식힌 초계탕 국물을 골고루 섞이도록 잘 저어준다.
15. 유리포트에 초계탕 국물을 담아낸다.</v>
      </c>
    </row>
    <row r="558">
      <c r="A558" s="2" t="str">
        <f>recipe!C558
</f>
        <v>이건 닭도 아니고 빵도 아니여</v>
      </c>
      <c r="B558" s="2" t="str">
        <f>IFERROR(__xludf.DUMMYFUNCTION("TRIM(
  REGEXEXTRACT(
    raw!A558,
    ""●\s*조리\s*방법([\s\S]*)""
  )
)
"),"1. 볼에 밀가루, 소금, 설탕, 뜨거운 물을 넣고 치대어 익반죽한다.
2. 반죽을 밀대로 얇게 민 뒤, 버터를 발라가며 접는 과정을 반복한다.
3. 접은 반죽을 다시 한 번 밀대로 얇게 민다.
4. 반죽을 네모낳게 자르고, 모서리에 버터를 올린 뒤 접어서 닭모양을 만든다.
5. 닭다리 부분에 포일을 감싼 뒤, 기름에 튀긴다.
6. 기름을 두른 팬에 다진 마늘, 식초, 간장, 고춧가루를 넣고 볶는다.
7. 6에 통조림 햄"&amp;"을 부숴 넣는다.
8. 볶던 재료에 인스턴트 카레를 넣고 끓여 카레소스를 만든다.
9. 튀긴 닭빵의 포일을 벗겨 낸다.
10. 카레소스에 전분물과 물을 넣는다.
11. 그릇에 카레소스를 담은 뒤, 닭빵을 올려 마무리한다.")</f>
        <v>1. 볼에 밀가루, 소금, 설탕, 뜨거운 물을 넣고 치대어 익반죽한다.
2. 반죽을 밀대로 얇게 민 뒤, 버터를 발라가며 접는 과정을 반복한다.
3. 접은 반죽을 다시 한 번 밀대로 얇게 민다.
4. 반죽을 네모낳게 자르고, 모서리에 버터를 올린 뒤 접어서 닭모양을 만든다.
5. 닭다리 부분에 포일을 감싼 뒤, 기름에 튀긴다.
6. 기름을 두른 팬에 다진 마늘, 식초, 간장, 고춧가루를 넣고 볶는다.
7. 6에 통조림 햄을 부숴 넣는다.
8. 볶던 재료에 인스턴트 카레를 넣고 끓여 카레소스를 만든다.
9. 튀긴 닭빵의 포일을 벗겨 낸다.
10. 카레소스에 전분물과 물을 넣는다.
11. 그릇에 카레소스를 담은 뒤, 닭빵을 올려 마무리한다.</v>
      </c>
    </row>
    <row r="559">
      <c r="A559" s="2" t="str">
        <f>recipe!C559
</f>
        <v>공갈협빵</v>
      </c>
      <c r="B559" s="2" t="str">
        <f>IFERROR(__xludf.DUMMYFUNCTION("TRIM(
  REGEXEXTRACT(
    raw!A559,
    ""●\s*조리\s*방법([\s\S]*)""
  )
)
"),"1. 핸드블렌더에 기름을 뺀 연어 통조림과 달걀, 통조림 햄, 전분을 넣고 갈아 빵 반죽을 만든다.
2. 청양고추를 적당한 크기로 썬 뒤, 핸드블렌더에 곱게 간다.
3. 대파 흰 부분을 잘게 썬다.
4. 통조림 햄을 슬라이서로 간다.
5. 기름을 두른 팬에 손질한 대파, 통조림햄을 함께 볶는다.
6. 볶던 재료에 곱게 간 청양고추를 넣고 함께 볶아 소를 만든다.
7. 식용유를 바른 종이포일 사이에 빵 반죽을 넣고 기름에 "&amp;"튀기다가 종이포일을 빼낸다.
8. 튀긴 빵에 설탕을 묻힌다.
9. 볶은 소를 짤주머니에 넣은 뒤, 튀긴 빵에 구멍을 내고 안에 소를 채운다.
10. 소를 채운 빵을 그릇에 담는다.
11. 빵 반죽을 넓게 편 뒤, 길게 썰어 기름에 튀긴다.
12. 길게 튀긴 빵에 설탕을 묻혀 그릇에 담는다.")</f>
        <v>1. 핸드블렌더에 기름을 뺀 연어 통조림과 달걀, 통조림 햄, 전분을 넣고 갈아 빵 반죽을 만든다.
2. 청양고추를 적당한 크기로 썬 뒤, 핸드블렌더에 곱게 간다.
3. 대파 흰 부분을 잘게 썬다.
4. 통조림 햄을 슬라이서로 간다.
5. 기름을 두른 팬에 손질한 대파, 통조림햄을 함께 볶는다.
6. 볶던 재료에 곱게 간 청양고추를 넣고 함께 볶아 소를 만든다.
7. 식용유를 바른 종이포일 사이에 빵 반죽을 넣고 기름에 튀기다가 종이포일을 빼낸다.
8. 튀긴 빵에 설탕을 묻힌다.
9. 볶은 소를 짤주머니에 넣은 뒤, 튀긴 빵에 구멍을 내고 안에 소를 채운다.
10. 소를 채운 빵을 그릇에 담는다.
11. 빵 반죽을 넓게 편 뒤, 길게 썰어 기름에 튀긴다.
12. 길게 튀긴 빵에 설탕을 묻혀 그릇에 담는다.</v>
      </c>
    </row>
    <row r="560">
      <c r="A560" s="2" t="str">
        <f>recipe!C560
</f>
        <v>어젯밤 시킨 닭</v>
      </c>
      <c r="B560" s="2" t="str">
        <f>IFERROR(__xludf.DUMMYFUNCTION("TRIM(
  REGEXEXTRACT(
    raw!A560,
    ""●\s*조리\s*방법([\s\S]*)""
  )
)
"),"1. 치킨을 뜨거운 물에 담가 불린다.
2. 핸드블렌더에 깨, 마요네즈, 간장, 설탕, 식초, 청양고추를 넣고 갈아 참깨소스를 만든다.
3. 뜨거운 물에 불린 치킨살을 먹기 좋게 찢는다.
4. 참깨소스에 고춧가루, 우엉을 불린 물, 적당한 크기로 썬 청양고추를 넣고 섞는다.
5. 밀가루와 물을 섞어 튀김옷을 만든다.
6. 불린 우엉과 불린 치킨에 튀김옷을 입힌다.
7. 6을 기름에 튀겨 우엉치킨을 만든다.
8. 인스"&amp;"턴트 어묵탕을 체에 밭쳐 어묵과 국물을 분리한다.
9. 어묵을 가늘게 채 썬다.
10. 어묵국물을 끓인다.
11. 라면의 면만 삶는다.
12. 삶은 라면을 찬물에 헹군다.
13. 우엉치킨을 건져낸 뒤, 체에 밭쳐 기름기를 뺀다.
14. 팬에 청주, 맛술, 설탕, 간장을 넣고 끓여 데리야키소스를 만든다.
15. 끓이던 어묵국물에 달걀물을 풀어 어묵달걀국을 만든다.
16. 어묵달걀국을 그릇에 담은 뒤, 후추를 뿌린"&amp;"다.
17. 우엉치킨을 데리야키소스에 버무린 뒤, 잘게 썬 청양고추를 뿌린다.
18. 데리야키 우엉치킨을 접시에 담고, 깨를 뿌린다.
19. 삶은 라면을 접시에 담은 뒤, 잘게 찢어놓은 치킨살을 올리고 참깨소스와 레몬즙, 깨를 뿌려 마무리한다.")</f>
        <v>1. 치킨을 뜨거운 물에 담가 불린다.
2. 핸드블렌더에 깨, 마요네즈, 간장, 설탕, 식초, 청양고추를 넣고 갈아 참깨소스를 만든다.
3. 뜨거운 물에 불린 치킨살을 먹기 좋게 찢는다.
4. 참깨소스에 고춧가루, 우엉을 불린 물, 적당한 크기로 썬 청양고추를 넣고 섞는다.
5. 밀가루와 물을 섞어 튀김옷을 만든다.
6. 불린 우엉과 불린 치킨에 튀김옷을 입힌다.
7. 6을 기름에 튀겨 우엉치킨을 만든다.
8. 인스턴트 어묵탕을 체에 밭쳐 어묵과 국물을 분리한다.
9. 어묵을 가늘게 채 썬다.
10. 어묵국물을 끓인다.
11. 라면의 면만 삶는다.
12. 삶은 라면을 찬물에 헹군다.
13. 우엉치킨을 건져낸 뒤, 체에 밭쳐 기름기를 뺀다.
14. 팬에 청주, 맛술, 설탕, 간장을 넣고 끓여 데리야키소스를 만든다.
15. 끓이던 어묵국물에 달걀물을 풀어 어묵달걀국을 만든다.
16. 어묵달걀국을 그릇에 담은 뒤, 후추를 뿌린다.
17. 우엉치킨을 데리야키소스에 버무린 뒤, 잘게 썬 청양고추를 뿌린다.
18. 데리야키 우엉치킨을 접시에 담고, 깨를 뿌린다.
19. 삶은 라면을 접시에 담은 뒤, 잘게 찢어놓은 치킨살을 올리고 참깨소스와 레몬즙, 깨를 뿌려 마무리한다.</v>
      </c>
    </row>
    <row r="561">
      <c r="A561" s="2" t="str">
        <f>recipe!C561
</f>
        <v>1닭 2일</v>
      </c>
      <c r="B561" s="2" t="str">
        <f>IFERROR(__xludf.DUMMYFUNCTION("TRIM(
  REGEXEXTRACT(
    raw!A561,
    ""●\s*조리\s*방법([\s\S]*)""
  )
)
"),"1. 양파, 마늘, 당근을 적당한 크기로 썬다.
2. 기름을 두른 팬에 손질한 채소를 볶는다.
3. 튀김옷을 벗긴 치킨살만 채소를 볶던 팬에 넣고 함께 볶는다.
4. 볶던 재료에 위스키를 부은 뒤, 불을 붙여 잡내를 날린다.
5. 볶던 재료에 버터와 밀가루를 넣고 볶는다.
6. 6에 적당한 크기로 썬 청양고추, 후추, 물, 토마토소스를 넣고 끓여 치킨토마토스튜를 만든다.
7. 김을 잘게 부순 뒤, 물로 기름기를 헹궈낸다."&amp;"
8. 김에 식초, 설탕, 물, 간장을 넣고 섞어 김냉국을 만든다.
9. 치킨무를 잘게 썰어 김냉국에 넣는다.
10. 김냉국에 잘게 썬 대파 흰 부분과 얼음을 넣는다.
11. 즉석밥, 인스턴트 볶음김치, 전분을 섞은 뒤, 기름을 두른 팬에 구워 밥전을 만든다.
12. 통조림 햄을 적당한 크기로 썰어 기름에 튀긴다.
13. 그릇에 치킨토마토스튜를 담는다.
14. 잘게 다진 청양고추를 넣은 김냉국을 그릇에 담는다.
"&amp;"
15. 김냉국에 레몬즙을 뿌린다.
16. 접시에 밥전을 담고, 튀긴 햄을 올려 마무리한다.")</f>
        <v>1. 양파, 마늘, 당근을 적당한 크기로 썬다.
2. 기름을 두른 팬에 손질한 채소를 볶는다.
3. 튀김옷을 벗긴 치킨살만 채소를 볶던 팬에 넣고 함께 볶는다.
4. 볶던 재료에 위스키를 부은 뒤, 불을 붙여 잡내를 날린다.
5. 볶던 재료에 버터와 밀가루를 넣고 볶는다.
6. 6에 적당한 크기로 썬 청양고추, 후추, 물, 토마토소스를 넣고 끓여 치킨토마토스튜를 만든다.
7. 김을 잘게 부순 뒤, 물로 기름기를 헹궈낸다.
8. 김에 식초, 설탕, 물, 간장을 넣고 섞어 김냉국을 만든다.
9. 치킨무를 잘게 썰어 김냉국에 넣는다.
10. 김냉국에 잘게 썬 대파 흰 부분과 얼음을 넣는다.
11. 즉석밥, 인스턴트 볶음김치, 전분을 섞은 뒤, 기름을 두른 팬에 구워 밥전을 만든다.
12. 통조림 햄을 적당한 크기로 썰어 기름에 튀긴다.
13. 그릇에 치킨토마토스튜를 담는다.
14. 잘게 다진 청양고추를 넣은 김냉국을 그릇에 담는다.
15. 김냉국에 레몬즙을 뿌린다.
16. 접시에 밥전을 담고, 튀긴 햄을 올려 마무리한다.</v>
      </c>
    </row>
    <row r="562">
      <c r="A562" s="2" t="str">
        <f>recipe!C562
</f>
        <v>소미양~ 스테이크양</v>
      </c>
      <c r="B562" s="2" t="str">
        <f>IFERROR(__xludf.DUMMYFUNCTION("TRIM(
  REGEXEXTRACT(
    raw!A562,
    ""●\s*조리\s*방법([\s\S]*)""
  )
)
"),"1. 알감자를 적당한 크기로 썰어 끓는 물에 넣고 삶는다.
2. 양갈비에 소금, 요거트를 넣고 재운다.
3. 끓는 물에 월계수잎, 바질 가루, 고수홀, 핑크페퍼, 이탈리안 허브시즈닝, 올리브오일, 소금, 으깬 마늘을 넣고 끓여 향을 낸다.
4. 향신료를 우린 물에 레드와인을 넣는다.
5. 4에 얼음을 넣어 온도를 내린 뒤, 양갈비에 부어준다.
6. 잘게 썬 마늘과 요거트, 소금, 마요네즈를 섞어 요거트소스를 만든다.
7."&amp;" 요거트소스에 딜 가루를 넣고 섞은 뒤 그릇에 담는다.
8. 재워뒀던 양갈비에 밀가루를 입힌다.
9. 기름을 두른 팬에 밀가루를 입힌 양갈비를 튀기듯 굽는다.
10. 버터를 녹인 팬에 삶은 감자, 당근, 소금을 넣고 볶는다.
11. 볶던 채소에 딜 가루를 뿌린 뒤 접시에 담는다.
12. 11 위에 구운 양갈비를 올리고, 슬라이스한 마늘을 곁들여 완성한다.")</f>
        <v>1. 알감자를 적당한 크기로 썰어 끓는 물에 넣고 삶는다.
2. 양갈비에 소금, 요거트를 넣고 재운다.
3. 끓는 물에 월계수잎, 바질 가루, 고수홀, 핑크페퍼, 이탈리안 허브시즈닝, 올리브오일, 소금, 으깬 마늘을 넣고 끓여 향을 낸다.
4. 향신료를 우린 물에 레드와인을 넣는다.
5. 4에 얼음을 넣어 온도를 내린 뒤, 양갈비에 부어준다.
6. 잘게 썬 마늘과 요거트, 소금, 마요네즈를 섞어 요거트소스를 만든다.
7. 요거트소스에 딜 가루를 넣고 섞은 뒤 그릇에 담는다.
8. 재워뒀던 양갈비에 밀가루를 입힌다.
9. 기름을 두른 팬에 밀가루를 입힌 양갈비를 튀기듯 굽는다.
10. 버터를 녹인 팬에 삶은 감자, 당근, 소금을 넣고 볶는다.
11. 볶던 채소에 딜 가루를 뿌린 뒤 접시에 담는다.
12. 11 위에 구운 양갈비를 올리고, 슬라이스한 마늘을 곁들여 완성한다.</v>
      </c>
    </row>
    <row r="563">
      <c r="A563" s="2" t="str">
        <f>recipe!C563
</f>
        <v>케사디양</v>
      </c>
      <c r="B563" s="2" t="str">
        <f>IFERROR(__xludf.DUMMYFUNCTION("TRIM(
  REGEXEXTRACT(
    raw!A563,
    ""●\s*조리\s*방법([\s\S]*)""
  )
)
"),"1. 양파를 채 썰어 기름을 두른 팬에 볶는다.
2. 양갈비는 살만 발라내어 적당한 크기로 썬다.
3. 기름을 두른 팬에 통마늘과 로즈마리를 볶아 향을 낸 뒤 양갈비살을 넣고 볶는다.
4. 볶던 양갈비살에 마늘소금, 허브믹스, 소금, 후추를 넣어 함께 볶는다.
5. 마른 팬에 토르티야를 굽는다.
6. 구운 토르티야를 반으로 자른다.
7. 6에 홀그레인머스터드를 바른 뒤 볶은 양파, 양갈비살을 올린다.
8. 아보카도,"&amp;" 레몬즙, 소금, 후추, 물엿을 핸드블렌더로 갈아 아보카도무스를 만든다.
9. 양갈비살에 아보카도무스를 올린다.
10. 설탕, 맛술, 간장을 섞은 양념에 할라피뇨를 재운다.
11. 양념에 재운 할라피뇨를 잘게 다지고, 양배추는 가늘게 채 썬다.
12. 아보카도무스 위에 채 썬 양배추와 할라피뇨를 올린다.
13. 12에 요거트를 올린다.
14. 요거트에 후추를 뿌린 뒤 토르티야를 반으로 접어 케사디야를 만든다.
1"&amp;"5. 기름을 두른 팬에 수박을 굽는다.
16. 굽던 수박에 소금, 후추로 간을 한다.
17. 접시에 구운 수박을 올린 뒤 크림치즈, 바질페스토, 블루베리, 병아리콩, 레몬껍질을 곁들인다.
18. 접시에 케사디야를 올려 완성한다.")</f>
        <v>1. 양파를 채 썰어 기름을 두른 팬에 볶는다.
2. 양갈비는 살만 발라내어 적당한 크기로 썬다.
3. 기름을 두른 팬에 통마늘과 로즈마리를 볶아 향을 낸 뒤 양갈비살을 넣고 볶는다.
4. 볶던 양갈비살에 마늘소금, 허브믹스, 소금, 후추를 넣어 함께 볶는다.
5. 마른 팬에 토르티야를 굽는다.
6. 구운 토르티야를 반으로 자른다.
7. 6에 홀그레인머스터드를 바른 뒤 볶은 양파, 양갈비살을 올린다.
8. 아보카도, 레몬즙, 소금, 후추, 물엿을 핸드블렌더로 갈아 아보카도무스를 만든다.
9. 양갈비살에 아보카도무스를 올린다.
10. 설탕, 맛술, 간장을 섞은 양념에 할라피뇨를 재운다.
11. 양념에 재운 할라피뇨를 잘게 다지고, 양배추는 가늘게 채 썬다.
12. 아보카도무스 위에 채 썬 양배추와 할라피뇨를 올린다.
13. 12에 요거트를 올린다.
14. 요거트에 후추를 뿌린 뒤 토르티야를 반으로 접어 케사디야를 만든다.
15. 기름을 두른 팬에 수박을 굽는다.
16. 굽던 수박에 소금, 후추로 간을 한다.
17. 접시에 구운 수박을 올린 뒤 크림치즈, 바질페스토, 블루베리, 병아리콩, 레몬껍질을 곁들인다.
18. 접시에 케사디야를 올려 완성한다.</v>
      </c>
    </row>
    <row r="564">
      <c r="A564" s="2" t="str">
        <f>recipe!C564
</f>
        <v>오늘 밤 상남자는 나야 나♬</v>
      </c>
      <c r="B564" s="2" t="str">
        <f>IFERROR(__xludf.DUMMYFUNCTION("TRIM(
  REGEXEXTRACT(
    raw!A564,
    ""●\s*조리\s*방법([\s\S]*)""
  )
)
"),"1. 사과 껍질을 벗긴다.
2. 껍질을 벗긴 사과를 핸드블렌더로 간다.
3. 마른 팬에 간 사과와 꿀을 넣고 졸여 사과소스를 만든다.
4. 핸드블렌더에 옥수수알, 밀가루, 달걀을 넣고 간다.
5. 나무꼬치를 쿠킹포일로 감싸 막대를 만든 뒤 옥수수반죽을 둘러 튀긴다.
6. 마른 냄비에 고다치즈, 체다치즈, 우유, 파르메산치즈를 넣고 끓여 치즈소스를 만든다.
7. 핸드블렌더에 적당한 크기로 썬 척아이롤, 허브믹스, 소금을 넣"&amp;"고 간다.
8. 쿠킹포일에 밀가루를 뿌린 뒤 간 척아이롤을 넓게 펼친다.
9. 튀긴 옥수수반죽을 척아이롤로 감싼다.
10. 핫도그를 감싼 쿠킹포일에 구멍을 낸 뒤 기름에 튀긴다.
11. 졸인 사과소스에 레몬즙을 넣는다.
12. 핫케이크 가루와 우유를 섞어 반죽을 만든다.
13. 핫케이크 반죽을 기름에 튀긴다.
14. 튀긴 핫케이크를 그릇에 담고 치즈소스를 붓는다.
15. 13 위에 핫도그를 올리고 사과소스를 곁"&amp;"들여 낸다.")</f>
        <v>1. 사과 껍질을 벗긴다.
2. 껍질을 벗긴 사과를 핸드블렌더로 간다.
3. 마른 팬에 간 사과와 꿀을 넣고 졸여 사과소스를 만든다.
4. 핸드블렌더에 옥수수알, 밀가루, 달걀을 넣고 간다.
5. 나무꼬치를 쿠킹포일로 감싸 막대를 만든 뒤 옥수수반죽을 둘러 튀긴다.
6. 마른 냄비에 고다치즈, 체다치즈, 우유, 파르메산치즈를 넣고 끓여 치즈소스를 만든다.
7. 핸드블렌더에 적당한 크기로 썬 척아이롤, 허브믹스, 소금을 넣고 간다.
8. 쿠킹포일에 밀가루를 뿌린 뒤 간 척아이롤을 넓게 펼친다.
9. 튀긴 옥수수반죽을 척아이롤로 감싼다.
10. 핫도그를 감싼 쿠킹포일에 구멍을 낸 뒤 기름에 튀긴다.
11. 졸인 사과소스에 레몬즙을 넣는다.
12. 핫케이크 가루와 우유를 섞어 반죽을 만든다.
13. 핫케이크 반죽을 기름에 튀긴다.
14. 튀긴 핫케이크를 그릇에 담고 치즈소스를 붓는다.
15. 13 위에 핫도그를 올리고 사과소스를 곁들여 낸다.</v>
      </c>
    </row>
    <row r="565">
      <c r="A565" s="2" t="str">
        <f>recipe!C565
</f>
        <v>마초세트</v>
      </c>
      <c r="B565" s="2" t="str">
        <f>IFERROR(__xludf.DUMMYFUNCTION("TRIM(
  REGEXEXTRACT(
    raw!A565,
    ""●\s*조리\s*방법([\s\S]*)""
  )
)
"),"1. 베이컨을 전자레인지에 넣어 익힌다.
2. 양파를 채 썬다.
3. 끓는 물에 소금과 제멜리면을 넣고 삶는다.
4. 기름을 두른 냄비에 채 썬 양파, 으깬 마늘을 넣고 볶는다.
5. 4에 적당한 크기로 썬 치킨 너겟을 넣고 함께 볶는다.
6. 청양고추를 잘게 썰어 냄비에 넣고 함께 볶는다.
7. 옥수수알과 버터. 밀가루, 물을 냄비에 넣고 끓인다.
8. 7에 치킨스톡, 통조림 토마토수프, 살사소스, 고수 가루를 넣"&amp;"고 끓여 치킨토마토수프를 만든다.
9. 냄비에 으깬 마늘, 버터, 밀가루, 우유, 고다치즈, 체다치즈, 페퍼잭치즈, 파르메산치즈를 넣고 끓여 치즈소스를 만든다.
10. 치즈소스에 소금으로 간을 한다.
11. 팬에 버터를 두르고 식빵을 굽는다.
12. 아보카도를 적당한 크기로 썰어둔다.
13. 파프리카와 대파를 잘게 썬다.
14. 삶은 제멜리면을 치즈소스, 베이컨과 섞어 맥 앤 치즈를 만든다.
15. 구운 식빵 사이에"&amp;" 맥 앤 치즈를 넣어 토스트를 만든다.
16. 그릇에 치킨토마토수프를 담고 아보카도, 페퍼잭치즈를 올린다.
17. 맥 앤 치즈 토스트를 적당한 크기로 썰어 접시에 담고, 파르메산 치즈를 뿌려 완성한다.")</f>
        <v>1. 베이컨을 전자레인지에 넣어 익힌다.
2. 양파를 채 썬다.
3. 끓는 물에 소금과 제멜리면을 넣고 삶는다.
4. 기름을 두른 냄비에 채 썬 양파, 으깬 마늘을 넣고 볶는다.
5. 4에 적당한 크기로 썬 치킨 너겟을 넣고 함께 볶는다.
6. 청양고추를 잘게 썰어 냄비에 넣고 함께 볶는다.
7. 옥수수알과 버터. 밀가루, 물을 냄비에 넣고 끓인다.
8. 7에 치킨스톡, 통조림 토마토수프, 살사소스, 고수 가루를 넣고 끓여 치킨토마토수프를 만든다.
9. 냄비에 으깬 마늘, 버터, 밀가루, 우유, 고다치즈, 체다치즈, 페퍼잭치즈, 파르메산치즈를 넣고 끓여 치즈소스를 만든다.
10. 치즈소스에 소금으로 간을 한다.
11. 팬에 버터를 두르고 식빵을 굽는다.
12. 아보카도를 적당한 크기로 썰어둔다.
13. 파프리카와 대파를 잘게 썬다.
14. 삶은 제멜리면을 치즈소스, 베이컨과 섞어 맥 앤 치즈를 만든다.
15. 구운 식빵 사이에 맥 앤 치즈를 넣어 토스트를 만든다.
16. 그릇에 치킨토마토수프를 담고 아보카도, 페퍼잭치즈를 올린다.
17. 맥 앤 치즈 토스트를 적당한 크기로 썰어 접시에 담고, 파르메산 치즈를 뿌려 완성한다.</v>
      </c>
    </row>
    <row r="566">
      <c r="A566" s="2" t="str">
        <f>recipe!C566
</f>
        <v>참돔이시여</v>
      </c>
      <c r="B566" s="2" t="str">
        <f>IFERROR(__xludf.DUMMYFUNCTION("TRIM(
  REGEXEXTRACT(
    raw!A566,
    ""●\s*조리\s*방법([\s\S]*)""
  )
)
"),"1. 끓는 기름에 대파, 고춧가루를 넣고 끓여 고추기름을 낸다.
2. 참돔 살에 칼집을 낸 뒤, 소금으로 간을 하고 전분을 입힌다.
3. 전분을 입힌 참돔을 기름에 튀긴다.
4. 고추기름을 체에 밭쳐 기름만 빼낸다.
5. 마늘, 대파, 양파, 표고버섯, 사과를 잘게 썬다.
6. 고추기름을 두른 팬에 손질한 채소를 넣고 볶다가 매실주와 멸치육수, 굴소스를 넣고 끓인다.
7. 6에 손질한 사과와 전분물을 넣어 매콤한 소스를 "&amp;"만든다.
8. 마늘종장아찌를 잘게 썰고, 대파는 가늘게 채 썬다.
9. 접시에 참돔튀김을 담은 뒤, 소스를 붓는다.
10. 9 위에 잘게 썬 마늘종장아찌와 파채를 얹어 마무리한다.")</f>
        <v>1. 끓는 기름에 대파, 고춧가루를 넣고 끓여 고추기름을 낸다.
2. 참돔 살에 칼집을 낸 뒤, 소금으로 간을 하고 전분을 입힌다.
3. 전분을 입힌 참돔을 기름에 튀긴다.
4. 고추기름을 체에 밭쳐 기름만 빼낸다.
5. 마늘, 대파, 양파, 표고버섯, 사과를 잘게 썬다.
6. 고추기름을 두른 팬에 손질한 채소를 넣고 볶다가 매실주와 멸치육수, 굴소스를 넣고 끓인다.
7. 6에 손질한 사과와 전분물을 넣어 매콤한 소스를 만든다.
8. 마늘종장아찌를 잘게 썰고, 대파는 가늘게 채 썬다.
9. 접시에 참돔튀김을 담은 뒤, 소스를 붓는다.
10. 9 위에 잘게 썬 마늘종장아찌와 파채를 얹어 마무리한다.</v>
      </c>
    </row>
    <row r="567">
      <c r="A567" s="2" t="str">
        <f>recipe!C567
</f>
        <v>잘 구운 참돔 하나</v>
      </c>
      <c r="B567" s="2" t="str">
        <f>IFERROR(__xludf.DUMMYFUNCTION("TRIM(
  REGEXEXTRACT(
    raw!A567,
    ""●\s*조리\s*방법([\s\S]*)""
  )
)
"),"1. 기름을 두른 팬에 양파를 굽는다.
2. 냄비에 양파와 참돔 뼈, 뜨거운 물을 넣고 끓여 생선육수를 낸다.
3. 참돔 살을 키친타월로 감싸 물기를 뺀다.
4. 구운 양파에 발사믹소스, 올리브오일, 후추를 더해 섞는다.
5. 기름을 두른 팬에 슬라이스한 마늘을 굽다가, 소금, 올리브오일, 레몬즙을 뿌린다.
6. 기름을 두른 팬에 다진 마늘, 적당한 크기로 썬 표고버섯, 소금, 후추, 식초, 생선육수를 넣고 끓여 졸인다.
"&amp;"
7. 기름을 두른 팬에 물기를 뺀 참돔을 굽다가, 소금, 후추로 간 한다.
8. 생선육수로 졸인 소스에 버터를 넣는다.
9. 핸드블렌더에 그린올리브와 올리브오일을 넣고 곱게 갈아 소스를 만든다.
10. 곱게 간 올리브에 소금, 후추로 간 한다.
11. 접시에 구운 마늘과 마늘기름을 넓게 펼친 뒤, 발사믹소스에 버무린 구운 양파를 올린다.
12. 11 위에 생선육수소스를 얹는다.
13. 구운 참돔을 올린다.
14. "&amp;"참돔 위에 올리브소스를 뿌린다.
15. 참돔 위에 후추를 뿌려 마무리한다.")</f>
        <v>1. 기름을 두른 팬에 양파를 굽는다.
2. 냄비에 양파와 참돔 뼈, 뜨거운 물을 넣고 끓여 생선육수를 낸다.
3. 참돔 살을 키친타월로 감싸 물기를 뺀다.
4. 구운 양파에 발사믹소스, 올리브오일, 후추를 더해 섞는다.
5. 기름을 두른 팬에 슬라이스한 마늘을 굽다가, 소금, 올리브오일, 레몬즙을 뿌린다.
6. 기름을 두른 팬에 다진 마늘, 적당한 크기로 썬 표고버섯, 소금, 후추, 식초, 생선육수를 넣고 끓여 졸인다.
7. 기름을 두른 팬에 물기를 뺀 참돔을 굽다가, 소금, 후추로 간 한다.
8. 생선육수로 졸인 소스에 버터를 넣는다.
9. 핸드블렌더에 그린올리브와 올리브오일을 넣고 곱게 갈아 소스를 만든다.
10. 곱게 간 올리브에 소금, 후추로 간 한다.
11. 접시에 구운 마늘과 마늘기름을 넓게 펼친 뒤, 발사믹소스에 버무린 구운 양파를 올린다.
12. 11 위에 생선육수소스를 얹는다.
13. 구운 참돔을 올린다.
14. 참돔 위에 올리브소스를 뿌린다.
15. 참돔 위에 후추를 뿌려 마무리한다.</v>
      </c>
    </row>
    <row r="568">
      <c r="A568" s="2" t="str">
        <f>recipe!C568
</f>
        <v>월하조어탕수</v>
      </c>
      <c r="B568" s="2" t="str">
        <f>IFERROR(__xludf.DUMMYFUNCTION("TRIM(
  REGEXEXTRACT(
    raw!A568,
    ""●\s*조리\s*방법([\s\S]*)""
  )
)
"),"1. 오징어의 껍질을 벗긴다.
2. 핸드블랜더에 적당한 크기로 썬 오징어와 골뱅이를 넣고 간다.
3. 곱게 간 오징어와 골뱅이에 생강즙, 버터, 전분, 소금, 후추를 넣고 섞어 소를 만든다.
4. 3을 찜기에 넣고 찐다.
5. 양파, 오이, 당근, 대파, 표고버섯을 적당한 크기로 썬 뒤 기름을 두른 팬에 볶는다.
6. 볶던 채소에 누룽지, 인삼주, 인스턴트 삼계탕 국물, 볶음고추장, 식초, 설탕, 맛술, 깨를 넣고 끓여 소스를"&amp;" 만든다.
7. 통오징어 안에 찐 오징어골뱅이소를 채워 넣은 뒤, 꼬치로 고정한다.
8. 통오징어에 칼집을 낸 뒤, 밀가루를 묻힌다.
9. 물, 전분, 오징어먹물을 섞어 먹물튀김옷을 만든다.
10. 밀가루를 묻힌 통오징어에 먹물튀김옷을 입힌 뒤, 기름에 튀긴다.
11. 먹물오징어튀김을 건져 다시 한 번 먹물튀김옷을 입힌 뒤, 기름에 튀긴다.
12. 먹물오징어튀김을 건진 뒤, 체에 밭쳐 기름기를 뺀다.
13. 소스에 "&amp;"전분물을 넣어 농도를 조절한다.
14. 접시에 소스를 담은 뒤, 먹기 좋게 썬 먹물오징어튀김을 얹어 마무리한다.")</f>
        <v>1. 오징어의 껍질을 벗긴다.
2. 핸드블랜더에 적당한 크기로 썬 오징어와 골뱅이를 넣고 간다.
3. 곱게 간 오징어와 골뱅이에 생강즙, 버터, 전분, 소금, 후추를 넣고 섞어 소를 만든다.
4. 3을 찜기에 넣고 찐다.
5. 양파, 오이, 당근, 대파, 표고버섯을 적당한 크기로 썬 뒤 기름을 두른 팬에 볶는다.
6. 볶던 채소에 누룽지, 인삼주, 인스턴트 삼계탕 국물, 볶음고추장, 식초, 설탕, 맛술, 깨를 넣고 끓여 소스를 만든다.
7. 통오징어 안에 찐 오징어골뱅이소를 채워 넣은 뒤, 꼬치로 고정한다.
8. 통오징어에 칼집을 낸 뒤, 밀가루를 묻힌다.
9. 물, 전분, 오징어먹물을 섞어 먹물튀김옷을 만든다.
10. 밀가루를 묻힌 통오징어에 먹물튀김옷을 입힌 뒤, 기름에 튀긴다.
11. 먹물오징어튀김을 건져 다시 한 번 먹물튀김옷을 입힌 뒤, 기름에 튀긴다.
12. 먹물오징어튀김을 건진 뒤, 체에 밭쳐 기름기를 뺀다.
13. 소스에 전분물을 넣어 농도를 조절한다.
14. 접시에 소스를 담은 뒤, 먹기 좋게 썬 먹물오징어튀김을 얹어 마무리한다.</v>
      </c>
    </row>
    <row r="569">
      <c r="A569" s="2" t="str">
        <f>recipe!C569
</f>
        <v>면 때무늬야♬</v>
      </c>
      <c r="B569" s="2" t="str">
        <f>IFERROR(__xludf.DUMMYFUNCTION("TRIM(
  REGEXEXTRACT(
    raw!A569,
    ""●\s*조리\s*방법([\s\S]*)""
  )
)
"),"1. 오징어의 껍질을 벗긴다.
2. 핸드블렌더에 적당한 크기로 썬 오징어몸통과 양파, 대파, 표고버섯, 전분, 달걀흰자, 굴소스, 청주를 넣고 갈아 만두소를 만든다.
3. 오징어만두소에 잘게 썬 오징어다리를 넣고 섞는다.
4. 오징어를 가늘게 채 썰어 만두피를 만든다.
5. 오징어만두소를 동그랗게 뭉친 뒤, 오징어채 만두피를 붙인다.
6. 찜기에 오징어만두를 찐다.
7. 냄비에 물, 양파, 대파, 표고버섯, 쯔유, 맛술,"&amp;" 설탕, 소금, 간장을 넣고 끓여 육수를 낸다.
8. 끓인 육수를 냉동실에 넣어 차게 식힌다.
9. 오징어에 촘촘하게 칼집을 넣은 뒤, 가늘게 채 썰어 오징어면을 만든다.
10. 오징어면을 찬물에 헹군 뒤, 소금으로 간을 한다.
11. 라임을 얇게 슬라이스 한다.
12. 차게 식힌 육수에 라임즙을 넣는다.
13. 그릇에 오징어면을 담고 슬라이스한 라임을 얹은 뒤, 육수를 부어 오징어냉국수를 만든다.
14. 접시에 오"&amp;"징어만두를 올린 뒤, 우메보시를 얹고 볶음고추장을 곁들여 낸다.")</f>
        <v>1. 오징어의 껍질을 벗긴다.
2. 핸드블렌더에 적당한 크기로 썬 오징어몸통과 양파, 대파, 표고버섯, 전분, 달걀흰자, 굴소스, 청주를 넣고 갈아 만두소를 만든다.
3. 오징어만두소에 잘게 썬 오징어다리를 넣고 섞는다.
4. 오징어를 가늘게 채 썰어 만두피를 만든다.
5. 오징어만두소를 동그랗게 뭉친 뒤, 오징어채 만두피를 붙인다.
6. 찜기에 오징어만두를 찐다.
7. 냄비에 물, 양파, 대파, 표고버섯, 쯔유, 맛술, 설탕, 소금, 간장을 넣고 끓여 육수를 낸다.
8. 끓인 육수를 냉동실에 넣어 차게 식힌다.
9. 오징어에 촘촘하게 칼집을 넣은 뒤, 가늘게 채 썰어 오징어면을 만든다.
10. 오징어면을 찬물에 헹군 뒤, 소금으로 간을 한다.
11. 라임을 얇게 슬라이스 한다.
12. 차게 식힌 육수에 라임즙을 넣는다.
13. 그릇에 오징어면을 담고 슬라이스한 라임을 얹은 뒤, 육수를 부어 오징어냉국수를 만든다.
14. 접시에 오징어만두를 올린 뒤, 우메보시를 얹고 볶음고추장을 곁들여 낸다.</v>
      </c>
    </row>
    <row r="570">
      <c r="A570" s="2" t="str">
        <f>recipe!C570
</f>
        <v>깜짝놀랄게닭</v>
      </c>
      <c r="B570" s="2" t="str">
        <f>IFERROR(__xludf.DUMMYFUNCTION("TRIM(
  REGEXEXTRACT(
    raw!A570,
    ""●\s*조리\s*방법([\s\S]*)""
  )
)
"),"1. 순살프라이드치킨을 끓는 물에 데쳐 기름기를 뺀다.
2. 메밀소바면을 삶는다.
3. 데친 순살프라이드치킨을 물로 씻어 튀김옷을 벗겨낸 뒤, 끓는 물에 넣고 삶는다.
4. 삶은 메밀소바면을 찬물에 헹군 뒤, 체에 밭쳐 물기를 뺀다.
5. 볼에 적당한 크기로 썬 감자와 약간의 물을 담고 전자레인지에 돌려 익힌다.
6. 참깨소스, 굴소스, 라조장을 1:1:1로 섞고, 설탕과 다진 마늘을 넣어 찜닭소스를 만든다.
7. 돼지안"&amp;"심을 적당한 크기로 썬 뒤, 치킨을 삶던 냄비에 넣고 함께 끓인다.
8. 7에 찜닭소스를 넣고 끓이다가, 국물을 덜어내고 조린다.
9. 찜닭에 익힌 감자와 적당한 크기로 썬 파프리카, 깻잎장아찌, 양파를 넣고 조린다.
10. 먹기 좋은 크기로 자른 게에 밀가루를 묻힌다.
11. 게를 튀긴다.
12. 튀긴 게를 건져내 밀가루를 묻힌다.
13. 튀긴 게와 땅콩을 함께 튀긴다.
14. 볼에 대게내장을 담은 뒤, 매운치킨소"&amp;"스, 물엿, 곱게 다진 깨, 참깨소스를 섞어 게튀김소스를 만든다.
15. 메밀소바면에 참기름을 넣고 잘 섞은 뒤, 접시에 담는다.
16. 튀긴 게를 건져 게튀김소스에 버무린다.
17. 찜닭에 전분물을 넣어 농도를 조절한다.
18. 접시에 찜닭을 담고, 게튀김범벅을 얹어 마무리한다.")</f>
        <v>1. 순살프라이드치킨을 끓는 물에 데쳐 기름기를 뺀다.
2. 메밀소바면을 삶는다.
3. 데친 순살프라이드치킨을 물로 씻어 튀김옷을 벗겨낸 뒤, 끓는 물에 넣고 삶는다.
4. 삶은 메밀소바면을 찬물에 헹군 뒤, 체에 밭쳐 물기를 뺀다.
5. 볼에 적당한 크기로 썬 감자와 약간의 물을 담고 전자레인지에 돌려 익힌다.
6. 참깨소스, 굴소스, 라조장을 1:1:1로 섞고, 설탕과 다진 마늘을 넣어 찜닭소스를 만든다.
7. 돼지안심을 적당한 크기로 썬 뒤, 치킨을 삶던 냄비에 넣고 함께 끓인다.
8. 7에 찜닭소스를 넣고 끓이다가, 국물을 덜어내고 조린다.
9. 찜닭에 익힌 감자와 적당한 크기로 썬 파프리카, 깻잎장아찌, 양파를 넣고 조린다.
10. 먹기 좋은 크기로 자른 게에 밀가루를 묻힌다.
11. 게를 튀긴다.
12. 튀긴 게를 건져내 밀가루를 묻힌다.
13. 튀긴 게와 땅콩을 함께 튀긴다.
14. 볼에 대게내장을 담은 뒤, 매운치킨소스, 물엿, 곱게 다진 깨, 참깨소스를 섞어 게튀김소스를 만든다.
15. 메밀소바면에 참기름을 넣고 잘 섞은 뒤, 접시에 담는다.
16. 튀긴 게를 건져 게튀김소스에 버무린다.
17. 찜닭에 전분물을 넣어 농도를 조절한다.
18. 접시에 찜닭을 담고, 게튀김범벅을 얹어 마무리한다.</v>
      </c>
    </row>
    <row r="571">
      <c r="A571" s="2" t="str">
        <f>recipe!C571
</f>
        <v>거북전</v>
      </c>
      <c r="B571" s="2" t="str">
        <f>IFERROR(__xludf.DUMMYFUNCTION("TRIM(
  REGEXEXTRACT(
    raw!A571,
    ""●\s*조리\s*방법([\s\S]*)""
  )
)
"),"1. 감자를 얇게 슬라이스한다.
2. 기름을 두른 팬에 감자슬라이스를 넓게 펼친 뒤, 굽는다.
3. 강판에 감자를 간다.
4. 곱게 간 감자에 달걀노른자, 전분을 넣고 섞는다.
5. 감자반죽에 소금과 후추로 간 한다.
6. 감자슬라이스 위에 감자반죽을 붓고 굽는다.
7. 끓는 물에 반으로 자른 레몬, 게를 넣고 끓인다.
8. 7에 낙지를 살짝 데쳐낸 뒤, 적당한 크기로 자른다.
9. 감자전 위에 데친 낙지와 적"&amp;"당한 크기로 자른 새우, 슬라이스치즈를 얹는다.
10. 삶은 게를 밀대로 밀어 살만 빼낸 뒤, 잘게 썬 청양고추와 섞어 감자전 위에 얹는다.
11. 감자전을 뒤집은 뒤, 버터를 넣고 녹인다.
12. 마늘고추간장장아찌 국물과 마늘식초장아찌의 국물을 섞는다.
13. 12에 적당한 크기로 썬 양파를 넣고 절인 뒤 종지에 담는다.
14. 갈빗살을 얇게 편 뒤, 칼집을 내고 소금, 밀가루, 후추를 뿌린다.
15. 갈빗살을 감자슬라"&amp;"이스로 감싸고 전분을 뿌린 뒤, 반으로 자른다.
16. 15에 달걀물을 입힌 뒤, 기름을 두른 팬에 구워 육전을 만든다.
17. 접시에 감자전을 담고 먹기 좋은 크기로 자른다.
18. 육전을 얹어 마무리한다.")</f>
        <v>1. 감자를 얇게 슬라이스한다.
2. 기름을 두른 팬에 감자슬라이스를 넓게 펼친 뒤, 굽는다.
3. 강판에 감자를 간다.
4. 곱게 간 감자에 달걀노른자, 전분을 넣고 섞는다.
5. 감자반죽에 소금과 후추로 간 한다.
6. 감자슬라이스 위에 감자반죽을 붓고 굽는다.
7. 끓는 물에 반으로 자른 레몬, 게를 넣고 끓인다.
8. 7에 낙지를 살짝 데쳐낸 뒤, 적당한 크기로 자른다.
9. 감자전 위에 데친 낙지와 적당한 크기로 자른 새우, 슬라이스치즈를 얹는다.
10. 삶은 게를 밀대로 밀어 살만 빼낸 뒤, 잘게 썬 청양고추와 섞어 감자전 위에 얹는다.
11. 감자전을 뒤집은 뒤, 버터를 넣고 녹인다.
12. 마늘고추간장장아찌 국물과 마늘식초장아찌의 국물을 섞는다.
13. 12에 적당한 크기로 썬 양파를 넣고 절인 뒤 종지에 담는다.
14. 갈빗살을 얇게 편 뒤, 칼집을 내고 소금, 밀가루, 후추를 뿌린다.
15. 갈빗살을 감자슬라이스로 감싸고 전분을 뿌린 뒤, 반으로 자른다.
16. 15에 달걀물을 입힌 뒤, 기름을 두른 팬에 구워 육전을 만든다.
17. 접시에 감자전을 담고 먹기 좋은 크기로 자른다.
18. 육전을 얹어 마무리한다.</v>
      </c>
    </row>
    <row r="572">
      <c r="A572" s="2" t="str">
        <f>recipe!C572
</f>
        <v>대세는 낙.돼.새</v>
      </c>
      <c r="B572" s="2" t="str">
        <f>IFERROR(__xludf.DUMMYFUNCTION("TRIM(
  REGEXEXTRACT(
    raw!A572,
    ""●\s*조리\s*방법([\s\S]*)""
  )
)
"),"1. 채칼로 사과와 당근을 채썬다.
2. 채 썬 사과와 당근에 간장, 채 썬 양파, 다진 마늘, 고춧가루, 식초, 설탕을 넣고 섞어 사과당근샐러드를 만든다.
3. 돼지 목살의 기름기를 제거하고 적당한 크기로 썬다.
4. 적당한 크기로 썬 돼지목살에 칼집을 낸다.
5. 낙지를 적당한 크기로 썬다.
6. 마른 철판에 돼지 목살을 볶다가, 기름을 두르고 볶는다.
7. 돼지 목살을 볶던 철판에 손질한 새우를 넣고 함께 볶다가 적당한 크기로 썬다.
8"&amp;". 재료를 볶던 철판에 굴소스, 알배추, 맛술, 대파, 소금을 넣고 볶는다.
9. 즉석밥을 전자레인지에 돌린다.
10. 볶던 재료에 손질한 낙지와 들깻가루를 넣고 볶는다.
11. 즉석밥을 볼에 담은 뒤, 들기름과 고추장을 넣고 섞는다.
12. 낙지돼지새우볶음을 볼에 옮겨 담고, 철판에 고추장밥을 펼쳐서 누룽지를 만든다.
13. 김을 적당한 크기로 자른 뒤, 접시에 담는다.
14. 사과당근샐러드를 그릇에 담는다.
15. 접시에 낙지돼지새우볶음"&amp;"을 담는다.
16. 고추장누룽지를 접시에 함께 담아 마무리한다.")</f>
        <v>1. 채칼로 사과와 당근을 채썬다.
2. 채 썬 사과와 당근에 간장, 채 썬 양파, 다진 마늘, 고춧가루, 식초, 설탕을 넣고 섞어 사과당근샐러드를 만든다.
3. 돼지 목살의 기름기를 제거하고 적당한 크기로 썬다.
4. 적당한 크기로 썬 돼지목살에 칼집을 낸다.
5. 낙지를 적당한 크기로 썬다.
6. 마른 철판에 돼지 목살을 볶다가, 기름을 두르고 볶는다.
7. 돼지 목살을 볶던 철판에 손질한 새우를 넣고 함께 볶다가 적당한 크기로 썬다.
8. 재료를 볶던 철판에 굴소스, 알배추, 맛술, 대파, 소금을 넣고 볶는다.
9. 즉석밥을 전자레인지에 돌린다.
10. 볶던 재료에 손질한 낙지와 들깻가루를 넣고 볶는다.
11. 즉석밥을 볼에 담은 뒤, 들기름과 고추장을 넣고 섞는다.
12. 낙지돼지새우볶음을 볼에 옮겨 담고, 철판에 고추장밥을 펼쳐서 누룽지를 만든다.
13. 김을 적당한 크기로 자른 뒤, 접시에 담는다.
14. 사과당근샐러드를 그릇에 담는다.
15. 접시에 낙지돼지새우볶음을 담는다.
16. 고추장누룽지를 접시에 함께 담아 마무리한다.</v>
      </c>
    </row>
    <row r="573">
      <c r="A573" s="2" t="str">
        <f>recipe!C573
</f>
        <v>오코노미~야키를 사랑해♬</v>
      </c>
      <c r="B573" s="2" t="str">
        <f>IFERROR(__xludf.DUMMYFUNCTION("TRIM(
  REGEXEXTRACT(
    raw!A573,
    ""●\s*조리\s*방법([\s\S]*)""
  )
)
"),"1. 라면 면을 삶는다.
2. 양배추를 채 썬다.
3. 돼지 안심을 적당한 크기로 썬 뒤, 칼집을 낸다.
4. 삶은 라면을 찬 물에 헹궈 식힌 뒤, 마른 팬에 케첩과 함께 볶는다.
5. 밀가루와 물을 섞어 반죽을 만든다.
6. 기름을 두른 철판에 밀가루반죽을 두른 뒤, 양배추채를 올린다.
7. 양배추 채 위에 돼지 안심을 올리고, 후추를 뿌린 뒤 뒤집어 굽는다.
8. 새우를 손질한 뒤, 후추를 뿌려 굽는다.
9"&amp;". 철판에 양파슬라이스로 탑을 쌓고 구운 새우를 올린 뒤, 고량주를 붓고 불을 붙인다.
10. 철판 한 쪽에 케첩에 볶은 라면을 펼친 뒤, 오코노미야키를 얹는다.
11. 철판 한 쪽에 달걀프라이를 만들고, 그 위에 오코노미야키를 얹는다.
12. 마요네즈와 스위트칠리소스를 섞어 칠리마요를 만든다.
13. 직화한 새우에 칠리마요를 묻힌다.
14. 오코노미야키를 접시에 담고, 먹기 좋은 크기로 자른다.
15. 핸드블랜더에 잔멸"&amp;"치를 곱게 간 뒤, 오코노미야키 위에 뿌린다.
16. 오코노미야키 위에 돈가스소스와 마요네즈를 뿌린다.
17. 칠리마요새우를 얹어 마무리한다.")</f>
        <v>1. 라면 면을 삶는다.
2. 양배추를 채 썬다.
3. 돼지 안심을 적당한 크기로 썬 뒤, 칼집을 낸다.
4. 삶은 라면을 찬 물에 헹궈 식힌 뒤, 마른 팬에 케첩과 함께 볶는다.
5. 밀가루와 물을 섞어 반죽을 만든다.
6. 기름을 두른 철판에 밀가루반죽을 두른 뒤, 양배추채를 올린다.
7. 양배추 채 위에 돼지 안심을 올리고, 후추를 뿌린 뒤 뒤집어 굽는다.
8. 새우를 손질한 뒤, 후추를 뿌려 굽는다.
9. 철판에 양파슬라이스로 탑을 쌓고 구운 새우를 올린 뒤, 고량주를 붓고 불을 붙인다.
10. 철판 한 쪽에 케첩에 볶은 라면을 펼친 뒤, 오코노미야키를 얹는다.
11. 철판 한 쪽에 달걀프라이를 만들고, 그 위에 오코노미야키를 얹는다.
12. 마요네즈와 스위트칠리소스를 섞어 칠리마요를 만든다.
13. 직화한 새우에 칠리마요를 묻힌다.
14. 오코노미야키를 접시에 담고, 먹기 좋은 크기로 자른다.
15. 핸드블랜더에 잔멸치를 곱게 간 뒤, 오코노미야키 위에 뿌린다.
16. 오코노미야키 위에 돈가스소스와 마요네즈를 뿌린다.
17. 칠리마요새우를 얹어 마무리한다.</v>
      </c>
    </row>
    <row r="574">
      <c r="A574" s="2" t="str">
        <f>recipe!C574
</f>
        <v>이겨도 돼지?</v>
      </c>
      <c r="B574" s="2" t="str">
        <f>IFERROR(__xludf.DUMMYFUNCTION("TRIM(
  REGEXEXTRACT(
    raw!A574,
    ""●\s*조리\s*방법([\s\S]*)""
  )
)
"),"1. 냄비에 설탕, 물, 체리를 넣고 데운다.
2. 데운 체리시럽에 돼지목살을 담가 마리네이드 한다.
3. 핸드블렌더에 표고버섯대, 마늘을 넣고 간다.
4. 마른 팬에 간 표고버섯대와 마늘을 볶다가 소금, 후추, 버터를 넣고 볶아 표고마늘볶음을 만든다.
5. 표고마늘볶음을 볼에 옮겨 식힌다.
6. 마리네이드 한 목살의 물기를 제거하고 칼집을 넣는다.
7. 칼집을 낸 목살 속을 표고마늘볶음으로 채우고 이쑤시개로 고정한다.
"&amp;"
8. 속을 채운 목살에 올리브오일, 소금, 후추으로 양념 한다.
9. 핸드블렌더에 깻잎, 마늘, 올리브오일, 레몬즙, 소금을 넣고 곱게 갈아 깻잎소
스를 만든다.
10. 기름을 두른 그릴팬에 파프리카와 양념한 목살을 굽는다.
11. 기름을 두른 팬에 다진 마늘과 식초를 넣고 볶다가 체리시럽을 붓고 끓인다.
12. 11에 굴소스, 물을 넣고 끓여 스테이크소스를 만든다.
13. 기름을 두른 팬에 적당한 크기로 썬 브로콜리를"&amp;" 볶는다.
14. 구운 파프리카를 잘게 다져 스테이크소스에 넣고 함께 끓인다.
15. 목살을 굽던 팬에 버터를 넣는다.
16. 스테이크소스에 버터를 넣어 농도를 조절한다.
17. 접시에 스테이크소스를 담은 뒤, 볶은 브로콜리를 올린다.
18. 접시에 목살스테이크를 담은 뒤, 깻잎소스를 올려 마무리 한다.")</f>
        <v>1. 냄비에 설탕, 물, 체리를 넣고 데운다.
2. 데운 체리시럽에 돼지목살을 담가 마리네이드 한다.
3. 핸드블렌더에 표고버섯대, 마늘을 넣고 간다.
4. 마른 팬에 간 표고버섯대와 마늘을 볶다가 소금, 후추, 버터를 넣고 볶아 표고마늘볶음을 만든다.
5. 표고마늘볶음을 볼에 옮겨 식힌다.
6. 마리네이드 한 목살의 물기를 제거하고 칼집을 넣는다.
7. 칼집을 낸 목살 속을 표고마늘볶음으로 채우고 이쑤시개로 고정한다.
8. 속을 채운 목살에 올리브오일, 소금, 후추으로 양념 한다.
9. 핸드블렌더에 깻잎, 마늘, 올리브오일, 레몬즙, 소금을 넣고 곱게 갈아 깻잎소
스를 만든다.
10. 기름을 두른 그릴팬에 파프리카와 양념한 목살을 굽는다.
11. 기름을 두른 팬에 다진 마늘과 식초를 넣고 볶다가 체리시럽을 붓고 끓인다.
12. 11에 굴소스, 물을 넣고 끓여 스테이크소스를 만든다.
13. 기름을 두른 팬에 적당한 크기로 썬 브로콜리를 볶는다.
14. 구운 파프리카를 잘게 다져 스테이크소스에 넣고 함께 끓인다.
15. 목살을 굽던 팬에 버터를 넣는다.
16. 스테이크소스에 버터를 넣어 농도를 조절한다.
17. 접시에 스테이크소스를 담은 뒤, 볶은 브로콜리를 올린다.
18. 접시에 목살스테이크를 담은 뒤, 깻잎소스를 올려 마무리 한다.</v>
      </c>
    </row>
    <row r="575">
      <c r="A575" s="2" t="str">
        <f>recipe!C575
</f>
        <v>오~ 쌈젤리제♬</v>
      </c>
      <c r="B575" s="2" t="str">
        <f>IFERROR(__xludf.DUMMYFUNCTION("TRIM(
  REGEXEXTRACT(
    raw!A575,
    ""●\s*조리\s*방법([\s\S]*)""
  )
)
"),"1. 끓는 물에 표고버섯대와 양배추, 브로콜리를 넣고 삶는다.
2. 1에 펜네면을 넣고 삶는다.
3. 기름을 두른 팬에 채 썬 양파와 표고버섯볶음을 넣고 볶는다.
4. 볶은 재료를 핸드블렌더로 갈아 표고버섯뒥셀을 만든다.
5. 기름을 두른 팬에 돼지목살을 굽다가 소금으로 간 한다.
6. 구운 목살을 적당한 크기로 자른 뒤, 핸드블렌더로 간다.
7. 삶은 양배추를 찬물에 담가 식힌 뒤, 위에 깻잎, 슬라이스치즈, 표고버섯뒥"&amp;"셀과 돼지목살, 연겨자를 차례로 얹고, 돌돌 말아 고정한다.
8. 기름을 두른 팬에 적당한 크기로 썬 양파, 통마늘, 손질한 새우, 바지락살을 넣고 볶는다.
9. 8에 토마토소스와 채소육수, 고추장, 굴소스, 청양고추를 넣고 끓여 해산물고추장소스를 만든다.
10. 돼지목살을 넣은 양배추쌈을 해산물고추장소스에 넣고 끓인다.
11. 삶은 펜네면을 건져내 해산물고추장소스에 넣고 끓인다.
12. 해산물고추장소스에 새우가루를 넣고 끓인"&amp;"다.
13. 그릇에 펜네면과 해산물고추장소스를 담는다.
14. 해산물고추장소스 위에 익힌 양배추쌈을 올린 뒤, 다시 한 번 해산물고추장소스를 끼얹어 마무리한다.")</f>
        <v>1. 끓는 물에 표고버섯대와 양배추, 브로콜리를 넣고 삶는다.
2. 1에 펜네면을 넣고 삶는다.
3. 기름을 두른 팬에 채 썬 양파와 표고버섯볶음을 넣고 볶는다.
4. 볶은 재료를 핸드블렌더로 갈아 표고버섯뒥셀을 만든다.
5. 기름을 두른 팬에 돼지목살을 굽다가 소금으로 간 한다.
6. 구운 목살을 적당한 크기로 자른 뒤, 핸드블렌더로 간다.
7. 삶은 양배추를 찬물에 담가 식힌 뒤, 위에 깻잎, 슬라이스치즈, 표고버섯뒥셀과 돼지목살, 연겨자를 차례로 얹고, 돌돌 말아 고정한다.
8. 기름을 두른 팬에 적당한 크기로 썬 양파, 통마늘, 손질한 새우, 바지락살을 넣고 볶는다.
9. 8에 토마토소스와 채소육수, 고추장, 굴소스, 청양고추를 넣고 끓여 해산물고추장소스를 만든다.
10. 돼지목살을 넣은 양배추쌈을 해산물고추장소스에 넣고 끓인다.
11. 삶은 펜네면을 건져내 해산물고추장소스에 넣고 끓인다.
12. 해산물고추장소스에 새우가루를 넣고 끓인다.
13. 그릇에 펜네면과 해산물고추장소스를 담는다.
14. 해산물고추장소스 위에 익힌 양배추쌈을 올린 뒤, 다시 한 번 해산물고추장소스를 끼얹어 마무리한다.</v>
      </c>
    </row>
    <row r="576">
      <c r="A576" s="2" t="str">
        <f>recipe!C576
</f>
        <v>명백한 짬뽕</v>
      </c>
      <c r="B576" s="2" t="str">
        <f>IFERROR(__xludf.DUMMYFUNCTION("TRIM(
  REGEXEXTRACT(
    raw!A576,
    ""●\s*조리\s*방법([\s\S]*)""
  )
)
"),"1. 밀가루에 적당한 크기로 썬 명란젓과 물을 넣고 치대어 명란면 반죽을 만든다.
2. 명란면 반죽을 숙성시킨다.
3. 끓는 물에 적당한 크기로 썬 청양고추, 새우가루를 넣고 끓여 새우육수를 낸다.
4. 알배추, 양파, 애호박, 브로콜리, 마늘, 대파를 적당한 크기로 썬다.
5. 핸드블렌더에 손질한 새우살, 전분, 달걀흰자, 명란젓을 넣고 갈아 명란새우완자반죽을 만든다.
6. 오징어에 칼집을 내고 적당한 크기로 썬다.
7"&amp;". 기름을 두른 팬에 손질한 채소들을 넣고 볶는다.
8. 명란면 반죽을 밀대로 얇게 민 뒤, 썰어서 면을 뽑는다.
9. 명란면을 끓는 물에 삶는다.
10. 볶던 채소에 새우육수를 붓고, 바지락살, 오징어, 굴소스를 넣고 끓여 백짬뽕 국물을 만든다.
11. 명란새우완자반죽을 적당한 크기로 떼어 백짬뽕 국물에 넣고 함께 끓인다.
12. 백짬뽕 국물에 콩나물을 넣고 함께 끓인다.
13. 삶은 명란면을 건져 찬물에 헹군 뒤, 다"&amp;"시 면수에 담가 토렴한다.
14. 명란면을 그릇에 담는다.
15. 그릇에 백짬뽕 국물을 부어 마무리한다.")</f>
        <v>1. 밀가루에 적당한 크기로 썬 명란젓과 물을 넣고 치대어 명란면 반죽을 만든다.
2. 명란면 반죽을 숙성시킨다.
3. 끓는 물에 적당한 크기로 썬 청양고추, 새우가루를 넣고 끓여 새우육수를 낸다.
4. 알배추, 양파, 애호박, 브로콜리, 마늘, 대파를 적당한 크기로 썬다.
5. 핸드블렌더에 손질한 새우살, 전분, 달걀흰자, 명란젓을 넣고 갈아 명란새우완자반죽을 만든다.
6. 오징어에 칼집을 내고 적당한 크기로 썬다.
7. 기름을 두른 팬에 손질한 채소들을 넣고 볶는다.
8. 명란면 반죽을 밀대로 얇게 민 뒤, 썰어서 면을 뽑는다.
9. 명란면을 끓는 물에 삶는다.
10. 볶던 채소에 새우육수를 붓고, 바지락살, 오징어, 굴소스를 넣고 끓여 백짬뽕 국물을 만든다.
11. 명란새우완자반죽을 적당한 크기로 떼어 백짬뽕 국물에 넣고 함께 끓인다.
12. 백짬뽕 국물에 콩나물을 넣고 함께 끓인다.
13. 삶은 명란면을 건져 찬물에 헹군 뒤, 다시 면수에 담가 토렴한다.
14. 명란면을 그릇에 담는다.
15. 그릇에 백짬뽕 국물을 부어 마무리한다.</v>
      </c>
    </row>
    <row r="577">
      <c r="A577" s="2" t="str">
        <f>recipe!C577
</f>
        <v>명카엘</v>
      </c>
      <c r="B577" s="2" t="str">
        <f>IFERROR(__xludf.DUMMYFUNCTION("TRIM(
  REGEXEXTRACT(
    raw!A577,
    ""●\s*조리\s*방법([\s\S]*)""
  )
)
"),"1. 기름을 두른 팬에 명란젓을 볶는다.
2. 끓는 물에 콩나물을 데친다.
3. 오징어의 껍질을 벗겨낸다.
4. 볼에 잘게 썬 아보카도, 파프리카, 마늘과 모차렐라치즈, 후추를 넣는다.
5. 4에 볶은 명란젓, 적당한 크기로 썬 스트링치즈, 고춧가루를 넣고 버무려 소를 만든다.
6. 껍질을 벗긴 오징어 안에 소를 채워 넣고 꼬치로 고정한다.
7. 속을 채운 오징어에 올리브오일을 바르고 기름을 두른 그릴팬에 굽는다.
"&amp;"8. 데친 콩나물을 건져 식초에 버무린 뒤, 한 번 씻어내고 얼음물에 담가 차게 식힌다.
9. 깻잎을 가늘게 채 썬다.
10. 차게 식힌 콩나물을 체에 밭쳐 물기를 빼고, 채 썬 깻잎과 당근, 올리브오일, 소금, 레몬즙과 섞어 샐러드를 만든다.
11. 10에 채 썬 양파를 넣고 버무려 콩나물깻잎 샐러드를 만든다.
12. 접시에 콩나물깻잎 샐러드를 담는다.
13. 속을 채워 구운 오징어를 적당한 크기로 썬다.
14. 접시에"&amp;" 적당한 크기로 썬 오징어를 담는다.
15. 오징어 사이에 레몬슬라이스와 잘게 썬 청양고추를 곁들인다.
16. 오징어 위에 후추와 파르메산치즈를 뿌려 마무리한다.")</f>
        <v>1. 기름을 두른 팬에 명란젓을 볶는다.
2. 끓는 물에 콩나물을 데친다.
3. 오징어의 껍질을 벗겨낸다.
4. 볼에 잘게 썬 아보카도, 파프리카, 마늘과 모차렐라치즈, 후추를 넣는다.
5. 4에 볶은 명란젓, 적당한 크기로 썬 스트링치즈, 고춧가루를 넣고 버무려 소를 만든다.
6. 껍질을 벗긴 오징어 안에 소를 채워 넣고 꼬치로 고정한다.
7. 속을 채운 오징어에 올리브오일을 바르고 기름을 두른 그릴팬에 굽는다.
8. 데친 콩나물을 건져 식초에 버무린 뒤, 한 번 씻어내고 얼음물에 담가 차게 식힌다.
9. 깻잎을 가늘게 채 썬다.
10. 차게 식힌 콩나물을 체에 밭쳐 물기를 빼고, 채 썬 깻잎과 당근, 올리브오일, 소금, 레몬즙과 섞어 샐러드를 만든다.
11. 10에 채 썬 양파를 넣고 버무려 콩나물깻잎 샐러드를 만든다.
12. 접시에 콩나물깻잎 샐러드를 담는다.
13. 속을 채워 구운 오징어를 적당한 크기로 썬다.
14. 접시에 적당한 크기로 썬 오징어를 담는다.
15. 오징어 사이에 레몬슬라이스와 잘게 썬 청양고추를 곁들인다.
16. 오징어 위에 후추와 파르메산치즈를 뿌려 마무리한다.</v>
      </c>
    </row>
    <row r="578">
      <c r="A578" s="2" t="str">
        <f>recipe!C578
</f>
        <v>복정식</v>
      </c>
      <c r="B578" s="2" t="str">
        <f>IFERROR(__xludf.DUMMYFUNCTION("TRIM(
  REGEXEXTRACT(
    raw!A578,
    ""●\s*조리\s*방법([\s\S]*)""
  )
)
"),"1. 달궈놓은 돌솥에 씻은 쌀과 물을 넣고 끓여 돌솥밥을 만든다.
2. 달걀에 잘게 다진 통조림 햄, 대파, 물, 후추를 넣고 섞는다.
3. 2를 달궈놓은 뚝배기에 붓고 익혀 달걀찜을 만든다.
4. 자반고등어를 적당한 크기로 썬 뒤, 밀가루를 입힌다.
5. 밀가루를 입힌 자반고등어를 기름에 튀긴다.
6. 양파, 당근, 대파, 마늘, 청양고추, 훈제 닭가슴살을 적당한 크기로 썬다.
7. 기름을 두른 팬에 손질한 채소와 고춧"&amp;"가루, 고추장, 간장, 물을 넣고 볶는다.
8. 볶던 재료에 손질한 훈제 닭가슴살을 넣고 함께 볶아 닭볶음탕을 만든다.
9. 닭볶음탕에 설탕을 넣는다.
10. 닭볶음탕에 라면수프를 넣는다.
11. 닭볶음탕에 믹스채소를 넣는다.
12. 닭볶음탕에 찐고구마와 참기름을 넣는다.
13. 접시에 고등어튀김을 담는다.
14. 접시에 닭볶음탕을 담는다.
15. 돌솥밥, 고등어튀김, 닭볶음탕, 달걀찜을 함께 낸다.")</f>
        <v>1. 달궈놓은 돌솥에 씻은 쌀과 물을 넣고 끓여 돌솥밥을 만든다.
2. 달걀에 잘게 다진 통조림 햄, 대파, 물, 후추를 넣고 섞는다.
3. 2를 달궈놓은 뚝배기에 붓고 익혀 달걀찜을 만든다.
4. 자반고등어를 적당한 크기로 썬 뒤, 밀가루를 입힌다.
5. 밀가루를 입힌 자반고등어를 기름에 튀긴다.
6. 양파, 당근, 대파, 마늘, 청양고추, 훈제 닭가슴살을 적당한 크기로 썬다.
7. 기름을 두른 팬에 손질한 채소와 고춧가루, 고추장, 간장, 물을 넣고 볶는다.
8. 볶던 재료에 손질한 훈제 닭가슴살을 넣고 함께 볶아 닭볶음탕을 만든다.
9. 닭볶음탕에 설탕을 넣는다.
10. 닭볶음탕에 라면수프를 넣는다.
11. 닭볶음탕에 믹스채소를 넣는다.
12. 닭볶음탕에 찐고구마와 참기름을 넣는다.
13. 접시에 고등어튀김을 담는다.
14. 접시에 닭볶음탕을 담는다.
15. 돌솥밥, 고등어튀김, 닭볶음탕, 달걀찜을 함께 낸다.</v>
      </c>
    </row>
    <row r="579">
      <c r="A579" s="2" t="str">
        <f>recipe!C579
</f>
        <v>덕윤백반</v>
      </c>
      <c r="B579" s="2" t="str">
        <f>IFERROR(__xludf.DUMMYFUNCTION("TRIM(
  REGEXEXTRACT(
    raw!A579,
    ""●\s*조리\s*방법([\s\S]*)""
  )
)
"),"1. 불려놓은 쌀과 물을 냄비에 넣고 끓여 냄비밥을 만든다.
2. 압력솥에 적당한 크기로 썬 대파, 당근, 통마늘, 훈제 닭가슴살, 삶은 닭가슴살과 물을 넣고 끓여 닭국을 만든다.
3. 냄비에 채 썬 양파, 식용유, 자반고등어, 청주를 넣고 익힌다.
4. 다진 생강, 다진 마늘, 고춧가루, 간장, 배즙, 설탕, 맛술을 섞어 조림양념을 만든다.
5. 고등어를 익히던 냄비에 통마늘과 조림양념, 적당한 크기로 썬 청고추와 홍고추, 대파를"&amp;" 넣고 뚜껑을 닫은 뒤, 조린다.
6. 고추를 적당한 크기로 썬다.
7. 된장, 배즙, 물엿, 참기름, 고춧가루, 깨를 섞어 된장양념을 만든다.
8. 손질한 고추에 된장양념을 넣고 버무려 고추된장무침을 만든다.
9. 달걀물에 소금, 잘게 썬 대파를 넣고 섞는다.
10. 기름을 두른 팬에 달걀물을 부은 뒤, 조미김을 올린다.
11. 달걀지단을 돌돌 말아 달걀말이를 만든다.
12. 압력솥에 끓이던 닭국에 소금, 다진 마"&amp;"늘을 넣어 간 한다.
13. 그릇에 닭국을 담은 뒤, 잘게 썬 대파를 올리고 후추를 뿌린다.
14. 접시에 고추된장무침을 담는다.
15. 고등어조림을 접시에 담는다.
16. 달걀말이를 먹기 좋은 크기로 썰어 접시에 담는다.
17. 냄비밥, 닭국, 고등어조림, 달걀말이, 고추된장무침을 함께 낸다.")</f>
        <v>1. 불려놓은 쌀과 물을 냄비에 넣고 끓여 냄비밥을 만든다.
2. 압력솥에 적당한 크기로 썬 대파, 당근, 통마늘, 훈제 닭가슴살, 삶은 닭가슴살과 물을 넣고 끓여 닭국을 만든다.
3. 냄비에 채 썬 양파, 식용유, 자반고등어, 청주를 넣고 익힌다.
4. 다진 생강, 다진 마늘, 고춧가루, 간장, 배즙, 설탕, 맛술을 섞어 조림양념을 만든다.
5. 고등어를 익히던 냄비에 통마늘과 조림양념, 적당한 크기로 썬 청고추와 홍고추, 대파를 넣고 뚜껑을 닫은 뒤, 조린다.
6. 고추를 적당한 크기로 썬다.
7. 된장, 배즙, 물엿, 참기름, 고춧가루, 깨를 섞어 된장양념을 만든다.
8. 손질한 고추에 된장양념을 넣고 버무려 고추된장무침을 만든다.
9. 달걀물에 소금, 잘게 썬 대파를 넣고 섞는다.
10. 기름을 두른 팬에 달걀물을 부은 뒤, 조미김을 올린다.
11. 달걀지단을 돌돌 말아 달걀말이를 만든다.
12. 압력솥에 끓이던 닭국에 소금, 다진 마늘을 넣어 간 한다.
13. 그릇에 닭국을 담은 뒤, 잘게 썬 대파를 올리고 후추를 뿌린다.
14. 접시에 고추된장무침을 담는다.
15. 고등어조림을 접시에 담는다.
16. 달걀말이를 먹기 좋은 크기로 썰어 접시에 담는다.
17. 냄비밥, 닭국, 고등어조림, 달걀말이, 고추된장무침을 함께 낸다.</v>
      </c>
    </row>
    <row r="580">
      <c r="A580" s="2" t="str">
        <f>recipe!C580
</f>
        <v>할매 라면</v>
      </c>
      <c r="B580" s="2" t="str">
        <f>IFERROR(__xludf.DUMMYFUNCTION("TRIM(
  REGEXEXTRACT(
    raw!A580,
    ""●\s*조리\s*방법([\s\S]*)""
  )
)
"),"1. 끓는 물에 설탕과 간장을 붓고 끓여 장아찌국물을 만든다.
2. 양파에 칼집을 낸다.
3. 장아찌 국물에 손질한 양파와 청고추, 홍고추를 넣고 끓인다.
4. 대파를 적당한 크기로 자른 뒤, 토치로 직화한다.
5. 끓는 물에 직화한 대파와 가쓰오부시를 넣고 끓여 육수를 낸다.
6. 훈제 닭가슴살과 군고구마, 통조림 햄을 핸드블렌더에 넣고 곱게 간다.
7. 볼에 달걀물, 곱게 간 재료, 버터를 넣고 섞는다.
8. 7"&amp;"에 타코야키가루를 섞어 닭완자반죽을 만든다.
9. 양파장아찌를 얼음 위에서 식힌다.
10. 가쓰오부시육수를 체에 밭쳐 국물만 걸러낸다.
11. 냄비에 적당한 크기로 썬 대파와 가쓰오부시육수를 넣고 끓인다.
12. 11에 체에 거른 된장과 고추장을 풀어 라면 국물을 만든다.
13. 라면 면을 삶는다.
14. 덴카스를 잘게 부순다.
15. 당근, 양파를 채 썬 뒤 닭완자반죽에 넣고 섞는다.
16. 닭완자반죽을 짤주"&amp;"머니로 짜서 새우모양을 만든 뒤, 타코야키가루를 묻힌다.
17. 새우모양 닭완자에 덴카스를 입혀 기름에 튀긴다.
18. 그릇에 양파장아찌를 담고 잘게 썬 청고추와 홍고추를 올린다.
19. 라면국물에 전분물을 풀어 농도를 조절한다.
20. 삶은 면에 파래가루를 뿌려 버무린 뒤, 그릇에 담는다.
21. 면 위에 국물을 붓는다.
22. 닭완자튀김을 올려 마무리한다.")</f>
        <v>1. 끓는 물에 설탕과 간장을 붓고 끓여 장아찌국물을 만든다.
2. 양파에 칼집을 낸다.
3. 장아찌 국물에 손질한 양파와 청고추, 홍고추를 넣고 끓인다.
4. 대파를 적당한 크기로 자른 뒤, 토치로 직화한다.
5. 끓는 물에 직화한 대파와 가쓰오부시를 넣고 끓여 육수를 낸다.
6. 훈제 닭가슴살과 군고구마, 통조림 햄을 핸드블렌더에 넣고 곱게 간다.
7. 볼에 달걀물, 곱게 간 재료, 버터를 넣고 섞는다.
8. 7에 타코야키가루를 섞어 닭완자반죽을 만든다.
9. 양파장아찌를 얼음 위에서 식힌다.
10. 가쓰오부시육수를 체에 밭쳐 국물만 걸러낸다.
11. 냄비에 적당한 크기로 썬 대파와 가쓰오부시육수를 넣고 끓인다.
12. 11에 체에 거른 된장과 고추장을 풀어 라면 국물을 만든다.
13. 라면 면을 삶는다.
14. 덴카스를 잘게 부순다.
15. 당근, 양파를 채 썬 뒤 닭완자반죽에 넣고 섞는다.
16. 닭완자반죽을 짤주머니로 짜서 새우모양을 만든 뒤, 타코야키가루를 묻힌다.
17. 새우모양 닭완자에 덴카스를 입혀 기름에 튀긴다.
18. 그릇에 양파장아찌를 담고 잘게 썬 청고추와 홍고추를 올린다.
19. 라면국물에 전분물을 풀어 농도를 조절한다.
20. 삶은 면에 파래가루를 뿌려 버무린 뒤, 그릇에 담는다.
21. 면 위에 국물을 붓는다.
22. 닭완자튀김을 올려 마무리한다.</v>
      </c>
    </row>
    <row r="581">
      <c r="A581" s="2" t="str">
        <f>recipe!C581
</f>
        <v>중국식 냉면냉면냉면♬</v>
      </c>
      <c r="B581" s="2" t="str">
        <f>IFERROR(__xludf.DUMMYFUNCTION("TRIM(
  REGEXEXTRACT(
    raw!A581,
    ""●\s*조리\s*방법([\s\S]*)""
  )
)
"),"1. 라면 면을 삶는다.
2. 가쓰오부시육수를 낸다.
3. 양파, 당근, 대파 흰 부분을 채 썰어 찬물에 담가둔다.
4. 통조림 햄을 채 썬다.
5. 양파, 당근, 대파 흰 부분, 통조림 햄을 잘게 다진다.
6. 볼에 달걀, 잘게 다진 채소와 통조림 햄을 넣고 섞는다.
7. 6에 통조림 참치와 타코야키가루, 물을 넣고 섞어 반죽을 만든다.
8. 타코야키팬에 반죽을 붓고 굽는다.
9. 간장, 설탕, 맛술, 식초를"&amp;" 섞어 국물 베이스를 만든다.
10. 삶은 면을 찬물에 헹군다.
11. 달걀지단을 만들어 채 썬다.
12. 국물 베이스에 가쓰오부시육수를 더한 후, 얼음과 함께 믹서기에 넣고 간다.
13. 12에 칼라만시 원액, 깨를 넣고 섞는다.
14. 접시에 차갑게 식힌 면을 담은 뒤, 채 썬 재료들과 가쓰오부시, 연겨자를 올린다.
15. 접시에 참치타코야키를 담고, 마요네즈와 타코야키소스를 뿌린 뒤 가쓰오부시를 올린다.
16."&amp;" 면 위에 국물을 부어 완성한다.")</f>
        <v>1. 라면 면을 삶는다.
2. 가쓰오부시육수를 낸다.
3. 양파, 당근, 대파 흰 부분을 채 썰어 찬물에 담가둔다.
4. 통조림 햄을 채 썬다.
5. 양파, 당근, 대파 흰 부분, 통조림 햄을 잘게 다진다.
6. 볼에 달걀, 잘게 다진 채소와 통조림 햄을 넣고 섞는다.
7. 6에 통조림 참치와 타코야키가루, 물을 넣고 섞어 반죽을 만든다.
8. 타코야키팬에 반죽을 붓고 굽는다.
9. 간장, 설탕, 맛술, 식초를 섞어 국물 베이스를 만든다.
10. 삶은 면을 찬물에 헹군다.
11. 달걀지단을 만들어 채 썬다.
12. 국물 베이스에 가쓰오부시육수를 더한 후, 얼음과 함께 믹서기에 넣고 간다.
13. 12에 칼라만시 원액, 깨를 넣고 섞는다.
14. 접시에 차갑게 식힌 면을 담은 뒤, 채 썬 재료들과 가쓰오부시, 연겨자를 올린다.
15. 접시에 참치타코야키를 담고, 마요네즈와 타코야키소스를 뿌린 뒤 가쓰오부시를 올린다.
16. 면 위에 국물을 부어 완성한다.</v>
      </c>
    </row>
    <row r="582">
      <c r="A582" s="2" t="str">
        <f>recipe!C582
</f>
        <v>피치 못할 타르트</v>
      </c>
      <c r="B582" s="2" t="str">
        <f>IFERROR(__xludf.DUMMYFUNCTION("TRIM(
  REGEXEXTRACT(
    raw!A582,
    ""●\s*조리\s*방법([\s\S]*)""
  )
)
"),"1. 핸드블렌더에 설탕, 곱게 간 레몬껍질을 넣고 돌려 잘 섞어준다.
2. 레몬설탕에 달걀을 한 알씩 넣으며 갈아 레몬커드를 만든다.
3. 끓는 물이 담긴 냄비 위에 레몬커드를 중탕하며 잘 저어준다.
4. 레몬커드에 레몬껍질을 갈아 넣는다.
5. 핸드블렌더에 밀가루, 버터, 달걀을 넣고 갈아 타르트 반죽을 만든다.
6. 5를 기름에 튀겨 타르트 가루를 만든다.
7. 타르트 가루를 건져 기름기를 뺀다.
8. 천도복숭아"&amp;"와 자두를 적당한 크기로 썬 뒤, 설탕, 올리브오일을 넣어 버무린다.
9. 설탕에 버무린 과일을 오븐에 익힌다.
10. 레몬커드를 얼음물 위에 올려 차갑게 식히며, 버터와 레몬즙을 넣고 섞어준다.
11. 익힌 천도복숭아와 자두를 얼음물 위에 올려 차갑게 식힌다.
12. 컵에 잘게 썬 천도복숭아와 자두, 타르트 가루를 넣는다.
13. 컵에 레몬커드를 가득 부은 뒤, 타르트 가루와 익힌 천도복숭아와 자두를 올린다.
14. 올"&amp;"리브오일을 뿌려 마무리한다.")</f>
        <v>1. 핸드블렌더에 설탕, 곱게 간 레몬껍질을 넣고 돌려 잘 섞어준다.
2. 레몬설탕에 달걀을 한 알씩 넣으며 갈아 레몬커드를 만든다.
3. 끓는 물이 담긴 냄비 위에 레몬커드를 중탕하며 잘 저어준다.
4. 레몬커드에 레몬껍질을 갈아 넣는다.
5. 핸드블렌더에 밀가루, 버터, 달걀을 넣고 갈아 타르트 반죽을 만든다.
6. 5를 기름에 튀겨 타르트 가루를 만든다.
7. 타르트 가루를 건져 기름기를 뺀다.
8. 천도복숭아와 자두를 적당한 크기로 썬 뒤, 설탕, 올리브오일을 넣어 버무린다.
9. 설탕에 버무린 과일을 오븐에 익힌다.
10. 레몬커드를 얼음물 위에 올려 차갑게 식히며, 버터와 레몬즙을 넣고 섞어준다.
11. 익힌 천도복숭아와 자두를 얼음물 위에 올려 차갑게 식힌다.
12. 컵에 잘게 썬 천도복숭아와 자두, 타르트 가루를 넣는다.
13. 컵에 레몬커드를 가득 부은 뒤, 타르트 가루와 익힌 천도복숭아와 자두를 올린다.
14. 올리브오일을 뿌려 마무리한다.</v>
      </c>
    </row>
    <row r="583">
      <c r="A583" s="2" t="str">
        <f>recipe!C583
</f>
        <v>최애 컵케이크</v>
      </c>
      <c r="B583" s="2" t="str">
        <f>IFERROR(__xludf.DUMMYFUNCTION("TRIM(
  REGEXEXTRACT(
    raw!A583,
    ""●\s*조리\s*방법([\s\S]*)""
  )
)
"),"1. 우유를 끓인다.
2. 끓이는 우유에 버터를 넣는다.
3. 브리치즈를 전자레인지에 돌려 부드럽게 만든다.
4. 브리치즈를 뜯어 부드러운 속 부분만 버터우유에 넣고 잘 섞어준다.
5. 달걀노른자를 풀어준 뒤, 설탕, 밀가루, 전분을 넣고 잘 저어준다.
6. 5에 끓인 치즈우유를 부어가며 저어 치즈커스터드크림을 만든다.
7. 사과를 잘게 썬다.
8. 기름을 두른 팬에 잘게 썬 사과와 버터, 밀가루를 넣고 볶는다.
"&amp;"
9. 8에 화이트와인, 사과잼, 레몬즙을 넣고 끓인다.
10. 끓이던 사과소스에 적당한 크기로 썬 식빵을 넣고 조린다.
11. 조린 사과식빵을 식혀둔다.
12. 치즈커스터드크림을 체에 밭쳐 곱게 거른다.
13. 컵에 브라우니를 잘게 부숴 넣는다.
14. 브라우니 위에 사과식빵을 올린다.
15. 사과식빵 위에 치즈커스터드크림을 붓고, 모차렐라치즈와 얇게 썬 스모크치즈를 올린다.
16. 15 위에 브라우니를 부숴 올"&amp;"리고, 사과식빵과 치즈커스터드크림을 차례로 넣는다.
17. 브라우니를 갈아 올리고, 체리를 얹어 마무리한다.")</f>
        <v>1. 우유를 끓인다.
2. 끓이는 우유에 버터를 넣는다.
3. 브리치즈를 전자레인지에 돌려 부드럽게 만든다.
4. 브리치즈를 뜯어 부드러운 속 부분만 버터우유에 넣고 잘 섞어준다.
5. 달걀노른자를 풀어준 뒤, 설탕, 밀가루, 전분을 넣고 잘 저어준다.
6. 5에 끓인 치즈우유를 부어가며 저어 치즈커스터드크림을 만든다.
7. 사과를 잘게 썬다.
8. 기름을 두른 팬에 잘게 썬 사과와 버터, 밀가루를 넣고 볶는다.
9. 8에 화이트와인, 사과잼, 레몬즙을 넣고 끓인다.
10. 끓이던 사과소스에 적당한 크기로 썬 식빵을 넣고 조린다.
11. 조린 사과식빵을 식혀둔다.
12. 치즈커스터드크림을 체에 밭쳐 곱게 거른다.
13. 컵에 브라우니를 잘게 부숴 넣는다.
14. 브라우니 위에 사과식빵을 올린다.
15. 사과식빵 위에 치즈커스터드크림을 붓고, 모차렐라치즈와 얇게 썬 스모크치즈를 올린다.
16. 15 위에 브라우니를 부숴 올리고, 사과식빵과 치즈커스터드크림을 차례로 넣는다.
17. 브라우니를 갈아 올리고, 체리를 얹어 마무리한다.</v>
      </c>
    </row>
    <row r="584">
      <c r="A584" s="2" t="str">
        <f>recipe!C584
</f>
        <v>쓰촨으로 갈 찬스</v>
      </c>
      <c r="B584" s="2" t="str">
        <f>IFERROR(__xludf.DUMMYFUNCTION("TRIM(
  REGEXEXTRACT(
    raw!A584,
    ""●\s*조리\s*방법([\s\S]*)""
  )
)
"),"1. 홍고추를 적당한 크기로 썬다.
2. 끓는 기름에 홍고추와 통후추를 넣고 끓여 매운 기름을 낸다.
3. 차돌박이에 소금, 달걀흰자, 전분을 넣고 섞은 뒤 재워둔다.
4. 기름에 끓인 홍고추와 통후추를 꺼내 식힌다.
5. 마늘은 으깨고, 대파와 샐러리는 두드린 후 적당한 크기로 썰어둔다.
6. 팬에 매운 기름을 두른 뒤, 다진 생강과 손질한 채소를 넣고 볶는다.
7. 볶던 채소에 적당한 크기로 썬 미나리와 소금을 넣고 "&amp;"볶는다.
8. 볶은 채소를 그릇에 담는다.
9. 팬에 매운 기름을 두른 뒤, 굴소스와 간장을 넣고 끓인다.
10. 9에 손질한 대파와 으깬 마늘, 방울토마토, 소금, 물, 다진 생강을 넣고 끓인다.
11. 끓이던 재료에 양념해 둔 차돌박이를 한 점씩 넣어 익힌다.
12. 차돌박이를 익히는 기름에 칼라만시액을 넣는다.
13. 식혀둔 홍고추와 통후추를 잘게 다진다.
14. 채소가 담긴 그릇에 끓인 채소와 차돌박이를 부은"&amp;" 뒤, 잘게 다진 홍고추와 통후추를 올린다.
15. 14 위에 끓고 있는 매운 기름을 부어 마무리한다.")</f>
        <v>1. 홍고추를 적당한 크기로 썬다.
2. 끓는 기름에 홍고추와 통후추를 넣고 끓여 매운 기름을 낸다.
3. 차돌박이에 소금, 달걀흰자, 전분을 넣고 섞은 뒤 재워둔다.
4. 기름에 끓인 홍고추와 통후추를 꺼내 식힌다.
5. 마늘은 으깨고, 대파와 샐러리는 두드린 후 적당한 크기로 썰어둔다.
6. 팬에 매운 기름을 두른 뒤, 다진 생강과 손질한 채소를 넣고 볶는다.
7. 볶던 채소에 적당한 크기로 썬 미나리와 소금을 넣고 볶는다.
8. 볶은 채소를 그릇에 담는다.
9. 팬에 매운 기름을 두른 뒤, 굴소스와 간장을 넣고 끓인다.
10. 9에 손질한 대파와 으깬 마늘, 방울토마토, 소금, 물, 다진 생강을 넣고 끓인다.
11. 끓이던 재료에 양념해 둔 차돌박이를 한 점씩 넣어 익힌다.
12. 차돌박이를 익히는 기름에 칼라만시액을 넣는다.
13. 식혀둔 홍고추와 통후추를 잘게 다진다.
14. 채소가 담긴 그릇에 끓인 채소와 차돌박이를 부은 뒤, 잘게 다진 홍고추와 통후추를 올린다.
15. 14 위에 끓고 있는 매운 기름을 부어 마무리한다.</v>
      </c>
    </row>
    <row r="585">
      <c r="A585" s="2" t="str">
        <f>recipe!C585
</f>
        <v>어디에스파냐?</v>
      </c>
      <c r="B585" s="2" t="str">
        <f>IFERROR(__xludf.DUMMYFUNCTION("TRIM(
  REGEXEXTRACT(
    raw!A585,
    ""●\s*조리\s*방법([\s\S]*)""
  )
)
"),"1. 기름을 두른 팬에 소고기 등심을 굽는다.
2. 핸드블렌더에 구운 등심을 넣고 곱게 간다.
3. 곱게 간 등심에 식빵을 넣고 다시 한 번 갈아 파이반죽을 만든다.
4. 브리치즈, 스모크치즈, 살라미, 견과류, 천도복숭아를 적당한 크기로 썰어둔다.
5. 양파를 잘게 썬 뒤, 파이반죽에 섞는다.
6. 오븐틀에 파이반죽을 넣고 살라미&gt;차돌박이&gt;각종 치즈를 층층이 쌓는다.
7. 6 위에 달걀을 올린 뒤 전자레인지에 넣고 익힌"&amp;"다.
8. 핸드블렌더에 방울토마토, 올리브오일, 스리라차소스, 후추, 마늘, 양파를 넣고 곱게 갈아 가스파초를 만든다.
9. 가스파초에 레몬즙을 넣은 뒤, 냉동실에 넣고 식힌다.
10. 기름을 두른 팬에 채 썬 양파와 통마늘을 넣고 볶는다.
11. 볶던 채소에 버터를 넣는다.
12. 11에 끓인 우유, 설탕, 후추를 넣고 끓여 갈릭소스를 만든다.
13. 갈릭소스를 핸드블렌더로 곱게 간다.
14. 그릇에 갈릭소스를 담"&amp;"고, 올리브오일을 뿌린다.
15. 식힌 가스파초를 꺼내 소금과 후추로 간 한다.
16. 그릇에 가스파초를 담은 뒤, 잘게 썬 각종 치즈와 견과류, 천도복숭아를 올린다.
17. 전자레인지에서 고기파이를 꺼낸 뒤, 접시에 담는다.
18. 고기파이 위에 레몬껍질을 갈아 올리고, 올리브오일과 후추를 뿌린다.
19. 고추를 갈아 올려 마무리한다.")</f>
        <v>1. 기름을 두른 팬에 소고기 등심을 굽는다.
2. 핸드블렌더에 구운 등심을 넣고 곱게 간다.
3. 곱게 간 등심에 식빵을 넣고 다시 한 번 갈아 파이반죽을 만든다.
4. 브리치즈, 스모크치즈, 살라미, 견과류, 천도복숭아를 적당한 크기로 썰어둔다.
5. 양파를 잘게 썬 뒤, 파이반죽에 섞는다.
6. 오븐틀에 파이반죽을 넣고 살라미&gt;차돌박이&gt;각종 치즈를 층층이 쌓는다.
7. 6 위에 달걀을 올린 뒤 전자레인지에 넣고 익힌다.
8. 핸드블렌더에 방울토마토, 올리브오일, 스리라차소스, 후추, 마늘, 양파를 넣고 곱게 갈아 가스파초를 만든다.
9. 가스파초에 레몬즙을 넣은 뒤, 냉동실에 넣고 식힌다.
10. 기름을 두른 팬에 채 썬 양파와 통마늘을 넣고 볶는다.
11. 볶던 채소에 버터를 넣는다.
12. 11에 끓인 우유, 설탕, 후추를 넣고 끓여 갈릭소스를 만든다.
13. 갈릭소스를 핸드블렌더로 곱게 간다.
14. 그릇에 갈릭소스를 담고, 올리브오일을 뿌린다.
15. 식힌 가스파초를 꺼내 소금과 후추로 간 한다.
16. 그릇에 가스파초를 담은 뒤, 잘게 썬 각종 치즈와 견과류, 천도복숭아를 올린다.
17. 전자레인지에서 고기파이를 꺼낸 뒤, 접시에 담는다.
18. 고기파이 위에 레몬껍질을 갈아 올리고, 올리브오일과 후추를 뿌린다.
19. 고추를 갈아 올려 마무리한다.</v>
      </c>
    </row>
    <row r="586">
      <c r="A586" s="2" t="str">
        <f>recipe!C586
</f>
        <v>햄버거 떠머거</v>
      </c>
      <c r="B586" s="2" t="str">
        <f>IFERROR(__xludf.DUMMYFUNCTION("TRIM(
  REGEXEXTRACT(
    raw!A586,
    ""●\s*조리\s*방법([\s\S]*)""
  )
)
"),"1. 기름을 두른 팬과 냄비에 각각 채 썬 양파를 볶는다.
2. 핸드블렌더에 적당한 크기로 썬 등심을 넣고 간다.
3. 양파를 볶던 팬에 베이컨을 굽는다.
4. 구운 베이컨을 기름에 튀긴다.
5. 곱게 간 등심에 돼지갈비 햄버그스테이크를 섞어 양파를 볶던 팬에 넣고 볶는다.
6. 튀긴 베이컨을 건져 기름기를 뺀다.
7. 고기와 양파를 볶던 팬에 소금, 후추, 소불고기양념, 맥주, 빵가루를 넣고 볶아 햄버거 패티를 만든다."&amp;"
8. 양파를 볶던 냄비에 버터, 밀가루, 우유, 케첩, 소금을 넣어 케첩소스를 만든다.
9. 오븐용 그릇에 햄버거패티를 담고, 케첩소스, 슬라이스 모차렐라치즈를 차례로 올린다.
10. 9 위에 적당한 크기로 썬 베이컨튀김을 올린 뒤, 오븐에 굽는다.
11. 채 썬 감자에 전분을 묻혀 기름에 튀긴다.
12. 감자튀김을 건져 기름기를 뺀 뒤, 소금과 후추를 뿌린다.
13. 오븐에 구운 떠먹는 햄버거 위에 감자튀김을 올린다."&amp;"
14. 감자튀김 위에 케첩과 허니머스터드소스를 뿌려 마무리한다.")</f>
        <v>1. 기름을 두른 팬과 냄비에 각각 채 썬 양파를 볶는다.
2. 핸드블렌더에 적당한 크기로 썬 등심을 넣고 간다.
3. 양파를 볶던 팬에 베이컨을 굽는다.
4. 구운 베이컨을 기름에 튀긴다.
5. 곱게 간 등심에 돼지갈비 햄버그스테이크를 섞어 양파를 볶던 팬에 넣고 볶는다.
6. 튀긴 베이컨을 건져 기름기를 뺀다.
7. 고기와 양파를 볶던 팬에 소금, 후추, 소불고기양념, 맥주, 빵가루를 넣고 볶아 햄버거 패티를 만든다.
8. 양파를 볶던 냄비에 버터, 밀가루, 우유, 케첩, 소금을 넣어 케첩소스를 만든다.
9. 오븐용 그릇에 햄버거패티를 담고, 케첩소스, 슬라이스 모차렐라치즈를 차례로 올린다.
10. 9 위에 적당한 크기로 썬 베이컨튀김을 올린 뒤, 오븐에 굽는다.
11. 채 썬 감자에 전분을 묻혀 기름에 튀긴다.
12. 감자튀김을 건져 기름기를 뺀 뒤, 소금과 후추를 뿌린다.
13. 오븐에 구운 떠먹는 햄버거 위에 감자튀김을 올린다.
14. 감자튀김 위에 케첩과 허니머스터드소스를 뿌려 마무리한다.</v>
      </c>
    </row>
    <row r="587">
      <c r="A587" s="2" t="str">
        <f>recipe!C587
</f>
        <v>오븐 백반 피자</v>
      </c>
      <c r="B587" s="2" t="str">
        <f>IFERROR(__xludf.DUMMYFUNCTION("TRIM(
  REGEXEXTRACT(
    raw!A587,
    ""●\s*조리\s*방법([\s\S]*)""
  )
)
"),"1. 핸드블렌더에 즉석밥, 달걀, 소금, 빵가루를 넣고 갈아 반죽을 만든다.
2. 오븐용 팬에 반죽을 깐 뒤, 오븐에 넣고 굽는다.
3. 불고기용 소고기를 적당한 크기로 썬 뒤, 칼로 다져 부드럽게 한다.
4. 손질한 불고기용 소고기에 간장, 다진 마늘, 다진 생강, 전분을 넣고 버무린다.
5. 양념한 불고기용 소고기에 달걀흰자를 넣고 버무린다.
6. 마른 팬에 양념한 불고기용 소고기를 볶는다.
7. 적당한 크기로 썬 김"&amp;"치를 기름을 두른 팬에 볶는다.
8. 볶던 김치에 고추장과 설탕을 넣고 함께 볶는다.
9. 오븐에 구운 밥 위에 양배추채를 올린다.
10. 양배추채 위에 볶은 불고기와 슬라이스 체다치즈와 슬라이스 모차렐라치즈를 올린다.
11. 10을 다시 오븐에 굽는다.
12. 김치볶음에 물을 넣고 졸여 김치소스를 만든다.
13. 김치소스에 전분물을 넣어 농도를 조절한다.
14. 요거트, 다진 마늘, 달걀노른자, 마요네즈, 소금, "&amp;"칼라만시 원액을 섞어 요거트소스를 만든다.
15. 오븐에 구운 떠먹는 피자 위에 김치소스를 올린다.
16. 요거트소스를 따로 담아낸다.")</f>
        <v>1. 핸드블렌더에 즉석밥, 달걀, 소금, 빵가루를 넣고 갈아 반죽을 만든다.
2. 오븐용 팬에 반죽을 깐 뒤, 오븐에 넣고 굽는다.
3. 불고기용 소고기를 적당한 크기로 썬 뒤, 칼로 다져 부드럽게 한다.
4. 손질한 불고기용 소고기에 간장, 다진 마늘, 다진 생강, 전분을 넣고 버무린다.
5. 양념한 불고기용 소고기에 달걀흰자를 넣고 버무린다.
6. 마른 팬에 양념한 불고기용 소고기를 볶는다.
7. 적당한 크기로 썬 김치를 기름을 두른 팬에 볶는다.
8. 볶던 김치에 고추장과 설탕을 넣고 함께 볶는다.
9. 오븐에 구운 밥 위에 양배추채를 올린다.
10. 양배추채 위에 볶은 불고기와 슬라이스 체다치즈와 슬라이스 모차렐라치즈를 올린다.
11. 10을 다시 오븐에 굽는다.
12. 김치볶음에 물을 넣고 졸여 김치소스를 만든다.
13. 김치소스에 전분물을 넣어 농도를 조절한다.
14. 요거트, 다진 마늘, 달걀노른자, 마요네즈, 소금, 칼라만시 원액을 섞어 요거트소스를 만든다.
15. 오븐에 구운 떠먹는 피자 위에 김치소스를 올린다.
16. 요거트소스를 따로 담아낸다.</v>
      </c>
    </row>
    <row r="588">
      <c r="A588" s="2" t="str">
        <f>recipe!C588
</f>
        <v>브런치 도둑님</v>
      </c>
      <c r="B588" s="2" t="str">
        <f>IFERROR(__xludf.DUMMYFUNCTION("TRIM(
  REGEXEXTRACT(
    raw!A588,
    ""●\s*조리\s*방법([\s\S]*)""
  )
)
"),"1. 소금을 넣은 끓는 물에 감자를 데친다.
2. 잘게 썬 포도와 요거트, 마요네즈, 칼라만시 원액, 소금, 후추, 올리브오일을 섞어 샐러드드레싱을 만든다.
3. 당근, 양배추를 가늘게 채 썬다.
4. 채 썬 채소에 샐러드드레싱을 넣고 버무린다.
5. 버터를 전자레인지에 돌려 녹인다.
6. 데친 감자를 건져내 물로 헹군 뒤, 채 썬다.
7. 기름을 두른 팬에 채 썬 감자를 올리고 소금, 후추를 뿌린 뒤 구워 해시브라운을 "&amp;"두 개 만든다.
8. 달걀노른자, 소금, 레몬즙, 녹인 버터를 섞은 뒤, 끓는 물 위에서 중탕하며 저어 홀랜다이즈소스를 만든다.
9. 식빵 사이에 슬라이스 체다치즈를 넣은 뒤, 녹인 버터를 두른 팬에 구워 치즈토스트를 만든다.
10. 끓는 물에 달걀을 넣어 수란을 만든다.
11. 해시브라운 사이에 슬라이스 체다치즈를 넣고 굽는다.
12. 치즈토스트 위에 해시브라운치즈샌드를 올린다.
13. 접시에 샐러드를 담고, 해시브라운"&amp;" 토스트를 올린 뒤 수란을 얹는다.
14. 13 위에 홀랜다이즈소스를 뿌리고 레몬을 곁들인다.
15. 후추를 뿌려 마무리한다.")</f>
        <v>1. 소금을 넣은 끓는 물에 감자를 데친다.
2. 잘게 썬 포도와 요거트, 마요네즈, 칼라만시 원액, 소금, 후추, 올리브오일을 섞어 샐러드드레싱을 만든다.
3. 당근, 양배추를 가늘게 채 썬다.
4. 채 썬 채소에 샐러드드레싱을 넣고 버무린다.
5. 버터를 전자레인지에 돌려 녹인다.
6. 데친 감자를 건져내 물로 헹군 뒤, 채 썬다.
7. 기름을 두른 팬에 채 썬 감자를 올리고 소금, 후추를 뿌린 뒤 구워 해시브라운을 두 개 만든다.
8. 달걀노른자, 소금, 레몬즙, 녹인 버터를 섞은 뒤, 끓는 물 위에서 중탕하며 저어 홀랜다이즈소스를 만든다.
9. 식빵 사이에 슬라이스 체다치즈를 넣은 뒤, 녹인 버터를 두른 팬에 구워 치즈토스트를 만든다.
10. 끓는 물에 달걀을 넣어 수란을 만든다.
11. 해시브라운 사이에 슬라이스 체다치즈를 넣고 굽는다.
12. 치즈토스트 위에 해시브라운치즈샌드를 올린다.
13. 접시에 샐러드를 담고, 해시브라운 토스트를 올린 뒤 수란을 얹는다.
14. 13 위에 홀랜다이즈소스를 뿌리고 레몬을 곁들인다.
15. 후추를 뿌려 마무리한다.</v>
      </c>
    </row>
    <row r="589">
      <c r="A589" s="2" t="str">
        <f>recipe!C589
</f>
        <v>불런치</v>
      </c>
      <c r="B589" s="2" t="str">
        <f>IFERROR(__xludf.DUMMYFUNCTION("TRIM(
  REGEXEXTRACT(
    raw!A589,
    ""●\s*조리\s*방법([\s\S]*)""
  )
)
"),"1. 감자를 채 썬다.
2. 채 썬 감자를 낮은 온도의 기름에 튀긴다.
3. 소고기 등심을 길게 썬다.
4. 손질한 소고기 등심에 잘게 썬 마늘, 후추, 간장을 넣고 버무린다.
5. 레몬을 썰어 접시에 올린다.
6. 채 썬 소고기 등심에 밀가루를 묻힌 뒤, 달걀물을 입혀 낮은 온도의 기름에 튀긴다.
7. 감자튀김을 높은 온도의 기름에 다시 한 번 튀긴 뒤, 건져내 기름기를 빼고 소금을 뿌린다.
8. 등심튀김을 높은 "&amp;"온도의 기름에 다시 한 번 튀긴다.
9. 소스종지에 케첩과 허니머스터드소스를 각각 담는다.
10. 등심튀김을 건져 기름기를 뺀다.
11. 접시에 감자튀김과 등심튀김을 담은 뒤, 레몬즙을 뿌려 마무리한다.")</f>
        <v>1. 감자를 채 썬다.
2. 채 썬 감자를 낮은 온도의 기름에 튀긴다.
3. 소고기 등심을 길게 썬다.
4. 손질한 소고기 등심에 잘게 썬 마늘, 후추, 간장을 넣고 버무린다.
5. 레몬을 썰어 접시에 올린다.
6. 채 썬 소고기 등심에 밀가루를 묻힌 뒤, 달걀물을 입혀 낮은 온도의 기름에 튀긴다.
7. 감자튀김을 높은 온도의 기름에 다시 한 번 튀긴 뒤, 건져내 기름기를 빼고 소금을 뿌린다.
8. 등심튀김을 높은 온도의 기름에 다시 한 번 튀긴다.
9. 소스종지에 케첩과 허니머스터드소스를 각각 담는다.
10. 등심튀김을 건져 기름기를 뺀다.
11. 접시에 감자튀김과 등심튀김을 담은 뒤, 레몬즙을 뿌려 마무리한다.</v>
      </c>
    </row>
    <row r="590">
      <c r="A590" s="2" t="str">
        <f>recipe!C590
</f>
        <v>귀한 만찬</v>
      </c>
      <c r="B590" s="2" t="str">
        <f>IFERROR(__xludf.DUMMYFUNCTION("TRIM(
  REGEXEXTRACT(
    raw!A590,
    ""●\s*조리\s*방법([\s\S]*)""
  )
)
"),"1. 핸드블렌더에 밀가루, 물, 소금을 넣고 갈아 면 반죽을 만든다.
2. 면 반죽을 치댄 뒤, 숙성시킨다.
3. 기름에 적당한 크기로 썬 대파와 양파, 고춧가루를 넣고 끓여 고추기름을 낸다.
4. 끓는 물에 낙지를 데친다.
5. 양파, 애호박, 꽈리고추, 파프리카, 양배추를 적당한 크기로 썰어둔다.
6. 면 반죽을 밀대로 넓게 밀고 적당한 크기로 썬 뒤, 손가락으로 눌러 고양이 귀면을 만든다.
7. 삼겹살을 적당한 크기"&amp;"로 썬 뒤, 전분과 달걀물에 버무린다.
8. 기름을 넉넉히 두른 팬에 삼겹살을 튀기듯 볶는다.
9. 데친 낙지를 건져내고, 낙지를 데치던 물에 고양이 귀면을 삶는다.
10. 으깬 마늘과 적당한 크기로 썬 대파를 삼겹살과 함께 볶은 후 볼에 옮긴다.
11. 고추기름을 체에 거른다.
12. 고추기름을 두른 팬에 손질한 각종 채소와 볶은 삼겹살을 넣고 함께 볶는다.
13. 핸드블렌더에 매실장아찌를 넣고 간다.
14. 곱게"&amp;" 간 매실장아찌를 볶던 재료에 넣고 함께 볶는다.
15. 볶던 재료에 간장을 넣는다.
16. 데친 고양이 귀면을 찬물에 헹군다.
17. 볶던 재료에 데친 낙지와 고양이 귀면을 넣고 함께 볶는다.
18. 고양이귀면 낙지삼겹볶음에 설탕을 넣는다.
19. 그릇에 고양이귀면 낙지삼겹볶음을 담아낸다.")</f>
        <v>1. 핸드블렌더에 밀가루, 물, 소금을 넣고 갈아 면 반죽을 만든다.
2. 면 반죽을 치댄 뒤, 숙성시킨다.
3. 기름에 적당한 크기로 썬 대파와 양파, 고춧가루를 넣고 끓여 고추기름을 낸다.
4. 끓는 물에 낙지를 데친다.
5. 양파, 애호박, 꽈리고추, 파프리카, 양배추를 적당한 크기로 썰어둔다.
6. 면 반죽을 밀대로 넓게 밀고 적당한 크기로 썬 뒤, 손가락으로 눌러 고양이 귀면을 만든다.
7. 삼겹살을 적당한 크기로 썬 뒤, 전분과 달걀물에 버무린다.
8. 기름을 넉넉히 두른 팬에 삼겹살을 튀기듯 볶는다.
9. 데친 낙지를 건져내고, 낙지를 데치던 물에 고양이 귀면을 삶는다.
10. 으깬 마늘과 적당한 크기로 썬 대파를 삼겹살과 함께 볶은 후 볼에 옮긴다.
11. 고추기름을 체에 거른다.
12. 고추기름을 두른 팬에 손질한 각종 채소와 볶은 삼겹살을 넣고 함께 볶는다.
13. 핸드블렌더에 매실장아찌를 넣고 간다.
14. 곱게 간 매실장아찌를 볶던 재료에 넣고 함께 볶는다.
15. 볶던 재료에 간장을 넣는다.
16. 데친 고양이 귀면을 찬물에 헹군다.
17. 볶던 재료에 데친 낙지와 고양이 귀면을 넣고 함께 볶는다.
18. 고양이귀면 낙지삼겹볶음에 설탕을 넣는다.
19. 그릇에 고양이귀면 낙지삼겹볶음을 담아낸다.</v>
      </c>
    </row>
    <row r="591">
      <c r="A591" s="2" t="str">
        <f>recipe!C591
</f>
        <v>데리만족</v>
      </c>
      <c r="B591" s="2" t="str">
        <f>IFERROR(__xludf.DUMMYFUNCTION("TRIM(
  REGEXEXTRACT(
    raw!A591,
    ""●\s*조리\s*방법([\s\S]*)""
  )
)
"),"1. 마늘, 간장, 맛술, 청주, 설탕, 적당한 크기로 썬 청양고추, 양파를 함께 끓여 청양데리야키소스를 만든다.
2. 핸드블렌더에 양파, 껍질을 벗긴 아보카도, 마요네즈, 통마늘을 넣고 갈아 아보카도소스를 만든다.
3. 아보카도소스에 청양고추를 넣고 간다.
4. 3에 소금, 설탕, 레몬즙을 넣고 섞어준다.
5. 식빵은 가장자리를 잘라내고, 믹서기에 갈아 빵가루를 만든다.
6. 소고기 안심을 고기망치로 두드려 얇게 편 뒤, 소"&amp;"금, 후추로 간 하고 전분을 묻힌다.
7. 전분을 묻힌 안심에 달걀물을 입힌 뒤, 빵가루를 묻힌다.
8. 튀김옷을 입힌 안심을 튀겨 규카츠를 만든다.
9. 양파, 삼겹살, 닭안심, 파프리카, 아보카도, 청양고추를 적당한 크기로 썬다.
10. 기름을 두른 팬에 삼겹살과 닭안심을 볶다가 편마늘과 손질한 채소들, 떡을 넣고 볶는다.
11. 볶던 재료에 청양데리야키소스를 넣고 볶는다.
12. 튀긴 규카츠를 건져 기름기를 뺀 뒤,"&amp;" 먹기 좋게 자른다.
13. 접시에 청양데리야키 삼겹닭볶음과 규카츠를 담는다.
14. 아보카도소스를 곁들인 뒤, 고춧가루를 뿌려 마무리한다.")</f>
        <v>1. 마늘, 간장, 맛술, 청주, 설탕, 적당한 크기로 썬 청양고추, 양파를 함께 끓여 청양데리야키소스를 만든다.
2. 핸드블렌더에 양파, 껍질을 벗긴 아보카도, 마요네즈, 통마늘을 넣고 갈아 아보카도소스를 만든다.
3. 아보카도소스에 청양고추를 넣고 간다.
4. 3에 소금, 설탕, 레몬즙을 넣고 섞어준다.
5. 식빵은 가장자리를 잘라내고, 믹서기에 갈아 빵가루를 만든다.
6. 소고기 안심을 고기망치로 두드려 얇게 편 뒤, 소금, 후추로 간 하고 전분을 묻힌다.
7. 전분을 묻힌 안심에 달걀물을 입힌 뒤, 빵가루를 묻힌다.
8. 튀김옷을 입힌 안심을 튀겨 규카츠를 만든다.
9. 양파, 삼겹살, 닭안심, 파프리카, 아보카도, 청양고추를 적당한 크기로 썬다.
10. 기름을 두른 팬에 삼겹살과 닭안심을 볶다가 편마늘과 손질한 채소들, 떡을 넣고 볶는다.
11. 볶던 재료에 청양데리야키소스를 넣고 볶는다.
12. 튀긴 규카츠를 건져 기름기를 뺀 뒤, 먹기 좋게 자른다.
13. 접시에 청양데리야키 삼겹닭볶음과 규카츠를 담는다.
14. 아보카도소스를 곁들인 뒤, 고춧가루를 뿌려 마무리한다.</v>
      </c>
    </row>
    <row r="592">
      <c r="A592" s="2" t="str">
        <f>recipe!C592
</f>
        <v>장금이 브런치</v>
      </c>
      <c r="B592" s="2" t="str">
        <f>IFERROR(__xludf.DUMMYFUNCTION("TRIM(
  REGEXEXTRACT(
    raw!A592,
    ""●\s*조리\s*방법([\s\S]*)""
  )
)
"),"1. 오이를 슬라이스한다.
2. 오이를 소금물에 절여둔다.
3. 소고기 안심을 얇게 포 뜬 뒤, 고기망치로 두드려 얇게 편다.
4. 참기름과 마늘즙에 안심을 버무린 뒤, 소금으로 간 한다.
5. 강판에 감자를 간다.
6. 밀가루, 강판에 간 감자, 전분을 섞어 감자전 반죽을 만든다.
7. 기름을 두른 팬에 감자전 반죽을 올려 감자전을 굽는다.
8. 밑간을 한 안심에 전분을 묻힌 뒤, 감자전 위에 올려 감자육전을 굽는"&amp;"다.
9. 김발 위에 절인 오이를 넓게 펴고, 양상추, 된장, 채 썬 파프리카를 올리고 돌돌 만 뒤, 랩으로 감싸 모양을 고정한다.
10. 전자레인지에 즉석밥을 돌린다.
11. 잘게 다진 꽈리고추찜에 밥, 깨, 참기름을 넣고 비벼 꽈리고추밥을 만든다.
12. 자숙문어 다리에 칼집을 낸 뒤, 전분을 입혀 튀긴다.
13. 핸드블렌더에 고추장, 매실장아찌, 채소피클국물, 참기름, 깨, 설탕을 넣고 갈아 매실고추장소스를 만든다.
"&amp;"
14. 팬에 설탕과 물을 넣고 끓여 시럽을 만든다.
15. 카스텔라를 적당한 크기로 자른 뒤, 시럽을 골고루 바른다.
16. 접시에 꽈리고추밥을 담고, 깨를 뿌린다.
17. 감자육전을 적당한 크기로 썰어 접시에 담는다.
18. 접시에 매실고추장소스를 올린 뒤, 문어 튀김을 얹는다.
19. 랩으로 고정해 둔 오이선을 적당한 크기로 썬 뒤, 접시에 담고 연근피클로 데커레이션 한다.
20. 접시에 시럽을 입힌 카스텔라를 담고"&amp;", 콩가루를 뿌려 인절미케이크를 만든다.")</f>
        <v>1. 오이를 슬라이스한다.
2. 오이를 소금물에 절여둔다.
3. 소고기 안심을 얇게 포 뜬 뒤, 고기망치로 두드려 얇게 편다.
4. 참기름과 마늘즙에 안심을 버무린 뒤, 소금으로 간 한다.
5. 강판에 감자를 간다.
6. 밀가루, 강판에 간 감자, 전분을 섞어 감자전 반죽을 만든다.
7. 기름을 두른 팬에 감자전 반죽을 올려 감자전을 굽는다.
8. 밑간을 한 안심에 전분을 묻힌 뒤, 감자전 위에 올려 감자육전을 굽는다.
9. 김발 위에 절인 오이를 넓게 펴고, 양상추, 된장, 채 썬 파프리카를 올리고 돌돌 만 뒤, 랩으로 감싸 모양을 고정한다.
10. 전자레인지에 즉석밥을 돌린다.
11. 잘게 다진 꽈리고추찜에 밥, 깨, 참기름을 넣고 비벼 꽈리고추밥을 만든다.
12. 자숙문어 다리에 칼집을 낸 뒤, 전분을 입혀 튀긴다.
13. 핸드블렌더에 고추장, 매실장아찌, 채소피클국물, 참기름, 깨, 설탕을 넣고 갈아 매실고추장소스를 만든다.
14. 팬에 설탕과 물을 넣고 끓여 시럽을 만든다.
15. 카스텔라를 적당한 크기로 자른 뒤, 시럽을 골고루 바른다.
16. 접시에 꽈리고추밥을 담고, 깨를 뿌린다.
17. 감자육전을 적당한 크기로 썰어 접시에 담는다.
18. 접시에 매실고추장소스를 올린 뒤, 문어 튀김을 얹는다.
19. 랩으로 고정해 둔 오이선을 적당한 크기로 썬 뒤, 접시에 담고 연근피클로 데커레이션 한다.
20. 접시에 시럽을 입힌 카스텔라를 담고, 콩가루를 뿌려 인절미케이크를 만든다.</v>
      </c>
    </row>
    <row r="593">
      <c r="A593" s="2" t="str">
        <f>recipe!C593
</f>
        <v>거침없이 불고기</v>
      </c>
      <c r="B593" s="2" t="str">
        <f>IFERROR(__xludf.DUMMYFUNCTION("TRIM(
  REGEXEXTRACT(
    raw!A593,
    ""●\s*조리\s*방법([\s\S]*)""
  )
)
"),"1. 가지를 적당한 크기로 썬 뒤, 십자로 칼집을 낸다.
2. 가지에 소금을 뿌린 뒤, 전자레인지에 돌린다.
3. 냄비에 식초, 설탕, 소금을 넣고 끓인다.
4. 무를 슬라이스 한 뒤, 끓인 단촛물을 부어 절인다.
5. 핸드블렌더에 불고기용 소고기를 곱게 간다.
6. 핸드블렌더에 다진 마늘, 맛술, 청주, 설탕, 간장, 참기름을 넣고 곱게 갈아 불고기 양념을 만든다.
7. 곱게 간 불고기용 소고기에 불고기 양념과 잘게 썬"&amp;" 대파를 넣고 버무린 뒤, 기름을 두른 팬에 구워 불고기를 만든다.
8. 전자레인지에서 익힌 가지 사이에 양념한 불고기용 소고기를 채워 넣고 냄비에 넣는다.
9. 8에 불고기와 물을 넣고, 뚜껑을 덮어 익힌다.
10. 볼에 즉석밥, 불고기, 깨, 콩나물, 불고기 양념을 넣고 랩을 덮은 후 전자레인지에 돌려 불고기콩나물밥을 만든다.
11. 불고기 양념과 다진 청고추, 홍고추, 대파를 넣어 불고기콩나물밥 양념장을 만든다.
12. "&amp;"불고기 가지선에 국물을 끼얹어가며 익힌다.
13. 당근과 오이를 가늘게 채 썬 뒤, 소금을 뿌려둔다.
14. 기름을 두른 팬에 소금을 뿌린 당근과 오이를 볶는다.
15. 팽이버섯을 불고기 양념에 버무린 뒤, 볶아준다.
16. 접시에 볶은 당근, 오이, 팽이버섯과 절인 무, 불고기를 담는다.
17. 달걀노른자를 분리해 기름을 두른 팬에 붓고 지단을 부친다.
18. 접시에 불고기가지선을 담는다.
19. 그릇에 불고기콩나"&amp;"물밥을 담는다.
20. 달걀노른자지단을 채 썬 뒤, 불고기무쌈과 함께 담아낸다.
21. 불고기가지선 위에 달걀노른자지단과 가늘게 채 썬 홍고추를 올려 마무리한다.")</f>
        <v>1. 가지를 적당한 크기로 썬 뒤, 십자로 칼집을 낸다.
2. 가지에 소금을 뿌린 뒤, 전자레인지에 돌린다.
3. 냄비에 식초, 설탕, 소금을 넣고 끓인다.
4. 무를 슬라이스 한 뒤, 끓인 단촛물을 부어 절인다.
5. 핸드블렌더에 불고기용 소고기를 곱게 간다.
6. 핸드블렌더에 다진 마늘, 맛술, 청주, 설탕, 간장, 참기름을 넣고 곱게 갈아 불고기 양념을 만든다.
7. 곱게 간 불고기용 소고기에 불고기 양념과 잘게 썬 대파를 넣고 버무린 뒤, 기름을 두른 팬에 구워 불고기를 만든다.
8. 전자레인지에서 익힌 가지 사이에 양념한 불고기용 소고기를 채워 넣고 냄비에 넣는다.
9. 8에 불고기와 물을 넣고, 뚜껑을 덮어 익힌다.
10. 볼에 즉석밥, 불고기, 깨, 콩나물, 불고기 양념을 넣고 랩을 덮은 후 전자레인지에 돌려 불고기콩나물밥을 만든다.
11. 불고기 양념과 다진 청고추, 홍고추, 대파를 넣어 불고기콩나물밥 양념장을 만든다.
12. 불고기 가지선에 국물을 끼얹어가며 익힌다.
13. 당근과 오이를 가늘게 채 썬 뒤, 소금을 뿌려둔다.
14. 기름을 두른 팬에 소금을 뿌린 당근과 오이를 볶는다.
15. 팽이버섯을 불고기 양념에 버무린 뒤, 볶아준다.
16. 접시에 볶은 당근, 오이, 팽이버섯과 절인 무, 불고기를 담는다.
17. 달걀노른자를 분리해 기름을 두른 팬에 붓고 지단을 부친다.
18. 접시에 불고기가지선을 담는다.
19. 그릇에 불고기콩나물밥을 담는다.
20. 달걀노른자지단을 채 썬 뒤, 불고기무쌈과 함께 담아낸다.
21. 불고기가지선 위에 달걀노른자지단과 가늘게 채 썬 홍고추를 올려 마무리한다.</v>
      </c>
    </row>
    <row r="594">
      <c r="A594" s="2" t="str">
        <f>recipe!C594
</f>
        <v>젓갈볶음밥을 잘 만드는 남자♬</v>
      </c>
      <c r="B594" s="2" t="str">
        <f>IFERROR(__xludf.DUMMYFUNCTION("TRIM(
  REGEXEXTRACT(
    raw!A594,
    ""●\s*조리\s*방법([\s\S]*)""
  )
)
"),"1. 양파를 채 썬다.
2. 으깬 마늘을 채 썬 양파와 함께 담아둔다.
3. 레몬즙과 레몬을 넣고 끓인 물에 소금을 뿌린 뒤, 손질한 새우살을 데친다.
4. 데친 새우살을 얼음물에 담가 차게 식힌다.
5. 랍스터살을 레몬소금물에 데친 뒤, 얼음물에 담가 차게 식힌다.
6. 으깬 마늘과 양파채가 담긴 볼에 새우살과 랍스터살을 넣고 레몬즙을 뿌려 섞는다.
7. 6에 깻잎채를 넣고 버무려 새우세비체를 만든다.
8. 기름을"&amp;" 두른 팬에 잘게 썬 대파와 고추를 넣고 볶는다.
9. 자숙피꼬막을 레몬소금물에 데친 뒤, 얼음물에 담가 차게 식힌다.
10. 볶던 대파와 고추에 순태젓, 가리비젓, 맛술을 넣고 볶는다.
11. 볶던 젓갈에 굴을 넣고 함께 볶는다.
12. 데친 자숙피꼬막을 넣고 함께 볶는다.
13. 볶던 재료에 채 썬 깻잎과 즉석밥을 넣고 볶아 젓갈볶음밥을 만든다.
14. 접시에 젓갈볶음밥을 담는다.
15. 젓갈볶음밥에서 피꼬막만 "&amp;"골라내 잘게 다진 뒤, 산초가루를 뿌려 마른 팬에 볶다가 들기름을 뿌린다.
16. 젓갈볶음밥 위에 깨를 뿌린 뒤, 볶은 피꼬막을 올린다.
17. 새우세비체에 후추를 뿌리고, 포도, 소금, 올리브오일을 넣고 버무린다.
18. 접시에 새우세비체를 담아낸다.")</f>
        <v>1. 양파를 채 썬다.
2. 으깬 마늘을 채 썬 양파와 함께 담아둔다.
3. 레몬즙과 레몬을 넣고 끓인 물에 소금을 뿌린 뒤, 손질한 새우살을 데친다.
4. 데친 새우살을 얼음물에 담가 차게 식힌다.
5. 랍스터살을 레몬소금물에 데친 뒤, 얼음물에 담가 차게 식힌다.
6. 으깬 마늘과 양파채가 담긴 볼에 새우살과 랍스터살을 넣고 레몬즙을 뿌려 섞는다.
7. 6에 깻잎채를 넣고 버무려 새우세비체를 만든다.
8. 기름을 두른 팬에 잘게 썬 대파와 고추를 넣고 볶는다.
9. 자숙피꼬막을 레몬소금물에 데친 뒤, 얼음물에 담가 차게 식힌다.
10. 볶던 대파와 고추에 순태젓, 가리비젓, 맛술을 넣고 볶는다.
11. 볶던 젓갈에 굴을 넣고 함께 볶는다.
12. 데친 자숙피꼬막을 넣고 함께 볶는다.
13. 볶던 재료에 채 썬 깻잎과 즉석밥을 넣고 볶아 젓갈볶음밥을 만든다.
14. 접시에 젓갈볶음밥을 담는다.
15. 젓갈볶음밥에서 피꼬막만 골라내 잘게 다진 뒤, 산초가루를 뿌려 마른 팬에 볶다가 들기름을 뿌린다.
16. 젓갈볶음밥 위에 깨를 뿌린 뒤, 볶은 피꼬막을 올린다.
17. 새우세비체에 후추를 뿌리고, 포도, 소금, 올리브오일을 넣고 버무린다.
18. 접시에 새우세비체를 담아낸다.</v>
      </c>
    </row>
    <row r="595">
      <c r="A595" s="2" t="str">
        <f>recipe!C595
</f>
        <v>갈치 많이 먹어도 배 안 나오는 남자♬</v>
      </c>
      <c r="B595" s="2" t="str">
        <f>IFERROR(__xludf.DUMMYFUNCTION("TRIM(
  REGEXEXTRACT(
    raw!A595,
    ""●\s*조리\s*방법([\s\S]*)""
  )
)
"),"1. 전복을 삶는다.
2. 갈치를 포 뜬 뒤, 청주에 담가둔다.
3. 갈치뼈에 전분을 묻혀 튀긴 뒤, 소금을 뿌린다.
4. 랍스터의 살을 발라 적당한 크기로 썬다.
5. 깻잎과 갈치살에 전분을 묻힌다.
6. 박력분과 물, 얼음을 섞어 튀김반죽을 만든다.
7. 튀김반죽에 성게알을 넣고 섞는다.
8. 전분을 묻힌 갈치살과 깻잎에 성게튀김반죽을 입혀 기름에 튀긴다.
9. 새우, 양파, 홍고추를 손질한다.
10."&amp;" 삶은 전복의 내장을 떼어내고 전복살을 적당한 크기로 썬다.
11. 기름을 두른 팬에 편마늘과 양파를 볶다가, 손질한 각종 해산물을 넣고 함께 볶는다.
12. 11에 소금과 후추로 간 한 뒤, 버터를 넣는다.
13. 핸드블렌더에 전복내장을 곱게 간다.
14. 볶던 해산물에 전복내장, 맛간장을 넣고 볶아 전복내장 해산물버터볶음을 만든다.
15. 성게알, 달걀노른자, 맛간장, 소금을 넣고 섞어 성게소스를 만든 뒤, 접시에 담는다."&amp;"
16. 성게소스가 담긴 접시에 갈치뼈튀김과 갈치튀김, 깻잎튀김을 담는다.
17. 전복내장 해산물버터볶음에 손질한 홍고추와 참기름, 소금을 넣고 볶는다.
18. 전복내장 해산물버터볶음을 접시에 담아낸다.")</f>
        <v>1. 전복을 삶는다.
2. 갈치를 포 뜬 뒤, 청주에 담가둔다.
3. 갈치뼈에 전분을 묻혀 튀긴 뒤, 소금을 뿌린다.
4. 랍스터의 살을 발라 적당한 크기로 썬다.
5. 깻잎과 갈치살에 전분을 묻힌다.
6. 박력분과 물, 얼음을 섞어 튀김반죽을 만든다.
7. 튀김반죽에 성게알을 넣고 섞는다.
8. 전분을 묻힌 갈치살과 깻잎에 성게튀김반죽을 입혀 기름에 튀긴다.
9. 새우, 양파, 홍고추를 손질한다.
10. 삶은 전복의 내장을 떼어내고 전복살을 적당한 크기로 썬다.
11. 기름을 두른 팬에 편마늘과 양파를 볶다가, 손질한 각종 해산물을 넣고 함께 볶는다.
12. 11에 소금과 후추로 간 한 뒤, 버터를 넣는다.
13. 핸드블렌더에 전복내장을 곱게 간다.
14. 볶던 해산물에 전복내장, 맛간장을 넣고 볶아 전복내장 해산물버터볶음을 만든다.
15. 성게알, 달걀노른자, 맛간장, 소금을 넣고 섞어 성게소스를 만든 뒤, 접시에 담는다.
16. 성게소스가 담긴 접시에 갈치뼈튀김과 갈치튀김, 깻잎튀김을 담는다.
17. 전복내장 해산물버터볶음에 손질한 홍고추와 참기름, 소금을 넣고 볶는다.
18. 전복내장 해산물버터볶음을 접시에 담아낸다.</v>
      </c>
    </row>
    <row r="596">
      <c r="A596" s="2" t="str">
        <f>recipe!C596
</f>
        <v>바람은 널 살치게 하네♬</v>
      </c>
      <c r="B596" s="2" t="str">
        <f>IFERROR(__xludf.DUMMYFUNCTION("TRIM(
  REGEXEXTRACT(
    raw!A596,
    ""●\s*조리\s*방법([\s\S]*)""
  )
)
"),"1. 살치살에 칼집을 낸다.
2. 찜기에 손질한 삼겹살을 넣고 산초가루와 나무젓가락에 불을 붙여 훈연한다.
3. 끓는 물에 적당한 크기로 썬 양파와 대파를 넣고 끓인다.
4. 3에 설탕, 도라지청, 적당한 크기로 썬 도라지정과, 간장을 넣고 끓여 도라지소스를 만든다.
5. 가늘게 채 썬 무에 복분자즙, 소금, 식초를 넣고 버무려 복분자무생채를 만든다.
6. 랩 위에 양상추, 복분자무생채를 올리고 동그랗게 말아 모양을 잡는다.
"&amp;"
7. 훈연한 살치살을 팬에 굽다가 산초가루, 소금, 후추를 뿌린다.
8. 살치살에 도라지소스를 발라가며 굽는다.
9. 깻순나물무침을 잘게 다진 뒤, 전자레인지에 돌린 즉석밥과 산초가루를 섞어 깻순나물밥을 만든다.
10. 김발 위에 구운 살치살&gt;깻순나물밥&gt;파김치를 순서대로 올리고 돌돌 말아 살치살롤을 만든다.
11. 살치살롤을 랩으로 감싸 모양을 잡는다.
12. 적당한 크기로 썬 도토리묵에 동그란 구멍을 낸 뒤, 다진고추고"&amp;"기절임을 넣고 접시에 담는다.
13. 살치살롤을 적당한 크기로 썬 뒤, 랩을 벗겨내고 접시에 담는다.
14. 접시에 복분자무생채 양상추쌈을 올린다.
15. 산초장아찌와 오디, 산초가루를 곁들인다.
16. 도라지소스를 뿌려 마무리한다.")</f>
        <v>1. 살치살에 칼집을 낸다.
2. 찜기에 손질한 삼겹살을 넣고 산초가루와 나무젓가락에 불을 붙여 훈연한다.
3. 끓는 물에 적당한 크기로 썬 양파와 대파를 넣고 끓인다.
4. 3에 설탕, 도라지청, 적당한 크기로 썬 도라지정과, 간장을 넣고 끓여 도라지소스를 만든다.
5. 가늘게 채 썬 무에 복분자즙, 소금, 식초를 넣고 버무려 복분자무생채를 만든다.
6. 랩 위에 양상추, 복분자무생채를 올리고 동그랗게 말아 모양을 잡는다.
7. 훈연한 살치살을 팬에 굽다가 산초가루, 소금, 후추를 뿌린다.
8. 살치살에 도라지소스를 발라가며 굽는다.
9. 깻순나물무침을 잘게 다진 뒤, 전자레인지에 돌린 즉석밥과 산초가루를 섞어 깻순나물밥을 만든다.
10. 김발 위에 구운 살치살&gt;깻순나물밥&gt;파김치를 순서대로 올리고 돌돌 말아 살치살롤을 만든다.
11. 살치살롤을 랩으로 감싸 모양을 잡는다.
12. 적당한 크기로 썬 도토리묵에 동그란 구멍을 낸 뒤, 다진고추고기절임을 넣고 접시에 담는다.
13. 살치살롤을 적당한 크기로 썬 뒤, 랩을 벗겨내고 접시에 담는다.
14. 접시에 복분자무생채 양상추쌈을 올린다.
15. 산초장아찌와 오디, 산초가루를 곁들인다.
16. 도라지소스를 뿌려 마무리한다.</v>
      </c>
    </row>
    <row r="597">
      <c r="A597" s="2" t="str">
        <f>recipe!C597
</f>
        <v>난 돼지고기가 좋더라♬</v>
      </c>
      <c r="B597" s="2" t="str">
        <f>IFERROR(__xludf.DUMMYFUNCTION("TRIM(
  REGEXEXTRACT(
    raw!A597,
    ""●\s*조리\s*방법([\s\S]*)""
  )
)
"),"1. 대파를 반으로 가른 뒤 두드린다.
2. 비닐백에 손질한 대파와 삼겹살, 으깬 마늘과 적당한 크기로 썬 양파를 넣고 주무른다.
3. 2에 간장을 넣고 잘 주무른 뒤, 찜기에 넣고 찐다.
4. 대파를 반으로 길게 썰어 찜기에 넣고 함께 찐다.
5. 핸드블렌더에 설탕, 식초, 간장, 맛술, 들기름, 연겨자, 레몬즙을 넣고 갈아 간장겨자소스를 만든다.
6. 무와 양파를 강판에 곱게 간 뒤, 물기를 짜낸다.
7. 기름에 대파"&amp;", 고춧가루, 마늘을 넣고 끓여 고추기름을 낸 뒤, 체에 거른다.
8. 홍고추, 청양고추, 마늘을 잘게 썬 뒤, 산초장아찌와 섞는다.
9. 8을 고추기름과 함께 팬에 볶다가, 산초가루와 간장겨자소스를 넣어 산초고추기름을 만든다.
10. 대파찜을 적당한 크기로 썰어 접시에 담고, 간장겨자소스를 뿌린다.
11. 삼겹살찜을 적당한 크기로 썬 뒤, 접시에 담는다.
12. 삼겹살찜 위에 강판에 간 무와 양파를 올리고 간장겨자소스를 뿌린"&amp;"다.
13. 12 위에 산초장아찌를 얹는다.
14. 산초고추기름을 듬뿍 얹고 간장겨자소스를 뿌려 마무리한다.")</f>
        <v>1. 대파를 반으로 가른 뒤 두드린다.
2. 비닐백에 손질한 대파와 삼겹살, 으깬 마늘과 적당한 크기로 썬 양파를 넣고 주무른다.
3. 2에 간장을 넣고 잘 주무른 뒤, 찜기에 넣고 찐다.
4. 대파를 반으로 길게 썰어 찜기에 넣고 함께 찐다.
5. 핸드블렌더에 설탕, 식초, 간장, 맛술, 들기름, 연겨자, 레몬즙을 넣고 갈아 간장겨자소스를 만든다.
6. 무와 양파를 강판에 곱게 간 뒤, 물기를 짜낸다.
7. 기름에 대파, 고춧가루, 마늘을 넣고 끓여 고추기름을 낸 뒤, 체에 거른다.
8. 홍고추, 청양고추, 마늘을 잘게 썬 뒤, 산초장아찌와 섞는다.
9. 8을 고추기름과 함께 팬에 볶다가, 산초가루와 간장겨자소스를 넣어 산초고추기름을 만든다.
10. 대파찜을 적당한 크기로 썰어 접시에 담고, 간장겨자소스를 뿌린다.
11. 삼겹살찜을 적당한 크기로 썬 뒤, 접시에 담는다.
12. 삼겹살찜 위에 강판에 간 무와 양파를 올리고 간장겨자소스를 뿌린다.
13. 12 위에 산초장아찌를 얹는다.
14. 산초고추기름을 듬뿍 얹고 간장겨자소스를 뿌려 마무리한다.</v>
      </c>
    </row>
    <row r="598">
      <c r="A598" s="2" t="str">
        <f>recipe!C598
</f>
        <v>채소를 말아요♬</v>
      </c>
      <c r="B598" s="2" t="str">
        <f>IFERROR(__xludf.DUMMYFUNCTION("TRIM(
  REGEXEXTRACT(
    raw!A598,
    ""●\s*조리\s*방법([\s\S]*)""
  )
)
"),"1. 핸드블렌더에 밀가루와 달걀을 넣고 갈아 면 반죽을 만든다.
2. 레몬즙, 올리브오일, 설탕을 섞어 레몬오일소스를 만든 뒤, 적당한 크기로 썬 토마토를 넣고 절여둔다.
3. 핸드블렌더에 블랙올리브, 올리브오일, 레몬즙, 코코넛잼을 넣고 갈아 올리브코코넛소스를 만든다.
4. 올리브코코넛소스에 설탕을 넣고 다시 한 번 곱게 간다.
5. 올리브코코넛소스에 적당한 크기로 썬 마와 토마토를 넣고 버무려 샐러드를 만든다.
6. 면 반"&amp;"죽을 얇고 넓게 밀어 적당한 크기로 썰어 끓는 물에 넣고 익힌다.
7. 기름을 두른 팬에 채 썬 당근을 볶다가 소금, 후추로 간 한다.
8. 볶던 당근에 간장과 참기름을 넣고 볶은 뒤, 식힌다.
9. 기름을 두른 팬에 느타리버섯, 팽이버섯, 다진 마늘과 소금, 레몬즙, 후추를 넣고 볶은 뒤, 식힌다.
10. 삶은 면, 볶은 당근, 볶은 버섯을 한 데 넣고 볶아준다.
11. 볶은 면을 넓게 편 뒤, 볶은 채소와 레몬오일소스에 절"&amp;"인 토마토를 넣고 돌돌 만다.
12. 접시에 샐러드를 담는다.
13. 접시에 채소롤을 올린 뒤, 올리브코코넛소스를 뿌린다.
14. 샐러드와 채소롤 위에 레몬오일소스와 레몬즙, 후추를 뿌려 마무리한다.")</f>
        <v>1. 핸드블렌더에 밀가루와 달걀을 넣고 갈아 면 반죽을 만든다.
2. 레몬즙, 올리브오일, 설탕을 섞어 레몬오일소스를 만든 뒤, 적당한 크기로 썬 토마토를 넣고 절여둔다.
3. 핸드블렌더에 블랙올리브, 올리브오일, 레몬즙, 코코넛잼을 넣고 갈아 올리브코코넛소스를 만든다.
4. 올리브코코넛소스에 설탕을 넣고 다시 한 번 곱게 간다.
5. 올리브코코넛소스에 적당한 크기로 썬 마와 토마토를 넣고 버무려 샐러드를 만든다.
6. 면 반죽을 얇고 넓게 밀어 적당한 크기로 썰어 끓는 물에 넣고 익힌다.
7. 기름을 두른 팬에 채 썬 당근을 볶다가 소금, 후추로 간 한다.
8. 볶던 당근에 간장과 참기름을 넣고 볶은 뒤, 식힌다.
9. 기름을 두른 팬에 느타리버섯, 팽이버섯, 다진 마늘과 소금, 레몬즙, 후추를 넣고 볶은 뒤, 식힌다.
10. 삶은 면, 볶은 당근, 볶은 버섯을 한 데 넣고 볶아준다.
11. 볶은 면을 넓게 편 뒤, 볶은 채소와 레몬오일소스에 절인 토마토를 넣고 돌돌 만다.
12. 접시에 샐러드를 담는다.
13. 접시에 채소롤을 올린 뒤, 올리브코코넛소스를 뿌린다.
14. 샐러드와 채소롤 위에 레몬오일소스와 레몬즙, 후추를 뿌려 마무리한다.</v>
      </c>
    </row>
    <row r="599">
      <c r="A599" s="2" t="str">
        <f>recipe!C599
</f>
        <v>채소퀸</v>
      </c>
      <c r="B599" s="2" t="str">
        <f>IFERROR(__xludf.DUMMYFUNCTION("TRIM(
  REGEXEXTRACT(
    raw!A599,
    ""●\s*조리\s*방법([\s\S]*)""
  )
)
"),"1. 버터를 녹인 팬에 잘게 썬 느타리버섯과 표고버섯을 넣고 볶다가 간장으로 간 한다.
2. 토마토는 꼭지부분과 밑동을 평평하게 잘라낸 뒤, 속을 파낸다.
3. 파낸 토마토속을 잘게 다져 버섯과 함께 볶는다.
4. 마늘을 잘게 다져 다른 재료들과 함께 볶는다.
5. 잘게 다진 청양고추소박이와 청양고추소박이국물을 다른 재료들과 함께 볶는다.
6. 5에 즉석밥과 잘게 썬 블랙올리브, 생모차렐라치즈를 넣고 볶아 채소볶음밥을 만든다."&amp;"
7. 채소볶음밥에 소금과 후추로 간 한다.
8. 속을 파낸 토마토 안에 채소볶음밥을 채워 넣는다.
9. 채소볶음밥을 채운 토마토 위에 생모차렐라치즈를 올린 뒤, 예열된 오븐에 굽는다.
10. 접시에 토마토, 깻잎, 오이김치, 블랙올리브, 생모차렐라치즈로 데커레이션한다.
11. 채소볶음밥을 채운 토마토를 오븐에서 꺼낸 뒤, 토치로 직화한다.
12. 데커레이션 한 접시 위에 채소볶음밥을 채운 토마토를 올려 마무리한다.")</f>
        <v>1. 버터를 녹인 팬에 잘게 썬 느타리버섯과 표고버섯을 넣고 볶다가 간장으로 간 한다.
2. 토마토는 꼭지부분과 밑동을 평평하게 잘라낸 뒤, 속을 파낸다.
3. 파낸 토마토속을 잘게 다져 버섯과 함께 볶는다.
4. 마늘을 잘게 다져 다른 재료들과 함께 볶는다.
5. 잘게 다진 청양고추소박이와 청양고추소박이국물을 다른 재료들과 함께 볶는다.
6. 5에 즉석밥과 잘게 썬 블랙올리브, 생모차렐라치즈를 넣고 볶아 채소볶음밥을 만든다.
7. 채소볶음밥에 소금과 후추로 간 한다.
8. 속을 파낸 토마토 안에 채소볶음밥을 채워 넣는다.
9. 채소볶음밥을 채운 토마토 위에 생모차렐라치즈를 올린 뒤, 예열된 오븐에 굽는다.
10. 접시에 토마토, 깻잎, 오이김치, 블랙올리브, 생모차렐라치즈로 데커레이션한다.
11. 채소볶음밥을 채운 토마토를 오븐에서 꺼낸 뒤, 토치로 직화한다.
12. 데커레이션 한 접시 위에 채소볶음밥을 채운 토마토를 올려 마무리한다.</v>
      </c>
    </row>
    <row r="600">
      <c r="A600" s="2" t="str">
        <f>recipe!C600
</f>
        <v>완선이는 이걸 먹고 웃지</v>
      </c>
      <c r="B600" s="2" t="str">
        <f>IFERROR(__xludf.DUMMYFUNCTION("TRIM(
  REGEXEXTRACT(
    raw!A600,
    ""●\s*조리\s*방법([\s\S]*)""
  )
)
"),"1. 소갈빗살을 적당한 크기로 썬다.
2. 키위의 껍질을 벗겨내고 핸드블렌더로 간다.
3. 소갈빗살에 곱게 간 키위, 적당한 크기로 썬 대파, 생강즙, 간장, 설탕, 손질한 새송이버섯, 후추, 맛술을 넣고 잘 버무린다.
4. 3에 으깬 마늘을 넣고 기름을 두른 냄비에 볶는다.
5. 칼집을 낸 대구살을 체에 밭친 뒤, 뜨거운 물을 부어 겉을 익힌다.
6. 겉을 익힌 대구살을 그릇에 담은 뒤, 생강즙과 청주, 소금을 뿌리고 찜기에"&amp;" 넣어 찐다.
7. 6에 잘게 다진 청양고추를 넣고 찐다.
8. 라면 면을 삶는다.
9. 대파를 가늘게 채 썬다.
10. 간장, 맛술, 설탕을 섞어 간장소스를 만든다.
11. 스리라차소스, 간장, 식초를 섞어 양념을 만든다.
12. 삶은 면을 체에 밭쳐 찬물에 헹군다.
13. 면을 삶았던 물에 간장, 굴소스볶음소스, 된장을 넣고 끓인다.
14. 핸드블렌더에 청양고추를 넣고 곱게 간다.
15. 굴소스육수에 "&amp;"곱게 간 청양고추를 넣고 끓인다.
16. 찬물에 식힌 면을 굴소스육수에 토렴한 뒤, 그릇에 담는다.
17. 16 위에 볶은 소갈빗살과 채소를 올리고, 굴소스육수를 부어 소고기탕면을 만든다.
18. 기름을 두른 팬에 대구살찜을 올린 뒤, 간장소스를 붓고 파채를 얹는다.
19. 18 위에 끓는 기름을 부어 익힌다.
20. 대구살찜 위에 스리라차양념을 얹어 마무리한다.")</f>
        <v>1. 소갈빗살을 적당한 크기로 썬다.
2. 키위의 껍질을 벗겨내고 핸드블렌더로 간다.
3. 소갈빗살에 곱게 간 키위, 적당한 크기로 썬 대파, 생강즙, 간장, 설탕, 손질한 새송이버섯, 후추, 맛술을 넣고 잘 버무린다.
4. 3에 으깬 마늘을 넣고 기름을 두른 냄비에 볶는다.
5. 칼집을 낸 대구살을 체에 밭친 뒤, 뜨거운 물을 부어 겉을 익힌다.
6. 겉을 익힌 대구살을 그릇에 담은 뒤, 생강즙과 청주, 소금을 뿌리고 찜기에 넣어 찐다.
7. 6에 잘게 다진 청양고추를 넣고 찐다.
8. 라면 면을 삶는다.
9. 대파를 가늘게 채 썬다.
10. 간장, 맛술, 설탕을 섞어 간장소스를 만든다.
11. 스리라차소스, 간장, 식초를 섞어 양념을 만든다.
12. 삶은 면을 체에 밭쳐 찬물에 헹군다.
13. 면을 삶았던 물에 간장, 굴소스볶음소스, 된장을 넣고 끓인다.
14. 핸드블렌더에 청양고추를 넣고 곱게 간다.
15. 굴소스육수에 곱게 간 청양고추를 넣고 끓인다.
16. 찬물에 식힌 면을 굴소스육수에 토렴한 뒤, 그릇에 담는다.
17. 16 위에 볶은 소갈빗살과 채소를 올리고, 굴소스육수를 부어 소고기탕면을 만든다.
18. 기름을 두른 팬에 대구살찜을 올린 뒤, 간장소스를 붓고 파채를 얹는다.
19. 18 위에 끓는 기름을 부어 익힌다.
20. 대구살찜 위에 스리라차양념을 얹어 마무리한다.</v>
      </c>
    </row>
    <row r="601">
      <c r="A601" s="2" t="str">
        <f>recipe!C601
</f>
        <v>김완섬</v>
      </c>
      <c r="B601" s="2" t="str">
        <f>IFERROR(__xludf.DUMMYFUNCTION("TRIM(
  REGEXEXTRACT(
    raw!A601,
    ""●\s*조리\s*방법([\s\S]*)""
  )
)
"),"1. 핸드블렌더에 불린 쌀, 밀가루, 전분, 물을 넣고 갈아 딤섬피 반죽을 만든다.
2. 끓는 기름에 대파, 고춧가루를 넣고 끓여 고추기름을 낸다.
3. 기름을 두른 팬에 간장, 설탕을 넣고 태운다.
4. 3에 물을 부어 간장소스를 만든다.
5. 간장소스를 체에 거른다.
6. 간장소스에 잘게 썬 청양고추와 대파, 으깬 마늘을 넣는다.
7. 대구살을 적당한 크기로 썬다.
8. 기름을 두른 팬에 적당한 크기로 썬 대구살"&amp;"과 소금, 후추, 다진 생강, 으깬 마늘을 넣고 볶는다.
9. 8에 맛술과 적당한 크기로 썬 팽이버섯을 넣고 볶는다.
10. 마른 팬에 딤섬피 반죽을 붓고, 뚜껑을 덮어 익힌다.
11. 딤섬피 위에 볶은 대구살과 팽이버섯을 올리고 돌돌 만다.
12. 11을 그릇에 담는다.
13. 고추기름을 체에 밭쳐 거른다.
14. 대구팽이버섯딤섬 위에 간장소스를 끼얹는다.
15. 14 위에 고추기름을 뿌려 마무리한다.")</f>
        <v>1. 핸드블렌더에 불린 쌀, 밀가루, 전분, 물을 넣고 갈아 딤섬피 반죽을 만든다.
2. 끓는 기름에 대파, 고춧가루를 넣고 끓여 고추기름을 낸다.
3. 기름을 두른 팬에 간장, 설탕을 넣고 태운다.
4. 3에 물을 부어 간장소스를 만든다.
5. 간장소스를 체에 거른다.
6. 간장소스에 잘게 썬 청양고추와 대파, 으깬 마늘을 넣는다.
7. 대구살을 적당한 크기로 썬다.
8. 기름을 두른 팬에 적당한 크기로 썬 대구살과 소금, 후추, 다진 생강, 으깬 마늘을 넣고 볶는다.
9. 8에 맛술과 적당한 크기로 썬 팽이버섯을 넣고 볶는다.
10. 마른 팬에 딤섬피 반죽을 붓고, 뚜껑을 덮어 익힌다.
11. 딤섬피 위에 볶은 대구살과 팽이버섯을 올리고 돌돌 만다.
12. 11을 그릇에 담는다.
13. 고추기름을 체에 밭쳐 거른다.
14. 대구팽이버섯딤섬 위에 간장소스를 끼얹는다.
15. 14 위에 고추기름을 뿌려 마무리한다.</v>
      </c>
    </row>
    <row r="602">
      <c r="A602" s="2" t="str">
        <f>recipe!C602
</f>
        <v>낙낙낙낙 낙지호롱♬</v>
      </c>
      <c r="B602" s="2" t="str">
        <f>IFERROR(__xludf.DUMMYFUNCTION("TRIM(
  REGEXEXTRACT(
    raw!A602,
    ""●\s*조리\s*방법([\s\S]*)""
  )
)
"),"1. 냄비에 물, 설탕, 청주, 맛술, 간장을 1:1:1:1:1 비율로 넣고 끓여 간장소스를 만든다.
2. 간장소스에 으깬 마늘을 넣는다.
3. 낙지 머리의 내장을 빼고 손질한다.
4. 핸드블렌더에 대패삼겹살과 대파 흰 부분을 넣고 곱게 간다.
5. 손질한 낙지 머리 안에 곱게 간 대패삼겹살을 채워 넣고 이쑤시개로 고정시켜 낙지만두를 만든다.
6. 낙지만두를 간장소스 안에 넣고 조린다.
7. 낙지 머리를 나무젓가락에 끼운 뒤, 낙지 다리를 나"&amp;"무젓가락에 돌돌 말아 낙지호롱을 만든다.
8. 낙지호롱에 대패삼겹살을 돌돌 만다.
9. 마른 그릴팬에 낙지호롱을 굽다가 청주를 붓는다.
10. 낙지호롱에 간장소스를 부어가며 굽는다.
11. 맛술, 물, 식초, 설탕, 간장, 달걀노른자를 섞는다.
12. 11을 끓는 물 위에서 중탕하며 계속 저어 기미스소스를 만든다.
13. 기미스소스에 가츠오부시를 넣는다.
14. 기미스소스를 체에 밭쳐 곱게 거른다.
15. 접시에 기미스소스를 담는다.
1"&amp;"6. 기미스소스 위에 낙지호롱과 낙지만두를 올린다.
17. 고춧가루를 뿌려 마무리한다.")</f>
        <v>1. 냄비에 물, 설탕, 청주, 맛술, 간장을 1:1:1:1:1 비율로 넣고 끓여 간장소스를 만든다.
2. 간장소스에 으깬 마늘을 넣는다.
3. 낙지 머리의 내장을 빼고 손질한다.
4. 핸드블렌더에 대패삼겹살과 대파 흰 부분을 넣고 곱게 간다.
5. 손질한 낙지 머리 안에 곱게 간 대패삼겹살을 채워 넣고 이쑤시개로 고정시켜 낙지만두를 만든다.
6. 낙지만두를 간장소스 안에 넣고 조린다.
7. 낙지 머리를 나무젓가락에 끼운 뒤, 낙지 다리를 나무젓가락에 돌돌 말아 낙지호롱을 만든다.
8. 낙지호롱에 대패삼겹살을 돌돌 만다.
9. 마른 그릴팬에 낙지호롱을 굽다가 청주를 붓는다.
10. 낙지호롱에 간장소스를 부어가며 굽는다.
11. 맛술, 물, 식초, 설탕, 간장, 달걀노른자를 섞는다.
12. 11을 끓는 물 위에서 중탕하며 계속 저어 기미스소스를 만든다.
13. 기미스소스에 가츠오부시를 넣는다.
14. 기미스소스를 체에 밭쳐 곱게 거른다.
15. 접시에 기미스소스를 담는다.
16. 기미스소스 위에 낙지호롱과 낙지만두를 올린다.
17. 고춧가루를 뿌려 마무리한다.</v>
      </c>
    </row>
    <row r="603">
      <c r="A603" s="2" t="str">
        <f>recipe!C603
</f>
        <v>유러피안 낙지</v>
      </c>
      <c r="B603" s="2" t="str">
        <f>IFERROR(__xludf.DUMMYFUNCTION("TRIM(
  REGEXEXTRACT(
    raw!A603,
    ""●\s*조리\s*방법([\s\S]*)""
  )
)
"),"1. 끓는 물에 낙지를 삶는다.
2. 낙지를 삶는 물에 콜라를 넣는다.
3. 통후추, 허브솔트, 바질가루, 화이트와인, 와인코르크마개를 넣고 삶는다.
4. 으깬 마늘과 자몽 껍질도 넣고 삶는다.
5. 양배추를 가늘게 채 썬다.
6. 자몽을 적당한 크기로 썰고, 자몽즙을 내 볼에 담아둔다.
7. 파프리카, 당근, 애호박을 채 썬다.
8. 손질한 채소에 소금, 자몽즙, 올리브오일, 후추를 넣고 버무려 자몽채소샐러드를 만"&amp;"든다.
9. 식빵은 테두리부분을 잘라내고, 깍둑썰기 한다.
10. 식빵 위에 허브솔트와 버터를 뿌린 뒤, 오븐에 구워 크루통을 만든다.
11. 아몬드를 잘게 다져 마른 팬에 볶는다.
12. 버터를 녹인 그릴 팬에 손질한 새우를 넣고 볶는다.
13. 12에 느타리버섯과 소금을 넣고 볶는다.
14. 크루통에 고춧가루를 뿌린다.
15. 삶은 낙지를 그릴팬에 굽는다.
16. 접시에 자몽채소샐러드를 담은 뒤, 볶은 새우"&amp;"와 느타리버섯을 곁들인다.
17. 잘게 썬 마늘쫑, 귤, 볶은 아몬드를 곁들인다.
18. 삶아서 구운 낙지를 적당한 크기로 썰어 올리고, 크루통을 뿌려 마무리한다.")</f>
        <v>1. 끓는 물에 낙지를 삶는다.
2. 낙지를 삶는 물에 콜라를 넣는다.
3. 통후추, 허브솔트, 바질가루, 화이트와인, 와인코르크마개를 넣고 삶는다.
4. 으깬 마늘과 자몽 껍질도 넣고 삶는다.
5. 양배추를 가늘게 채 썬다.
6. 자몽을 적당한 크기로 썰고, 자몽즙을 내 볼에 담아둔다.
7. 파프리카, 당근, 애호박을 채 썬다.
8. 손질한 채소에 소금, 자몽즙, 올리브오일, 후추를 넣고 버무려 자몽채소샐러드를 만든다.
9. 식빵은 테두리부분을 잘라내고, 깍둑썰기 한다.
10. 식빵 위에 허브솔트와 버터를 뿌린 뒤, 오븐에 구워 크루통을 만든다.
11. 아몬드를 잘게 다져 마른 팬에 볶는다.
12. 버터를 녹인 그릴 팬에 손질한 새우를 넣고 볶는다.
13. 12에 느타리버섯과 소금을 넣고 볶는다.
14. 크루통에 고춧가루를 뿌린다.
15. 삶은 낙지를 그릴팬에 굽는다.
16. 접시에 자몽채소샐러드를 담은 뒤, 볶은 새우와 느타리버섯을 곁들인다.
17. 잘게 썬 마늘쫑, 귤, 볶은 아몬드를 곁들인다.
18. 삶아서 구운 낙지를 적당한 크기로 썰어 올리고, 크루통을 뿌려 마무리한다.</v>
      </c>
    </row>
    <row r="604">
      <c r="A604" s="2" t="str">
        <f>recipe!C604
</f>
        <v>복사부일체</v>
      </c>
      <c r="B604" s="2" t="str">
        <f>IFERROR(__xludf.DUMMYFUNCTION("TRIM(
  REGEXEXTRACT(
    raw!A604,
    ""●\s*조리\s*방법([\s\S]*)""
  )
)
"),"1. 대파 흰 부분을 적당한 크기로 썰어 끓는 기름에 넣고 끓인다.
2. 파기름에 고춧가루를 넣어 고추기름을 낸다.
3. 기름을 두른 팬에 잘게 다진 호두와 잣을 넣고 볶아 견과류기름을 낸다.
4. 견과류기름을 체에 밭쳐 기름만 고추기름에 넣는다.
5. 가지를 적당한 두께로 썰어 그릴팬에 굽는다.
6. 말린 새송이버섯을 물에 불린 후, 물기를 짠다.
7. 파프리카, 양파, 애호박을 가늘게 채 썬다.
8. 오징어는 손"&amp;"질해서 껍질을 벗긴다.
9. 새우의 껍질을 벗기고 편으로 썬다.
10. 끓는 물에 손질한 오징어와 새우를 데친 뒤, 찬물에 헹궈둔다.
11. 고추기름을 체에 밭쳐 건더기를 걸러낸다.
12. 데친 오징어와 대파 흰 부분을 적당한 크기로 썰고, 마늘은 으깬다.
13. 고추기름을 두른 팬에 손질한 채소들을 넣고 볶다가 간장, 후추, 굴소스, 맛술, 식초, 물을 넣고 볶는다.
14. 볶던 채소에 손질한 오징어와 새우를 넣고 볶는"&amp;"다.
15. 소면을 삶는다.
16. 접시에 구운 가지를 담는다.
17. 삶은 소면을 찬물에 헹군 뒤, 참기름을 넣고 버무린다.
18. 구운 가지 위에 참기름에 버무린 소면을 올린다.
19. 달걀흰자로 머랭을 친다.
20. 고추기름을 두른 팬에 대파 흰 부분과 데친 새우를 넣고 볶다가 물을 붓는다.
21. 접시에 해산물채소볶음을 얹는다.
22. 볶던 새우에 머랭, 볶은 견과류를 넣고 함께 볶는다.
23. 해"&amp;"산물볶음 위에 머랭새우볶음을 얹어 마무리한다.")</f>
        <v>1. 대파 흰 부분을 적당한 크기로 썰어 끓는 기름에 넣고 끓인다.
2. 파기름에 고춧가루를 넣어 고추기름을 낸다.
3. 기름을 두른 팬에 잘게 다진 호두와 잣을 넣고 볶아 견과류기름을 낸다.
4. 견과류기름을 체에 밭쳐 기름만 고추기름에 넣는다.
5. 가지를 적당한 두께로 썰어 그릴팬에 굽는다.
6. 말린 새송이버섯을 물에 불린 후, 물기를 짠다.
7. 파프리카, 양파, 애호박을 가늘게 채 썬다.
8. 오징어는 손질해서 껍질을 벗긴다.
9. 새우의 껍질을 벗기고 편으로 썬다.
10. 끓는 물에 손질한 오징어와 새우를 데친 뒤, 찬물에 헹궈둔다.
11. 고추기름을 체에 밭쳐 건더기를 걸러낸다.
12. 데친 오징어와 대파 흰 부분을 적당한 크기로 썰고, 마늘은 으깬다.
13. 고추기름을 두른 팬에 손질한 채소들을 넣고 볶다가 간장, 후추, 굴소스, 맛술, 식초, 물을 넣고 볶는다.
14. 볶던 채소에 손질한 오징어와 새우를 넣고 볶는다.
15. 소면을 삶는다.
16. 접시에 구운 가지를 담는다.
17. 삶은 소면을 찬물에 헹군 뒤, 참기름을 넣고 버무린다.
18. 구운 가지 위에 참기름에 버무린 소면을 올린다.
19. 달걀흰자로 머랭을 친다.
20. 고추기름을 두른 팬에 대파 흰 부분과 데친 새우를 넣고 볶다가 물을 붓는다.
21. 접시에 해산물채소볶음을 얹는다.
22. 볶던 새우에 머랭, 볶은 견과류를 넣고 함께 볶는다.
23. 해산물볶음 위에 머랭새우볶음을 얹어 마무리한다.</v>
      </c>
    </row>
    <row r="605">
      <c r="A605" s="2" t="str">
        <f>recipe!C605
</f>
        <v>넌 학생이고 난 샘이야</v>
      </c>
      <c r="B605" s="2" t="str">
        <f>IFERROR(__xludf.DUMMYFUNCTION("TRIM(
  REGEXEXTRACT(
    raw!A605,
    ""●\s*조리\s*방법([\s\S]*)""
  )
)
"),"1. 껍질을 벗긴 마를 얇게 슬라이스 한 뒤, 삶는다.
2. 양파, 애호박, 가지, 파프리카를 잘게 썬다.
3. 마른 팬에 손질한 채소를 넣고 밀가루, 소금, 후추를 뿌려 볶는다.
4. 전자레인지에 황태채를 넣고 돌린다.
5. 마른 팬에 버터, 밀가루를 볶아 루를 만든 뒤, 두유를 넣고 끓여 두유크림소스를 만든다.
6. 전자레인지에 돌린 황태채를 핸드블렌더로 곱게 간다.
7. 냄비에 삶은 마를 넣고 으깬 뒤, 소금, 황태"&amp;"채가루를 넣고 볶는다.
8. 7을 두유소스에 넣고 끓여 황태크림소스를 만든다.
9. 발사믹드레싱, 레몬즙, 올리브오일을 섞은 뒤, 볶은 채소와 바질가루를 넣고 절인다.
10. 채소절임에 다진 잣을 넣고 섞는다.
11. 식빵은 테두리부분을 잘라낸 뒤, 밀대로 얇게 밀어 마른 팬에 굽는다.
12. 기름을 두른 팬에 새우를 굽다가, 소금, 후추로 간 한다.
13. 접시에 황태크림소스를 담은 뒤, 채소절임을 올리고 레몬조각을 곁"&amp;"들인다.
14. 구운 식빵을 적당한 크기로 썰어 식빵칩을 만든다.
15. 접시에 식빵칩을 얹은 뒤, 구운 새우를 올린다.
16. 후추를 뿌려 마무리한다.")</f>
        <v>1. 껍질을 벗긴 마를 얇게 슬라이스 한 뒤, 삶는다.
2. 양파, 애호박, 가지, 파프리카를 잘게 썬다.
3. 마른 팬에 손질한 채소를 넣고 밀가루, 소금, 후추를 뿌려 볶는다.
4. 전자레인지에 황태채를 넣고 돌린다.
5. 마른 팬에 버터, 밀가루를 볶아 루를 만든 뒤, 두유를 넣고 끓여 두유크림소스를 만든다.
6. 전자레인지에 돌린 황태채를 핸드블렌더로 곱게 간다.
7. 냄비에 삶은 마를 넣고 으깬 뒤, 소금, 황태채가루를 넣고 볶는다.
8. 7을 두유소스에 넣고 끓여 황태크림소스를 만든다.
9. 발사믹드레싱, 레몬즙, 올리브오일을 섞은 뒤, 볶은 채소와 바질가루를 넣고 절인다.
10. 채소절임에 다진 잣을 넣고 섞는다.
11. 식빵은 테두리부분을 잘라낸 뒤, 밀대로 얇게 밀어 마른 팬에 굽는다.
12. 기름을 두른 팬에 새우를 굽다가, 소금, 후추로 간 한다.
13. 접시에 황태크림소스를 담은 뒤, 채소절임을 올리고 레몬조각을 곁들인다.
14. 구운 식빵을 적당한 크기로 썰어 식빵칩을 만든다.
15. 접시에 식빵칩을 얹은 뒤, 구운 새우를 올린다.
16. 후추를 뿌려 마무리한다.</v>
      </c>
    </row>
    <row r="606">
      <c r="A606" s="2" t="str">
        <f>recipe!C606
</f>
        <v>조기 이즈 베리 임폴턴트</v>
      </c>
      <c r="B606" s="2" t="str">
        <f>IFERROR(__xludf.DUMMYFUNCTION("TRIM(
  REGEXEXTRACT(
    raw!A606,
    ""●\s*조리\s*방법([\s\S]*)""
  )
)
"),"1. 조기는 머리를 잘라내고 지느러미와 가시를 발라 넓게 펼친다.
2. 손질한 조기에 후추를 뿌리고 마늘꿀을 바른다.
3. 기름을 두른 팬에 양념한 조기를 굽다가 맛술을 뿌린다.
4. 대파를 넓게 펼쳐 조기와 함께 굽는다.
5. 달궈진 찜기에 녹차잎을 넣은 뒤, 구운 조기를 훈연한다.
6. 훈연한 조기를 구운 대파로 감싸 돌돌 만 뒤, 다시 한 번 훈연한다.
7. 잘게 썬 청양고추, 명란젓, 고추냉이, 마요네즈, 간장을 "&amp;"섞어 명란마요소스를 만든다.
8. 명란마요소스에 달걀노른자를 넣고 섞은 뒤, 소스종지에 담아낸다.
9. 기름을 두른 팬에 즉석밥을 넣고, 아몬드, 잣, 크랜베리를 넣어 볶는다.
10. 견과류볶음밥에 물, 버터, 소금을 넣고 볶는다.
11. 접시에 견과류볶음밥을 담는다.
12. 가지를 적당한 크기로 썬다.
13. 기름을 두른 팬에 가지를 굽는다.
14. 견과류볶음밥 위에 훈연한 조기를 올린다.
15. 구운 가지에"&amp;" 오리엔탈드레싱을 넣고 버무린다.
16. 견과류볶음밥과 조기가 담긴 접시에 구운 가지를 곁들여 마무리한다.")</f>
        <v>1. 조기는 머리를 잘라내고 지느러미와 가시를 발라 넓게 펼친다.
2. 손질한 조기에 후추를 뿌리고 마늘꿀을 바른다.
3. 기름을 두른 팬에 양념한 조기를 굽다가 맛술을 뿌린다.
4. 대파를 넓게 펼쳐 조기와 함께 굽는다.
5. 달궈진 찜기에 녹차잎을 넣은 뒤, 구운 조기를 훈연한다.
6. 훈연한 조기를 구운 대파로 감싸 돌돌 만 뒤, 다시 한 번 훈연한다.
7. 잘게 썬 청양고추, 명란젓, 고추냉이, 마요네즈, 간장을 섞어 명란마요소스를 만든다.
8. 명란마요소스에 달걀노른자를 넣고 섞은 뒤, 소스종지에 담아낸다.
9. 기름을 두른 팬에 즉석밥을 넣고, 아몬드, 잣, 크랜베리를 넣어 볶는다.
10. 견과류볶음밥에 물, 버터, 소금을 넣고 볶는다.
11. 접시에 견과류볶음밥을 담는다.
12. 가지를 적당한 크기로 썬다.
13. 기름을 두른 팬에 가지를 굽는다.
14. 견과류볶음밥 위에 훈연한 조기를 올린다.
15. 구운 가지에 오리엔탈드레싱을 넣고 버무린다.
16. 견과류볶음밥과 조기가 담긴 접시에 구운 가지를 곁들여 마무리한다.</v>
      </c>
    </row>
    <row r="607">
      <c r="A607" s="2" t="str">
        <f>recipe!C607
</f>
        <v>돈테크만</v>
      </c>
      <c r="B607" s="2" t="str">
        <f>IFERROR(__xludf.DUMMYFUNCTION("TRIM(
  REGEXEXTRACT(
    raw!A607,
    ""●\s*조리\s*방법([\s\S]*)""
  )
)
"),"1. 삽겹살에 칼집을 내고 소금으로 간을 한다.
2. 기름을 두른 냄비에 칼집을 낸 삼겹살과 대파를 넣고 익힌다.
3. 오징어의 껍질을 벗겨내고 가늘게 채 썬 뒤, 소금으로 간을 한다.
4. 팬에 발사믹식초, 설탕, 딸기잼을 넣고 끓여 발사믹소스를 만든다.
5. 삼겹살을 익히는 기름에 청주를 붓고 올라오는 김에 불을 붙여 오징어를 익힌다.
6. 마른 팬에 잣을 볶은 뒤 핸드블렌더에 넣고 곱게 간다.
7. 곱게 간 잣에 우"&amp;"유를 붓고 다시 한 번 갈아 잣소스를 만든다.
8. 잣소스에 쯔유, 연겨자를 넣고 섞은 뒤, 익힌 오징어를 넣고 버무린다.
9. 접시에 잣소스에 버무린 오징어를 담는다.
10. 대파 흰 부분을 어슷하게 채 썬 뒤, 얼음물에 담가둔다.
11. 간장, 식초, 맛술, 설탕을 섞어 간장소스를 만든다.
12. 채 썬 대파의 물기를 빼고 간장소스에 버무린 뒤, 고춧가루를 뿌린다.
13. 익힌 삼겹살을 적당한 크기로 썬 뒤, 다시 한"&amp;" 번 파기름에 익힌다.
14. 발사믹소스에 홍삼진액, 물, 버터를 넣고 졸여 발사믹홍삼소스를 만든다.
15. 접시에 발사믹홍삼소스를 뿌린다.
16. 잣소스에 버무린 오징어 위에 익힌 삼겹살과 파채무침을 올려 마무리한다.")</f>
        <v>1. 삽겹살에 칼집을 내고 소금으로 간을 한다.
2. 기름을 두른 냄비에 칼집을 낸 삼겹살과 대파를 넣고 익힌다.
3. 오징어의 껍질을 벗겨내고 가늘게 채 썬 뒤, 소금으로 간을 한다.
4. 팬에 발사믹식초, 설탕, 딸기잼을 넣고 끓여 발사믹소스를 만든다.
5. 삼겹살을 익히는 기름에 청주를 붓고 올라오는 김에 불을 붙여 오징어를 익힌다.
6. 마른 팬에 잣을 볶은 뒤 핸드블렌더에 넣고 곱게 간다.
7. 곱게 간 잣에 우유를 붓고 다시 한 번 갈아 잣소스를 만든다.
8. 잣소스에 쯔유, 연겨자를 넣고 섞은 뒤, 익힌 오징어를 넣고 버무린다.
9. 접시에 잣소스에 버무린 오징어를 담는다.
10. 대파 흰 부분을 어슷하게 채 썬 뒤, 얼음물에 담가둔다.
11. 간장, 식초, 맛술, 설탕을 섞어 간장소스를 만든다.
12. 채 썬 대파의 물기를 빼고 간장소스에 버무린 뒤, 고춧가루를 뿌린다.
13. 익힌 삼겹살을 적당한 크기로 썬 뒤, 다시 한 번 파기름에 익힌다.
14. 발사믹소스에 홍삼진액, 물, 버터를 넣고 졸여 발사믹홍삼소스를 만든다.
15. 접시에 발사믹홍삼소스를 뿌린다.
16. 잣소스에 버무린 오징어 위에 익힌 삼겹살과 파채무침을 올려 마무리한다.</v>
      </c>
    </row>
    <row r="608">
      <c r="A608" s="2" t="str">
        <f>recipe!C608
</f>
        <v>출발! 짜글이 여행</v>
      </c>
      <c r="B608" s="2" t="str">
        <f>IFERROR(__xludf.DUMMYFUNCTION("TRIM(
  REGEXEXTRACT(
    raw!A608,
    ""●\s*조리\s*방법([\s\S]*)""
  )
)
"),"1. 들기름을 두른 팬에 된장을 볶는다.
2. 무는 껍질을 벗기고 채 썬다.
3. 볶은 된장에 채 썬 무와 새우젓을 넣고 볶는다.
4. 무를 볶던 팬에 게맛살을 찢어 넣는다.
5. 4에 고춧가루와 채 썬 새송이버섯을 넣고 볶는다.
6. 명란젓을 손질해 팬에 넣고 다른 재료들과 함께 볶는다.
7. 볶던 재료에 강판에 간 무를 넣는다.
8. 볶던 재료에 물, 쯔유, 식초, 적당한 크기로 썬 대파를 넣고 끓여 짜글이를 만"&amp;"든다.
9. 즉석밥을 전자레인지에 돌린다.
10. 짜글이에 으깬 마늘을 넣고 끓인다.
11. 밥그릇에 밥을 담는다.
12. 양은냄비에 짜글이를 옮겨 담아 마무리한다.")</f>
        <v>1. 들기름을 두른 팬에 된장을 볶는다.
2. 무는 껍질을 벗기고 채 썬다.
3. 볶은 된장에 채 썬 무와 새우젓을 넣고 볶는다.
4. 무를 볶던 팬에 게맛살을 찢어 넣는다.
5. 4에 고춧가루와 채 썬 새송이버섯을 넣고 볶는다.
6. 명란젓을 손질해 팬에 넣고 다른 재료들과 함께 볶는다.
7. 볶던 재료에 강판에 간 무를 넣는다.
8. 볶던 재료에 물, 쯔유, 식초, 적당한 크기로 썬 대파를 넣고 끓여 짜글이를 만든다.
9. 즉석밥을 전자레인지에 돌린다.
10. 짜글이에 으깬 마늘을 넣고 끓인다.
11. 밥그릇에 밥을 담는다.
12. 양은냄비에 짜글이를 옮겨 담아 마무리한다.</v>
      </c>
    </row>
    <row r="609">
      <c r="A609" s="2" t="str">
        <f>recipe!C609
</f>
        <v>명불허전 그뤠잇!</v>
      </c>
      <c r="B609" s="2" t="str">
        <f>IFERROR(__xludf.DUMMYFUNCTION("TRIM(
  REGEXEXTRACT(
    raw!A609,
    ""●\s*조리\s*방법([\s\S]*)""
  )
)
"),"1. 끓는 기름에 대파를 넣고 끓여 파기름을 낸다.
2. 삼겹살을 적당한 크기로 썬다.
3. 끓는 물에 맥주를 부은 뒤, 손질한 삼겹살을 넣고 익힌다.
4. 맥주에 익힌 삼겹살을 체에 밭쳐 물기를 뺀다.
5. 양파를 강판에 곱게 간다.
6. 간 양파와 양파장아찌, 매운볶음소스, 고춧가루, 깨, 매실액, 참치액을 섞어 돼지불백 양념을 만든다.
7. 양파, 대파, 새송이버섯, 홍고추, 청양고추를 적당한 크기로 썬다.
8"&amp;". 팬에 파기름을 두른 뒤 데친 삼겹살을 볶는다.
9. 볶은 삼겹살에 돼지불백 양념과 손질한 채소들을 넣고 볶다가, 설탕을 넣는다.
10. 낫토와 명란젓을 섞은 뒤, 김에 싼다.
11. 10에 밀가루&gt;튀김반죽을 순서대로 입혀 기름에 튀긴 뒤 기름기를 뺀다.
12. 즉석밥을 전자레인지에 돌린다.
13. 돼지불백에 후추를 넣는다.
14. 돼지불백에 채 썬 새송이버섯과 잘게 찢은 게맛살을 넣고 볶는다.
15. 돼지불백을 "&amp;"팬에 옮겨 담는다.
16. 밥그릇에 밥을 담는다.
17. 돼지불백 위에 명란낫토튀김을 올려 마무리한다.")</f>
        <v>1. 끓는 기름에 대파를 넣고 끓여 파기름을 낸다.
2. 삼겹살을 적당한 크기로 썬다.
3. 끓는 물에 맥주를 부은 뒤, 손질한 삼겹살을 넣고 익힌다.
4. 맥주에 익힌 삼겹살을 체에 밭쳐 물기를 뺀다.
5. 양파를 강판에 곱게 간다.
6. 간 양파와 양파장아찌, 매운볶음소스, 고춧가루, 깨, 매실액, 참치액을 섞어 돼지불백 양념을 만든다.
7. 양파, 대파, 새송이버섯, 홍고추, 청양고추를 적당한 크기로 썬다.
8. 팬에 파기름을 두른 뒤 데친 삼겹살을 볶는다.
9. 볶은 삼겹살에 돼지불백 양념과 손질한 채소들을 넣고 볶다가, 설탕을 넣는다.
10. 낫토와 명란젓을 섞은 뒤, 김에 싼다.
11. 10에 밀가루&gt;튀김반죽을 순서대로 입혀 기름에 튀긴 뒤 기름기를 뺀다.
12. 즉석밥을 전자레인지에 돌린다.
13. 돼지불백에 후추를 넣는다.
14. 돼지불백에 채 썬 새송이버섯과 잘게 찢은 게맛살을 넣고 볶는다.
15. 돼지불백을 팬에 옮겨 담는다.
16. 밥그릇에 밥을 담는다.
17. 돼지불백 위에 명란낫토튀김을 올려 마무리한다.</v>
      </c>
    </row>
    <row r="610">
      <c r="A610" s="2" t="str">
        <f>recipe!C610
</f>
        <v>HOT한 갈비찜</v>
      </c>
      <c r="B610" s="2" t="str">
        <f>IFERROR(__xludf.DUMMYFUNCTION("TRIM(
  REGEXEXTRACT(
    raw!A610,
    ""●\s*조리\s*방법([\s\S]*)""
  )
)
"),"1. 인스턴트 소갈비탕의 소갈비와 국물을 분리한다.
2. 양파, 새송이버섯, 대파를 적당한 크기로 썰어 기름을 두른 팬에 볶는다.
3. 인스턴트 소갈비탕 국물에 다진 마늘, 다진 생강, 간장, 설탕, 참기름을 넣고 섞어 육수를 만든다.
4. 볶던 채소에 육수를 넣고 졸인다.
5. 육수를 부어 끓이던 채소에 콩나물, 쌈장, 청양고추, 맛술, 소갈비, 볶음고추장, 고춧가루를 넣고 졸여 갈비찜을 만든다.
6. 믹서기에 감자칩과자, "&amp;"감자스틱과자, 김과자, 새우맛 누룽지과자를 넣고 곱게 간다.
7. 곱게 간 과자가루에 인스턴트 소갈비탕 국물, 달걀노른자, 전분, 볶음고추장을 섞어 장떡반죽을 만든다.
8. 기름을 두른 팬에 장떡반죽을 구워 장떡을 만든다.
9. 다진 마늘을 체에 밭쳐 물에 헹구고 물기를 짠 뒤, 갈비찜에 넣는다.
10. 접시에 장떡을 담고, 들기름을 바른다.
11. 그릇에 갈비찜을 담고, 잘게 썬 대파를 올려 마무리한다.")</f>
        <v>1. 인스턴트 소갈비탕의 소갈비와 국물을 분리한다.
2. 양파, 새송이버섯, 대파를 적당한 크기로 썰어 기름을 두른 팬에 볶는다.
3. 인스턴트 소갈비탕 국물에 다진 마늘, 다진 생강, 간장, 설탕, 참기름을 넣고 섞어 육수를 만든다.
4. 볶던 채소에 육수를 넣고 졸인다.
5. 육수를 부어 끓이던 채소에 콩나물, 쌈장, 청양고추, 맛술, 소갈비, 볶음고추장, 고춧가루를 넣고 졸여 갈비찜을 만든다.
6. 믹서기에 감자칩과자, 감자스틱과자, 김과자, 새우맛 누룽지과자를 넣고 곱게 간다.
7. 곱게 간 과자가루에 인스턴트 소갈비탕 국물, 달걀노른자, 전분, 볶음고추장을 섞어 장떡반죽을 만든다.
8. 기름을 두른 팬에 장떡반죽을 구워 장떡을 만든다.
9. 다진 마늘을 체에 밭쳐 물에 헹구고 물기를 짠 뒤, 갈비찜에 넣는다.
10. 접시에 장떡을 담고, 들기름을 바른다.
11. 그릇에 갈비찜을 담고, 잘게 썬 대파를 올려 마무리한다.</v>
      </c>
    </row>
    <row r="611">
      <c r="A611" s="2" t="str">
        <f>recipe!C611
</f>
        <v>입덕볶이</v>
      </c>
      <c r="B611" s="2" t="str">
        <f>IFERROR(__xludf.DUMMYFUNCTION("TRIM(
  REGEXEXTRACT(
    raw!A611,
    ""●\s*조리\s*방법([\s\S]*)""
  )
)
"),"1. 끓는 물에 간장, 맛술을 넣고 끓인다.
2. 새송이버섯을 떡 모양으로 길쭉하게 썬다.
3. 손질한 새송이버섯을 간장물에 넣고 익힌다.
4. 전분, 밀가루, 달걀흰자를 섞어 반죽한다.
5. 익힌 새송이버섯에 반죽을 입힌 뒤, 다시 간장물에 넣고 삶는다.
6. 마른 팬에 두드려서 적당한 크기로 썬 대파, 으깬 통조림 햄, 비빔냉면수프, 고추장, 고춧가루, 간장을 넣고 볶아 떡볶이 양념을 만든다.
7. 떡볶이 양념에 마늘"&amp;"을 으깨 넣는다.
8. 떡볶이 양념에 인스턴트 짜장, 콩나물, 뜨거운 물, 설탕, 적당한 크기로 썬 양파를 넣고 끓인다.
9. 끓는 기름에 인스턴트 냉면을 넣고 튀긴다.
10. 그릇에 튀긴 냉면을 부숴 넣는다.
11. 떡볶이 양념에 전분물을 넣어 농도를 조절한다.
12. 반죽을 입혀 삶은 새송이버섯을 떡볶이 양념에 넣고 졸인다.
13. 냉면튀김 위에 버섯떡볶이를 올린다.")</f>
        <v>1. 끓는 물에 간장, 맛술을 넣고 끓인다.
2. 새송이버섯을 떡 모양으로 길쭉하게 썬다.
3. 손질한 새송이버섯을 간장물에 넣고 익힌다.
4. 전분, 밀가루, 달걀흰자를 섞어 반죽한다.
5. 익힌 새송이버섯에 반죽을 입힌 뒤, 다시 간장물에 넣고 삶는다.
6. 마른 팬에 두드려서 적당한 크기로 썬 대파, 으깬 통조림 햄, 비빔냉면수프, 고추장, 고춧가루, 간장을 넣고 볶아 떡볶이 양념을 만든다.
7. 떡볶이 양념에 마늘을 으깨 넣는다.
8. 떡볶이 양념에 인스턴트 짜장, 콩나물, 뜨거운 물, 설탕, 적당한 크기로 썬 양파를 넣고 끓인다.
9. 끓는 기름에 인스턴트 냉면을 넣고 튀긴다.
10. 그릇에 튀긴 냉면을 부숴 넣는다.
11. 떡볶이 양념에 전분물을 넣어 농도를 조절한다.
12. 반죽을 입혀 삶은 새송이버섯을 떡볶이 양념에 넣고 졸인다.
13. 냉면튀김 위에 버섯떡볶이를 올린다.</v>
      </c>
    </row>
    <row r="612">
      <c r="A612" s="2" t="str">
        <f>recipe!C612
</f>
        <v>소생소사</v>
      </c>
      <c r="B612" s="2" t="str">
        <f>IFERROR(__xludf.DUMMYFUNCTION("TRIM(
  REGEXEXTRACT(
    raw!A612,
    ""●\s*조리\s*방법([\s\S]*)""
  )
)
"),"1. 소고기 등심은 힘줄을 제거하고 적당한 크기로 자른다.
2. 아스파라거스와 새송이버섯을 적당한 크기로 자른다.
3. 꼬치에 손질한 소고기등심, 새송이버섯, 아스파라거스를 끼운다.
4. 간장, 맛술, 청주, 설탕, 물, 회과육소스를 섞어 양념을 만든 뒤, 소고기 꼬치에 재운다.
5. 뜨거운 물, 땅콩버터, 설탕, 맛술, 연겨자, 식초, 마요네즈를 섞어 땅콩버터소스를 만든다.
6. 그릴팬에 양념에 재워둔 소고기 꼬치를 구워 소"&amp;"고기 사테를 만든다.
7. 굽던 소고기 사테에 후추를 뿌린다.
8. 끓는 물에 적당한 크기로 썬 홍고추와 청양고추, 식초, 양파, 마늘을 넣고 끓인다.
9. 8과 새우과자를 핸드블렌더에 넣고 갈아 삼발소스를 만든다.
10. 삼발소스에 설탕, 식초를 넣고 간다.
11. 종지에 땅콩버터소스를 담는다.
12. 마른 팬에 마카다미아를 볶은 뒤, 잘게 다져 땅콩버터소스 위에 올린다.
13. 접시에 소고기 사테를 담는다.
"&amp;"
14. 삼발소스에 회과육소스를 넣는다.
15. 14에 고춧가루를 넣은 뒤 핸드블렌더로 곱게 간다.
16. 삼발소스에 고추장을 넣고 곱게 간다.
17. 삼발소스를 종지에 담은 뒤, 레몬즙을 뿌린다.
18. 소고기 사테, 땅콩버터소스, 삼발소스를 함께 낸다.")</f>
        <v>1. 소고기 등심은 힘줄을 제거하고 적당한 크기로 자른다.
2. 아스파라거스와 새송이버섯을 적당한 크기로 자른다.
3. 꼬치에 손질한 소고기등심, 새송이버섯, 아스파라거스를 끼운다.
4. 간장, 맛술, 청주, 설탕, 물, 회과육소스를 섞어 양념을 만든 뒤, 소고기 꼬치에 재운다.
5. 뜨거운 물, 땅콩버터, 설탕, 맛술, 연겨자, 식초, 마요네즈를 섞어 땅콩버터소스를 만든다.
6. 그릴팬에 양념에 재워둔 소고기 꼬치를 구워 소고기 사테를 만든다.
7. 굽던 소고기 사테에 후추를 뿌린다.
8. 끓는 물에 적당한 크기로 썬 홍고추와 청양고추, 식초, 양파, 마늘을 넣고 끓인다.
9. 8과 새우과자를 핸드블렌더에 넣고 갈아 삼발소스를 만든다.
10. 삼발소스에 설탕, 식초를 넣고 간다.
11. 종지에 땅콩버터소스를 담는다.
12. 마른 팬에 마카다미아를 볶은 뒤, 잘게 다져 땅콩버터소스 위에 올린다.
13. 접시에 소고기 사테를 담는다.
14. 삼발소스에 회과육소스를 넣는다.
15. 14에 고춧가루를 넣은 뒤 핸드블렌더로 곱게 간다.
16. 삼발소스에 고추장을 넣고 곱게 간다.
17. 삼발소스를 종지에 담은 뒤, 레몬즙을 뿌린다.
18. 소고기 사테, 땅콩버터소스, 삼발소스를 함께 낸다.</v>
      </c>
    </row>
    <row r="613">
      <c r="A613" s="2" t="str">
        <f>recipe!C613
</f>
        <v>닭스키스</v>
      </c>
      <c r="B613" s="2" t="str">
        <f>IFERROR(__xludf.DUMMYFUNCTION("TRIM(
  REGEXEXTRACT(
    raw!A613,
    ""●\s*조리\s*방법([\s\S]*)""
  )
)
"),"1. 닭다리를 발골한다.
2. 적당한 크기로 자른 닭다리살에 소금으로 간 한 뒤, 전분을 입혀 기름에 튀긴다.
3. 끓는 기름에 으깬 마늘, 대파, 고춧가루를 끓여 고추기름을 낸다.
4. 홍고추를 토치로 직화해 껍질을 태운다.
5. 태운 홍고추의 껍질을 벗겨낸 뒤, 적당한 크기로 썬다.
6. 핸드블렌더에 홍고추, 참기름, 설탕, 체에 거른 고추기름, 콜라를 넣고 갈아 칠리소스를 만든다.
7. 땅콩버터, 고추장, 칠리소스,"&amp;" 마요네즈, 간장을 섞어 칠리땅콩버터소스를 만든다.
8. 대파 흰 부분, 홍고추, 청양고추를 적당한 크기로 썬다.
9. 기름을 두른 팬에 손질한 채소를 볶다가 맥주를 붓고 끓인다.
10. 9에 오렌지즙, 설탕을 넣고 끓여 오렌지맥주소스를 만든다.
11. 종지에 칠리땅콩버터소스를 담아낸다.
12. 오렌지맥주소스에 전분물을 넣어 농도를 조절한다.
13. 볼에 오렌지맥주소스, 튀긴 닭다리살을 넣고 오렌지껍질을 갈아 넣어 잘 섞"&amp;"어준다.
14. 비닐백에 곡물시리얼을 넣고 잘게 부순 뒤 오렌지맥주소스에 버무린 닭다리살 튀김에 더한다.
15. 오렌지맥주소스에 버무린 닭다리살튀김을 접시에 담아낸다.")</f>
        <v>1. 닭다리를 발골한다.
2. 적당한 크기로 자른 닭다리살에 소금으로 간 한 뒤, 전분을 입혀 기름에 튀긴다.
3. 끓는 기름에 으깬 마늘, 대파, 고춧가루를 끓여 고추기름을 낸다.
4. 홍고추를 토치로 직화해 껍질을 태운다.
5. 태운 홍고추의 껍질을 벗겨낸 뒤, 적당한 크기로 썬다.
6. 핸드블렌더에 홍고추, 참기름, 설탕, 체에 거른 고추기름, 콜라를 넣고 갈아 칠리소스를 만든다.
7. 땅콩버터, 고추장, 칠리소스, 마요네즈, 간장을 섞어 칠리땅콩버터소스를 만든다.
8. 대파 흰 부분, 홍고추, 청양고추를 적당한 크기로 썬다.
9. 기름을 두른 팬에 손질한 채소를 볶다가 맥주를 붓고 끓인다.
10. 9에 오렌지즙, 설탕을 넣고 끓여 오렌지맥주소스를 만든다.
11. 종지에 칠리땅콩버터소스를 담아낸다.
12. 오렌지맥주소스에 전분물을 넣어 농도를 조절한다.
13. 볼에 오렌지맥주소스, 튀긴 닭다리살을 넣고 오렌지껍질을 갈아 넣어 잘 섞어준다.
14. 비닐백에 곡물시리얼을 넣고 잘게 부순 뒤 오렌지맥주소스에 버무린 닭다리살 튀김에 더한다.
15. 오렌지맥주소스에 버무린 닭다리살튀김을 접시에 담아낸다.</v>
      </c>
    </row>
    <row r="614">
      <c r="A614" s="2" t="str">
        <f>recipe!C614
</f>
        <v>삼겹살~ 왜 내 맘을 흔드는 건데♬</v>
      </c>
      <c r="B614" s="2" t="str">
        <f>IFERROR(__xludf.DUMMYFUNCTION("TRIM(
  REGEXEXTRACT(
    raw!A614,
    ""●\s*조리\s*방법([\s\S]*)""
  )
)
"),"1. 삼겹살을 적당한 크기로 썬다.
2. 기름을 두른 팬에 손질한 삼겹살을 볶다가 소금, 후추로 간 한다.
3. 볶은 삼겹살을 덜어두고, 같은 팬에 적당한 크기로 썬 마늘과 대파, 양파를 볶는다.
4. 볼에 기름, 고춧가루를 넣고 전자레인지에 돌려 고추기름을 낸 뒤, 체에 밭쳐 건더기를 거른다.
5. 간장, 물, 굴소스, 식초, 설탕, 다진 마늘을 섞어 간장소스를 만든다.
6. 기름을 두른 그릴팬에 대파, 고추, 홍고추를 굽는"&amp;"다.
7. 볶던 채소에 잘게 썬 홍고추와 볶아둔 삼겹살을 넣고 함께 볶는다.
8. 굽던 채소에 소금을 뿌린다.
9. 볶던 재료에 간장소스를 넣고 볶아 간장삼겹살볶음을 만든다.
10. 간장삼겹살볶음에 설탕을 넣는다.
11. 간장삼겹살볶음에 구운 대파를 넣어 간장소스를 입힌다.
12. 구운 고추와 홍고추를 적당한 크기로 썬 뒤, 올리브오일, 레몬즙, 소금, 후추를 뿌린다.
13. 접시에 구운 대파를 담은 뒤, 간장삼겹살"&amp;"볶음을 올린다.
14. 13 위에 잘게 썬 대파를 올린다.
15. 간장삼겹살볶음 위에 올리브오일에 절인 구운 고추를 얹는다.
16. 깨, 고추기름, 참기름을 차례로 뿌려 마무리한다.")</f>
        <v>1. 삼겹살을 적당한 크기로 썬다.
2. 기름을 두른 팬에 손질한 삼겹살을 볶다가 소금, 후추로 간 한다.
3. 볶은 삼겹살을 덜어두고, 같은 팬에 적당한 크기로 썬 마늘과 대파, 양파를 볶는다.
4. 볼에 기름, 고춧가루를 넣고 전자레인지에 돌려 고추기름을 낸 뒤, 체에 밭쳐 건더기를 거른다.
5. 간장, 물, 굴소스, 식초, 설탕, 다진 마늘을 섞어 간장소스를 만든다.
6. 기름을 두른 그릴팬에 대파, 고추, 홍고추를 굽는다.
7. 볶던 채소에 잘게 썬 홍고추와 볶아둔 삼겹살을 넣고 함께 볶는다.
8. 굽던 채소에 소금을 뿌린다.
9. 볶던 재료에 간장소스를 넣고 볶아 간장삼겹살볶음을 만든다.
10. 간장삼겹살볶음에 설탕을 넣는다.
11. 간장삼겹살볶음에 구운 대파를 넣어 간장소스를 입힌다.
12. 구운 고추와 홍고추를 적당한 크기로 썬 뒤, 올리브오일, 레몬즙, 소금, 후추를 뿌린다.
13. 접시에 구운 대파를 담은 뒤, 간장삼겹살볶음을 올린다.
14. 13 위에 잘게 썬 대파를 올린다.
15. 간장삼겹살볶음 위에 올리브오일에 절인 구운 고추를 얹는다.
16. 깨, 고추기름, 참기름을 차례로 뿌려 마무리한다.</v>
      </c>
    </row>
    <row r="615">
      <c r="A615" s="2" t="str">
        <f>recipe!C615
</f>
        <v>삼겹살DNA</v>
      </c>
      <c r="B615" s="2" t="str">
        <f>IFERROR(__xludf.DUMMYFUNCTION("TRIM(
  REGEXEXTRACT(
    raw!A615,
    ""●\s*조리\s*방법([\s\S]*)""
  )
)
"),"1. 삼겹살을 적당한 크기로 썬다.
2. 기름을 두른 팬에 통마늘을 볶는다.
3. 통마늘을 볶던 팬에 소시지, 햄을 적당한 크기로 썰어 넣고 함께 볶는다.
4. 양파, 당근, 대파를 적당한 크기로 썬다.
5. 볶던 재료에 손질한 채소를 넣고 함께 볶는다.
6. 올리브오일, 식초, 레몬즙, 칠리페퍼소스를 섞어 칠리소스를 만든다.
7. 적당한 크기로 썬 양파와 홍고추에 칠리소스, 소금, 후추, 잘게 썬 대파를 버무린 뒤, 종"&amp;"지에 담는다.
8. 기름을 두른 팬에 다진 마늘, 버터를 넣고 볶다가 달걀물을 넣고 에그스크램블을 만든다.
9. 에그스크램블에 즉석밥을 넣고 볶아 달걀밥을 만든다.
10. 달걀밥에 소금, 후추로 간 한다.
11. 볶던 재료에 레드와인, 뜨거운 물, 검은콩 두유를 넣고 끓여 페이조아다를 만든다.
12. 페이조아다에 후추를 뿌린다.
13. 페이조아다에 소금, 적당한 크기로 썬 대파와 청양고추를 넣고 끓인다.
14. 접시"&amp;"에 달걀밥을 담는다.
15. 달걀밥과 함께 페이조아다를 담아낸다.")</f>
        <v>1. 삼겹살을 적당한 크기로 썬다.
2. 기름을 두른 팬에 통마늘을 볶는다.
3. 통마늘을 볶던 팬에 소시지, 햄을 적당한 크기로 썰어 넣고 함께 볶는다.
4. 양파, 당근, 대파를 적당한 크기로 썬다.
5. 볶던 재료에 손질한 채소를 넣고 함께 볶는다.
6. 올리브오일, 식초, 레몬즙, 칠리페퍼소스를 섞어 칠리소스를 만든다.
7. 적당한 크기로 썬 양파와 홍고추에 칠리소스, 소금, 후추, 잘게 썬 대파를 버무린 뒤, 종지에 담는다.
8. 기름을 두른 팬에 다진 마늘, 버터를 넣고 볶다가 달걀물을 넣고 에그스크램블을 만든다.
9. 에그스크램블에 즉석밥을 넣고 볶아 달걀밥을 만든다.
10. 달걀밥에 소금, 후추로 간 한다.
11. 볶던 재료에 레드와인, 뜨거운 물, 검은콩 두유를 넣고 끓여 페이조아다를 만든다.
12. 페이조아다에 후추를 뿌린다.
13. 페이조아다에 소금, 적당한 크기로 썬 대파와 청양고추를 넣고 끓인다.
14. 접시에 달걀밥을 담는다.
15. 달걀밥과 함께 페이조아다를 담아낸다.</v>
      </c>
    </row>
    <row r="616">
      <c r="A616" s="2" t="str">
        <f>recipe!C616
</f>
        <v>골풍기</v>
      </c>
      <c r="B616" s="2" t="str">
        <f>IFERROR(__xludf.DUMMYFUNCTION("TRIM(
  REGEXEXTRACT(
    raw!A616,
    ""●\s*조리\s*방법([\s\S]*)""
  )
)
"),"1. 양파를 채 썰어 얼음물에 담가둔다.
2. 끓는 기름에 적당한 크기로 썬 대파와 양파를 넣고 끓이다가, 고춧가루를 넣어 고추기름을 낸다.
3. 골뱅이를 적당한 크기로 썬다.
4. 밀가루, 물을 섞어 튀김반죽을 만든다.
5. 골뱅이에 튀김반죽을 입혀 기름에 튀긴다.
6. 골뱅이 튀김을 건져 기름기를 뺀다.
7. 냄비에 버터를 녹인다.
8. 녹인 버터에 잘게 썬 양파, 밀가루, 우유를 넣고 끓여 베샤멜소스를 만든다."&amp;"
9. 베샤멜소스에 소금, 굴소스를 넣고 끓인다.
10. 9에 적당한 크기로 썬 골뱅이와 가래떡을 넣고 끓여 골뱅이 크림수프를 만든다.
11. 골뱅이 크림수프에 땅콩버터를 넣는다.
12. 골뱅이 크림수프에 모차렐라치즈를 넣는다.
13. 핸드블렌더에 견과류를 곱게 간다.
14. 대파, 양파, 당근, 청양고추는 잘게 썰고, 마늘은 으깬다.
15. 고추기름을 체에 밭쳐 건더기를 건져낸다.
16. 팬에 고추기름을 두른"&amp;" 뒤, 손질한 채소, 간장, 맛술, 식초, 설탕, 굴소스, 후추를 넣고 볶아 깐풍소스를 만든다.
17. 깐풍소스에 골뱅이 튀김을 넣고 볶는다.
18. 얼음물에 담가뒀던 양파채를 접시에 깐 뒤, 골뱅이 깐풍기를 올린다.
19. 골뱅이 깐풍기 위에 곱게 간 견과류를 뿌린다.
20. 골뱅이 깐풍기와 골뱅이 크림수프를 따로 낸다.")</f>
        <v>1. 양파를 채 썰어 얼음물에 담가둔다.
2. 끓는 기름에 적당한 크기로 썬 대파와 양파를 넣고 끓이다가, 고춧가루를 넣어 고추기름을 낸다.
3. 골뱅이를 적당한 크기로 썬다.
4. 밀가루, 물을 섞어 튀김반죽을 만든다.
5. 골뱅이에 튀김반죽을 입혀 기름에 튀긴다.
6. 골뱅이 튀김을 건져 기름기를 뺀다.
7. 냄비에 버터를 녹인다.
8. 녹인 버터에 잘게 썬 양파, 밀가루, 우유를 넣고 끓여 베샤멜소스를 만든다.
9. 베샤멜소스에 소금, 굴소스를 넣고 끓인다.
10. 9에 적당한 크기로 썬 골뱅이와 가래떡을 넣고 끓여 골뱅이 크림수프를 만든다.
11. 골뱅이 크림수프에 땅콩버터를 넣는다.
12. 골뱅이 크림수프에 모차렐라치즈를 넣는다.
13. 핸드블렌더에 견과류를 곱게 간다.
14. 대파, 양파, 당근, 청양고추는 잘게 썰고, 마늘은 으깬다.
15. 고추기름을 체에 밭쳐 건더기를 건져낸다.
16. 팬에 고추기름을 두른 뒤, 손질한 채소, 간장, 맛술, 식초, 설탕, 굴소스, 후추를 넣고 볶아 깐풍소스를 만든다.
17. 깐풍소스에 골뱅이 튀김을 넣고 볶는다.
18. 얼음물에 담가뒀던 양파채를 접시에 깐 뒤, 골뱅이 깐풍기를 올린다.
19. 골뱅이 깐풍기 위에 곱게 간 견과류를 뿌린다.
20. 골뱅이 깐풍기와 골뱅이 크림수프를 따로 낸다.</v>
      </c>
    </row>
    <row r="617">
      <c r="A617" s="2" t="str">
        <f>recipe!C617
</f>
        <v>김치 곱빼기</v>
      </c>
      <c r="B617" s="2" t="str">
        <f>IFERROR(__xludf.DUMMYFUNCTION("TRIM(
  REGEXEXTRACT(
    raw!A617,
    ""●\s*조리\s*방법([\s\S]*)""
  )
)
"),"1. 끓는 물에 배추김치와 사골국을 넣고 끓인다.
2. 기름을 두른 팬에 적당한 크기로 썬 양파, 대파를 볶다가 간 돼지고기와 인스턴트 양념곱창을 넣고 볶는다.
3. 기름을 두른 팬에 적당한 크기로 썬 두부를 굽는다.
4. 생두부를 으깬 뒤 볶던 재료에 넣는다.
5. 4를 끓이던 김칫국에 넣고 끓여 김치전골을 만든다.
6. 무를 얇게 썬 뒤, 소금물에 절여둔다.
7. 절인 무에 고추장, 참기름, 설탕을 버무려 기름을 두른"&amp;" 팬에 굽는다.
8. 배추김치를 물에 씻은 뒤, 가늘게 채 썬다.
9. 적당한 크기로 썬 데친 참나물, 고구마순김치와 다진 깨를 버무려 참나물 김치무침을 만든다.
10. 핸드블렌더로 명이나물장아찌를 곱게 간다.
11. 참나물 김치무침에 곱게 간 명이나물장아찌와 참기름, 식초를 넣고 버무린다.
12. 접시에 참나물 김치무침을 담는다.
13. 끓이던 김치전골에 식초, 설탕, 고춧가루를 넣는다.
14. 김치전골에 적당한 "&amp;"크기로 썬 홍고추, 표고버섯, 고추, 마늘즙을 넣고 끓인다.
15. 그릇에 밥을 담는다.
16. 김치전골 위에 무구이와 구운 두부, 팽이버섯을 올린다.
17. 잘게 썬 대파를 올려 마무리한다.")</f>
        <v>1. 끓는 물에 배추김치와 사골국을 넣고 끓인다.
2. 기름을 두른 팬에 적당한 크기로 썬 양파, 대파를 볶다가 간 돼지고기와 인스턴트 양념곱창을 넣고 볶는다.
3. 기름을 두른 팬에 적당한 크기로 썬 두부를 굽는다.
4. 생두부를 으깬 뒤 볶던 재료에 넣는다.
5. 4를 끓이던 김칫국에 넣고 끓여 김치전골을 만든다.
6. 무를 얇게 썬 뒤, 소금물에 절여둔다.
7. 절인 무에 고추장, 참기름, 설탕을 버무려 기름을 두른 팬에 굽는다.
8. 배추김치를 물에 씻은 뒤, 가늘게 채 썬다.
9. 적당한 크기로 썬 데친 참나물, 고구마순김치와 다진 깨를 버무려 참나물 김치무침을 만든다.
10. 핸드블렌더로 명이나물장아찌를 곱게 간다.
11. 참나물 김치무침에 곱게 간 명이나물장아찌와 참기름, 식초를 넣고 버무린다.
12. 접시에 참나물 김치무침을 담는다.
13. 끓이던 김치전골에 식초, 설탕, 고춧가루를 넣는다.
14. 김치전골에 적당한 크기로 썬 홍고추, 표고버섯, 고추, 마늘즙을 넣고 끓인다.
15. 그릇에 밥을 담는다.
16. 김치전골 위에 무구이와 구운 두부, 팽이버섯을 올린다.
17. 잘게 썬 대파를 올려 마무리한다.</v>
      </c>
    </row>
    <row r="618">
      <c r="A618" s="2" t="str">
        <f>recipe!C618
</f>
        <v>레이먼킴치</v>
      </c>
      <c r="B618" s="2" t="str">
        <f>IFERROR(__xludf.DUMMYFUNCTION("TRIM(
  REGEXEXTRACT(
    raw!A618,
    ""●\s*조리\s*방법([\s\S]*)""
  )
)
"),"1. 배추김치를 물에 씻는다.
2. 씻은 배추김치와 사과, 당근, 청양고추를 가늘게 채 썬다.
3. 채 썬 재료에 마요네즈, 요거트를 넣고 섞어 김치샐러드를 만든다.
4. 세 개의 팬에 돼지목살의 비계를 구워 돼지기름을 낸다.
5. 각 팬에 올리브오일을 두른다.
6. 적당한 크기로 썬 고구마순김치와 밥, 달걀노른자, 부순 조미김, 전분을 섞어 밥전반죽을 만든다.
7. 기름을 두른 팬에 밥전반죽을 부쳐 고구마순김치밥전을 만든다.
8. 기름을 "&amp;"두른 팬에 적당한 크기로 썬 배추김치를 볶는다.
9. 8에 채 썬 양파와 적당한 크기로 썬 대파 흰 부분, 구운 돼지목살 비계를 넣고 볶는다.
10. 볶던 재료에 맛술, 밀가루, 버터를 넣는다.
11. 볶던 재료에 사골국을 넣고 끓여 김치소스를 만든다.
12. 돼지등심 스테이크의 뼈를 제거한 뒤, 돼지기름을 기름을 두른 팬에 굽는다.
13. 김치소스를 체에 밭쳐 국물만 걸러내 끓인다.
14. 김치소스를 종지에 담아낸다.
15. 고구마순김치밥"&amp;"전을 적당한 크기로 잘라 접시에 올린다.
16. 고구마순김치밥전 위에 적당한 크기로 썬 돼지등심 스테이크를 올린 뒤, 고구마순김치밥전으로 덮는다.
17. 16 위에 김치샐러드를 올린다.
18. 김치소스 건더기를 잘게 다져 곁들인다.")</f>
        <v>1. 배추김치를 물에 씻는다.
2. 씻은 배추김치와 사과, 당근, 청양고추를 가늘게 채 썬다.
3. 채 썬 재료에 마요네즈, 요거트를 넣고 섞어 김치샐러드를 만든다.
4. 세 개의 팬에 돼지목살의 비계를 구워 돼지기름을 낸다.
5. 각 팬에 올리브오일을 두른다.
6. 적당한 크기로 썬 고구마순김치와 밥, 달걀노른자, 부순 조미김, 전분을 섞어 밥전반죽을 만든다.
7. 기름을 두른 팬에 밥전반죽을 부쳐 고구마순김치밥전을 만든다.
8. 기름을 두른 팬에 적당한 크기로 썬 배추김치를 볶는다.
9. 8에 채 썬 양파와 적당한 크기로 썬 대파 흰 부분, 구운 돼지목살 비계를 넣고 볶는다.
10. 볶던 재료에 맛술, 밀가루, 버터를 넣는다.
11. 볶던 재료에 사골국을 넣고 끓여 김치소스를 만든다.
12. 돼지등심 스테이크의 뼈를 제거한 뒤, 돼지기름을 기름을 두른 팬에 굽는다.
13. 김치소스를 체에 밭쳐 국물만 걸러내 끓인다.
14. 김치소스를 종지에 담아낸다.
15. 고구마순김치밥전을 적당한 크기로 잘라 접시에 올린다.
16. 고구마순김치밥전 위에 적당한 크기로 썬 돼지등심 스테이크를 올린 뒤, 고구마순김치밥전으로 덮는다.
17. 16 위에 김치샐러드를 올린다.
18. 김치소스 건더기를 잘게 다져 곁들인다.</v>
      </c>
    </row>
    <row r="619">
      <c r="A619" s="3" t="str">
        <f>recipe!C619
</f>
        <v>김치 곱빼기</v>
      </c>
      <c r="B619" s="2" t="str">
        <f>IFERROR(__xludf.DUMMYFUNCTION("TRIM(
  REGEXEXTRACT(
    raw!A619,
    ""●\s*조리\s*방법([\s\S]*)""
  )
)
"),"1. 끓는 물에 배추김치와 사골국을 넣고 끓인다.
2. 기름을 두른 팬에 적당한 크기로 썬 양파, 대파를 볶다가 간 돼지고기와 인스턴트 양념곱창을 넣고 볶는다.
3. 기름을 두른 팬에 적당한 크기로 썬 두부를 굽는다.
4. 생두부를 으깬 뒤 볶던 재료에 넣는다.
5. 4를 끓이던 김칫국에 넣고 끓여 김치전골을 만든다.
6. 무를 얇게 썬 뒤, 소금물에 절여둔다.
7. 절인 무에 고추장, 참기름, 설탕을 버무려 기름을 두른 팬에 굽는다.
8."&amp;" 배추김치를 물에 씻은 뒤, 가늘게 채 썬다.
9. 적당한 크기로 썬 데친 참나물, 고구마순김치와 다진 깨를 버무려 참나물 김치무침을 만든다.
10. 핸드블렌더로 명이나물장아찌를 곱게 간다.
11. 참나물 김치무침에 곱게 간 명이나물장아찌와 참기름, 식초를 넣고 버무린다.
12. 접시에 참나물 김치무침을 담는다.
13. 끓이던 김치전골에 식초, 설탕, 고춧가루를 넣는다.
14. 김치전골에 적당한 크기로 썬 홍고추, 표고버섯, 고추, 마늘즙을 "&amp;"넣고 끓인다.
15. 그릇에 밥을 담는다.
16. 김치전골 위에 무구이와 구운 두부, 팽이버섯을 올린다.
17. 잘게 썬 대파를 올려 마무리한다.")</f>
        <v>1. 끓는 물에 배추김치와 사골국을 넣고 끓인다.
2. 기름을 두른 팬에 적당한 크기로 썬 양파, 대파를 볶다가 간 돼지고기와 인스턴트 양념곱창을 넣고 볶는다.
3. 기름을 두른 팬에 적당한 크기로 썬 두부를 굽는다.
4. 생두부를 으깬 뒤 볶던 재료에 넣는다.
5. 4를 끓이던 김칫국에 넣고 끓여 김치전골을 만든다.
6. 무를 얇게 썬 뒤, 소금물에 절여둔다.
7. 절인 무에 고추장, 참기름, 설탕을 버무려 기름을 두른 팬에 굽는다.
8. 배추김치를 물에 씻은 뒤, 가늘게 채 썬다.
9. 적당한 크기로 썬 데친 참나물, 고구마순김치와 다진 깨를 버무려 참나물 김치무침을 만든다.
10. 핸드블렌더로 명이나물장아찌를 곱게 간다.
11. 참나물 김치무침에 곱게 간 명이나물장아찌와 참기름, 식초를 넣고 버무린다.
12. 접시에 참나물 김치무침을 담는다.
13. 끓이던 김치전골에 식초, 설탕, 고춧가루를 넣는다.
14. 김치전골에 적당한 크기로 썬 홍고추, 표고버섯, 고추, 마늘즙을 넣고 끓인다.
15. 그릇에 밥을 담는다.
16. 김치전골 위에 무구이와 구운 두부, 팽이버섯을 올린다.
17. 잘게 썬 대파를 올려 마무리한다.</v>
      </c>
    </row>
    <row r="620">
      <c r="A620" s="2" t="str">
        <f>recipe!C620
</f>
        <v>복스테이크</v>
      </c>
      <c r="B620" s="2" t="str">
        <f>IFERROR(__xludf.DUMMYFUNCTION("TRIM(
  REGEXEXTRACT(
    raw!A620,
    ""●\s*조리\s*방법([\s\S]*)""
  )
)
"),"1. 돼지목살에 올리브오일을 버무린다.
2. 그릴팬에 올리브오일에 버무린 돼지목살을 굽는다.
3. 마늘을 편으로 썬다.
4. 끓는 기름에 편으로 썬 마늘을 튀겨 마늘칩을 만든다.
5. 마늘칩을 건져낸 기름에 적당한 크기로 썬 대파와 고춧가루를 끓여 고추기름을 낸다.
6. 애호박, 단호박, 양파, 청양고추, 대파, 더덕을 적당한 크기로 썬다.
7. 고추기름을 체에 밭쳐 건더기를 걸러낸다.
8. 고추기름을 두른 팬에 손질한 채소를 볶는다.
9"&amp;". 볶던 재료에 적당한 크기로 썬 표고버섯을 넣고 볶는다.
10. 간장, 매실액, 칼라만시 원액, 설탕, 맛술, 후추를 섞어 간장소스를 만든다.
11. 핸드블렌더에 배를 곱게 간 뒤, 간장소스에 섞는다.
12. 구운 돼지목살을 적당한 크기로 썬다.
13. 적당한 크기로 썬 돼지목살을 간장소스에 버무린다.
14. 간장소스에 버무린 돼지목살을 고추기름에 볶은 채소와 함께 볶아 찹스테이크를 만든다.
15. 즉석밥을 전자레인지에 돌린다.
16. 대"&amp;"파와 당근을 잘게 다진다.
17. 기름을 두른 팬에 잘게 다진 대파와 당근을 넣고, 달걀을 풀어 볶는다.
18. 17에 밥을 넣고 함께 볶다가 간장, 굴소스로 간을 한다.
19. 볶음밥에 잘게 썬 청양고추를 넣는다.
20. 달궈놓은 그릴팬에 볶음밥을 담는다.
21. 달걀프라이를 만든다.
22. 볶음밥과 함께 찹스테이크를 담는다.
23. 볶음밥과 찹스테이크 위에 달걀프라이와 마늘칩을 올려 마무리한다.")</f>
        <v>1. 돼지목살에 올리브오일을 버무린다.
2. 그릴팬에 올리브오일에 버무린 돼지목살을 굽는다.
3. 마늘을 편으로 썬다.
4. 끓는 기름에 편으로 썬 마늘을 튀겨 마늘칩을 만든다.
5. 마늘칩을 건져낸 기름에 적당한 크기로 썬 대파와 고춧가루를 끓여 고추기름을 낸다.
6. 애호박, 단호박, 양파, 청양고추, 대파, 더덕을 적당한 크기로 썬다.
7. 고추기름을 체에 밭쳐 건더기를 걸러낸다.
8. 고추기름을 두른 팬에 손질한 채소를 볶는다.
9. 볶던 재료에 적당한 크기로 썬 표고버섯을 넣고 볶는다.
10. 간장, 매실액, 칼라만시 원액, 설탕, 맛술, 후추를 섞어 간장소스를 만든다.
11. 핸드블렌더에 배를 곱게 간 뒤, 간장소스에 섞는다.
12. 구운 돼지목살을 적당한 크기로 썬다.
13. 적당한 크기로 썬 돼지목살을 간장소스에 버무린다.
14. 간장소스에 버무린 돼지목살을 고추기름에 볶은 채소와 함께 볶아 찹스테이크를 만든다.
15. 즉석밥을 전자레인지에 돌린다.
16. 대파와 당근을 잘게 다진다.
17. 기름을 두른 팬에 잘게 다진 대파와 당근을 넣고, 달걀을 풀어 볶는다.
18. 17에 밥을 넣고 함께 볶다가 간장, 굴소스로 간을 한다.
19. 볶음밥에 잘게 썬 청양고추를 넣는다.
20. 달궈놓은 그릴팬에 볶음밥을 담는다.
21. 달걀프라이를 만든다.
22. 볶음밥과 함께 찹스테이크를 담는다.
23. 볶음밥과 찹스테이크 위에 달걀프라이와 마늘칩을 올려 마무리한다.</v>
      </c>
    </row>
    <row r="621">
      <c r="A621" s="2" t="str">
        <f>recipe!C621
</f>
        <v>펌킨 치킨</v>
      </c>
      <c r="B621" s="2" t="str">
        <f>IFERROR(__xludf.DUMMYFUNCTION("TRIM(
  REGEXEXTRACT(
    raw!A621,
    ""●\s*조리\s*방법([\s\S]*)""
  )
)
"),"1. 끓는 물에 껍질 벗긴 단호박을 삶는다.
2. 기름을 두른 팬에 닭다리와 닭날개을 굽다가, 소금, 후추로 간 한다.
3. 당근, 표고버섯, 비엔나소시지, 팽이버섯, 마늘, 양파를 적당한 크기로 썬다.
4. 닭을 굽던 팬에 손질한 채소와 비엔나소시지를 넣고 볶는다.
5. 4에 맥주를 붓고 끓여 스튜를 만든다.
6. 삶은 단호박을 체에 밭쳐 건져낸 뒤, 냄비에 넣고 후추, 소금으로 간 한다.
7. 6을 핸드블렌더로 갈아 단호박퓌레를 만든다.
"&amp;"
8. 할라피뇨를 잘게 썬다.
9. 치킨스튜에 간장, 토마토소스, 버터를 넣는다.
10. 접시에 단호박퓌레를 담는다.
11. 치킨스튜에 잘게 썬 할라피뇨와 전분물을 넣는다.
12. 접시에 치킨스튜를 담아 마무리한다.")</f>
        <v>1. 끓는 물에 껍질 벗긴 단호박을 삶는다.
2. 기름을 두른 팬에 닭다리와 닭날개을 굽다가, 소금, 후추로 간 한다.
3. 당근, 표고버섯, 비엔나소시지, 팽이버섯, 마늘, 양파를 적당한 크기로 썬다.
4. 닭을 굽던 팬에 손질한 채소와 비엔나소시지를 넣고 볶는다.
5. 4에 맥주를 붓고 끓여 스튜를 만든다.
6. 삶은 단호박을 체에 밭쳐 건져낸 뒤, 냄비에 넣고 후추, 소금으로 간 한다.
7. 6을 핸드블렌더로 갈아 단호박퓌레를 만든다.
8. 할라피뇨를 잘게 썬다.
9. 치킨스튜에 간장, 토마토소스, 버터를 넣는다.
10. 접시에 단호박퓌레를 담는다.
11. 치킨스튜에 잘게 썬 할라피뇨와 전분물을 넣는다.
12. 접시에 치킨스튜를 담아 마무리한다.</v>
      </c>
    </row>
    <row r="622">
      <c r="A622" s="2" t="str">
        <f>recipe!C622
</f>
        <v>칼로리 듬풍 샌드위치</v>
      </c>
      <c r="B622" s="2" t="str">
        <f>IFERROR(__xludf.DUMMYFUNCTION("TRIM(
  REGEXEXTRACT(
    raw!A622,
    ""●\s*조리\s*방법([\s\S]*)""
  )
)
"),"1. 핸드블렌더에 적당한 크기로 썬 양파와 유자청을 넣고 간다.
2. 녹인 버터에 간 양파와 유자청, 물을 넣고 끓여 양파소스를 만든다.
3. 달걀노른자와 흰자를 분리한다.
4. 달걀흰자에 밀가루, 맥주, 소금을 넣고 섞어 튀김반죽을 만든다.
5. 통조림햄을 슬라이스한다.
6. 식빵 &gt; 통조림햄 &amp; 훈제 닭가슴살 슬라이스 &gt; 식빵을 차례로 쌓는다.
7. 샌드위치의 테두리를 잘라낸 뒤, 꼬치로 고정시킨다.
8. 샌드위치에 튀김반죽을 입혀 기름"&amp;"에 튀긴다.
9. 팬에 달걀노른자, 쇠고기수프분말, 소금, 다진 마늘, 물을 넣고 끓인다.
10. 6에 짜장라면 면을 잘게 부숴 넣고 끓여 맥앤뽀글이를 만든다.
11. 맥앤뽀글이에 전분물을 넣는다.
12. 맥앤뽀글이에 잘게 썬 청양고추와 후추를 넣고 끓인다.
13. 그릇에 맥앤뽀글이를 담는다.
14. 접시에 튀긴 샌드위치를 올리고, 양파소스를 곁들여 낸다.")</f>
        <v>1. 핸드블렌더에 적당한 크기로 썬 양파와 유자청을 넣고 간다.
2. 녹인 버터에 간 양파와 유자청, 물을 넣고 끓여 양파소스를 만든다.
3. 달걀노른자와 흰자를 분리한다.
4. 달걀흰자에 밀가루, 맥주, 소금을 넣고 섞어 튀김반죽을 만든다.
5. 통조림햄을 슬라이스한다.
6. 식빵 &gt; 통조림햄 &amp; 훈제 닭가슴살 슬라이스 &gt; 식빵을 차례로 쌓는다.
7. 샌드위치의 테두리를 잘라낸 뒤, 꼬치로 고정시킨다.
8. 샌드위치에 튀김반죽을 입혀 기름에 튀긴다.
9. 팬에 달걀노른자, 쇠고기수프분말, 소금, 다진 마늘, 물을 넣고 끓인다.
10. 6에 짜장라면 면을 잘게 부숴 넣고 끓여 맥앤뽀글이를 만든다.
11. 맥앤뽀글이에 전분물을 넣는다.
12. 맥앤뽀글이에 잘게 썬 청양고추와 후추를 넣고 끓인다.
13. 그릇에 맥앤뽀글이를 담는다.
14. 접시에 튀긴 샌드위치를 올리고, 양파소스를 곁들여 낸다.</v>
      </c>
    </row>
    <row r="623">
      <c r="A623" s="2" t="str">
        <f>recipe!C623
</f>
        <v>슈퍼헤비급 플래터</v>
      </c>
      <c r="B623" s="2" t="str">
        <f>IFERROR(__xludf.DUMMYFUNCTION("TRIM(
  REGEXEXTRACT(
    raw!A623,
    ""●\s*조리\s*방법([\s\S]*)""
  )
)
"),"1. 옥수수를 전자레인지에 돌린다.
2. 냄비에 버터를 넣고 녹인다.
3. 마른 팬에 잘게 썬 양파와 으깬 마늘을 볶다가 녹인 버터, 버터피칸
아이스크림을 넣고 끓인다.
4. 3에 물과 소금을 넣고 끓이다가 핸드블렌더로 곱게 갈아 크림소스를 만든다.
5. 그릴팬에 돼지등심 스테이크와 양파, 고추를 굽는다.
6. 그릴팬에 굽던 고추를 직화한다.
7. 그릴팬에 닭가슴살소시지를 굽는다.
8. 옥수수에 버터를 발라 그릴팬에 굽는다.
9. 비닐팩에"&amp;" 훈제 닭가슴살 슬라이스와 녹인 버터를 넣고 전자레인지에 돌린다
10. 구운 옥수수의 옥수수알을 발라낸 뒤, 크림소스에 넣고 끓여 콘크림소스를 만든다.
11. 구운 옥수수에 막대를 꽂는다.
12. 잘게 부순 옥수수과자와 라면수프를 섞어 양념을 만든다.
13. 옥수수에 콘크림소스를 바르고 만들어둔 양념을 버무린다.
14. 핫소스에 잘게 썬 구운 고추를 넣고 끓여 고추소스를 만든다.
15. 접시에 콘크림수프를 깔고 고추소스를 곁들여 낸 뒤, 구운"&amp;" 돼지등심 스테이크, 닭가슴살 소시지를 담는다.
16. 구운 양파와 마약옥수수를 함께 낸다.")</f>
        <v>1. 옥수수를 전자레인지에 돌린다.
2. 냄비에 버터를 넣고 녹인다.
3. 마른 팬에 잘게 썬 양파와 으깬 마늘을 볶다가 녹인 버터, 버터피칸
아이스크림을 넣고 끓인다.
4. 3에 물과 소금을 넣고 끓이다가 핸드블렌더로 곱게 갈아 크림소스를 만든다.
5. 그릴팬에 돼지등심 스테이크와 양파, 고추를 굽는다.
6. 그릴팬에 굽던 고추를 직화한다.
7. 그릴팬에 닭가슴살소시지를 굽는다.
8. 옥수수에 버터를 발라 그릴팬에 굽는다.
9. 비닐팩에 훈제 닭가슴살 슬라이스와 녹인 버터를 넣고 전자레인지에 돌린다
10. 구운 옥수수의 옥수수알을 발라낸 뒤, 크림소스에 넣고 끓여 콘크림소스를 만든다.
11. 구운 옥수수에 막대를 꽂는다.
12. 잘게 부순 옥수수과자와 라면수프를 섞어 양념을 만든다.
13. 옥수수에 콘크림소스를 바르고 만들어둔 양념을 버무린다.
14. 핫소스에 잘게 썬 구운 고추를 넣고 끓여 고추소스를 만든다.
15. 접시에 콘크림수프를 깔고 고추소스를 곁들여 낸 뒤, 구운 돼지등심 스테이크, 닭가슴살 소시지를 담는다.
16. 구운 양파와 마약옥수수를 함께 낸다.</v>
      </c>
    </row>
    <row r="624">
      <c r="A624" s="2" t="str">
        <f>recipe!C624
</f>
        <v>아모르팟타이♬</v>
      </c>
      <c r="B624" s="2" t="str">
        <f>IFERROR(__xludf.DUMMYFUNCTION("TRIM(
  REGEXEXTRACT(
    raw!A624,
    ""●\s*조리\s*방법([\s\S]*)""
  )
)
"),"1. 핸드블렌더에 밀가루와 달걀을 넣고 돌려 면 반죽을 만든다.
2. 양파, 대파를 채 썬다.
3. 채 썬 양파와 대파에 전분을 묻혀 기름에 튀긴다.
4. 튀긴 양파와 대파를 건져 기름기를 뺀다.
5. 기름을 두른 팬에 채 썬 양파와 당근을 볶는다.
6. 돼지등심 스테이크의 뼈를 제거하고 잘게 다진다.
7. 다진 돼지등심 스테이크, 으깬 마늘, 소금, 후추, 잘게 썬 청양고추를 채소를 볶던 팬에 넣고 함께 볶는다.
8. 돼지등심 스테이크에 "&amp;"올리브오일을 바르고 소금, 후추로 간 한다.
9. 양념한 돼지등심 스테이크를 석쇠에 올려 직화한다.
10. 면 반죽을 밀대로 넓게 민 뒤, 썰어 팟타이 면을 만든다.
11. 핸드블렌더에 아몬드를 넣고 간다.
12. 홍고추에 칼집을 내고, 석쇠에 올려 직화한다.
13. 볶던 재료에 팟타이소스와 잘게 썬 대파를 넣고 볶아 팟타이양념을 만든다.
14. 팟타이 면을 삶는다.
15. 삶은 팟타이 면을 건져 팟타이양념에 볶는다.
16. 그릇에 팟타이"&amp;"를 담고, 직화한 돼지등심 스테이크를 적당한 크기로 썰어 올린다.
17. 직화한 홍고추를 적당한 크기로 썰어 올리고, 오리엔탈 드레싱을 뿌린다.
18. 레몬즙을 뿌리고 튀긴 양파와 대파를 올린 뒤, 곱게 간 아몬드를 뿌려 마무리한다.")</f>
        <v>1. 핸드블렌더에 밀가루와 달걀을 넣고 돌려 면 반죽을 만든다.
2. 양파, 대파를 채 썬다.
3. 채 썬 양파와 대파에 전분을 묻혀 기름에 튀긴다.
4. 튀긴 양파와 대파를 건져 기름기를 뺀다.
5. 기름을 두른 팬에 채 썬 양파와 당근을 볶는다.
6. 돼지등심 스테이크의 뼈를 제거하고 잘게 다진다.
7. 다진 돼지등심 스테이크, 으깬 마늘, 소금, 후추, 잘게 썬 청양고추를 채소를 볶던 팬에 넣고 함께 볶는다.
8. 돼지등심 스테이크에 올리브오일을 바르고 소금, 후추로 간 한다.
9. 양념한 돼지등심 스테이크를 석쇠에 올려 직화한다.
10. 면 반죽을 밀대로 넓게 민 뒤, 썰어 팟타이 면을 만든다.
11. 핸드블렌더에 아몬드를 넣고 간다.
12. 홍고추에 칼집을 내고, 석쇠에 올려 직화한다.
13. 볶던 재료에 팟타이소스와 잘게 썬 대파를 넣고 볶아 팟타이양념을 만든다.
14. 팟타이 면을 삶는다.
15. 삶은 팟타이 면을 건져 팟타이양념에 볶는다.
16. 그릇에 팟타이를 담고, 직화한 돼지등심 스테이크를 적당한 크기로 썰어 올린다.
17. 직화한 홍고추를 적당한 크기로 썰어 올리고, 오리엔탈 드레싱을 뿌린다.
18. 레몬즙을 뿌리고 튀긴 양파와 대파를 올린 뒤, 곱게 간 아몬드를 뿌려 마무리한다.</v>
      </c>
    </row>
    <row r="625">
      <c r="A625" s="2" t="str">
        <f>recipe!C625
</f>
        <v>카츠우동♬</v>
      </c>
      <c r="B625" s="2" t="str">
        <f>IFERROR(__xludf.DUMMYFUNCTION("TRIM(
  REGEXEXTRACT(
    raw!A625,
    ""●\s*조리\s*방법([\s\S]*)""
  )
)
"),"1. 핸드블렌더에 밀가루, 소금, 물을 넣고 돌려 면 반죽을 만든다.
2. 테두리를 잘라낸 식빵을 믹서기에 갈아 빵가루를 만든다.
3. 돼지등심 스테이크의 뼈를 제거한 뒤, 칼집을 내 부드럽게 만든다.
4. 달걀물, 밀가루, 물을 섞어 튀김옷을 만든다.
5. 칼집을 낸 돼지등심 스테이크에 밀가루&gt;튀김옷&gt;빵가루를 순서대로 입힌다.
6. 면 반죽을 밀대로 넓게 민 뒤, 썰어 우동 면을 만든다.
7. 핸드블렌더에 적당한 크기로 썬 양파, 대파, 마"&amp;"늘, 돼지등심 스테이크, 치즈 비엔나 소시지, 통조림 햄을 넣고 곱게 간다.
8. 기름을 두른 팬에 곱게 간 채소와 고기를 넣고 볶다가 된장, 고추장, 맛술, 간장, 설탕, 물을 넣고 끓여 된장소스를 만든다.
9. 된장소스에 라면수프와 고춧가루, 잘게 썬 청양고추를 넣는다.
10. 튀김옷을 입힌 돈카츠를 기름에 튀긴다.
11. 된장소스에 전분물을 넣는다.
12. 우동 면을 삶는다.
13. 돈카츠를 건져낸 뒤, 적당한 크기로 썬다.
14. 삶"&amp;"은 우동 면을 건져 찬물에 헹군다.
15. 그릇에 우동 면을 담은 뒤, 된장소스를 붓는다.
16. 돈카츠를 올려 마무리한다.")</f>
        <v>1. 핸드블렌더에 밀가루, 소금, 물을 넣고 돌려 면 반죽을 만든다.
2. 테두리를 잘라낸 식빵을 믹서기에 갈아 빵가루를 만든다.
3. 돼지등심 스테이크의 뼈를 제거한 뒤, 칼집을 내 부드럽게 만든다.
4. 달걀물, 밀가루, 물을 섞어 튀김옷을 만든다.
5. 칼집을 낸 돼지등심 스테이크에 밀가루&gt;튀김옷&gt;빵가루를 순서대로 입힌다.
6. 면 반죽을 밀대로 넓게 민 뒤, 썰어 우동 면을 만든다.
7. 핸드블렌더에 적당한 크기로 썬 양파, 대파, 마늘, 돼지등심 스테이크, 치즈 비엔나 소시지, 통조림 햄을 넣고 곱게 간다.
8. 기름을 두른 팬에 곱게 간 채소와 고기를 넣고 볶다가 된장, 고추장, 맛술, 간장, 설탕, 물을 넣고 끓여 된장소스를 만든다.
9. 된장소스에 라면수프와 고춧가루, 잘게 썬 청양고추를 넣는다.
10. 튀김옷을 입힌 돈카츠를 기름에 튀긴다.
11. 된장소스에 전분물을 넣는다.
12. 우동 면을 삶는다.
13. 돈카츠를 건져낸 뒤, 적당한 크기로 썬다.
14. 삶은 우동 면을 건져 찬물에 헹군다.
15. 그릇에 우동 면을 담은 뒤, 된장소스를 붓는다.
16. 돈카츠를 올려 마무리한다.</v>
      </c>
    </row>
    <row r="626">
      <c r="A626" s="2" t="str">
        <f>recipe!C626
</f>
        <v>연복풍 탕수육</v>
      </c>
      <c r="B626" s="2" t="str">
        <f>IFERROR(__xludf.DUMMYFUNCTION("TRIM(
  REGEXEXTRACT(
    raw!A626,
    ""●\s*조리\s*방법([\s\S]*)""
  )
)
"),"1. 끓는 기름에 적당한 크기로 썬 대파와 으깬 마늘, 고춧가루를 넣고 고추기름을 낸다.
2. 소고기 안심을 두드려 납작하게 만든다.
3. 납작하게 만든 소고기 안심을 적당한 크기로 썬다.
4. 튀김가루, 전분, 물을 섞어 튀김옷을 만든다.
5. 소고기 안심에 튀김옷을 입혀 기름에 튀긴다.
6. 고추기름을 면보에 걸러 건더기를 걸러낸다.
7. 튀긴 소고기 안심을 건진다.
8. 설탕, 식초, 간장, 물을 섞어 탕수소스를 만든다.
9. 양파,"&amp;" 적양배추, 당근, 청양고추를 적당한 크기로 썬다.
10. 튀긴 소고기 안심을 한 번 더 튀겨낸다.
11. 고추기름을 두른 팬에 손질한 채소를 볶다가 케첩을 넣는다.
12. 볶던 재료에 탕수소스를 붓고 끓인다.
13. 튀긴 소고기 안심을 건져 기름기를 뺀다.
14. 탕수소스에 전분물을 넣어 농도를 조절한다.
15. 접시에 튀긴 소고기 안심을 담고 탕수소스를 부어 마무리한다.")</f>
        <v>1. 끓는 기름에 적당한 크기로 썬 대파와 으깬 마늘, 고춧가루를 넣고 고추기름을 낸다.
2. 소고기 안심을 두드려 납작하게 만든다.
3. 납작하게 만든 소고기 안심을 적당한 크기로 썬다.
4. 튀김가루, 전분, 물을 섞어 튀김옷을 만든다.
5. 소고기 안심에 튀김옷을 입혀 기름에 튀긴다.
6. 고추기름을 면보에 걸러 건더기를 걸러낸다.
7. 튀긴 소고기 안심을 건진다.
8. 설탕, 식초, 간장, 물을 섞어 탕수소스를 만든다.
9. 양파, 적양배추, 당근, 청양고추를 적당한 크기로 썬다.
10. 튀긴 소고기 안심을 한 번 더 튀겨낸다.
11. 고추기름을 두른 팬에 손질한 채소를 볶다가 케첩을 넣는다.
12. 볶던 재료에 탕수소스를 붓고 끓인다.
13. 튀긴 소고기 안심을 건져 기름기를 뺀다.
14. 탕수소스에 전분물을 넣어 농도를 조절한다.
15. 접시에 튀긴 소고기 안심을 담고 탕수소스를 부어 마무리한다.</v>
      </c>
    </row>
    <row r="627">
      <c r="A627" s="2" t="str">
        <f>recipe!C627
</f>
        <v>테리우스테이크</v>
      </c>
      <c r="B627" s="2" t="str">
        <f>IFERROR(__xludf.DUMMYFUNCTION("TRIM(
  REGEXEXTRACT(
    raw!A627,
    ""●\s*조리\s*방법([\s\S]*)""
  )
)
"),"1. 양파를 잘게 썬다.
2. 파프리카를 직화한다.
3. 마늘은 편으로 썰고, 전복은 손질해 잘게 썬다.
4. 팬에 버터를 두른 뒤, 편마늘과 잘게 썬 양파, 다진 마늘, 발사믹 식초를 넣고 끓인다.
5. 4에 설탕, 잘게 썬 전복을 넣고 볶아 전복발사믹소스를 만든다.
6. 스테이크용 부챗살에 소금, 후추로 간 한 뒤, 칼집을 낸다.
7. 손질한 스테이크용 부챗살을 그릴팬에 굽는다.
8. 냄비에 불린 미역을 볶는다.
9. 볶던 미역에 참기"&amp;"름을 넣고, 뜨거운 물을 부어 미역국을 끓인다.
10. 미역국에 라면수프와 면을 넣고 끓여 미역라면을 만든다.
11. 접시에 전복발사믹소스를 깔고, 부챗살 스테이크를 올린다.
12. 직화한 파프리카의 탄 부분을 벗겨내고, 적당한 크기로 썰어 스테이크에 곁들인다.
13. 스테이크 위에 레몬껍질을 갈아 올린다.
14. 스테이크 위에 올리브오일, 레몬즙을 뿌린다.
15. 그릇에 미역라면을 담고, 잘게 썬 대파를 올려 마무리한다.")</f>
        <v>1. 양파를 잘게 썬다.
2. 파프리카를 직화한다.
3. 마늘은 편으로 썰고, 전복은 손질해 잘게 썬다.
4. 팬에 버터를 두른 뒤, 편마늘과 잘게 썬 양파, 다진 마늘, 발사믹 식초를 넣고 끓인다.
5. 4에 설탕, 잘게 썬 전복을 넣고 볶아 전복발사믹소스를 만든다.
6. 스테이크용 부챗살에 소금, 후추로 간 한 뒤, 칼집을 낸다.
7. 손질한 스테이크용 부챗살을 그릴팬에 굽는다.
8. 냄비에 불린 미역을 볶는다.
9. 볶던 미역에 참기름을 넣고, 뜨거운 물을 부어 미역국을 끓인다.
10. 미역국에 라면수프와 면을 넣고 끓여 미역라면을 만든다.
11. 접시에 전복발사믹소스를 깔고, 부챗살 스테이크를 올린다.
12. 직화한 파프리카의 탄 부분을 벗겨내고, 적당한 크기로 썰어 스테이크에 곁들인다.
13. 스테이크 위에 레몬껍질을 갈아 올린다.
14. 스테이크 위에 올리브오일, 레몬즙을 뿌린다.
15. 그릇에 미역라면을 담고, 잘게 썬 대파를 올려 마무리한다.</v>
      </c>
    </row>
    <row r="628">
      <c r="A628" s="2" t="str">
        <f>recipe!C628
</f>
        <v>레복만두</v>
      </c>
      <c r="B628" s="2" t="str">
        <f>IFERROR(__xludf.DUMMYFUNCTION("TRIM(
  REGEXEXTRACT(
    raw!A628,
    ""●\s*조리\s*방법([\s\S]*)""
  )
)
"),"1. 새우살을 잘게 다진다.
2. 끓는 물에 적당한 크기로 썬 청양고추와 대파, 으깬 마늘을 넣고 끓여 채소육수를 낸다.
3. 핸드블렌더에 부추를 곱게 간다.
4. 잘게 썬 적양배추, 다진 돼지고기, 다진 새우살을 섞어 만두소를 만든다.
5. 밀가루, 소금, 부추즙, 뜨거운 물을 섞어 만두피 반죽을 만든다.
6. 채소육수의 건더기를 걸러낸 뒤, 쯔유로 간 한다.
7. 만두소에 다진 마늘, 생강즙, XO소스, 해선장, 아몬드버터를 섞는다.
8"&amp;". 7에 후추를 넣는다.
9. 전복을 손질한다.
10. 만두피 반죽을 적당량 떼어낸 뒤, 밀대로 밀어 만두피를 만든다.
11. 기름을 두른 팬에 채 썬 양파를 볶다가 베트남고추, 선드라이 토마토, 바질페스토, 물을 넣고 끓여 바질소스를 만든다.
12. 만두피에 만두소를 넣고 싸 부추만두를 만든다.
13. 기름을 두른 팬에 부추만두를 넣고, 뚜껑을 닫아 굽는다.
14. 채소육수에 바지락살, 새우살, 전복살을 넣고 국물을 끓인다.
15. 마른 "&amp;"팬에 구워먹는 치즈를 굽는다.
16. 만두를 굽던 팬에 뜨거운 물을 부은 뒤, 뚜껑을 닫아 수증기로 익힌다.
17. 끓이던 국물에서 해산물을 건져낸 뒤, 부추만두를 넣고 끓여 만둣국을 만든다.
18. 데친 전복살은 적당한 크기로 썰고, 건져뒀던 해산물과 함께 넣어 해물만둣국을 만든다.
19. 해물만둣국에 맛술과 소금, 잘게 썬 대파를 넣고 끓인다.
20. 접시에 바질소스를 부은 뒤, 구운 치즈를 올리고 트러플오일을 뿌린다.
21. 20 위에 "&amp;"구운 부추만두를 올린다.
22. 해물만둣국을 함께 낸다.")</f>
        <v>1. 새우살을 잘게 다진다.
2. 끓는 물에 적당한 크기로 썬 청양고추와 대파, 으깬 마늘을 넣고 끓여 채소육수를 낸다.
3. 핸드블렌더에 부추를 곱게 간다.
4. 잘게 썬 적양배추, 다진 돼지고기, 다진 새우살을 섞어 만두소를 만든다.
5. 밀가루, 소금, 부추즙, 뜨거운 물을 섞어 만두피 반죽을 만든다.
6. 채소육수의 건더기를 걸러낸 뒤, 쯔유로 간 한다.
7. 만두소에 다진 마늘, 생강즙, XO소스, 해선장, 아몬드버터를 섞는다.
8. 7에 후추를 넣는다.
9. 전복을 손질한다.
10. 만두피 반죽을 적당량 떼어낸 뒤, 밀대로 밀어 만두피를 만든다.
11. 기름을 두른 팬에 채 썬 양파를 볶다가 베트남고추, 선드라이 토마토, 바질페스토, 물을 넣고 끓여 바질소스를 만든다.
12. 만두피에 만두소를 넣고 싸 부추만두를 만든다.
13. 기름을 두른 팬에 부추만두를 넣고, 뚜껑을 닫아 굽는다.
14. 채소육수에 바지락살, 새우살, 전복살을 넣고 국물을 끓인다.
15. 마른 팬에 구워먹는 치즈를 굽는다.
16. 만두를 굽던 팬에 뜨거운 물을 부은 뒤, 뚜껑을 닫아 수증기로 익힌다.
17. 끓이던 국물에서 해산물을 건져낸 뒤, 부추만두를 넣고 끓여 만둣국을 만든다.
18. 데친 전복살은 적당한 크기로 썰고, 건져뒀던 해산물과 함께 넣어 해물만둣국을 만든다.
19. 해물만둣국에 맛술과 소금, 잘게 썬 대파를 넣고 끓인다.
20. 접시에 바질소스를 부은 뒤, 구운 치즈를 올리고 트러플오일을 뿌린다.
21. 20 위에 구운 부추만두를 올린다.
22. 해물만둣국을 함께 낸다.</v>
      </c>
    </row>
    <row r="629">
      <c r="A629" s="2" t="str">
        <f>recipe!C629
</f>
        <v>야관문 장어</v>
      </c>
      <c r="B629" s="2" t="str">
        <f>IFERROR(__xludf.DUMMYFUNCTION("TRIM(
  REGEXEXTRACT(
    raw!A629,
    ""●\s*조리\s*방법([\s\S]*)""
  )
)
"),"1. 간장게장의 간장만 걸러낸다.
2. 1에 간장, 청양고추, 으깬 마늘, 전복, 설탕을 넣고 끓여 전복장을 만든다.
3. 간장, 맛술, 청주, 설탕을 끓여 데리야키소스를 만든다.
4. 전복장에 야관문주를 넣는다.
5. 데리야키소스에 야관문주를 넣는다.
6. 달걀노른자, 물, 맛술, 설탕, 식초, 쯔유를 섞은 뒤, 끓는 물 위에서 중탕하며 저어 기미스소스를 만든다.
7. 냄비에 참기름을 끓인다.
8. 적양배추, 청양고추를 가늘게 채 썬다.
"&amp;"
9. 채 썬 채소에 끓인 참기름, 설탕을 넣고 버무려 채소샐러드를 만든다.
10. 밀가루, 새우분말, 파슬리가루, 물, 얼음을 섞어 튀김옷을 만든다.
11. 장어에 밀가루를 묻히고 튀김옷을 입힌 뒤, 기름에 튀긴다.
12. 채소샐러드에 적당한 크기로 썬 부추, 채소절임원액, 소금, 식초, 믹스허브, 구운채소절임을 다져 넣고 버무린다.
13. 달걀노른자와 바질페스토를 섞은 뒤, 라임껍질을 갈아 넣어 바질소스를 만든다.
14. 접시에 바질소스와 "&amp;"트러플페스토를 올린다.
15. 접시에 채소샐러드를 담는다.
16. 개복숭아절임과 선드라이토마토를 적당한 크기로 썰어 채소샐러드 위에 올린다.
17. 16 위에 장어튀김을 얹는다.
18. 장어튀김 위에 기미스소스를 얹는다.
19. 전복장을 적당한 크기로 썰어 함께 곁들인다.
20. 데리야키소스를 뿌리고, 블랙올리브를 곁들여 마무리한다.")</f>
        <v>1. 간장게장의 간장만 걸러낸다.
2. 1에 간장, 청양고추, 으깬 마늘, 전복, 설탕을 넣고 끓여 전복장을 만든다.
3. 간장, 맛술, 청주, 설탕을 끓여 데리야키소스를 만든다.
4. 전복장에 야관문주를 넣는다.
5. 데리야키소스에 야관문주를 넣는다.
6. 달걀노른자, 물, 맛술, 설탕, 식초, 쯔유를 섞은 뒤, 끓는 물 위에서 중탕하며 저어 기미스소스를 만든다.
7. 냄비에 참기름을 끓인다.
8. 적양배추, 청양고추를 가늘게 채 썬다.
9. 채 썬 채소에 끓인 참기름, 설탕을 넣고 버무려 채소샐러드를 만든다.
10. 밀가루, 새우분말, 파슬리가루, 물, 얼음을 섞어 튀김옷을 만든다.
11. 장어에 밀가루를 묻히고 튀김옷을 입힌 뒤, 기름에 튀긴다.
12. 채소샐러드에 적당한 크기로 썬 부추, 채소절임원액, 소금, 식초, 믹스허브, 구운채소절임을 다져 넣고 버무린다.
13. 달걀노른자와 바질페스토를 섞은 뒤, 라임껍질을 갈아 넣어 바질소스를 만든다.
14. 접시에 바질소스와 트러플페스토를 올린다.
15. 접시에 채소샐러드를 담는다.
16. 개복숭아절임과 선드라이토마토를 적당한 크기로 썰어 채소샐러드 위에 올린다.
17. 16 위에 장어튀김을 얹는다.
18. 장어튀김 위에 기미스소스를 얹는다.
19. 전복장을 적당한 크기로 썰어 함께 곁들인다.
20. 데리야키소스를 뿌리고, 블랙올리브를 곁들여 마무리한다.</v>
      </c>
    </row>
    <row r="630">
      <c r="A630" s="2" t="str">
        <f>recipe!C630
</f>
        <v>봉골레 안 먹고 가시나♬</v>
      </c>
      <c r="B630" s="2" t="str">
        <f>IFERROR(__xludf.DUMMYFUNCTION("TRIM(
  REGEXEXTRACT(
    raw!A630,
    ""●\s*조리\s*방법([\s\S]*)""
  )
)
"),"1. 밀가루를 체에 거른다.
2. 체에 거른 밀가루에 호박즙을 넣어 반죽한다.
3. 기름을 두른 냄비에 편으로 썬 마늘, 손질한 새우와 오징어, 잘게 썬 홍고추와 바지락, 물을 넣고 끓여 봉골레스튜를 만든다.
4. 빵반죽을 밀대로 밀어 넓게 편 뒤, 모차렐라치즈를 넣고 접어 빵 모양을 잡아 피타빵을 만든다.
5. 치즈를 넣은 피타빵을 그릴팬에 굽는다.
6. 양파, 마늘종장아찌를 잘게 썬 뒤, 칵테일소스, 올리브오일과 섞어 소스를 만든다.
7."&amp;" 기름을 두른 팬에 손질한 새우를 굽다가 소금, 후추로 간 한다.
8. 마늘을 잘게 다진 뒤, 버터를 섞어 갈릭버터를 만든다.
9. 피타빵에 갈릭버터를 발라가며 굽는다.
10. 봉골레스튜에 구운 새우와 잘게 썬 대파를 넣는다.
11. 피타빵을 접시에 담아낸다.")</f>
        <v>1. 밀가루를 체에 거른다.
2. 체에 거른 밀가루에 호박즙을 넣어 반죽한다.
3. 기름을 두른 냄비에 편으로 썬 마늘, 손질한 새우와 오징어, 잘게 썬 홍고추와 바지락, 물을 넣고 끓여 봉골레스튜를 만든다.
4. 빵반죽을 밀대로 밀어 넓게 편 뒤, 모차렐라치즈를 넣고 접어 빵 모양을 잡아 피타빵을 만든다.
5. 치즈를 넣은 피타빵을 그릴팬에 굽는다.
6. 양파, 마늘종장아찌를 잘게 썬 뒤, 칵테일소스, 올리브오일과 섞어 소스를 만든다.
7. 기름을 두른 팬에 손질한 새우를 굽다가 소금, 후추로 간 한다.
8. 마늘을 잘게 다진 뒤, 버터를 섞어 갈릭버터를 만든다.
9. 피타빵에 갈릭버터를 발라가며 굽는다.
10. 봉골레스튜에 구운 새우와 잘게 썬 대파를 넣는다.
11. 피타빵을 접시에 담아낸다.</v>
      </c>
    </row>
    <row r="631">
      <c r="A631" s="2" t="str">
        <f>recipe!C631
</f>
        <v>제비~ 복 먹으러 나간다</v>
      </c>
      <c r="B631" s="2" t="str">
        <f>IFERROR(__xludf.DUMMYFUNCTION("TRIM(
  REGEXEXTRACT(
    raw!A631,
    ""●\s*조리\s*방법([\s\S]*)""
  )
)
"),"1. 밀가루를 체에 거른다.
2. 핸드블렌더에 부추, 물을 넣고 간 뒤, 건더기를 걸러내 부추즙을 만든다.
3. 밀가루에 부추즙, 식초을 넣고 부추수제비반죽을 만든다.
4. 끓는 물에 북어대가리, 다진 마늘, 청주를 넣고 끓여 육수를 낸다.
5. 대파를 꼬치에 꽂아 직화한다.
6. 완성된 수제비 반죽을 볼에 담고 랩을 씌워 숙성시킨다.
7. 냄비에 인스턴트 사골곰탕과 양지, 물을 넣고 끓인다.
8. 알배추, 양파를 적당한 크기로 썬 뒤, 기"&amp;"름을 두른 팬에 볶는다.
9. 볶던 채소에 대패삼겹살을 넣고 함께 볶는다.
10. 삶던 양지에 구운 대파를 넣고 함께 끓인다.
11. 볶은 채소와 대패삼겹살을 양지를 삶던 냄비에 넣고 끓여 전골을 만든다.
12. 달래와 부추장아찌를 잘게 썬 뒤, 부추장아찌 국물을 섞어 소스를 만든다.
13. 부추달래소스에 잘게 썬 팽이버섯과 곱게 다진 깨, 참기름, 식초, 고춧가루, 설탕을 섞는다.
14. 핸드블렌더에 조미간장, 맛술, 설탕, 식초, 잘게 썬"&amp;" 청양고추, 마요네즈, 깨를 넣고 갈아 매운참깨소스를 만든다.
15. 끓이던 전골에 북어육수, 맛술, 일본간장을 넣고 끓인다.
16. 숙성한 부추수제비반죽을 밀대로 밀어 넓게 편 뒤, 부추를 넣고 접어 다시 한 번 민다.
17. 끓는 물에 적당한 크기로 떼어낸 부추수제비반죽을 넣고 삶는다.
18. 강판에 감자를 간 뒤, 밀가루와 전분을 넣고 섞어 감자전반죽을 만든다.
19. 기름을 두른 팬에 감자전반죽을 넓게 편 뒤, 바지락살을 올려 조개감자전"&amp;"을 굽는다.
20. 갑오징어에 촘촘하게 칼집을 낸 뒤, 적당한 크기로 썰어 전골에 넣는다.
21. 새송이버섯과 대파를 적당한 크기로 썬다.
22. 삶은 양지를 건져내 포 뜬다.
23. 삶은 부추수제비를 얼음물에 담가 식힌다.
24. 끓인 전골을 전골냄비에 옮겨 담은 뒤, 부추수제비와 포 뜬 양지를 얹는다.
25. 조개감자전을 접시에 담아낸다.
26. 전골 위에 손질한 대파와 새송이버섯을 올린다.")</f>
        <v>1. 밀가루를 체에 거른다.
2. 핸드블렌더에 부추, 물을 넣고 간 뒤, 건더기를 걸러내 부추즙을 만든다.
3. 밀가루에 부추즙, 식초을 넣고 부추수제비반죽을 만든다.
4. 끓는 물에 북어대가리, 다진 마늘, 청주를 넣고 끓여 육수를 낸다.
5. 대파를 꼬치에 꽂아 직화한다.
6. 완성된 수제비 반죽을 볼에 담고 랩을 씌워 숙성시킨다.
7. 냄비에 인스턴트 사골곰탕과 양지, 물을 넣고 끓인다.
8. 알배추, 양파를 적당한 크기로 썬 뒤, 기름을 두른 팬에 볶는다.
9. 볶던 채소에 대패삼겹살을 넣고 함께 볶는다.
10. 삶던 양지에 구운 대파를 넣고 함께 끓인다.
11. 볶은 채소와 대패삼겹살을 양지를 삶던 냄비에 넣고 끓여 전골을 만든다.
12. 달래와 부추장아찌를 잘게 썬 뒤, 부추장아찌 국물을 섞어 소스를 만든다.
13. 부추달래소스에 잘게 썬 팽이버섯과 곱게 다진 깨, 참기름, 식초, 고춧가루, 설탕을 섞는다.
14. 핸드블렌더에 조미간장, 맛술, 설탕, 식초, 잘게 썬 청양고추, 마요네즈, 깨를 넣고 갈아 매운참깨소스를 만든다.
15. 끓이던 전골에 북어육수, 맛술, 일본간장을 넣고 끓인다.
16. 숙성한 부추수제비반죽을 밀대로 밀어 넓게 편 뒤, 부추를 넣고 접어 다시 한 번 민다.
17. 끓는 물에 적당한 크기로 떼어낸 부추수제비반죽을 넣고 삶는다.
18. 강판에 감자를 간 뒤, 밀가루와 전분을 넣고 섞어 감자전반죽을 만든다.
19. 기름을 두른 팬에 감자전반죽을 넓게 편 뒤, 바지락살을 올려 조개감자전을 굽는다.
20. 갑오징어에 촘촘하게 칼집을 낸 뒤, 적당한 크기로 썰어 전골에 넣는다.
21. 새송이버섯과 대파를 적당한 크기로 썬다.
22. 삶은 양지를 건져내 포 뜬다.
23. 삶은 부추수제비를 얼음물에 담가 식힌다.
24. 끓인 전골을 전골냄비에 옮겨 담은 뒤, 부추수제비와 포 뜬 양지를 얹는다.
25. 조개감자전을 접시에 담아낸다.
26. 전골 위에 손질한 대파와 새송이버섯을 올린다.</v>
      </c>
    </row>
    <row r="632">
      <c r="A632" s="2" t="str">
        <f>recipe!C632
</f>
        <v>마성의 분짜조</v>
      </c>
      <c r="B632" s="2" t="str">
        <f>IFERROR(__xludf.DUMMYFUNCTION("TRIM(
  REGEXEXTRACT(
    raw!A632,
    ""●\s*조리\s*방법([\s\S]*)""
  )
)
"),"1. 쪽파와 양파를 잘게 썬다.
2. 두부를 다진다.
3. 잘게 썬 쪽파와 양파, 다진 두부, 다진 돼지고기, 달걀노른자, 설탕, 소금, 후추, 잘게 썬 씻은 묵은지를 섞어 짜조 속을 만든다.
4. 3에 불린 목이버섯을 다져 넣는다.
5. 라이스페이퍼를 따뜻한 물에 불린 뒤, 짜조 속을 넣고 돌돌 만다.
6. 끓는 물에 불린 쌀국수면을 데친 뒤, 찬물에 헹궈 물기를 뺀다.
7. 물, 설탕, 피시소스, 쌀식초를 4 : 1 : 3/4 : 1/2 "&amp;"비율로 섞은 뒤 끓여 분짜소스를 만든다.
8. 갈비산적을 석쇠에 올려 직화한다.
9. 기름에 짜조를 튀긴다.
10. 튀긴 짜조를 건져내 한 김 식힌 뒤, 다시 튀긴다.
11. 스위트칠리소스와 스리라차소스를 섞는다.
12. 당근을 조각해 꽃모양을 만든다.
13. 접시에 짜조를 담고, 소스를 곁들인다.
14. 그릇에 분짜소스를 담고, 샐러드용 채소와 고수, 당근꽃을 올린다.
15. 분짜소스에 쌀국수면과 갈비산적을 담아낸다.")</f>
        <v>1. 쪽파와 양파를 잘게 썬다.
2. 두부를 다진다.
3. 잘게 썬 쪽파와 양파, 다진 두부, 다진 돼지고기, 달걀노른자, 설탕, 소금, 후추, 잘게 썬 씻은 묵은지를 섞어 짜조 속을 만든다.
4. 3에 불린 목이버섯을 다져 넣는다.
5. 라이스페이퍼를 따뜻한 물에 불린 뒤, 짜조 속을 넣고 돌돌 만다.
6. 끓는 물에 불린 쌀국수면을 데친 뒤, 찬물에 헹궈 물기를 뺀다.
7. 물, 설탕, 피시소스, 쌀식초를 4 : 1 : 3/4 : 1/2 비율로 섞은 뒤 끓여 분짜소스를 만든다.
8. 갈비산적을 석쇠에 올려 직화한다.
9. 기름에 짜조를 튀긴다.
10. 튀긴 짜조를 건져내 한 김 식힌 뒤, 다시 튀긴다.
11. 스위트칠리소스와 스리라차소스를 섞는다.
12. 당근을 조각해 꽃모양을 만든다.
13. 접시에 짜조를 담고, 소스를 곁들인다.
14. 그릇에 분짜소스를 담고, 샐러드용 채소와 고수, 당근꽃을 올린다.
15. 분짜소스에 쌀국수면과 갈비산적을 담아낸다.</v>
      </c>
    </row>
    <row r="633">
      <c r="A633" s="2" t="str">
        <f>recipe!C633
</f>
        <v>칼제비전</v>
      </c>
      <c r="B633" s="2" t="str">
        <f>IFERROR(__xludf.DUMMYFUNCTION("TRIM(
  REGEXEXTRACT(
    raw!A633,
    ""●\s*조리\s*방법([\s\S]*)""
  )
)
"),"1. 끓는 물에 된장을 풀고 새우가루를 넣는다.
2. 감자, 애호박을 적당한 크기로 썬다.
3. 청양고추를 적당한 크기로 썬 뒤, 된장국에 넣는다.
4. 된장국에 감자를 넣고 끓인다.
5. 부추를 적당한 길이로 썬다.
6. 부침가루, 물, 소금, 참기름, 손질한 부추와 깻잎, 칵테일새우를 섞어 부추깻잎전 반죽을 만든다.
7. 기름을 두른 팬에 부추깻잎전 반죽을 넓게 펴서 굽는다.
8. 홍고추를 적당한 크기로 썰어 부추깻잎전 위에 올린다.
"&amp;"9. 된장국에 칼국수면과 수제비, 다진 마늘, 손질한 애호박, 후추를 넣고 끓여 된장칼제비를 만든다.
10. 된장칼제비에 팽이버섯, 칵테일새우를 넣고 끓인다.
11. 9에 적당한 크기로 썬 두부를 넣는다.
12. 부추깻잎전을 접시에 담아낸다.
13. 간장, 식초, 고춧가루, 다진 청양고추를 섞어 간장소스를 만든다.
14. 된장칼제비를 그릇에 담아낸다.
15. 된장칼제비 위에 날치알을 올린다.
16. 막걸리를 곁들여낸다.")</f>
        <v>1. 끓는 물에 된장을 풀고 새우가루를 넣는다.
2. 감자, 애호박을 적당한 크기로 썬다.
3. 청양고추를 적당한 크기로 썬 뒤, 된장국에 넣는다.
4. 된장국에 감자를 넣고 끓인다.
5. 부추를 적당한 길이로 썬다.
6. 부침가루, 물, 소금, 참기름, 손질한 부추와 깻잎, 칵테일새우를 섞어 부추깻잎전 반죽을 만든다.
7. 기름을 두른 팬에 부추깻잎전 반죽을 넓게 펴서 굽는다.
8. 홍고추를 적당한 크기로 썰어 부추깻잎전 위에 올린다.
9. 된장국에 칼국수면과 수제비, 다진 마늘, 손질한 애호박, 후추를 넣고 끓여 된장칼제비를 만든다.
10. 된장칼제비에 팽이버섯, 칵테일새우를 넣고 끓인다.
11. 9에 적당한 크기로 썬 두부를 넣는다.
12. 부추깻잎전을 접시에 담아낸다.
13. 간장, 식초, 고춧가루, 다진 청양고추를 섞어 간장소스를 만든다.
14. 된장칼제비를 그릇에 담아낸다.
15. 된장칼제비 위에 날치알을 올린다.
16. 막걸리를 곁들여낸다.</v>
      </c>
    </row>
    <row r="634">
      <c r="A634" s="2" t="str">
        <f>recipe!C634
</f>
        <v>아모르 패티</v>
      </c>
      <c r="B634" s="2" t="str">
        <f>IFERROR(__xludf.DUMMYFUNCTION("TRIM(
  REGEXEXTRACT(
    raw!A634,
    ""●\s*조리\s*방법([\s\S]*)""
  )
)
"),"1. 핸드블렌더에 소고기 등심을 넣고 간다.
2. 다진 등심, 다진 돼지고기에 잘게 썬 양파와 부추, 올리브오일, 소금, 후추, 모차렐라치즈를 넣고 버무려 패티반죽을 만든다.
3. 강판에 감자를 간 뒤, 즙을 짜낸다.
4. 간 감자에 간 양파, 달걀물, 후추, 소금, 밀가루를 넣고 섞어 감자전반죽을 만든다.
5. 기름을 두른 팬에 감자전반죽을 굽는다.
6. 패티반죽을 치댄 뒤, 동그랗게 모양을 잡는다.
7. 청양고추와 홍고추를 석쇠에 올려 직"&amp;"화한다.
8. 기름을 두른 팬에 편으로 썬 마늘과 잘게 썬 구운 홍고추, 토마토소스, 물을 넣고 끓여 칠리토마토소스를 만든다.
9. 기름을 두른 그릴팬에 패티를 굽는다.
10. 마늘편, 소금, 올리브오일, 구운 청양고추, 식초, 잘게 썬 부추를 섞어 고추절임을 만든다.
11. 레몬을 모양내서 접시에 플레이팅한다.
12. 접시에 감자전, 칠리토마토소스를 담는다.
13. 구운 패티를 접시에 담고, 잘게 썬 부추를 뿌려 마무리한다.")</f>
        <v>1. 핸드블렌더에 소고기 등심을 넣고 간다.
2. 다진 등심, 다진 돼지고기에 잘게 썬 양파와 부추, 올리브오일, 소금, 후추, 모차렐라치즈를 넣고 버무려 패티반죽을 만든다.
3. 강판에 감자를 간 뒤, 즙을 짜낸다.
4. 간 감자에 간 양파, 달걀물, 후추, 소금, 밀가루를 넣고 섞어 감자전반죽을 만든다.
5. 기름을 두른 팬에 감자전반죽을 굽는다.
6. 패티반죽을 치댄 뒤, 동그랗게 모양을 잡는다.
7. 청양고추와 홍고추를 석쇠에 올려 직화한다.
8. 기름을 두른 팬에 편으로 썬 마늘과 잘게 썬 구운 홍고추, 토마토소스, 물을 넣고 끓여 칠리토마토소스를 만든다.
9. 기름을 두른 그릴팬에 패티를 굽는다.
10. 마늘편, 소금, 올리브오일, 구운 청양고추, 식초, 잘게 썬 부추를 섞어 고추절임을 만든다.
11. 레몬을 모양내서 접시에 플레이팅한다.
12. 접시에 감자전, 칠리토마토소스를 담는다.
13. 구운 패티를 접시에 담고, 잘게 썬 부추를 뿌려 마무리한다.</v>
      </c>
    </row>
    <row r="635">
      <c r="A635" s="2" t="str">
        <f>recipe!C635
</f>
        <v>뜯고 씹고 호로록</v>
      </c>
      <c r="B635" s="2" t="str">
        <f>IFERROR(__xludf.DUMMYFUNCTION("TRIM(
  REGEXEXTRACT(
    raw!A635,
    ""●\s*조리\s*방법([\s\S]*)""
  )
)
"),"1. 끓는 기름에 대파, 고춧가루, 마늘을 넣고 끓여 고추기름을 낸다.
2. 당면을 튀긴다.
3. 등갈비를 손질한 뒤, 칼집을 낸다.
4. 손질한 등갈비와 대파에 조미간장을 넣고 버무린다.
5. 양념한 등갈비에 전분을 묻혀 튀긴다.
6. 양파는 채 썰고, 대파, 청양고추, 홍고추를 잘게 썬다.
7. 고추기름을 체에 밭쳐 건더기를 걸러낸다.
8. 대파를 적당한 크기로 썬다.
9. 오징어와 돼지목살을 가늘게 채 썬다.
10. 고추기름을 두른"&amp;" 팬에 적당한 크기로 썬 대파와 채 썬 오징어, 돼지목살, 조미간장, 느타리버섯, 새우가루를 넣고 볶는다.
11. 무를 채 썬다.
12. 볶던 재료에 채 썬 무, 새우젓, 인스턴트 사골곰탕, 물을 넣고 산라탕을 끓인다.
13. 산라탕에 불린 당면과 새우를 넣고 끓인다.
14. 등갈비튀김을 건져 한 김 식힌다.
15. 설탕, 간장, 식초, 맛술을 섞어 무침소스를 만든다.
16. 무침소스에 매실액을 더한다.
17. 잘게 썬 양배추, 사과, 부추"&amp;"에 무침소스, 손질한 양파, 대파, 청양고추, 홍고추를 넣고 버무려 부추무침을 만든다.
18. 등갈비튀김을 다시 한 번 튀긴다.
19. 대파, 청양고추, 홍고추를 잘게 썰어 팬에 넣는다.
20. 손질한 채소에 기름을 두르고, 등갈비튀김과 폰즈소스를 넣어 볶는다.
21. 접시에 부추무침을 깔고, 당면튀김을 올린다.
22. 21 위에 등갈비튀김을 올린 뒤, 부추무침을 얹는다.
23. 손질한 양파, 대파, 청양고추, 홍고추를 무침소스에 버무려 부추"&amp;"무침 위에 올린다.
24. 산라탕면에 전분물을 넣어 농도를 조절한다.
25. 그릇에 산라탕면을 담고, 고추기름을 뿌린다.")</f>
        <v>1. 끓는 기름에 대파, 고춧가루, 마늘을 넣고 끓여 고추기름을 낸다.
2. 당면을 튀긴다.
3. 등갈비를 손질한 뒤, 칼집을 낸다.
4. 손질한 등갈비와 대파에 조미간장을 넣고 버무린다.
5. 양념한 등갈비에 전분을 묻혀 튀긴다.
6. 양파는 채 썰고, 대파, 청양고추, 홍고추를 잘게 썬다.
7. 고추기름을 체에 밭쳐 건더기를 걸러낸다.
8. 대파를 적당한 크기로 썬다.
9. 오징어와 돼지목살을 가늘게 채 썬다.
10. 고추기름을 두른 팬에 적당한 크기로 썬 대파와 채 썬 오징어, 돼지목살, 조미간장, 느타리버섯, 새우가루를 넣고 볶는다.
11. 무를 채 썬다.
12. 볶던 재료에 채 썬 무, 새우젓, 인스턴트 사골곰탕, 물을 넣고 산라탕을 끓인다.
13. 산라탕에 불린 당면과 새우를 넣고 끓인다.
14. 등갈비튀김을 건져 한 김 식힌다.
15. 설탕, 간장, 식초, 맛술을 섞어 무침소스를 만든다.
16. 무침소스에 매실액을 더한다.
17. 잘게 썬 양배추, 사과, 부추에 무침소스, 손질한 양파, 대파, 청양고추, 홍고추를 넣고 버무려 부추무침을 만든다.
18. 등갈비튀김을 다시 한 번 튀긴다.
19. 대파, 청양고추, 홍고추를 잘게 썰어 팬에 넣는다.
20. 손질한 채소에 기름을 두르고, 등갈비튀김과 폰즈소스를 넣어 볶는다.
21. 접시에 부추무침을 깔고, 당면튀김을 올린다.
22. 21 위에 등갈비튀김을 올린 뒤, 부추무침을 얹는다.
23. 손질한 양파, 대파, 청양고추, 홍고추를 무침소스에 버무려 부추무침 위에 올린다.
24. 산라탕면에 전분물을 넣어 농도를 조절한다.
25. 그릇에 산라탕면을 담고, 고추기름을 뿌린다.</v>
      </c>
    </row>
    <row r="636">
      <c r="A636" s="2" t="str">
        <f>recipe!C636
</f>
        <v>역전만루홍런</v>
      </c>
      <c r="B636" s="2" t="str">
        <f>IFERROR(__xludf.DUMMYFUNCTION("TRIM(
  REGEXEXTRACT(
    raw!A636,
    ""●\s*조리\s*방법([\s\S]*)""
  )
)
"),"1. 통오겹살의 비계를 제거한 뒤, 꼬치에 꽂아 칼집을 낸다.
2. 칼집을 낸 통오겹살에 밀가루를 묻힌 뒤, 기름에 튀긴다.
3. 가래떡을 적당한 크기로 썬 뒤, 밀대로 얇게 민다.
4. 얇게 민 떡에 밀가루를 묻혀 기름에 튀긴다.
5. 기름을 두른 팬에 손질된 묵은지를 넣고 볶다가 고추장을 넣는다.
6. 묵은지를 볶던 팬에 대파를 잘게 썰어 넣고 함께 볶는다.
7. 양념불고기를 칼로 두드려 잘게 다진다.
8. 다진 양념불고기에 전분, 잘게"&amp;" 다진 고추장아찌를 넣고 버무린 뒤, 석쇠에 넓게 펴고 직화로 굽는다.
9. 밀가루, 달걀, 물을 섞어 전반죽을 만든다.
10. 기름을 두른 팬에 전반죽을 두른다.
11. 전반죽 위에 구운 양념불고기를 올려 불고기전을 만든다.
12. 튀긴 통오겹살과 떡을 건져 기름기를 뺀다.
13. 볶던 묵은지에 물, 설탕, 식초, 깍두기국물, 고추장아찌국물, 새우젓, 전분물을 넣고 끓여 묵은지소스를 만든다.
14. 튀긴 통오겹살을 다시 한 번 튀긴다.
1"&amp;"5. 고춧가루에 뜨거운 물을 부은 뒤, 채 썬 양파와 연겨자, 식초, 매실액, 간장, 피클국물, 고추장아찌국물을 섞어 전 양념을 만든다.
16. 전 양념을 종지에 담는다.
17. 접시에 불고기전을 담는다.
18. 접시에 묵은지소스를 담은 뒤, 통오겹탕수를 올리고 떡튀김을 얹어 마무리한다.")</f>
        <v>1. 통오겹살의 비계를 제거한 뒤, 꼬치에 꽂아 칼집을 낸다.
2. 칼집을 낸 통오겹살에 밀가루를 묻힌 뒤, 기름에 튀긴다.
3. 가래떡을 적당한 크기로 썬 뒤, 밀대로 얇게 민다.
4. 얇게 민 떡에 밀가루를 묻혀 기름에 튀긴다.
5. 기름을 두른 팬에 손질된 묵은지를 넣고 볶다가 고추장을 넣는다.
6. 묵은지를 볶던 팬에 대파를 잘게 썰어 넣고 함께 볶는다.
7. 양념불고기를 칼로 두드려 잘게 다진다.
8. 다진 양념불고기에 전분, 잘게 다진 고추장아찌를 넣고 버무린 뒤, 석쇠에 넓게 펴고 직화로 굽는다.
9. 밀가루, 달걀, 물을 섞어 전반죽을 만든다.
10. 기름을 두른 팬에 전반죽을 두른다.
11. 전반죽 위에 구운 양념불고기를 올려 불고기전을 만든다.
12. 튀긴 통오겹살과 떡을 건져 기름기를 뺀다.
13. 볶던 묵은지에 물, 설탕, 식초, 깍두기국물, 고추장아찌국물, 새우젓, 전분물을 넣고 끓여 묵은지소스를 만든다.
14. 튀긴 통오겹살을 다시 한 번 튀긴다.
15. 고춧가루에 뜨거운 물을 부은 뒤, 채 썬 양파와 연겨자, 식초, 매실액, 간장, 피클국물, 고추장아찌국물을 섞어 전 양념을 만든다.
16. 전 양념을 종지에 담는다.
17. 접시에 불고기전을 담는다.
18. 접시에 묵은지소스를 담은 뒤, 통오겹탕수를 올리고 떡튀김을 얹어 마무리한다.</v>
      </c>
    </row>
    <row r="637">
      <c r="A637" s="2" t="str">
        <f>recipe!C637
</f>
        <v>샌디에이고 짜그리스</v>
      </c>
      <c r="B637" s="2" t="str">
        <f>IFERROR(__xludf.DUMMYFUNCTION("TRIM(
  REGEXEXTRACT(
    raw!A637,
    ""●\s*조리\s*방법([\s\S]*)""
  )
)
"),"1. 버터를 두른 팬에 적당한 크기로 썬 베이컨과 삼겹살, 밀가루를 넣고 볶는다.
2. 볶던 재료에 인스턴트 사골곰탕을 붓고 끓인다.
3. 끓이던 재료에 적당한 크기로 썬 무와 앤초비, 표고버섯을 넣고 끓인다.
4. 대파를 두드린 후 적당한 크기로 썬다.
5. 끓이던 재료에 대파와 고춧가루를 넣고 짜글이를 끓인다.
6. 짜글이에 고추장을 푼 뒤, 불린 떡국떡을 넣고 끓인다.
7. 짜글이에 굴소스, 간장, 식초, 다진 마늘, 후추를 넣고 끓인다"&amp;".
8. 그릇에 밥을 담는다.
9. 짜글이에 설탕을 넣는다.
10. 그릇에 짜글이를 담아낸다.")</f>
        <v>1. 버터를 두른 팬에 적당한 크기로 썬 베이컨과 삼겹살, 밀가루를 넣고 볶는다.
2. 볶던 재료에 인스턴트 사골곰탕을 붓고 끓인다.
3. 끓이던 재료에 적당한 크기로 썬 무와 앤초비, 표고버섯을 넣고 끓인다.
4. 대파를 두드린 후 적당한 크기로 썬다.
5. 끓이던 재료에 대파와 고춧가루를 넣고 짜글이를 끓인다.
6. 짜글이에 고추장을 푼 뒤, 불린 떡국떡을 넣고 끓인다.
7. 짜글이에 굴소스, 간장, 식초, 다진 마늘, 후추를 넣고 끓인다.
8. 그릇에 밥을 담는다.
9. 짜글이에 설탕을 넣는다.
10. 그릇에 짜글이를 담아낸다.</v>
      </c>
    </row>
    <row r="638">
      <c r="A638" s="2" t="str">
        <f>recipe!C638
</f>
        <v>월드시리즈 간닭!</v>
      </c>
      <c r="B638" s="2" t="str">
        <f>IFERROR(__xludf.DUMMYFUNCTION("TRIM(
  REGEXEXTRACT(
    raw!A638,
    ""●\s*조리\s*방법([\s\S]*)""
  )
)
"),"1. 압력솥에 물을 끓이다가, 손질한 대파, 청양고추, 무, 마늘, 표고버섯을 넣고 끓인다.
2. 가래떡을 적당한 크기로 썰어 채소육수에 넣고 인스턴트 사골곰탕을 부어 함께 끓인다.
3. 손질한 닭에 칼집을 내고 채소육수에 넣은 뒤 압력솥 뚜껑을 닫고 끓인다.
4. 핸드블렌더에 닭가슴살을 넣고 간다.
5. 핸드블렌더에 인스턴트 무뼈닭발을 넣고 간다.
6. 간 닭가슴살과 닭발, 잘게 썬 양파, 달걀노른자, 전분, 소금, 후추, 생강즙을 섞어 닭완"&amp;"자반죽을 만든다.
7. 동그랗게 닭완자를 빚어 전분&gt;달걀물을 순서대로 입힌다.
8. 끓는 물에 인스턴트 사골곰탕을 넣고 끓이다가, 닭완자를 넣고 삶는다.
9. 기름을 두른 팬에 닭완자를 굽는다.
10. 고추장아찌국물, 매실액, 연겨자, 고추장, 된장을 섞어 소스를 만든다.
11. 종지에 소스를 담은 뒤, 들깻가루를 넣는다.
12. 팬에서 구운 닭완자를 석쇠에 넣고 직화한다.
13. 압력솥에서 익힌 닭과 떡을 건져내고, 국물에 맛술과 구운 닭"&amp;"완자를 넣고 끓인다.
14. 14에 삶은 닭완자도 함께 넣고 끓인다.
15. 익은 닭의 살만 발라낸 뒤, 그릇에 떡과 함께 담는다.
16. 그릇에 국물과 닭완자, 채소를 담는다.
17. 잘게 썬 대파를 올려 마무리한다.")</f>
        <v>1. 압력솥에 물을 끓이다가, 손질한 대파, 청양고추, 무, 마늘, 표고버섯을 넣고 끓인다.
2. 가래떡을 적당한 크기로 썰어 채소육수에 넣고 인스턴트 사골곰탕을 부어 함께 끓인다.
3. 손질한 닭에 칼집을 내고 채소육수에 넣은 뒤 압력솥 뚜껑을 닫고 끓인다.
4. 핸드블렌더에 닭가슴살을 넣고 간다.
5. 핸드블렌더에 인스턴트 무뼈닭발을 넣고 간다.
6. 간 닭가슴살과 닭발, 잘게 썬 양파, 달걀노른자, 전분, 소금, 후추, 생강즙을 섞어 닭완자반죽을 만든다.
7. 동그랗게 닭완자를 빚어 전분&gt;달걀물을 순서대로 입힌다.
8. 끓는 물에 인스턴트 사골곰탕을 넣고 끓이다가, 닭완자를 넣고 삶는다.
9. 기름을 두른 팬에 닭완자를 굽는다.
10. 고추장아찌국물, 매실액, 연겨자, 고추장, 된장을 섞어 소스를 만든다.
11. 종지에 소스를 담은 뒤, 들깻가루를 넣는다.
12. 팬에서 구운 닭완자를 석쇠에 넣고 직화한다.
13. 압력솥에서 익힌 닭과 떡을 건져내고, 국물에 맛술과 구운 닭완자를 넣고 끓인다.
14. 14에 삶은 닭완자도 함께 넣고 끓인다.
15. 익은 닭의 살만 발라낸 뒤, 그릇에 떡과 함께 담는다.
16. 그릇에 국물과 닭완자, 채소를 담는다.
17. 잘게 썬 대파를 올려 마무리한다.</v>
      </c>
    </row>
    <row r="639">
      <c r="A639" s="2" t="str">
        <f>recipe!C639
</f>
        <v>홍~치킨!</v>
      </c>
      <c r="B639" s="2" t="str">
        <f>IFERROR(__xludf.DUMMYFUNCTION("TRIM(
  REGEXEXTRACT(
    raw!A639,
    ""●\s*조리\s*방법([\s\S]*)""
  )
)
"),"1. 닭을 손질해 닭다리와 닭가슴살을 분리한다.
2. 끓는 물에 손질하고 남은 닭, 양파, 표고버섯대를 넣고 끓인다.
3. 핸드블렌더에 닭가슴살을 넣고 간다.
4. 핸드블렌더에 표고버섯과 느타리버섯을 넣고 간다.
5. 기름을 두른 팬에 잘게 썬 베이컨을 볶는다.
6. 양파를 한 겹씩 벗겨 기름에 튀긴다.
7. 튀긴 양파를 건져 기름기를 뺀다.
8. 볶던 베이컨에 간 닭가슴살과 버섯을 넣고 함께 볶는다.
9. 기름을 두른 팬에 잘게 썬 파프"&amp;"리카와 양파를 볶는다.
10. 견과류와 건크랜베리를 다진다.
11. 볶은 파프리카와 양파, 다진 견과류와 건크랜베리에 토마토소스를 넣고 섞는다.
12. 11에 간 블랙올리브, 설탕, 레몬즙, 올리브오일을 넣고 섞어 토마토올리브소스를 만든다.
13. 닭다리를 발골해 살만 발라낸 뒤, 기름을 두른 팬에 굽다가 소금, 후추로 간 한다.
14. 볶은 베이컨, 닭가슴살, 버섯의 일부를 핸드블렌더로 간 뒤, 버터와 닭육수를 넣고 끓여 스테이크소스를 만든다"&amp;".
15. 접시에 스테이크소스를 담은 뒤, 튀긴 양파를 얹고 볶은 베이컨, 닭가슴살과 버섯을 올린 뒤 튀긴 양파로 덮는다.
16. 발사믹드레싱을 뿌린다.
17. 닭다리살 스테이크를 올린 뒤, 토마토올리브소스를 얹는다.
18. 닭육수를 뿌린다.
19. 잘게 썬 대파를 올려 마무리한다.")</f>
        <v>1. 닭을 손질해 닭다리와 닭가슴살을 분리한다.
2. 끓는 물에 손질하고 남은 닭, 양파, 표고버섯대를 넣고 끓인다.
3. 핸드블렌더에 닭가슴살을 넣고 간다.
4. 핸드블렌더에 표고버섯과 느타리버섯을 넣고 간다.
5. 기름을 두른 팬에 잘게 썬 베이컨을 볶는다.
6. 양파를 한 겹씩 벗겨 기름에 튀긴다.
7. 튀긴 양파를 건져 기름기를 뺀다.
8. 볶던 베이컨에 간 닭가슴살과 버섯을 넣고 함께 볶는다.
9. 기름을 두른 팬에 잘게 썬 파프리카와 양파를 볶는다.
10. 견과류와 건크랜베리를 다진다.
11. 볶은 파프리카와 양파, 다진 견과류와 건크랜베리에 토마토소스를 넣고 섞는다.
12. 11에 간 블랙올리브, 설탕, 레몬즙, 올리브오일을 넣고 섞어 토마토올리브소스를 만든다.
13. 닭다리를 발골해 살만 발라낸 뒤, 기름을 두른 팬에 굽다가 소금, 후추로 간 한다.
14. 볶은 베이컨, 닭가슴살, 버섯의 일부를 핸드블렌더로 간 뒤, 버터와 닭육수를 넣고 끓여 스테이크소스를 만든다.
15. 접시에 스테이크소스를 담은 뒤, 튀긴 양파를 얹고 볶은 베이컨, 닭가슴살과 버섯을 올린 뒤 튀긴 양파로 덮는다.
16. 발사믹드레싱을 뿌린다.
17. 닭다리살 스테이크를 올린 뒤, 토마토올리브소스를 얹는다.
18. 닭육수를 뿌린다.
19. 잘게 썬 대파를 올려 마무리한다.</v>
      </c>
    </row>
    <row r="640">
      <c r="A640" s="2" t="str">
        <f>recipe!C640
</f>
        <v>사바사바♬</v>
      </c>
      <c r="B640" s="2" t="str">
        <f>IFERROR(__xludf.DUMMYFUNCTION("TRIM(
  REGEXEXTRACT(
    raw!A640,
    ""●\s*조리\s*방법([\s\S]*)""
  )
)
"),"1. 적당한 크기로 썬 무를 기름에 튀긴다.
2. 불린 쌀, 표고버섯 불린 물, 간장, 맛술, 밤, 불린 표고버섯을 솥에 넣은 뒤 뚜껑을 닫고 끓여 밥을 짓는다.
3. 고등어는 손질해 가시를 발라내고 적당한 크기로 썰어 등에 칼집을 낸다.
4. 손질한 고등어를 뜨거운 물에 담가둔다.
5. 고등어를 손질해 가시를 발라낸 뒤, 소금을 뿌리고 기름을 두른 팬에 굽는다.
6. 팬에 물, 맛술, 청주, 된장을 넣고 끓이다가 뜨거운 물에 담가뒀던 고등어와"&amp;" 불린 표고버섯을 넣고 조린다.
7. 튀긴 무의 겉면을 제거하고, 적당한 크기로 썰어 접시에 담는다.
8. 구운 고등어를 건져 기름기를 뺀다.
9. 고등어된장조림에 칼집을 낸 청양고추를 넣고 양념을 끼얹어가며 조린다.
10. 무 위에 고등어된장조림과 청양고추, 표고버섯을 얹는다.
11. 솥밥 위에 구운 고등어를 얹고, 적당한 크기로 썬 쪽파를 뿌린 뒤 뚜껑을 닫아 뜸을 들인다.
12. 고등어된장조림과 고등어솥밥을 함께 낸다.")</f>
        <v>1. 적당한 크기로 썬 무를 기름에 튀긴다.
2. 불린 쌀, 표고버섯 불린 물, 간장, 맛술, 밤, 불린 표고버섯을 솥에 넣은 뒤 뚜껑을 닫고 끓여 밥을 짓는다.
3. 고등어는 손질해 가시를 발라내고 적당한 크기로 썰어 등에 칼집을 낸다.
4. 손질한 고등어를 뜨거운 물에 담가둔다.
5. 고등어를 손질해 가시를 발라낸 뒤, 소금을 뿌리고 기름을 두른 팬에 굽는다.
6. 팬에 물, 맛술, 청주, 된장을 넣고 끓이다가 뜨거운 물에 담가뒀던 고등어와 불린 표고버섯을 넣고 조린다.
7. 튀긴 무의 겉면을 제거하고, 적당한 크기로 썰어 접시에 담는다.
8. 구운 고등어를 건져 기름기를 뺀다.
9. 고등어된장조림에 칼집을 낸 청양고추를 넣고 양념을 끼얹어가며 조린다.
10. 무 위에 고등어된장조림과 청양고추, 표고버섯을 얹는다.
11. 솥밥 위에 구운 고등어를 얹고, 적당한 크기로 썬 쪽파를 뿌린 뒤 뚜껑을 닫아 뜸을 들인다.
12. 고등어된장조림과 고등어솥밥을 함께 낸다.</v>
      </c>
    </row>
    <row r="641">
      <c r="A641" s="2" t="str">
        <f>recipe!C641
</f>
        <v>마무리고등어</v>
      </c>
      <c r="B641" s="2" t="str">
        <f>IFERROR(__xludf.DUMMYFUNCTION("TRIM(
  REGEXEXTRACT(
    raw!A641,
    ""●\s*조리\s*방법([\s\S]*)""
  )
)
"),"1. 우유를 끓인다.
2. 레몬껍질, 양파를 채 썬다.
3. 끓이던 우유에 채 썬 레몬껍질과 양파, 생강즙, 맛술을 넣고 끓인다.
4. 고등어는 손질해 적당한 크기로 자른다.
5. 각종 재료를 넣고 끓인 우유에 간장을 붓고 손질한 고등어를 담가둔다.
6. 마른 팬에 양파를 굽는다.
7. 구운 양파 일부를 덜어놓고, 남은 양파에 간장, 표고버섯 불린 물, 잘게 썬 청양고추를 넣고 조린다.
8. 핸드블렌더에 아보카도, 우유, 소금, 설탕을 넣고"&amp;" 갈다가 레몬즙을 더해 아보카도 퓌레를 만든다.
9. 접시에 구운 양파와 아보카도 퓌레를 담는다.
10. 아스파라거스와 당근을 얇게 슬라이스 한 뒤, 버터에 볶는다.
11. 볶던 채소에 마늘종을 넣고 볶는다.
12. 접시에 볶은 채소를 담는다.
13. 우유에 담가뒀던 고등어를 건져 올리브오일을 뿌린 뒤, 토치로 직화한다.
14. 직화한 고등어에 소금을 뿌린 뒤, 접시에 담는다.
15. 양파조림을 체에 밭쳐 국물만 걸러낸 뒤, 접시에 담는다."&amp;"
16. 믹서기에 육포를 갈아 보푸라기를 만든다.
17. 고등어 위에 육포 보푸라기와 볶은 마늘종을 올려 마무리한다.")</f>
        <v>1. 우유를 끓인다.
2. 레몬껍질, 양파를 채 썬다.
3. 끓이던 우유에 채 썬 레몬껍질과 양파, 생강즙, 맛술을 넣고 끓인다.
4. 고등어는 손질해 적당한 크기로 자른다.
5. 각종 재료를 넣고 끓인 우유에 간장을 붓고 손질한 고등어를 담가둔다.
6. 마른 팬에 양파를 굽는다.
7. 구운 양파 일부를 덜어놓고, 남은 양파에 간장, 표고버섯 불린 물, 잘게 썬 청양고추를 넣고 조린다.
8. 핸드블렌더에 아보카도, 우유, 소금, 설탕을 넣고 갈다가 레몬즙을 더해 아보카도 퓌레를 만든다.
9. 접시에 구운 양파와 아보카도 퓌레를 담는다.
10. 아스파라거스와 당근을 얇게 슬라이스 한 뒤, 버터에 볶는다.
11. 볶던 채소에 마늘종을 넣고 볶는다.
12. 접시에 볶은 채소를 담는다.
13. 우유에 담가뒀던 고등어를 건져 올리브오일을 뿌린 뒤, 토치로 직화한다.
14. 직화한 고등어에 소금을 뿌린 뒤, 접시에 담는다.
15. 양파조림을 체에 밭쳐 국물만 걸러낸 뒤, 접시에 담는다.
16. 믹서기에 육포를 갈아 보푸라기를 만든다.
17. 고등어 위에 육포 보푸라기와 볶은 마늘종을 올려 마무리한다.</v>
      </c>
    </row>
    <row r="642">
      <c r="A642" s="2" t="str">
        <f>recipe!C642
</f>
        <v>퀵! 차돌박이 볶음 말이</v>
      </c>
      <c r="B642" s="2" t="str">
        <f>IFERROR(__xludf.DUMMYFUNCTION("TRIM(
  REGEXEXTRACT(
    raw!A642,
    ""●\s*조리\s*방법([\s\S]*)""
  )
)
"),"1. 알배추, 적양파를 채 썬다.
2. 올리브오일과 참기름을 두른 팬에 채 썬 적양파, 홍고추, 대파를 볶는다.
3. 볶던 채소에 마늘, 청양고춧가루를 넣고 볶는다.
4. 아스파라거스를 적당한 길이로 썰어 기름을 두른 팬에 굽다가 소금으로 간한다.
5. 구운 아스파라거스를 접시에 옮겨 불고기양념과 굴소스를 바른다.
6. 채소를 볶던 팬에 채 썬 알배추와 굴소스를 넣고 볶는다.
7. 채소볶음에 팽이버섯을 넣고 버무린다.
8. 전자레인지에 즉석"&amp;"밥을 넣고 돌린다.
9. 기름을 두른 팬에 밥을 편 뒤, 눌러서 굽는다.
10. 기름을 두른 팬에 차돌박이를 굽다가 소금으로 간 한다.
11. 구운 차돌박이 위에 볶은 채소와 구운 아스파라거스를 올리고 돌돌 말아 차돌박이롤을 만든다.
12. 차돌박이롤에 불고기양념을 바른다.
13. 기름을 두른 팬에 차돌박이롤을 굽는다.
14. 구운 밥을 모양내서 자른 뒤, 접시에 올린다.
15. 구운 밥 위에 차돌박이롤을 올린다.
16. 차돌박이롤 위에 "&amp;"불고기양념을 바르고, 볶은 채소를 얹는다.
17. 잘게 썬 쪽파를 뿌려 마무리한다.")</f>
        <v>1. 알배추, 적양파를 채 썬다.
2. 올리브오일과 참기름을 두른 팬에 채 썬 적양파, 홍고추, 대파를 볶는다.
3. 볶던 채소에 마늘, 청양고춧가루를 넣고 볶는다.
4. 아스파라거스를 적당한 길이로 썰어 기름을 두른 팬에 굽다가 소금으로 간한다.
5. 구운 아스파라거스를 접시에 옮겨 불고기양념과 굴소스를 바른다.
6. 채소를 볶던 팬에 채 썬 알배추와 굴소스를 넣고 볶는다.
7. 채소볶음에 팽이버섯을 넣고 버무린다.
8. 전자레인지에 즉석밥을 넣고 돌린다.
9. 기름을 두른 팬에 밥을 편 뒤, 눌러서 굽는다.
10. 기름을 두른 팬에 차돌박이를 굽다가 소금으로 간 한다.
11. 구운 차돌박이 위에 볶은 채소와 구운 아스파라거스를 올리고 돌돌 말아 차돌박이롤을 만든다.
12. 차돌박이롤에 불고기양념을 바른다.
13. 기름을 두른 팬에 차돌박이롤을 굽는다.
14. 구운 밥을 모양내서 자른 뒤, 접시에 올린다.
15. 구운 밥 위에 차돌박이롤을 올린다.
16. 차돌박이롤 위에 불고기양념을 바르고, 볶은 채소를 얹는다.
17. 잘게 썬 쪽파를 뿌려 마무리한다.</v>
      </c>
    </row>
    <row r="643">
      <c r="A643" s="2" t="str">
        <f>recipe!C643
</f>
        <v>파이널복스</v>
      </c>
      <c r="B643" s="2" t="str">
        <f>IFERROR(__xludf.DUMMYFUNCTION("TRIM(
  REGEXEXTRACT(
    raw!A643,
    ""●\s*조리\s*방법([\s\S]*)""
  )
)
"),"1. 소고기등심을 적당한 크기로 썬 뒤, 간장에 재워둔다.
2. 기름에 적당한 크기로 썬 대파와 청양고춧가루를 넣고 끓여 고추기름을 낸다.
3. 간장에 재워둔 소고기등심에 전분&gt;달걀물을 입힌다.
4. 고추기름을 넉넉하게 두른 팬에 소고기 등심, 아스파라거스, 마늘종, 청양고추를 튀기듯 볶는다.
5. 찜기에 배추와 차돌박이, 쪽파를 넣고 찐다.
6. 핸드블렌더에 간장, 맛술, 유자청, 아보카도, 우유, 굴소스를 넣고 갈아 아보카도소스를 만든다.
"&amp;"
7. 잘게 썬 양파와 아보카도에 아보카도소스를 넣고 섞은 뒤, 종지에 담는다.
8. 등심볶음을 체에 밭쳐 기름기를 뺀다.
9. 기름을 두른 팬에 적당한 크기로 썬 대파와 쪽파를 볶다가, 등심볶음과 맛술, 굴소스, 후추를 넣고 볶아 소고기회과육을 만든다.
10. 소고기회과육을 접시에 담는다.
11. 차돌박이배추찜을 낸다.")</f>
        <v>1. 소고기등심을 적당한 크기로 썬 뒤, 간장에 재워둔다.
2. 기름에 적당한 크기로 썬 대파와 청양고춧가루를 넣고 끓여 고추기름을 낸다.
3. 간장에 재워둔 소고기등심에 전분&gt;달걀물을 입힌다.
4. 고추기름을 넉넉하게 두른 팬에 소고기 등심, 아스파라거스, 마늘종, 청양고추를 튀기듯 볶는다.
5. 찜기에 배추와 차돌박이, 쪽파를 넣고 찐다.
6. 핸드블렌더에 간장, 맛술, 유자청, 아보카도, 우유, 굴소스를 넣고 갈아 아보카도소스를 만든다.
7. 잘게 썬 양파와 아보카도에 아보카도소스를 넣고 섞은 뒤, 종지에 담는다.
8. 등심볶음을 체에 밭쳐 기름기를 뺀다.
9. 기름을 두른 팬에 적당한 크기로 썬 대파와 쪽파를 볶다가, 등심볶음과 맛술, 굴소스, 후추를 넣고 볶아 소고기회과육을 만든다.
10. 소고기회과육을 접시에 담는다.
11. 차돌박이배추찜을 낸다.</v>
      </c>
    </row>
    <row r="644">
      <c r="A644" s="2" t="str">
        <f>recipe!C644
</f>
        <v>승수를 올릴 어향가지</v>
      </c>
      <c r="B644" s="2" t="str">
        <f>IFERROR(__xludf.DUMMYFUNCTION("TRIM(
  REGEXEXTRACT(
    raw!A644,
    ""●\s*조리\s*방법([\s\S]*)""
  )
)
"),"1. 가지에 칼집을 넣는다.
2. 기름을 두른 팬에 손질한 가지를 튀기듯 굽는다.
3. 대파를 잘게 썬다.
4. 기름을 넉넉히 두른 팬에 잘게 썬 대파를 넣고 볶아 파기름을 낸다.
5. 파기름에 다진 돼지고기를 넣고 볶는다.
6. 잘게 썬 청양고추, 다진 마늘, 다진 생강을 섞은 뒤, 볶던 고기에 넣는다.
7. 올리고당, 간장, 된장, 물, 고춧가루를 섞어 양념을 만든다.
8. 볶던 재료에 양념을 넣고 볶아 어향소스를 만든다.
9. 어향소"&amp;"스에 튀기듯 구운 가지를 넣고 조린다.
10. 양송이버섯과 파프리카를 적당한 크기로 썰어 어향가지에 넣는다.
11. 전자레인지에 즉석밥을 넣고 돌린다.
12. 기름을 두른 팬에 달걀프라이를 굽다가, 뚜껑을 덮어 익힌다.
13. 그릇에 밥을 담은 뒤, 달걀프라이를 올린다.
14. 동치미 무를 적당한 크기로 썰어 종지에 담는다.
15. 접시에 어향가지를 담는다.")</f>
        <v>1. 가지에 칼집을 넣는다.
2. 기름을 두른 팬에 손질한 가지를 튀기듯 굽는다.
3. 대파를 잘게 썬다.
4. 기름을 넉넉히 두른 팬에 잘게 썬 대파를 넣고 볶아 파기름을 낸다.
5. 파기름에 다진 돼지고기를 넣고 볶는다.
6. 잘게 썬 청양고추, 다진 마늘, 다진 생강을 섞은 뒤, 볶던 고기에 넣는다.
7. 올리고당, 간장, 된장, 물, 고춧가루를 섞어 양념을 만든다.
8. 볶던 재료에 양념을 넣고 볶아 어향소스를 만든다.
9. 어향소스에 튀기듯 구운 가지를 넣고 조린다.
10. 양송이버섯과 파프리카를 적당한 크기로 썰어 어향가지에 넣는다.
11. 전자레인지에 즉석밥을 넣고 돌린다.
12. 기름을 두른 팬에 달걀프라이를 굽다가, 뚜껑을 덮어 익힌다.
13. 그릇에 밥을 담은 뒤, 달걀프라이를 올린다.
14. 동치미 무를 적당한 크기로 썰어 종지에 담는다.
15. 접시에 어향가지를 담는다.</v>
      </c>
    </row>
    <row r="645">
      <c r="A645" s="2" t="str">
        <f>recipe!C645
</f>
        <v>이태공 스테이크</v>
      </c>
      <c r="B645" s="2" t="str">
        <f>IFERROR(__xludf.DUMMYFUNCTION("TRIM(
  REGEXEXTRACT(
    raw!A645,
    ""●\s*조리\s*방법([\s\S]*)""
  )
)
"),"1. 참돔을 손질한다.
2. 끓는 물에 손질한 참돔, 된장, 다진 마늘을 넣고 참돔맑은탕을 끓인다.
3. 양파를 적당한 크기로 썰어 참돔맑은탕에 넣고 끓인다.
4. 무를 적당한 크기로 썬다.
5. 참돔맑은탕에 적당한 크기로 썬 무와 대파를 넣고 끓인다.
6. 참돔맑은탕에 적당한 크기로 썬 홍고추와 청양고추를 넣고 끓인다.
7. 참돔맑은탕에 핑크솔트, 마늘소금, 고춧가루를 넣는다.
8. 손질한 방어에 올리브오일, 후추, 레몬즙을 뿌린다.
9"&amp;". 래디시, 방울양배추, 엔다이브를 적당한 크기로 썬다.
10. 기름을 두른 팬에 손질한 채소를 볶다가 소금, 후추로 간 한다.
11. 접시에 볶은 채소를 담는다.
12. 기름을 두른 팬에 양념한 방어를 굽는다.
13. 참돔맑은탕에 후추, 간장, 소금으로 간 한다.
14. 접시에 방어스테이크를 담고, 볶은 채소 위에 발사믹드레싱을 뿌린다.
15. 조미간장, 식초, 레몬즙을 섞어 간장소스를 만든다.
16. 고추냉이를 곁들인다.
17. 참돔맑"&amp;"은탕에 미나리를 넣는다.
18. 그릇에 참돔맑은탕을 담아낸다.")</f>
        <v>1. 참돔을 손질한다.
2. 끓는 물에 손질한 참돔, 된장, 다진 마늘을 넣고 참돔맑은탕을 끓인다.
3. 양파를 적당한 크기로 썰어 참돔맑은탕에 넣고 끓인다.
4. 무를 적당한 크기로 썬다.
5. 참돔맑은탕에 적당한 크기로 썬 무와 대파를 넣고 끓인다.
6. 참돔맑은탕에 적당한 크기로 썬 홍고추와 청양고추를 넣고 끓인다.
7. 참돔맑은탕에 핑크솔트, 마늘소금, 고춧가루를 넣는다.
8. 손질한 방어에 올리브오일, 후추, 레몬즙을 뿌린다.
9. 래디시, 방울양배추, 엔다이브를 적당한 크기로 썬다.
10. 기름을 두른 팬에 손질한 채소를 볶다가 소금, 후추로 간 한다.
11. 접시에 볶은 채소를 담는다.
12. 기름을 두른 팬에 양념한 방어를 굽는다.
13. 참돔맑은탕에 후추, 간장, 소금으로 간 한다.
14. 접시에 방어스테이크를 담고, 볶은 채소 위에 발사믹드레싱을 뿌린다.
15. 조미간장, 식초, 레몬즙을 섞어 간장소스를 만든다.
16. 고추냉이를 곁들인다.
17. 참돔맑은탕에 미나리를 넣는다.
18. 그릇에 참돔맑은탕을 담아낸다.</v>
      </c>
    </row>
    <row r="646">
      <c r="A646" s="2" t="str">
        <f>recipe!C646
</f>
        <v>승수나르도 파스타리오</v>
      </c>
      <c r="B646" s="2" t="str">
        <f>IFERROR(__xludf.DUMMYFUNCTION("TRIM(
  REGEXEXTRACT(
    raw!A646,
    ""●\s*조리\s*방법([\s\S]*)""
  )
)
"),"1. 적양파, 삼겹살, 베이컨을 채 썰어 팬에 넣고 볶는다.
2. 파프리카, 가지, 새송이버섯을 적당한 크기로 썰어 기름을 두른 그릴팬에 굽다가 소금, 후추로 간한다.
3. 가지를 적당한 두께로 썰어 속을 동그랗게 파내고 밀가루를 입혀 튀긴다.
4. 베이컨을 채 썰어 팬에 볶다가 인스턴트 사골곰탕을 붓고 끓인다.
5. 볶은 재료에 베이컨과 함께 끓인 사골곰탕과 토마토소스를 붓고 끓여 파스타소스를 만든다.
6. 핸드블렌더로 게맛살을 간 뒤, 마요"&amp;"네즈, 올리브오일, 날치알을 넣고 섞는다.
7. 6을 튀긴 가지 속에 넣는다.
8. 속을 채운 가지에 위에 모차렐라치즈를 얹고 오븐에 넣고 익힌다.
9. 끓는 물에 소금을 넣은 뒤, 파스타면을 삶는다.
10. 식초, 간장, 맛술, 설탕, 물을 섞어 초간장소스를 만든다.
11. 접시에 초간장소스와 채 썬 적양파를 담는다.
12. 삶은 파스타면과 면수, 구운 채소를 파스타소스에 넣고 볶는다.
13. 오븐에서 익힌 가지를 초간장소스와 적양파 위에"&amp;" 올린 뒤, 토치로 치즈를 녹인다.
14. 파스타를 접시에 담는다.
15. 파스타 위에 파르메산 치즈가루를 뿌려 완성한다.")</f>
        <v>1. 적양파, 삼겹살, 베이컨을 채 썰어 팬에 넣고 볶는다.
2. 파프리카, 가지, 새송이버섯을 적당한 크기로 썰어 기름을 두른 그릴팬에 굽다가 소금, 후추로 간한다.
3. 가지를 적당한 두께로 썰어 속을 동그랗게 파내고 밀가루를 입혀 튀긴다.
4. 베이컨을 채 썰어 팬에 볶다가 인스턴트 사골곰탕을 붓고 끓인다.
5. 볶은 재료에 베이컨과 함께 끓인 사골곰탕과 토마토소스를 붓고 끓여 파스타소스를 만든다.
6. 핸드블렌더로 게맛살을 간 뒤, 마요네즈, 올리브오일, 날치알을 넣고 섞는다.
7. 6을 튀긴 가지 속에 넣는다.
8. 속을 채운 가지에 위에 모차렐라치즈를 얹고 오븐에 넣고 익힌다.
9. 끓는 물에 소금을 넣은 뒤, 파스타면을 삶는다.
10. 식초, 간장, 맛술, 설탕, 물을 섞어 초간장소스를 만든다.
11. 접시에 초간장소스와 채 썬 적양파를 담는다.
12. 삶은 파스타면과 면수, 구운 채소를 파스타소스에 넣고 볶는다.
13. 오븐에서 익힌 가지를 초간장소스와 적양파 위에 올린 뒤, 토치로 치즈를 녹인다.
14. 파스타를 접시에 담는다.
15. 파스타 위에 파르메산 치즈가루를 뿌려 완성한다.</v>
      </c>
    </row>
    <row r="647">
      <c r="A647" s="2" t="str">
        <f>recipe!C647
</f>
        <v>파스타랑깨</v>
      </c>
      <c r="B647" s="2" t="str">
        <f>IFERROR(__xludf.DUMMYFUNCTION("TRIM(
  REGEXEXTRACT(
    raw!A647,
    ""●\s*조리\s*방법([\s\S]*)""
  )
)
"),"1. 끓는 물에 소금과 생강즙을 넣고 알배추를 데친다.
2. 냄비에 인스턴트 사골곰탕과 으깬 마늘을 넣고 끓인다.
3. 끓인 사골곰탕에 적당한 크기로 썬 편육과 토마토소스를 넣고 끓여 배추찜소스를 만든다.
4. 3에 간장, 고춧가루, 후추를 넣고 끓인다.
5. 소금물에 데친 알배추를 배추찜소스에 넣고 끓인다.
6. 끓는 물에 파스타면과 굴소스를 넣고 끓인다.
7. 쪽파를 잘게 썬다.
8. 삶은 파스타면의 물을 따라낸 뒤, 들깻가루를 넣고 섞"&amp;"는다.
9. 김을 잘게 썬다.
10. 접시에 배추찜을 담는다.
11. 그릇에 들깨파스타를 담은 뒤, 들기름을 넣고 버무린다.
12. 들깨파스타 위에 잘게 썬 김을 올린다.
13. 배추찜 위에 잘게 썬 쪽파를 올린다.")</f>
        <v>1. 끓는 물에 소금과 생강즙을 넣고 알배추를 데친다.
2. 냄비에 인스턴트 사골곰탕과 으깬 마늘을 넣고 끓인다.
3. 끓인 사골곰탕에 적당한 크기로 썬 편육과 토마토소스를 넣고 끓여 배추찜소스를 만든다.
4. 3에 간장, 고춧가루, 후추를 넣고 끓인다.
5. 소금물에 데친 알배추를 배추찜소스에 넣고 끓인다.
6. 끓는 물에 파스타면과 굴소스를 넣고 끓인다.
7. 쪽파를 잘게 썬다.
8. 삶은 파스타면의 물을 따라낸 뒤, 들깻가루를 넣고 섞는다.
9. 김을 잘게 썬다.
10. 접시에 배추찜을 담는다.
11. 그릇에 들깨파스타를 담은 뒤, 들기름을 넣고 버무린다.
12. 들깨파스타 위에 잘게 썬 김을 올린다.
13. 배추찜 위에 잘게 썬 쪽파를 올린다.</v>
      </c>
    </row>
    <row r="648">
      <c r="A648" s="2" t="str">
        <f>recipe!C648
</f>
        <v>벵에돔이시여</v>
      </c>
      <c r="B648" s="2" t="str">
        <f>IFERROR(__xludf.DUMMYFUNCTION("TRIM(
  REGEXEXTRACT(
    raw!A648,
    ""●\s*조리\s*방법([\s\S]*)""
  )
)
"),"1. 대파, 청양고추를 적당한 크기로 썬다.
2. 끓는 기름에 손질한 채소와 고춧가루를 넣고 끓여 고추기름을 낸다.
3. 홍합을 삶는다.
4. 무, 브로콜리, 마늘, 대파, 아스파라거스를 손질한다.
5. 긴꼬리벵에돔 양쪽에 깊이 칼집을 낸다.
6. 칼집을 낸 긴꼬리벵에돔에 전분과 전분물을 차례로 바른 뒤, 기름에 튀긴다.
7. 고추기름을 체에 밭쳐 기름만 걸러낸다.
8. 홍고추와 고추를 직화한다.
9. 쯔유, 후추, 식초를 섞어 쯔유소스를"&amp;" 만든다.
10. 삶은 홍합을 찬물에 헹궈 식힌다.
11. 직화한 고추의 탄 부분을 제거하고 적당한 크기로 썰어 쯔유소스에 넣는다.
12. 고추기름을 두른 팬에 손질한 채소들을 넣고 볶는다.
13. 볶던 채소에 간장, 적당한 크기로 썬 그린올리브와 고추를 넣고 볶는다.
14. 14에 홍합육수와 삶은 홍합살을 넣고 끓인다.
15. 끓이던 재료에 맛술, 매실액, 후추, 쯔유를 넣어 마라탕소스를 만든다.
16. 긴꼬리벵에돔 튀김을 건져 기름기를 "&amp;"뺀다.
17. 깻잎을 채 썬다.
18. 접시에 익힌 채소를 담는다.
19. 익힌 채소 위에 긴꼬리벵에돔 튀김을 올린다.
20. 마라탕소스를 붓고, 채 썬 깻잎을 올려 마무리한다.")</f>
        <v>1. 대파, 청양고추를 적당한 크기로 썬다.
2. 끓는 기름에 손질한 채소와 고춧가루를 넣고 끓여 고추기름을 낸다.
3. 홍합을 삶는다.
4. 무, 브로콜리, 마늘, 대파, 아스파라거스를 손질한다.
5. 긴꼬리벵에돔 양쪽에 깊이 칼집을 낸다.
6. 칼집을 낸 긴꼬리벵에돔에 전분과 전분물을 차례로 바른 뒤, 기름에 튀긴다.
7. 고추기름을 체에 밭쳐 기름만 걸러낸다.
8. 홍고추와 고추를 직화한다.
9. 쯔유, 후추, 식초를 섞어 쯔유소스를 만든다.
10. 삶은 홍합을 찬물에 헹궈 식힌다.
11. 직화한 고추의 탄 부분을 제거하고 적당한 크기로 썰어 쯔유소스에 넣는다.
12. 고추기름을 두른 팬에 손질한 채소들을 넣고 볶는다.
13. 볶던 채소에 간장, 적당한 크기로 썬 그린올리브와 고추를 넣고 볶는다.
14. 14에 홍합육수와 삶은 홍합살을 넣고 끓인다.
15. 끓이던 재료에 맛술, 매실액, 후추, 쯔유를 넣어 마라탕소스를 만든다.
16. 긴꼬리벵에돔 튀김을 건져 기름기를 뺀다.
17. 깻잎을 채 썬다.
18. 접시에 익힌 채소를 담는다.
19. 익힌 채소 위에 긴꼬리벵에돔 튀김을 올린다.
20. 마라탕소스를 붓고, 채 썬 깻잎을 올려 마무리한다.</v>
      </c>
    </row>
    <row r="649">
      <c r="A649" s="2" t="str">
        <f>recipe!C649
</f>
        <v>레이먼킹돔</v>
      </c>
      <c r="B649" s="2" t="str">
        <f>IFERROR(__xludf.DUMMYFUNCTION("TRIM(
  REGEXEXTRACT(
    raw!A649,
    ""●\s*조리\s*방법([\s\S]*)""
  )
)
"),"1. 압력밥솥에 물을 끓이다가, 손질한 대파와 무, 다진 생강, 마늘, 맛술, 청주를 넣고 끓여 채소육수를 낸다.
2. 찜기에 물, 레몬즙, 레몬을 넣고 끓인다.
3. 긴꼬리벵에돔을 손질한다.
4. 긴꼬리벵에돔 뼈에 뜨거운 물을 부어 비린내를 제거한다.
5. 채소육수에 긴꼬리벵에돔 뼈를 넣고 끓인다.
6. 긴꼬리벵에돔 살을 적당한 크기로 손질한 뒤, 소금, 후추로 간 한다.
7. 6에 올리브오일을 바르고 레몬을 올린 뒤, 찜기에 넣어 레몬증기"&amp;"로 찐다.
8. 긴꼬리벵에돔 살을 다지고, 달걀노른자, 즉석밥, 소금, 후추, 전분과 함께 버무린다.
9. 긴꼬리벵에돔 밥을 모양 잡은 뒤, 기름에 튀긴다.
10. 돔육수를 체에 밭쳐 육수만 걸러낸다.
11. 돔육수에 쯔유, 소금으로 간 하고, 전분물을 넣어 농도를 조절한다.
12. 그릇에 긴꼬리벵에돔 밥튀김을 넣고, 돔육수를 붓는다.
13. 긴꼬리벵에돔 밥튀김 위에 긴꼬리벵에돔 스테이크를 올린다.
14. 긴꼬리벵에돔 스테이크 위에 잘게 썬"&amp;" 대파와 우메보시를 올려 마무리한다.")</f>
        <v>1. 압력밥솥에 물을 끓이다가, 손질한 대파와 무, 다진 생강, 마늘, 맛술, 청주를 넣고 끓여 채소육수를 낸다.
2. 찜기에 물, 레몬즙, 레몬을 넣고 끓인다.
3. 긴꼬리벵에돔을 손질한다.
4. 긴꼬리벵에돔 뼈에 뜨거운 물을 부어 비린내를 제거한다.
5. 채소육수에 긴꼬리벵에돔 뼈를 넣고 끓인다.
6. 긴꼬리벵에돔 살을 적당한 크기로 손질한 뒤, 소금, 후추로 간 한다.
7. 6에 올리브오일을 바르고 레몬을 올린 뒤, 찜기에 넣어 레몬증기로 찐다.
8. 긴꼬리벵에돔 살을 다지고, 달걀노른자, 즉석밥, 소금, 후추, 전분과 함께 버무린다.
9. 긴꼬리벵에돔 밥을 모양 잡은 뒤, 기름에 튀긴다.
10. 돔육수를 체에 밭쳐 육수만 걸러낸다.
11. 돔육수에 쯔유, 소금으로 간 하고, 전분물을 넣어 농도를 조절한다.
12. 그릇에 긴꼬리벵에돔 밥튀김을 넣고, 돔육수를 붓는다.
13. 긴꼬리벵에돔 밥튀김 위에 긴꼬리벵에돔 스테이크를 올린다.
14. 긴꼬리벵에돔 스테이크 위에 잘게 썬 대파와 우메보시를 올려 마무리한다.</v>
      </c>
    </row>
    <row r="650">
      <c r="A650" s="2" t="str">
        <f>recipe!C650
</f>
        <v>이건 태곤스타일♬</v>
      </c>
      <c r="B650" s="2" t="str">
        <f>IFERROR(__xludf.DUMMYFUNCTION("TRIM(
  REGEXEXTRACT(
    raw!A650,
    ""●\s*조리\s*방법([\s\S]*)""
  )
)
"),"1. 적당한 크기로 썬 무의 껍질을 벗겨내고, 대패삼겹살으로 돌돌 만 뒤 밀가루를 묻힌다.
2. 식빵의 테두리는 잘라내고, 믹서기에 갈아 빵가루를 만든다.
3. 밀가루, 달걀, 우유를 섞어 튀김반죽을 만든다.
4. 밀가루를 묻힌 대패삼겹살에 튀김반죽&gt;빵가루를 순서대로 입혀 기름에 튀긴다.
5. 튀긴 대패삼겹살을 건져낸 뒤, 다시 한 번 튀김반죽&gt;빵가루를 순서대로 입혀 튀긴다.
6. 무늬오징어에 촘촘하게 칼집을 낸 뒤, 적당한 크기로 썰어 끓는 "&amp;"물에 데친다.
7. 홍합을 삶는다.
8. 양파, 마늘, 애호박을 적당한 크기로 썰어 기름을 두른 팬에 볶는다.
9. 삶은 홍합의 살을 발라낸다.
10. 볶던 채소에 새우, 데친 무늬오징어, 소금, 굴소스, 삶은 홍합살, 청주, 버터, 후추를 넣고 볶는다.
11. 대패삼겹살 튀김의 윗면을 자른 뒤, 무를 빼내 그릇모양을 만든다.
12. 대패삼겹살 그릇 속을 토치로 익힌다.
13. 볶던 해산물과 채소에 오징어먹물을 넣고 볶아 오징어먹물버터야키를"&amp;" 만든다.
14. 대패삼겹살그릇에 오징어먹물버터야키를 담는다.
15. 접시에 대패삼겹살그릇과 오징어먹물버터야키를 담아 마무리한다.")</f>
        <v>1. 적당한 크기로 썬 무의 껍질을 벗겨내고, 대패삼겹살으로 돌돌 만 뒤 밀가루를 묻힌다.
2. 식빵의 테두리는 잘라내고, 믹서기에 갈아 빵가루를 만든다.
3. 밀가루, 달걀, 우유를 섞어 튀김반죽을 만든다.
4. 밀가루를 묻힌 대패삼겹살에 튀김반죽&gt;빵가루를 순서대로 입혀 기름에 튀긴다.
5. 튀긴 대패삼겹살을 건져낸 뒤, 다시 한 번 튀김반죽&gt;빵가루를 순서대로 입혀 튀긴다.
6. 무늬오징어에 촘촘하게 칼집을 낸 뒤, 적당한 크기로 썰어 끓는 물에 데친다.
7. 홍합을 삶는다.
8. 양파, 마늘, 애호박을 적당한 크기로 썰어 기름을 두른 팬에 볶는다.
9. 삶은 홍합의 살을 발라낸다.
10. 볶던 채소에 새우, 데친 무늬오징어, 소금, 굴소스, 삶은 홍합살, 청주, 버터, 후추를 넣고 볶는다.
11. 대패삼겹살 튀김의 윗면을 자른 뒤, 무를 빼내 그릇모양을 만든다.
12. 대패삼겹살 그릇 속을 토치로 익힌다.
13. 볶던 해산물과 채소에 오징어먹물을 넣고 볶아 오징어먹물버터야키를 만든다.
14. 대패삼겹살그릇에 오징어먹물버터야키를 담는다.
15. 접시에 대패삼겹살그릇과 오징어먹물버터야키를 담아 마무리한다.</v>
      </c>
    </row>
    <row r="651">
      <c r="A651" s="2" t="str">
        <f>recipe!C651
</f>
        <v>무소유</v>
      </c>
      <c r="B651" s="2" t="str">
        <f>IFERROR(__xludf.DUMMYFUNCTION("TRIM(
  REGEXEXTRACT(
    raw!A651,
    ""●\s*조리\s*방법([\s\S]*)""
  )
)
"),"1. 무를 세로로 반을 가른다.
2. 반으로 가른 무의 속을 파내 그릇모양을 만든 뒤, 찜기에 찐다.
3. 무와 양파를 적당한 크기로 썬다.
4. 기름을 두른 팬에 손질한 채소를 볶는다.
5. 볶던 채소에 잘게 썬 대파를 넣고 볶는다.
6. 볶던 채소에 크림소스와 뜨거운 물을 붓고 조린다.
7. 6과 소금, 후추를 핸드블렌더에 넣고 갈아 무크림소스를 만든다.
8. 소금을 넣은 끓는 물에 브로콜리와 애호박을 데친다.
9. 데친 채소를 얼음물"&amp;"에 담가 식힌다.
10. 래디시와 방울양배추를 손질해 얼음물에 담가둔다.
11. 끓는 물에 간장, 설탕, 홍합을 넣고 익힌다.
12. 소갈비살에 핑크솔트로 간 한다.
13. 기름을 두른 팬에 소갈비살을 굽는다.
14. 대파, 양파를 잘게 썬다.
15. 익힌 홍합을 건져낸 뒤, 홍합육수에 발사믹드레싱과 버터를 넣어 홍합발사믹소스를 만든다.
16. 소갈비살을 굽던 팬에 익힌 홍합과 홍합발사믹소스를 넣고 함께 볶는다.
17. 16에 잘게 썬 대"&amp;"파와 양파를 넣고, 후추를 뿌린다.
18. 브로콜리를 손질한 뒤, 적당한 크기로 썬다.
19. 찐 무그릇에 무크림소스를 담은 뒤, 홍합발사믹소스에 볶은 홍합과 소갈비살을 올린다.
20. 그릇에 무크림소스와 손질한 브로콜리, 래디시, 무순을 담은 뒤, 홍합과 소갈비살을 담은 무그릇을 올려 마무리한다.")</f>
        <v>1. 무를 세로로 반을 가른다.
2. 반으로 가른 무의 속을 파내 그릇모양을 만든 뒤, 찜기에 찐다.
3. 무와 양파를 적당한 크기로 썬다.
4. 기름을 두른 팬에 손질한 채소를 볶는다.
5. 볶던 채소에 잘게 썬 대파를 넣고 볶는다.
6. 볶던 채소에 크림소스와 뜨거운 물을 붓고 조린다.
7. 6과 소금, 후추를 핸드블렌더에 넣고 갈아 무크림소스를 만든다.
8. 소금을 넣은 끓는 물에 브로콜리와 애호박을 데친다.
9. 데친 채소를 얼음물에 담가 식힌다.
10. 래디시와 방울양배추를 손질해 얼음물에 담가둔다.
11. 끓는 물에 간장, 설탕, 홍합을 넣고 익힌다.
12. 소갈비살에 핑크솔트로 간 한다.
13. 기름을 두른 팬에 소갈비살을 굽는다.
14. 대파, 양파를 잘게 썬다.
15. 익힌 홍합을 건져낸 뒤, 홍합육수에 발사믹드레싱과 버터를 넣어 홍합발사믹소스를 만든다.
16. 소갈비살을 굽던 팬에 익힌 홍합과 홍합발사믹소스를 넣고 함께 볶는다.
17. 16에 잘게 썬 대파와 양파를 넣고, 후추를 뿌린다.
18. 브로콜리를 손질한 뒤, 적당한 크기로 썬다.
19. 찐 무그릇에 무크림소스를 담은 뒤, 홍합발사믹소스에 볶은 홍합과 소갈비살을 올린다.
20. 그릇에 무크림소스와 손질한 브로콜리, 래디시, 무순을 담은 뒤, 홍합과 소갈비살을 담은 무그릇을 올려 마무리한다.</v>
      </c>
    </row>
    <row r="652">
      <c r="A652" s="2" t="str">
        <f>recipe!C652
</f>
        <v>홍시 연볶이</v>
      </c>
      <c r="B652" s="2" t="str">
        <f>IFERROR(__xludf.DUMMYFUNCTION("TRIM(
  REGEXEXTRACT(
    raw!A652,
    ""●\s*조리\s*방법([\s\S]*)""
  )
)
"),"1. 양파에 칼집을 넣어 연꽃 모양을 만든 뒤, 찬물에 담가둔다.
2. 양파, 마늘, 대파를 손질한다.
3. 기름을 두른 팬에 손질한 채소를 볶는다.
4. 채식어묵을 적당한 크기로 썬다.
5. 불린 떡볶이떡, 적당한 크기로 썬 아스파라거스와 애호박, 채식어묵에 매실청, 올리브오일, 간장, 고추장을 넣고 버무린다.
6. 채소를 볶던 팬에 양념한 떡&amp;채소와 표고버섯가루를 넣고 볶아 떡볶이를 만든다.
7. 찬물에 담가둔 양파연꽃을 끓는 물에 데친다"&amp;".
8. 데친 양파연꽃에 밀가루&gt;달걀물&gt;밀가루를 순서대로 입혀 튀긴다.
9. 떡볶이에 불린 당면을 넣고 볶는다.
10. 홍시는 껍질을 벗기고 씨를 발라낸 뒤, 핸드블렌더에 간다.
11. 당면 떡볶이에 간 홍시를 넣고 볶는다.
12. 양파연꽃튀김에 소금을 뿌린다.
13. 그릇에 홍시 당면 떡볶이를 담은 뒤, 간 홍시를 붓는다.
14. 13 위에 양파연꽃튀김을 올려 마무리한다.")</f>
        <v>1. 양파에 칼집을 넣어 연꽃 모양을 만든 뒤, 찬물에 담가둔다.
2. 양파, 마늘, 대파를 손질한다.
3. 기름을 두른 팬에 손질한 채소를 볶는다.
4. 채식어묵을 적당한 크기로 썬다.
5. 불린 떡볶이떡, 적당한 크기로 썬 아스파라거스와 애호박, 채식어묵에 매실청, 올리브오일, 간장, 고추장을 넣고 버무린다.
6. 채소를 볶던 팬에 양념한 떡&amp;채소와 표고버섯가루를 넣고 볶아 떡볶이를 만든다.
7. 찬물에 담가둔 양파연꽃을 끓는 물에 데친다.
8. 데친 양파연꽃에 밀가루&gt;달걀물&gt;밀가루를 순서대로 입혀 튀긴다.
9. 떡볶이에 불린 당면을 넣고 볶는다.
10. 홍시는 껍질을 벗기고 씨를 발라낸 뒤, 핸드블렌더에 간다.
11. 당면 떡볶이에 간 홍시를 넣고 볶는다.
12. 양파연꽃튀김에 소금을 뿌린다.
13. 그릇에 홍시 당면 떡볶이를 담은 뒤, 간 홍시를 붓는다.
14. 13 위에 양파연꽃튀김을 올려 마무리한다.</v>
      </c>
    </row>
    <row r="653">
      <c r="A653" s="2" t="str">
        <f>recipe!C653
</f>
        <v>완벽한 라볶이에 대한 사랑</v>
      </c>
      <c r="B653" s="2" t="str">
        <f>IFERROR(__xludf.DUMMYFUNCTION("TRIM(
  REGEXEXTRACT(
    raw!A653,
    ""●\s*조리\s*방법([\s\S]*)""
  )
)
"),"1. 채식라면 면을 삶는다.
2. 유부를 데친다.
3. 삶은 면을 건져 찬물에 헹군다.
4. 삶은 면에 전분, 모차렐라치즈를 넣고 버무린 뒤, 기름을 두른 팬에 굽는다.
5. 핸드블랜더에 손질한 마, 밀가루, 전분, 달걀흰자, 설탕, 소금, 당근, 대파를 넣고 갈아 어묵반죽을 만든다.
6. 기름을 두른 팬에 어묵반죽을 구워 마 어묵을 만든다.
7. 데친 유부를 건져낸 뒤, 찬물에 담가 식힌다.
8. 애호박, 양파, 불린 표고버섯을 간 뒤, "&amp;"불린 당면과 조미김, 간장, 들기름을 섞어 만두소를 만든다.
9. 데친 유부 안에 만두소를 채운 뒤, 이쑤시개로 고정해 유부만두를 만든다.
10. 기름을 두른 팬에 손질한 양파와 마늘을 볶는다.
11. 10에 손질한 불린 표고버섯, 양배추, 애호박, 불린 떡볶이떡, 양송이버섯, 표고버섯가루, 표고버섯 불린 물, 뜨거운 물을 넣고 끓여 떡볶이 소스를 만든다.
12. 마 어묵을 적당한 크기로 썬다.
13. 그릇에 구운 라면과 마 어묵을 담는다.
"&amp;"14. 밀가루에 물을 섞어 튀김옷을 만든 뒤, 유부만두에 입혀 튀긴다.
15. 떡볶이 소스에 간장, 맛술, 설탕, 적당한 크기로 썬 홍고추, 부순 조미김, 채식라면 수프를 넣고 끓인다.
16. 떡볶이 소스에 전분물을 넣어 농도를 조절한다.
17. 그릇에 유부만두튀김을 담은 뒤, 떡볶이 소스를 부어 마무리한다.")</f>
        <v>1. 채식라면 면을 삶는다.
2. 유부를 데친다.
3. 삶은 면을 건져 찬물에 헹군다.
4. 삶은 면에 전분, 모차렐라치즈를 넣고 버무린 뒤, 기름을 두른 팬에 굽는다.
5. 핸드블랜더에 손질한 마, 밀가루, 전분, 달걀흰자, 설탕, 소금, 당근, 대파를 넣고 갈아 어묵반죽을 만든다.
6. 기름을 두른 팬에 어묵반죽을 구워 마 어묵을 만든다.
7. 데친 유부를 건져낸 뒤, 찬물에 담가 식힌다.
8. 애호박, 양파, 불린 표고버섯을 간 뒤, 불린 당면과 조미김, 간장, 들기름을 섞어 만두소를 만든다.
9. 데친 유부 안에 만두소를 채운 뒤, 이쑤시개로 고정해 유부만두를 만든다.
10. 기름을 두른 팬에 손질한 양파와 마늘을 볶는다.
11. 10에 손질한 불린 표고버섯, 양배추, 애호박, 불린 떡볶이떡, 양송이버섯, 표고버섯가루, 표고버섯 불린 물, 뜨거운 물을 넣고 끓여 떡볶이 소스를 만든다.
12. 마 어묵을 적당한 크기로 썬다.
13. 그릇에 구운 라면과 마 어묵을 담는다.
14. 밀가루에 물을 섞어 튀김옷을 만든 뒤, 유부만두에 입혀 튀긴다.
15. 떡볶이 소스에 간장, 맛술, 설탕, 적당한 크기로 썬 홍고추, 부순 조미김, 채식라면 수프를 넣고 끓인다.
16. 떡볶이 소스에 전분물을 넣어 농도를 조절한다.
17. 그릇에 유부만두튀김을 담은 뒤, 떡볶이 소스를 부어 마무리한다.</v>
      </c>
    </row>
    <row r="654">
      <c r="A654" s="2" t="str">
        <f>recipe!C654
</f>
        <v>승소 파스타</v>
      </c>
      <c r="B654" s="2" t="str">
        <f>IFERROR(__xludf.DUMMYFUNCTION("TRIM(
  REGEXEXTRACT(
    raw!A654,
    ""●\s*조리\s*방법([\s\S]*)""
  )
)
"),"1. 믹서기에 물, 도토리묵을 넣고 간다.
2. 밀가루에 소금, 올리브오일, 물과 함께 간 도토리묵을 넣고 섞어 도토리면 반죽을 만든다.
3. 배의 윗면을 잘라내고 속을 파낸다.
4. 볼에 오미자청, 물, 배, 딸기를 넣고 버무린다.
5. 속을 파낸 배 안에 오미자청에 버무린 배와 딸기를 채우고, 압력솥에 넣어 찐다.
6. 불린 표고버섯과 양파를 적당한 크기로 썰어 기름을 두른 팬에 볶는다.
7. 강판에 간 배를 채소를 볶던 팬에 넣는다.
"&amp;"8. 아스파라거스와 동치미 무를 잘게 썰어 채소를 볶던 팬에 넣고 함께 볶는다.
9. 8에 고춧가루, 간장, 들기름, 잘게 썬 연근조림을 넣고 볶아 파스타소스를 만든다.
10. 도토리반죽을 치대고 넓게 민 뒤, 적당한 두께로 썰어 도토리생면을 만든다.
11. 끓는 물에 도토리생면을 삶는다.
12. 파스타소스에 식초, 동치미국물을 넣는다.
13. 삶은 도토리생면을 찬물에 헹군 뒤, 파스타소스에 넣고 볶는다.
14. 파스타에 흑임자드레싱을 넣고 "&amp;"볶는다.
15. 그릇에 도토리생면 파스타를 담은 뒤, 잘게 썬 아스파라거스와 동치미 무를 올린다.
16. 그릇에 배찜을 담고 잘게 썬 대추를 올려 마무리한다.")</f>
        <v>1. 믹서기에 물, 도토리묵을 넣고 간다.
2. 밀가루에 소금, 올리브오일, 물과 함께 간 도토리묵을 넣고 섞어 도토리면 반죽을 만든다.
3. 배의 윗면을 잘라내고 속을 파낸다.
4. 볼에 오미자청, 물, 배, 딸기를 넣고 버무린다.
5. 속을 파낸 배 안에 오미자청에 버무린 배와 딸기를 채우고, 압력솥에 넣어 찐다.
6. 불린 표고버섯과 양파를 적당한 크기로 썰어 기름을 두른 팬에 볶는다.
7. 강판에 간 배를 채소를 볶던 팬에 넣는다.
8. 아스파라거스와 동치미 무를 잘게 썰어 채소를 볶던 팬에 넣고 함께 볶는다.
9. 8에 고춧가루, 간장, 들기름, 잘게 썬 연근조림을 넣고 볶아 파스타소스를 만든다.
10. 도토리반죽을 치대고 넓게 민 뒤, 적당한 두께로 썰어 도토리생면을 만든다.
11. 끓는 물에 도토리생면을 삶는다.
12. 파스타소스에 식초, 동치미국물을 넣는다.
13. 삶은 도토리생면을 찬물에 헹군 뒤, 파스타소스에 넣고 볶는다.
14. 파스타에 흑임자드레싱을 넣고 볶는다.
15. 그릇에 도토리생면 파스타를 담은 뒤, 잘게 썬 아스파라거스와 동치미 무를 올린다.
16. 그릇에 배찜을 담고 잘게 썬 대추를 올려 마무리한다.</v>
      </c>
    </row>
    <row r="655">
      <c r="A655" s="2" t="str">
        <f>recipe!C655
</f>
        <v>머쉬 치윤디~!</v>
      </c>
      <c r="B655" s="2" t="str">
        <f>IFERROR(__xludf.DUMMYFUNCTION("TRIM(
  REGEXEXTRACT(
    raw!A655,
    ""●\s*조리\s*방법([\s\S]*)""
  )
)
"),"1. 마른 팬에 아몬드슬라이스를 볶는다.
2. 기름을 두른 냄비에 손질한 양파, 당근, 표고버섯과 표고버섯가루를 넣고 볶다가, 물을 넣고 끓여 채소육수를 낸다.
3. 볶은 아몬드슬라이스를 접시에 담아둔다.
4. 기름을 두른 팬에 잘게 썬 양파와 양송이버섯, 소금을 넣고 볶는다.
5. 마른 팬에 버터와 밀가루를 넣고 볶아 루를 만든다.
6. 루에 우유, 검은콩두유를 넣고 끓여 크림소스를 만든다.
7. 볶던 채소에 채소육수를 넣고 끓이다가 크림소"&amp;"스를 넣어 버섯크림수프를 만든다.
8. 양송이버섯에 올리브오일, 발사믹식초를 넣고 버무린 뒤, 잘게 다진 연근조림으로 속을 채운다.
9. 속을 채운 양송이버섯을 오븐에 넣고 굽는다.
10. 오븐에 구운 양송이버섯 위에 모차렐라치즈를 올린 뒤, 다시 한 번 굽는다.
11. 아스파라거스와 마를 채 썬다.
12. 레몬즙, 올리브오일, 설탕, 발사믹식초를 섞어 만든 드레싱을 채 썬 채소에 넣고 버무린다.
13. 버섯크림수프에 모차렐라치즈를 넣고 핸드"&amp;"블렌더로 간 뒤, 다시 한 번 끓인다.
14. 그릇에 버섯크림수프를 담는다.
15. 버섯크림수프 위에 양송이치즈구이를 올린다.
16. 15 위에 마&amp;아스파라거스샐러드를 올리고, 구운 아몬드슬라이스를 뿌린다.
17. 레몬즙을 뿌려 마무리한다.")</f>
        <v>1. 마른 팬에 아몬드슬라이스를 볶는다.
2. 기름을 두른 냄비에 손질한 양파, 당근, 표고버섯과 표고버섯가루를 넣고 볶다가, 물을 넣고 끓여 채소육수를 낸다.
3. 볶은 아몬드슬라이스를 접시에 담아둔다.
4. 기름을 두른 팬에 잘게 썬 양파와 양송이버섯, 소금을 넣고 볶는다.
5. 마른 팬에 버터와 밀가루를 넣고 볶아 루를 만든다.
6. 루에 우유, 검은콩두유를 넣고 끓여 크림소스를 만든다.
7. 볶던 채소에 채소육수를 넣고 끓이다가 크림소스를 넣어 버섯크림수프를 만든다.
8. 양송이버섯에 올리브오일, 발사믹식초를 넣고 버무린 뒤, 잘게 다진 연근조림으로 속을 채운다.
9. 속을 채운 양송이버섯을 오븐에 넣고 굽는다.
10. 오븐에 구운 양송이버섯 위에 모차렐라치즈를 올린 뒤, 다시 한 번 굽는다.
11. 아스파라거스와 마를 채 썬다.
12. 레몬즙, 올리브오일, 설탕, 발사믹식초를 섞어 만든 드레싱을 채 썬 채소에 넣고 버무린다.
13. 버섯크림수프에 모차렐라치즈를 넣고 핸드블렌더로 간 뒤, 다시 한 번 끓인다.
14. 그릇에 버섯크림수프를 담는다.
15. 버섯크림수프 위에 양송이치즈구이를 올린다.
16. 15 위에 마&amp;아스파라거스샐러드를 올리고, 구운 아몬드슬라이스를 뿌린다.
17. 레몬즙을 뿌려 마무리한다.</v>
      </c>
    </row>
    <row r="656">
      <c r="A656" s="2" t="str">
        <f>recipe!C656
</f>
        <v>풍카소</v>
      </c>
      <c r="B656" s="2" t="str">
        <f>IFERROR(__xludf.DUMMYFUNCTION("TRIM(
  REGEXEXTRACT(
    raw!A656,
    ""●\s*조리\s*방법([\s\S]*)""
  )
)
"),"1. 설탕물을 끓인다.
2. 달걀의 흰자와 노른자를 분리한다.
3. 달걀흰자로 머랭을 친다.
4. 달걀노른자에 화이트와인과 설탕을 넣은 뒤, 거품기로 치며 중탕한다.
5. 4에 소금, 버터, 우유, 연유를 넣어 달걀크림소스를 만든다.
6. 머랭에 끓인 설탕물을 조금씩 넣어가며 섞는다.
7. 팬케이크가루에 달걀, 우유를 섞어 팬케이크반죽을 만든다.
8. 소스병에 팬케이크반죽을 담는다.
9. 팬에 기름을 두른 뒤, 키친타월로 닦아낸다.
10"&amp;". 기름으로 코팅한 팬에 팬케이크반죽으로 그림을 그린다.
11. 팬케이크반죽으로 그린 그림이 어느 정도 익으면, 위에 팬케이크반죽을 부어 굽는다.
12. 머랭에 달걀크림소스를 넣고 섞어 머랭크림소스를 만든다.
13. 그릇에 머랭크림소스를 담는다.
14. 체리는 씨를 발라내고, 그릇에 담는다.
15. 머랭크림소스 위에 팬케이크를 올려 마무리한다.")</f>
        <v>1. 설탕물을 끓인다.
2. 달걀의 흰자와 노른자를 분리한다.
3. 달걀흰자로 머랭을 친다.
4. 달걀노른자에 화이트와인과 설탕을 넣은 뒤, 거품기로 치며 중탕한다.
5. 4에 소금, 버터, 우유, 연유를 넣어 달걀크림소스를 만든다.
6. 머랭에 끓인 설탕물을 조금씩 넣어가며 섞는다.
7. 팬케이크가루에 달걀, 우유를 섞어 팬케이크반죽을 만든다.
8. 소스병에 팬케이크반죽을 담는다.
9. 팬에 기름을 두른 뒤, 키친타월로 닦아낸다.
10. 기름으로 코팅한 팬에 팬케이크반죽으로 그림을 그린다.
11. 팬케이크반죽으로 그린 그림이 어느 정도 익으면, 위에 팬케이크반죽을 부어 굽는다.
12. 머랭에 달걀크림소스를 넣고 섞어 머랭크림소스를 만든다.
13. 그릇에 머랭크림소스를 담는다.
14. 체리는 씨를 발라내고, 그릇에 담는다.
15. 머랭크림소스 위에 팬케이크를 올려 마무리한다.</v>
      </c>
    </row>
    <row r="657">
      <c r="A657" s="2" t="str">
        <f>recipe!C657
</f>
        <v>브런치의 유혹</v>
      </c>
      <c r="B657" s="2" t="str">
        <f>IFERROR(__xludf.DUMMYFUNCTION("TRIM(
  REGEXEXTRACT(
    raw!A657,
    ""●\s*조리\s*방법([\s\S]*)""
  )
)
"),"1. 사과는 껍질을 깎은 뒤, 잘게 썬다.
2. 마른 팬에 잘게 썬 사과를 볶다가 버터, 설탕, 레몬즙, 건크랜베리를 넣어 캐러멜라이징 한다.
3. 핸드블렌더로 달걀, 연유, 우유, 설탕을 갈아 달걀물을 만든다.
4. 달걀물을 체에 밭쳐 거른다.
5. 식빵에 달걀물을 입힌다.
6. 기름을 두른 팬에 달걀물을 입힌 식빵을 굽다가 우유를 부어 프렌치토스트를 만든다.
7. 마른 팬에 잘게 썬 양송이버섯과 양파, 돈가스소스, 케첩, 맛술, 버터를 넣"&amp;"고 볶아 양송이소스를 만든다.
8. 마른 팬에 채 썬 양파와 당근, 잘게 썬 김밥용 햄, 소금을 넣고 볶는다.
9. 캐러멜라이징한 사과와 햄볶음을 함께 볶는다.
10. 프렌치토스트 사이에 사과햄볶음을 넣고 샌드한다.
11. 프렌치토스트 샌드위치의 테두리를 잘라낸 뒤, 먹기 좋은 크기로 썬다.
12. 접시에 프렌치토스트 샌드위치를 담는다.
13. 달걀물에 소금으로 간 한 뒤, 기름을 두른 팬에 부어 오믈렛을 만든다.
14. 프렌치토스트 샌드위"&amp;"치 위에 오믈렛을 올린다.
15. 오믈렛을 가른 뒤, 전자레인지에 돌려 익힌다.
16. 오믈렛 위에 양송이소스를 부어 마무리한다.")</f>
        <v>1. 사과는 껍질을 깎은 뒤, 잘게 썬다.
2. 마른 팬에 잘게 썬 사과를 볶다가 버터, 설탕, 레몬즙, 건크랜베리를 넣어 캐러멜라이징 한다.
3. 핸드블렌더로 달걀, 연유, 우유, 설탕을 갈아 달걀물을 만든다.
4. 달걀물을 체에 밭쳐 거른다.
5. 식빵에 달걀물을 입힌다.
6. 기름을 두른 팬에 달걀물을 입힌 식빵을 굽다가 우유를 부어 프렌치토스트를 만든다.
7. 마른 팬에 잘게 썬 양송이버섯과 양파, 돈가스소스, 케첩, 맛술, 버터를 넣고 볶아 양송이소스를 만든다.
8. 마른 팬에 채 썬 양파와 당근, 잘게 썬 김밥용 햄, 소금을 넣고 볶는다.
9. 캐러멜라이징한 사과와 햄볶음을 함께 볶는다.
10. 프렌치토스트 사이에 사과햄볶음을 넣고 샌드한다.
11. 프렌치토스트 샌드위치의 테두리를 잘라낸 뒤, 먹기 좋은 크기로 썬다.
12. 접시에 프렌치토스트 샌드위치를 담는다.
13. 달걀물에 소금으로 간 한 뒤, 기름을 두른 팬에 부어 오믈렛을 만든다.
14. 프렌치토스트 샌드위치 위에 오믈렛을 올린다.
15. 오믈렛을 가른 뒤, 전자레인지에 돌려 익힌다.
16. 오믈렛 위에 양송이소스를 부어 마무리한다.</v>
      </c>
    </row>
    <row r="658">
      <c r="A658" s="2" t="str">
        <f>recipe!C658
</f>
        <v>감자로 유혹하자냐</v>
      </c>
      <c r="B658" s="2" t="str">
        <f>IFERROR(__xludf.DUMMYFUNCTION("TRIM(
  REGEXEXTRACT(
    raw!A658,
    ""●\s*조리\s*방법([\s\S]*)""
  )
)
"),"1. 감자를 얇게 슬라이스 한다.
2. 감자를 잘게 썬 뒤, 끓는 물에 넣고 삶는다.
3. 감자를 삶던 냄비에 편마늘을 넣고 함께 삶는다.
4. 마른 팬 3개에 감자슬라이스를 넓게 펼쳐 굽는다.
5. 감자전에 전분을 뿌린다.
6. 오이를 얇게 썬 뒤, 소금을 뿌린다.
7. 청양고추, 홍고추, 양파를 손질한다.
8. 오이와 손질한 채소를 함께 섞은 뒤, 레몬즙, 후추, 핫소스, 소금을 넣고 버무려 오이샐러드를 만든다.
9. 편마늘을 넣고 삶"&amp;"은 감자에 달걀노른자를 넣고 으깨 매시드포테이토를 만든다.
10. 매시드포테이토에 손질 쪽파와 버터를 넣고 섞는다.
11. 감자전에 매시드포테이토를 올린 뒤, 다른 감자전으로 샌드한다.
12. 감자전 위에 슬라이스치즈를 얹는다.
13. 매시드포테이토에 다진 브라질너트를 넣고 섞는다.
14. 슬라이스치즈 위에 브라질너트를 넣은 매시드포테이토를 올리고 감자전으로 덮어 감자라자냐를 만든다.
15. 감자라쟈냐를 적당한 크기로 썬 뒤, 슬라이스치즈를 "&amp;"사이에 넣고 샌드한다.
16. 접시에 감자라자냐를 담고, 올리브오일을 뿌린다.
17. 접시에 오이샐러드를 곁들여 완성한다.")</f>
        <v>1. 감자를 얇게 슬라이스 한다.
2. 감자를 잘게 썬 뒤, 끓는 물에 넣고 삶는다.
3. 감자를 삶던 냄비에 편마늘을 넣고 함께 삶는다.
4. 마른 팬 3개에 감자슬라이스를 넓게 펼쳐 굽는다.
5. 감자전에 전분을 뿌린다.
6. 오이를 얇게 썬 뒤, 소금을 뿌린다.
7. 청양고추, 홍고추, 양파를 손질한다.
8. 오이와 손질한 채소를 함께 섞은 뒤, 레몬즙, 후추, 핫소스, 소금을 넣고 버무려 오이샐러드를 만든다.
9. 편마늘을 넣고 삶은 감자에 달걀노른자를 넣고 으깨 매시드포테이토를 만든다.
10. 매시드포테이토에 손질 쪽파와 버터를 넣고 섞는다.
11. 감자전에 매시드포테이토를 올린 뒤, 다른 감자전으로 샌드한다.
12. 감자전 위에 슬라이스치즈를 얹는다.
13. 매시드포테이토에 다진 브라질너트를 넣고 섞는다.
14. 슬라이스치즈 위에 브라질너트를 넣은 매시드포테이토를 올리고 감자전으로 덮어 감자라자냐를 만든다.
15. 감자라쟈냐를 적당한 크기로 썬 뒤, 슬라이스치즈를 사이에 넣고 샌드한다.
16. 접시에 감자라자냐를 담고, 올리브오일을 뿌린다.
17. 접시에 오이샐러드를 곁들여 완성한다.</v>
      </c>
    </row>
    <row r="659">
      <c r="A659" s="2" t="str">
        <f>recipe!C659
</f>
        <v>호감이야</v>
      </c>
      <c r="B659" s="2" t="str">
        <f>IFERROR(__xludf.DUMMYFUNCTION("TRIM(
  REGEXEXTRACT(
    raw!A659,
    ""●\s*조리\s*방법([\s\S]*)""
  )
)
"),"1. 감자를 잘게 썬 뒤, 소금을 넣은 끓는 물에 넣고 삶는다.
2. 채 썬 감자와 잘게 썬 양파를 기름을 두른 팬에 넣고 볶는다.
3. 2에 잘게 썬 청양고추를 넣고 함께 볶는다.
4. 달걀을 삶는다.
5. 애호박을 동그랗게 파내 기름을 두른 팬에 굽는다.
6. 애호박의 속을 파내 그릇 모양을 만들고 기름을 두른 팬에 굽는다.
7. 볶던 감자에 레드와인을 넣고 조린다.
8. 7에 소금, 후추, 칠리소스, 고춧가루를 넣고 볶는다.
9. 구"&amp;"운 애호박 그릇 안에 슬라이스치즈를 깐 뒤, 감자볶음을 채워 넣고 슬라이스치즈를 얹는다.
10. 9를 오븐에 굽는다.
11. 삶은 감자를 얼음물에 담가 식힌다.
12. 삶은 달걀은 껍데기를 벗겨낸 뒤, 잘게 썬다.
13. 상추, 오이, 홍고추를 손질한다.
14. 슬라이스한 오이에 손질한 상추와 홍고추를 올리고 돌돌 말아 꽃모양을 만든다.
15. 14와 구운 애호박을 접시에 담는다.
16. 수제 월남쌈소스에 연겨자와 후추를 넣고 섞은 뒤, 삶"&amp;"은 감자를 넣고 버무려 감자샐러드를 만든다.
17. 감자샐러드에 잘게 썬 삶은 달걀을 넣고 버무린다.
18. 원형틀에 감자샐러드를 담아 모양낸 뒤, 삶은 달걀을 얹고 고춧가루를 뿌린다.
19. 오븐에 구운 감자볶음을 채운 애호박을 접시에 담고, 후추를 뿌린다.
20. 올리브오일을 뿌려 마무리한다.")</f>
        <v>1. 감자를 잘게 썬 뒤, 소금을 넣은 끓는 물에 넣고 삶는다.
2. 채 썬 감자와 잘게 썬 양파를 기름을 두른 팬에 넣고 볶는다.
3. 2에 잘게 썬 청양고추를 넣고 함께 볶는다.
4. 달걀을 삶는다.
5. 애호박을 동그랗게 파내 기름을 두른 팬에 굽는다.
6. 애호박의 속을 파내 그릇 모양을 만들고 기름을 두른 팬에 굽는다.
7. 볶던 감자에 레드와인을 넣고 조린다.
8. 7에 소금, 후추, 칠리소스, 고춧가루를 넣고 볶는다.
9. 구운 애호박 그릇 안에 슬라이스치즈를 깐 뒤, 감자볶음을 채워 넣고 슬라이스치즈를 얹는다.
10. 9를 오븐에 굽는다.
11. 삶은 감자를 얼음물에 담가 식힌다.
12. 삶은 달걀은 껍데기를 벗겨낸 뒤, 잘게 썬다.
13. 상추, 오이, 홍고추를 손질한다.
14. 슬라이스한 오이에 손질한 상추와 홍고추를 올리고 돌돌 말아 꽃모양을 만든다.
15. 14와 구운 애호박을 접시에 담는다.
16. 수제 월남쌈소스에 연겨자와 후추를 넣고 섞은 뒤, 삶은 감자를 넣고 버무려 감자샐러드를 만든다.
17. 감자샐러드에 잘게 썬 삶은 달걀을 넣고 버무린다.
18. 원형틀에 감자샐러드를 담아 모양낸 뒤, 삶은 달걀을 얹고 고춧가루를 뿌린다.
19. 오븐에 구운 감자볶음을 채운 애호박을 접시에 담고, 후추를 뿌린다.
20. 올리브오일을 뿌려 마무리한다.</v>
      </c>
    </row>
    <row r="660">
      <c r="A660" s="2" t="str">
        <f>recipe!C660
</f>
        <v>1파 2일</v>
      </c>
      <c r="B660" s="2" t="str">
        <f>IFERROR(__xludf.DUMMYFUNCTION("TRIM(
  REGEXEXTRACT(
    raw!A660,
    ""●\s*조리\s*방법([\s\S]*)""
  )
)
"),"1. 대파를 채 썬다.
2. 끓는 물에 파채를 데친 뒤, 찬물에 담가 식힌다.
3. 삼겹살을 적당한 크기로 썬 뒤 끓는 물에 넣고 삶는다.
4. 3에 커피가루, 맛술을 넣는다.
5. 삶은 삼겹살을 건져 물기를 빼고, 전분을 입혀 기름에 튀긴다.
6. 튀긴 삼겹살을 건져 기름기를 뺀다.
7. 핸드블렌더에 대파, 사과, 생강즙, 청양고추, 마늘, 해선장소스, 간장, 고춧가루를 넣고 갈아 소스를 만든다.
8. 팬에 튀긴 삼겹살과 소스를 넣고 볶아"&amp;" 회과육을 만든다.
9. 회과육에 뜨거운 물을 넣고 볶는다.
10. 찬물에 담가둔 데친 파채의 물기를 뺀 뒤, 접시에 담는다.
11. 데친 파채 위에 회과육을 올린다.
12. 볼에 고춧가루, 간장, 포도즙, 물엿, 들깻가루, 식초를 넣고 섞어 특제소스를 만든다.
13. 종지에 특제소스를 담아낸다.")</f>
        <v>1. 대파를 채 썬다.
2. 끓는 물에 파채를 데친 뒤, 찬물에 담가 식힌다.
3. 삼겹살을 적당한 크기로 썬 뒤 끓는 물에 넣고 삶는다.
4. 3에 커피가루, 맛술을 넣는다.
5. 삶은 삼겹살을 건져 물기를 빼고, 전분을 입혀 기름에 튀긴다.
6. 튀긴 삼겹살을 건져 기름기를 뺀다.
7. 핸드블렌더에 대파, 사과, 생강즙, 청양고추, 마늘, 해선장소스, 간장, 고춧가루를 넣고 갈아 소스를 만든다.
8. 팬에 튀긴 삼겹살과 소스를 넣고 볶아 회과육을 만든다.
9. 회과육에 뜨거운 물을 넣고 볶는다.
10. 찬물에 담가둔 데친 파채의 물기를 뺀 뒤, 접시에 담는다.
11. 데친 파채 위에 회과육을 올린다.
12. 볼에 고춧가루, 간장, 포도즙, 물엿, 들깻가루, 식초를 넣고 섞어 특제소스를 만든다.
13. 종지에 특제소스를 담아낸다.</v>
      </c>
    </row>
    <row r="661">
      <c r="A661" s="2" t="str">
        <f>recipe!C661
</f>
        <v>스테이콘</v>
      </c>
      <c r="B661" s="2" t="str">
        <f>IFERROR(__xludf.DUMMYFUNCTION("TRIM(
  REGEXEXTRACT(
    raw!A661,
    ""●\s*조리\s*방법([\s\S]*)""
  )
)
"),"1. 오징어채볶음을 밀가루와 달걀물에 버무린다.
2. 양파와 대파 흰 부분을 잘게 썬다.
3. 골뱅이를 잘게 썬다.
4. 통조림 닭가슴살과 통조림 참치의 기름을 따라낸다.
5. 어묵을 잘게 썬다.
6. 믹서기에 어육소시지, 통조림 닭가슴살, 통조림 참치를 넣고 간다.
7. 믹서기에 달걀, 물을 넣어 다시 간다.
8. 기름을 두른 팬에 채 썬 양파, 잘게 썬 대파, 인스턴트 오돌뼈볶음, 인스턴트 막창, 맛술을 넣고 볶는다.
9. 간 인스턴트"&amp;" 재료에 잘게 썬 어묵, 양파, 햄, 골뱅이를 넣고 섞어 스테이크 반죽을 만든다.
10. 기름을 두른 팬에 스테이크 반죽을 굽는다.
11. 볶던 재료에 물, 간장, 청주, 레몬즙을 넣고 졸여 오돌뼈막창소스를 만든다.
12. 밀가루반죽을 입힌 오징어채볶음을 기름에 튀긴 뒤, 건져내 기름기를 뺀다.
13. 햄버그 스테이크에 달걀물을 부어 굽는다.
14. 오돌뼈막창소스에 참기름, 잘게 썬 대파를 넣고 볶는다.
15. 접시에 햄버그 스테이크를 담는다"&amp;".
16. 스테이크 위에 오돌뼈막창소스를 부어 마무리한다.")</f>
        <v>1. 오징어채볶음을 밀가루와 달걀물에 버무린다.
2. 양파와 대파 흰 부분을 잘게 썬다.
3. 골뱅이를 잘게 썬다.
4. 통조림 닭가슴살과 통조림 참치의 기름을 따라낸다.
5. 어묵을 잘게 썬다.
6. 믹서기에 어육소시지, 통조림 닭가슴살, 통조림 참치를 넣고 간다.
7. 믹서기에 달걀, 물을 넣어 다시 간다.
8. 기름을 두른 팬에 채 썬 양파, 잘게 썬 대파, 인스턴트 오돌뼈볶음, 인스턴트 막창, 맛술을 넣고 볶는다.
9. 간 인스턴트 재료에 잘게 썬 어묵, 양파, 햄, 골뱅이를 넣고 섞어 스테이크 반죽을 만든다.
10. 기름을 두른 팬에 스테이크 반죽을 굽는다.
11. 볶던 재료에 물, 간장, 청주, 레몬즙을 넣고 졸여 오돌뼈막창소스를 만든다.
12. 밀가루반죽을 입힌 오징어채볶음을 기름에 튀긴 뒤, 건져내 기름기를 뺀다.
13. 햄버그 스테이크에 달걀물을 부어 굽는다.
14. 오돌뼈막창소스에 참기름, 잘게 썬 대파를 넣고 볶는다.
15. 접시에 햄버그 스테이크를 담는다.
16. 스테이크 위에 오돌뼈막창소스를 부어 마무리한다.</v>
      </c>
    </row>
    <row r="662">
      <c r="A662" s="2" t="str">
        <f>recipe!C662
</f>
        <v>골뱅이 에스카르고</v>
      </c>
      <c r="B662" s="2" t="str">
        <f>IFERROR(__xludf.DUMMYFUNCTION("TRIM(
  REGEXEXTRACT(
    raw!A662,
    ""●\s*조리\s*방법([\s\S]*)""
  )
)
"),"1. 밀가루, 전분, 달걀, 명이나물장아찌 국물을 섞어 반죽을 만든 뒤, 삼겹살을 버무린다.
2. 통조림 번데기는 국물을 걸러 두고, 번데기만 잘게 썬다.
3. 팬에 다진 마늘과 번데기를 볶는다.
4. 골뱅이는 물에 한 번 헹궈낸 뒤, 번데기와 함께 볶는다.
5. 골뱅이볶음에 후추, 소금으로 간 한다.
6. 옥수수맛 과자를 부숴 가루로 만든다.
7. 골뱅이볶음에 버터를 넣고 버무린다.
8. 과자가루를 묻힌 골뱅이 볶음을 오븐에 구워 골뱅이 "&amp;"에스카르고를 만든다.
9. 핸드블랜더에 청양고추와 홍고추, 통마늘을 넣고 간 뒤 팬에 넣어 볶는다.
10. 볼에 식초, 새우젓소스, 볶은 고추와 마늘, 채 썬 양파를 넣고 버무려 태국식 소스를 만든다.
11. 채 썬 대파를 얼음물에 담가 아린 맛을 뺀다.
12. 태국식 소스에 통조림 번데기 국물과 레몬즙을 넣는다.
13. 반죽에 버무린 삼겹살을 튀긴다.
14. 골뱅이 에스카르고에 인스턴트 대게딱지장을 얹은 뒤, 다시 오븐에 굽는다.
15. "&amp;"팬에 애호박버섯볶음을 볶는다.
16. 튀긴 삼겹살을 건져 먹기 좋은 크기로 썬다.
17. 접시에 애호박버섯볶음을 담은 뒤, 삼겹살튀김을 올린다.
18. 삼겹살튀김 위에 태국식 소스를 붓고, 골뱅이 에스카르고를 얹어 마무리한다.")</f>
        <v>1. 밀가루, 전분, 달걀, 명이나물장아찌 국물을 섞어 반죽을 만든 뒤, 삼겹살을 버무린다.
2. 통조림 번데기는 국물을 걸러 두고, 번데기만 잘게 썬다.
3. 팬에 다진 마늘과 번데기를 볶는다.
4. 골뱅이는 물에 한 번 헹궈낸 뒤, 번데기와 함께 볶는다.
5. 골뱅이볶음에 후추, 소금으로 간 한다.
6. 옥수수맛 과자를 부숴 가루로 만든다.
7. 골뱅이볶음에 버터를 넣고 버무린다.
8. 과자가루를 묻힌 골뱅이 볶음을 오븐에 구워 골뱅이 에스카르고를 만든다.
9. 핸드블랜더에 청양고추와 홍고추, 통마늘을 넣고 간 뒤 팬에 넣어 볶는다.
10. 볼에 식초, 새우젓소스, 볶은 고추와 마늘, 채 썬 양파를 넣고 버무려 태국식 소스를 만든다.
11. 채 썬 대파를 얼음물에 담가 아린 맛을 뺀다.
12. 태국식 소스에 통조림 번데기 국물과 레몬즙을 넣는다.
13. 반죽에 버무린 삼겹살을 튀긴다.
14. 골뱅이 에스카르고에 인스턴트 대게딱지장을 얹은 뒤, 다시 오븐에 굽는다.
15. 팬에 애호박버섯볶음을 볶는다.
16. 튀긴 삼겹살을 건져 먹기 좋은 크기로 썬다.
17. 접시에 애호박버섯볶음을 담은 뒤, 삼겹살튀김을 올린다.
18. 삼겹살튀김 위에 태국식 소스를 붓고, 골뱅이 에스카르고를 얹어 마무리한다.</v>
      </c>
    </row>
    <row r="663">
      <c r="A663" s="2" t="str">
        <f>recipe!C663
</f>
        <v>혼술 빠라삐</v>
      </c>
      <c r="B663" s="2" t="str">
        <f>IFERROR(__xludf.DUMMYFUNCTION("TRIM(
  REGEXEXTRACT(
    raw!A663,
    ""●\s*조리\s*방법([\s\S]*)""
  )
)
"),"1. 파기름을 낸다.
2. 마른 팬에 잘게 썬 양파와 파기름을 넣고 볶는다.
3. 홍고추와 청양고추를 잘게 썬다.
4. 양파를 볶던 팬에 잘게 썬 고추, 다진 생강을 넣고 함께 볶는다.
5. 채소를 볶던 팬에 설탕과 물, 케첩, 레몬즙을 넣고 끓여 칠리소스를 만든다.
6. 옥돔은 가시를 발라내고 손질한다.
7. 손질한 옥돔에 소금으로 간 한 뒤, 밀가루를 입힌다.
8. 파기름을 두른 팬에 옥돔을 굽는다.
9. 적당한 크기로 썬 대파를 옥돔"&amp;"과 함께 굽는다.
10. 부침가루와 물을 섞어 반죽을 만든 뒤, 대파 위에 부어 굽는다.
11. 반죽 위에 구운 옥돔과 달걀을 올려 옥돔대파전을 만든다.
12. 절구에 잘게 썬 청양고추와 홍고추, 다진 생강을 넣고 찧는다.
13. 골뱅이 통조림 국물, 레몬즙, 찧은 고추와 생강, 설탕, 새우젓소스를 섞어 골뱅이소스를 만든 뒤, 종지에 담아낸다.
14. 기름을 두른 팬에 채 썬 양배추와 양파, 소금, 후추를 넣고 볶는다.
15. 접시에 양배추볶"&amp;"음을 담고 인스턴트 머리고기를 얹는다.
16. 옥돔대파전을 먹기 좋은 크기로 썰어 접시에 담는다.
17. 칠리소스에 참기름과 연겨자를 넣는다.
18. 머리고기 위에 칠리소스를 얹고 파기름을 뿌려 마무리한다.")</f>
        <v>1. 파기름을 낸다.
2. 마른 팬에 잘게 썬 양파와 파기름을 넣고 볶는다.
3. 홍고추와 청양고추를 잘게 썬다.
4. 양파를 볶던 팬에 잘게 썬 고추, 다진 생강을 넣고 함께 볶는다.
5. 채소를 볶던 팬에 설탕과 물, 케첩, 레몬즙을 넣고 끓여 칠리소스를 만든다.
6. 옥돔은 가시를 발라내고 손질한다.
7. 손질한 옥돔에 소금으로 간 한 뒤, 밀가루를 입힌다.
8. 파기름을 두른 팬에 옥돔을 굽는다.
9. 적당한 크기로 썬 대파를 옥돔과 함께 굽는다.
10. 부침가루와 물을 섞어 반죽을 만든 뒤, 대파 위에 부어 굽는다.
11. 반죽 위에 구운 옥돔과 달걀을 올려 옥돔대파전을 만든다.
12. 절구에 잘게 썬 청양고추와 홍고추, 다진 생강을 넣고 찧는다.
13. 골뱅이 통조림 국물, 레몬즙, 찧은 고추와 생강, 설탕, 새우젓소스를 섞어 골뱅이소스를 만든 뒤, 종지에 담아낸다.
14. 기름을 두른 팬에 채 썬 양배추와 양파, 소금, 후추를 넣고 볶는다.
15. 접시에 양배추볶음을 담고 인스턴트 머리고기를 얹는다.
16. 옥돔대파전을 먹기 좋은 크기로 썰어 접시에 담는다.
17. 칠리소스에 참기름과 연겨자를 넣는다.
18. 머리고기 위에 칠리소스를 얹고 파기름을 뿌려 마무리한다.</v>
      </c>
    </row>
    <row r="664">
      <c r="A664" s="2" t="str">
        <f>recipe!C664
</f>
        <v>레이먼 스테이크</v>
      </c>
      <c r="B664" s="2" t="str">
        <f>IFERROR(__xludf.DUMMYFUNCTION("TRIM(
  REGEXEXTRACT(
    raw!A664,
    ""●\s*조리\s*방법([\s\S]*)""
  )
)
"),"1. 부챗살은 물기를 제거하고 고추냉이를 사이에 발라 겹겹이 붙인다.
2. 부챗살에 소금과 후추로 간 한다.
3. 겹겹이 쌓은 부챗살을 고기망치로 두드려 넓게 편다.
4. 두 개의 볼에 전분과 밀가루를 넣은 뒤, 한 쪽에는 강황가루를, 한 쪽에는 고춧가루를 넣고 섞어 강황튀김옷과 고추튀김옷을 만든다.
5. 달걀물에 우유를 넣는다.
6. 부챗살에 고추튀김옷&gt;달걀물&gt;강황튀김옷&gt;달걀물&gt;강황튀김옷&gt;고추튀김옷을 순서대로 입힌다.
7. 튀김옷을 입힌 부"&amp;"챗살을 기름에 튀겨 컨트리 스테이크를 만든다.
8. 양파를 채 썬다.
9. 청양고추를 잘게 썬다.
10. 버터를 녹인 팬에 채 썬 양파와 잘게 썬 청양고추, 맛술, 우유를 넣고 볶아 화이트소스를 만든다.
11. 마른 팬에 방울토마토를 굽다가, 시금치와 으깬 마늘을 넣고 볶는다.
12. 볶던 채소에 아로니아와 호박즙, 발사믹드레싱을 넣고 볶는다.
13. 컨트리 스테이크의 기름기를 뺀다.
14. 기름을 넉넉히 두른 팬에 컨트리 스테이크와 버터를"&amp;" 넣고 굽는다.
15. 접시에 볶은 채소를 담는다.
16. 접시에 컨트리 스테이크를 올린 뒤, 화이트소스를 얹어 마무리한다.")</f>
        <v>1. 부챗살은 물기를 제거하고 고추냉이를 사이에 발라 겹겹이 붙인다.
2. 부챗살에 소금과 후추로 간 한다.
3. 겹겹이 쌓은 부챗살을 고기망치로 두드려 넓게 편다.
4. 두 개의 볼에 전분과 밀가루를 넣은 뒤, 한 쪽에는 강황가루를, 한 쪽에는 고춧가루를 넣고 섞어 강황튀김옷과 고추튀김옷을 만든다.
5. 달걀물에 우유를 넣는다.
6. 부챗살에 고추튀김옷&gt;달걀물&gt;강황튀김옷&gt;달걀물&gt;강황튀김옷&gt;고추튀김옷을 순서대로 입힌다.
7. 튀김옷을 입힌 부챗살을 기름에 튀겨 컨트리 스테이크를 만든다.
8. 양파를 채 썬다.
9. 청양고추를 잘게 썬다.
10. 버터를 녹인 팬에 채 썬 양파와 잘게 썬 청양고추, 맛술, 우유를 넣고 볶아 화이트소스를 만든다.
11. 마른 팬에 방울토마토를 굽다가, 시금치와 으깬 마늘을 넣고 볶는다.
12. 볶던 채소에 아로니아와 호박즙, 발사믹드레싱을 넣고 볶는다.
13. 컨트리 스테이크의 기름기를 뺀다.
14. 기름을 넉넉히 두른 팬에 컨트리 스테이크와 버터를 넣고 굽는다.
15. 접시에 볶은 채소를 담는다.
16. 접시에 컨트리 스테이크를 올린 뒤, 화이트소스를 얹어 마무리한다.</v>
      </c>
    </row>
    <row r="665">
      <c r="A665" s="2" t="str">
        <f>recipe!C665
</f>
        <v>안질리나 딤섬</v>
      </c>
      <c r="B665" s="2" t="str">
        <f>IFERROR(__xludf.DUMMYFUNCTION("TRIM(
  REGEXEXTRACT(
    raw!A665,
    ""●\s*조리\s*방법([\s\S]*)""
  )
)
"),"1. 고춧가루, 대파 흰 부분, 다진 생강에 뜨거운 기름을 넣어 고추기름을 낸다.
2. 끓는 물에 시금치를 넣어 삶는다.
3. 부챗살은 물기를 제거한다.
4. 핸드블렌더에 부챗살과 홍두깨살, 청양고추, 달걀을 넣고 간다.
5. 부추와 양파를 잘게 썬다.
6. 잘게 썬 채소, 간 소고기, 버터를 버무려 딤섬 소를 만든다.
7. 딤섬 소에 고추기름을 넣는다.
8. 밀전분에 시금치 삶은 물을 넣고 반죽한다.
9. 딤섬 소에 참기름을 넣고 버무린"&amp;"다.
10. 딤섬 반죽에 식용유를 넣어가며 반죽한 뒤, 딤섬 피를 만든다.
11. 딤섬 피에 딤섬 소를 넣고 모양을 잡아 찜기에 찐다.
12. 물기를 뺀 부챗살에 설탕을 묻힌다.
13. 설탕을 묻힌 부챗살을 기름에 튀겨 육포를 만든다.
14. 육포를 먹기 좋은 크기로 썬다.
15. 사과를 적당한 크기로 썬 뒤, 설탕을 뿌려 기름에 튀긴다.
16. 접시에 육포와 사과튀김을 담는다.
17. 접시에 딤섬을 담아 마무리한다.")</f>
        <v>1. 고춧가루, 대파 흰 부분, 다진 생강에 뜨거운 기름을 넣어 고추기름을 낸다.
2. 끓는 물에 시금치를 넣어 삶는다.
3. 부챗살은 물기를 제거한다.
4. 핸드블렌더에 부챗살과 홍두깨살, 청양고추, 달걀을 넣고 간다.
5. 부추와 양파를 잘게 썬다.
6. 잘게 썬 채소, 간 소고기, 버터를 버무려 딤섬 소를 만든다.
7. 딤섬 소에 고추기름을 넣는다.
8. 밀전분에 시금치 삶은 물을 넣고 반죽한다.
9. 딤섬 소에 참기름을 넣고 버무린다.
10. 딤섬 반죽에 식용유를 넣어가며 반죽한 뒤, 딤섬 피를 만든다.
11. 딤섬 피에 딤섬 소를 넣고 모양을 잡아 찜기에 찐다.
12. 물기를 뺀 부챗살에 설탕을 묻힌다.
13. 설탕을 묻힌 부챗살을 기름에 튀겨 육포를 만든다.
14. 육포를 먹기 좋은 크기로 썬다.
15. 사과를 적당한 크기로 썬 뒤, 설탕을 뿌려 기름에 튀긴다.
16. 접시에 육포와 사과튀김을 담는다.
17. 접시에 딤섬을 담아 마무리한다.</v>
      </c>
    </row>
    <row r="666">
      <c r="A666" s="2" t="str">
        <f>recipe!C666
</f>
        <v>샨티샨티~ 카레 라자냐♬</v>
      </c>
      <c r="B666" s="2" t="str">
        <f>IFERROR(__xludf.DUMMYFUNCTION("TRIM(
  REGEXEXTRACT(
    raw!A666,
    ""●\s*조리\s*방법([\s\S]*)""
  )
)
"),"1. 핸드블렌더에 밀가루, 달걀, 강황가루, 물을 넣고 갈아 강황반죽을 만든다.
2. 핸드블렌더에 우둔살과 부챗살, 닭가슴살소시지를 넣고 간다.
3. 마른 팬에 잘게 썬 양파를 볶는다.
4. 볶던 양파에 편마늘, 잘게 썬 홍고추, 간 소고기와 닭가슴살소시지, 소금, 카레가루, 후추를 넣고 볶는다.
5. 볶던 재료에 적당한 크기로 썬 방울토마토를 넣고 볶는다.
6. 볶던 재료에 시금치를 넣고 볶아 소고기채소카레볶음을 만든다.
7. 강황반죽을 밀"&amp;"대로 넓게 민 뒤, 적당한 크기로 썰어 라자냐 면을 만든다.
8. 끓는 물에 소금을 넣고, 라자냐 면을 삶는다.
9. 마른 팬에 버터와 밀가루를 넣고 볶아 루를 만든 뒤, 우유를 넣어 베샤멜소스를 만든다.
10. 베샤멜소스에 토마토소스를 넣어 로제소스를 만든다.
11. 그릇에 로제소스&gt;라자냐 면&gt;소고기채소카레볶음&gt;로제소스&gt;라자냐 면&gt;소고기채소카레볶음&gt;후추&gt;로제소스를 순서대로 담는다.
12. 카레 라자냐를 오븐에 굽는다.
13. 팬에 버터, 밀"&amp;"가루, 우유를 넣고 베샤멜소스를 만든다.
14. 베샤멜소스에 코코넛밀크스무디를 넣어 코코넛크림소스를 만든다.
15. 카레 라자냐를 오븐에서 꺼내 코코넛크림소스를 올리고, 다시 오븐에 굽는다.
16. 카레 라자냐를 토치로 직화해 마무리한다.")</f>
        <v>1. 핸드블렌더에 밀가루, 달걀, 강황가루, 물을 넣고 갈아 강황반죽을 만든다.
2. 핸드블렌더에 우둔살과 부챗살, 닭가슴살소시지를 넣고 간다.
3. 마른 팬에 잘게 썬 양파를 볶는다.
4. 볶던 양파에 편마늘, 잘게 썬 홍고추, 간 소고기와 닭가슴살소시지, 소금, 카레가루, 후추를 넣고 볶는다.
5. 볶던 재료에 적당한 크기로 썬 방울토마토를 넣고 볶는다.
6. 볶던 재료에 시금치를 넣고 볶아 소고기채소카레볶음을 만든다.
7. 강황반죽을 밀대로 넓게 민 뒤, 적당한 크기로 썰어 라자냐 면을 만든다.
8. 끓는 물에 소금을 넣고, 라자냐 면을 삶는다.
9. 마른 팬에 버터와 밀가루를 넣고 볶아 루를 만든 뒤, 우유를 넣어 베샤멜소스를 만든다.
10. 베샤멜소스에 토마토소스를 넣어 로제소스를 만든다.
11. 그릇에 로제소스&gt;라자냐 면&gt;소고기채소카레볶음&gt;로제소스&gt;라자냐 면&gt;소고기채소카레볶음&gt;후추&gt;로제소스를 순서대로 담는다.
12. 카레 라자냐를 오븐에 굽는다.
13. 팬에 버터, 밀가루, 우유를 넣고 베샤멜소스를 만든다.
14. 베샤멜소스에 코코넛밀크스무디를 넣어 코코넛크림소스를 만든다.
15. 카레 라자냐를 오븐에서 꺼내 코코넛크림소스를 올리고, 다시 오븐에 굽는다.
16. 카레 라자냐를 토치로 직화해 마무리한다.</v>
      </c>
    </row>
    <row r="667">
      <c r="A667" s="2" t="str">
        <f>recipe!C667
</f>
        <v>카레맛~ 궁금해 혀니♬</v>
      </c>
      <c r="B667" s="2" t="str">
        <f>IFERROR(__xludf.DUMMYFUNCTION("TRIM(
  REGEXEXTRACT(
    raw!A667,
    ""●\s*조리\s*방법([\s\S]*)""
  )
)
"),"1. 연어는 적당한 크기로 썬 뒤, 소금과 후추로 간 한다.
2. 밀가루와 카레가루를 섞은 뒤, 연어에 묻힌다.
3. 핸드블렌더에 우둔살, 양파, 당근을 넣고 간다.
4. 기름을 두른 팬에 간 우둔살과 채소를 넣고 볶는다.
5. 핸드블렌더에 방울토마토를 넣고 간 뒤, 볶던 재료에 넣고 함께 볶는다.
6. 볶던 재료에 카레가루와 강황가루를 넣고 볶아 토마토드라이카레를 만든다.
7. 양파는 채 썰고, 부추는 적당한 크기로 썬다.
8. 기름을 두"&amp;"른 팬에 카레가루를 입힌 연어를 굽는다.
9. 연어스테이크와 토마토드라이카레에 버터를 넣는다.
10. 토마토드라이카레에 토마토소스, 설탕, 간장을 넣는다.
11. 기름을 두른 팬에 달걀프라이를 만든다.
12. 전자레인지에 즉석밥을 돌린다.
13. 고춧가루, 간장, 식초, 설탕, 참기름, 깨를 섞어 양념을 만든다.
14. 잘게 썬 부추와 채 썬 양파에 양념을 넣고 무쳐 부추무침을 만든 뒤, 그릇에 담는다.
15. 접시에 밥을 담고, 토마토드라"&amp;"이카레와 카레연어스테이크를 담는다.
16. 밥 위에 달걀프라이를 얹어 마무리한다.")</f>
        <v>1. 연어는 적당한 크기로 썬 뒤, 소금과 후추로 간 한다.
2. 밀가루와 카레가루를 섞은 뒤, 연어에 묻힌다.
3. 핸드블렌더에 우둔살, 양파, 당근을 넣고 간다.
4. 기름을 두른 팬에 간 우둔살과 채소를 넣고 볶는다.
5. 핸드블렌더에 방울토마토를 넣고 간 뒤, 볶던 재료에 넣고 함께 볶는다.
6. 볶던 재료에 카레가루와 강황가루를 넣고 볶아 토마토드라이카레를 만든다.
7. 양파는 채 썰고, 부추는 적당한 크기로 썬다.
8. 기름을 두른 팬에 카레가루를 입힌 연어를 굽는다.
9. 연어스테이크와 토마토드라이카레에 버터를 넣는다.
10. 토마토드라이카레에 토마토소스, 설탕, 간장을 넣는다.
11. 기름을 두른 팬에 달걀프라이를 만든다.
12. 전자레인지에 즉석밥을 돌린다.
13. 고춧가루, 간장, 식초, 설탕, 참기름, 깨를 섞어 양념을 만든다.
14. 잘게 썬 부추와 채 썬 양파에 양념을 넣고 무쳐 부추무침을 만든 뒤, 그릇에 담는다.
15. 접시에 밥을 담고, 토마토드라이카레와 카레연어스테이크를 담는다.
16. 밥 위에 달걀프라이를 얹어 마무리한다.</v>
      </c>
    </row>
    <row r="668">
      <c r="A668" s="2" t="str">
        <f>recipe!C668
</f>
        <v>너마늘 위한 치킨</v>
      </c>
      <c r="B668" s="2" t="str">
        <f>IFERROR(__xludf.DUMMYFUNCTION("TRIM(
  REGEXEXTRACT(
    raw!A668,
    ""●\s*조리\s*방법([\s\S]*)""
  )
)
"),"1. 토종닭을 해체한다.
2. 해체한 닭에 칼집을 넣는다.
3. 칼집을 낸 닭에 카레가루와 조미료를 넣는다.
4. 3에 다진 마늘, 생강즙을 넣고 버무린다.
5. 양념한 닭에 소금, 달걀, 밀가루, 전분을 넣고 섞어 튀김옷을 입힌다.
6. 튀김옷을 입힌 닭을 기름에 튀긴다.
7. 마른 팬에 다진 마늘, 생강즙, 설탕, 물엿, 뜨거운 물을 넣고 끓여 마늘소스를 만든다.
8. 무를 채 썬다.
9. 끓는 물에 채 썬 무와 식초를 넣고 절인다.
"&amp;"
10. 절이던 무에 소금과 설탕을 넣는다.
11. 튀기던 닭을 건진 뒤, 전자레인지에 넣어 속살을 익힌다.
12. 전자레인지에서 익힌 닭을 마늘소스에 버무린다.
13. 절인 무채를 체에 밭쳐 물기를 뺀 뒤, 얼음물에 담가 식힌다.
14. 절인 무채를 종지에 담는다.
15. 마늘치킨을 접시에 담아낸다.")</f>
        <v>1. 토종닭을 해체한다.
2. 해체한 닭에 칼집을 넣는다.
3. 칼집을 낸 닭에 카레가루와 조미료를 넣는다.
4. 3에 다진 마늘, 생강즙을 넣고 버무린다.
5. 양념한 닭에 소금, 달걀, 밀가루, 전분을 넣고 섞어 튀김옷을 입힌다.
6. 튀김옷을 입힌 닭을 기름에 튀긴다.
7. 마른 팬에 다진 마늘, 생강즙, 설탕, 물엿, 뜨거운 물을 넣고 끓여 마늘소스를 만든다.
8. 무를 채 썬다.
9. 끓는 물에 채 썬 무와 식초를 넣고 절인다.
10. 절이던 무에 소금과 설탕을 넣는다.
11. 튀기던 닭을 건진 뒤, 전자레인지에 넣어 속살을 익힌다.
12. 전자레인지에서 익힌 닭을 마늘소스에 버무린다.
13. 절인 무채를 체에 밭쳐 물기를 뺀 뒤, 얼음물에 담가 식힌다.
14. 절인 무채를 종지에 담는다.
15. 마늘치킨을 접시에 담아낸다.</v>
      </c>
    </row>
    <row r="669">
      <c r="A669" s="2" t="str">
        <f>recipe!C669
</f>
        <v>Touch 닭 body~♬</v>
      </c>
      <c r="B669" s="2" t="str">
        <f>IFERROR(__xludf.DUMMYFUNCTION("TRIM(
  REGEXEXTRACT(
    raw!A669,
    ""●\s*조리\s*방법([\s\S]*)""
  )
)
"),"1. 토종닭을 해체한다.
2. 끓는 물에 닭 몸통을 넣고 끓여 닭육수를 낸다.
3. 닭다리를 발골한다.
4. 닭육수에 닭다리뼈와 표고버섯 우린 물을 넣고 끓인다.
5. 핸드블렌더에 대파, 닭가슴살, 돼지 배받이살, 청란을 넣고 간다.
6. 간 고기에 전분을 넣고 한 번 더 갈아 닭완자반죽을 만든다.
7. 닭완자를 빚은 뒤, 닭육수에 넣고 익힌다.
8. 닭날개에 전분을 묻힌 뒤, 기름에 튀긴다.
9. 닭다리살을 석쇠에 올리고 토치로 직화한다"&amp;".
10. 팬에 표고버섯과 대파, 양파, 직화한 닭다리살을 적당한 크기로 썰어 넣고 볶는다.
11. 맛술, 간장, 청주를 3:1:1 비율로 섞어 스키야키소스를 만든다.
12. 볶던 재료에 스키야키소스를 넣고 조린다.
13. 닭날개튀김을 건져내 기름기를 뺀다.
14. 닭육수에 익힌 닭완자와 닭날개튀김을 스키야키에 넣는다.
15. 닭스키야키를 전골냄비에 옮겨 담는다.
16. 전자레인지에 돌린 즉석밥을 그릇에 담는다.
17. 청란과 마요네즈를 "&amp;"섞어 달걀소스를 만든 뒤, 종지에 담아낸다.
18. 닭스키야키에 후추를 넣어 마무리한다.")</f>
        <v>1. 토종닭을 해체한다.
2. 끓는 물에 닭 몸통을 넣고 끓여 닭육수를 낸다.
3. 닭다리를 발골한다.
4. 닭육수에 닭다리뼈와 표고버섯 우린 물을 넣고 끓인다.
5. 핸드블렌더에 대파, 닭가슴살, 돼지 배받이살, 청란을 넣고 간다.
6. 간 고기에 전분을 넣고 한 번 더 갈아 닭완자반죽을 만든다.
7. 닭완자를 빚은 뒤, 닭육수에 넣고 익힌다.
8. 닭날개에 전분을 묻힌 뒤, 기름에 튀긴다.
9. 닭다리살을 석쇠에 올리고 토치로 직화한다.
10. 팬에 표고버섯과 대파, 양파, 직화한 닭다리살을 적당한 크기로 썰어 넣고 볶는다.
11. 맛술, 간장, 청주를 3:1:1 비율로 섞어 스키야키소스를 만든다.
12. 볶던 재료에 스키야키소스를 넣고 조린다.
13. 닭날개튀김을 건져내 기름기를 뺀다.
14. 닭육수에 익힌 닭완자와 닭날개튀김을 스키야키에 넣는다.
15. 닭스키야키를 전골냄비에 옮겨 담는다.
16. 전자레인지에 돌린 즉석밥을 그릇에 담는다.
17. 청란과 마요네즈를 섞어 달걀소스를 만든 뒤, 종지에 담아낸다.
18. 닭스키야키에 후추를 넣어 마무리한다.</v>
      </c>
    </row>
    <row r="670">
      <c r="A670" s="2" t="str">
        <f>recipe!C670
</f>
        <v>입맛 잡어</v>
      </c>
      <c r="B670" s="2" t="str">
        <f>IFERROR(__xludf.DUMMYFUNCTION("TRIM(
  REGEXEXTRACT(
    raw!A670,
    ""●\s*조리\s*방법([\s\S]*)""
  )
)
"),"1. 잡어를 적당한 크기로 썬다.
2. 기름을 두른 팬에 적당한 크기로 썬 잡어, 다진 마늘, 밀가루를 넣어 볶는다.
3. 볶은 잡어를 토치로 직화한 뒤, 소주를 넣고 한 번 더 직화한다.
4. 볶은 잡어에 뜨거운 물을 부은 뒤, 핸드블렌더로 간다.
5. 간 잡어를 체에 밭쳐 거른다.
6. 돼지 배받이살을 얇게 썬다.
7. 참기름을 두른 냄비에 갈치속젓과 돼지 배받이살을 넣어 볶는다.
8. 볶은 갈치속젓과 돼지 배받이살에 간 잡어, 뜨거운 "&amp;"물을 넣고 끓인다.
9. 불린 무시래기의 잎을 적당한 크기로 썰어 넣고 함께 끓인다.
10. 적당한 크기로 썬 무, 고추, 대파를 넣은 뒤 고추장, 고춧가루를 더해 잡어매운탕을 만든다.
11. 부시리의 껍질만 떼어낸다.
12. 식초와 소금을 넣은 끓는 물에 부시리껍질과 전복을 데친다.
13. 전자레인지에 즉석밥을 데운다.
14. 무말랭이장아찌와 깻잎된장무침을 잘게 썬 뒤 식초, 참기름, 깨를 넣어 소스를 만든다.
15. 양파, 대파, 당근,"&amp;" 청양고추를 채 썬다.
16. 데친 부시리껍질과 전복을 얼음물에 담가 식힌 후, 적당한 크기로 썬다.
17. 부시리껍질과 전복, 채 썬 채소에 소스를 넣고 무쳐 부시리껍질무침을 만든다.
18. 접시에 부시리껍질무침을 담는다.
19. 잡어매운탕에 조미료, 생강즙, 설탕을 넣고 끓인다.
20. 그릇에 밥을 담는다.
21. 잡어매운탕을 뚝배기그릇에 옮겨 담아낸다.")</f>
        <v>1. 잡어를 적당한 크기로 썬다.
2. 기름을 두른 팬에 적당한 크기로 썬 잡어, 다진 마늘, 밀가루를 넣어 볶는다.
3. 볶은 잡어를 토치로 직화한 뒤, 소주를 넣고 한 번 더 직화한다.
4. 볶은 잡어에 뜨거운 물을 부은 뒤, 핸드블렌더로 간다.
5. 간 잡어를 체에 밭쳐 거른다.
6. 돼지 배받이살을 얇게 썬다.
7. 참기름을 두른 냄비에 갈치속젓과 돼지 배받이살을 넣어 볶는다.
8. 볶은 갈치속젓과 돼지 배받이살에 간 잡어, 뜨거운 물을 넣고 끓인다.
9. 불린 무시래기의 잎을 적당한 크기로 썰어 넣고 함께 끓인다.
10. 적당한 크기로 썬 무, 고추, 대파를 넣은 뒤 고추장, 고춧가루를 더해 잡어매운탕을 만든다.
11. 부시리의 껍질만 떼어낸다.
12. 식초와 소금을 넣은 끓는 물에 부시리껍질과 전복을 데친다.
13. 전자레인지에 즉석밥을 데운다.
14. 무말랭이장아찌와 깻잎된장무침을 잘게 썬 뒤 식초, 참기름, 깨를 넣어 소스를 만든다.
15. 양파, 대파, 당근, 청양고추를 채 썬다.
16. 데친 부시리껍질과 전복을 얼음물에 담가 식힌 후, 적당한 크기로 썬다.
17. 부시리껍질과 전복, 채 썬 채소에 소스를 넣고 무쳐 부시리껍질무침을 만든다.
18. 접시에 부시리껍질무침을 담는다.
19. 잡어매운탕에 조미료, 생강즙, 설탕을 넣고 끓인다.
20. 그릇에 밥을 담는다.
21. 잡어매운탕을 뚝배기그릇에 옮겨 담아낸다.</v>
      </c>
    </row>
    <row r="671">
      <c r="A671" s="2" t="str">
        <f>recipe!C671
</f>
        <v>돔레이더</v>
      </c>
      <c r="B671" s="2" t="str">
        <f>IFERROR(__xludf.DUMMYFUNCTION("TRIM(
  REGEXEXTRACT(
    raw!A671,
    ""●\s*조리\s*방법([\s\S]*)""
  )
)
"),"1. 참돔을 해체한다.
2. 참돔살에 격자무늬로 칼집을 낸다.
3. 손질한 참돔살과 아가미에 전분을 묻힌다.
4. 전분을 묻힌 참돔살과 아가미를 기름에 튀긴다.
5. 튀긴 참돔살과 아가미를 건져내 기름기를 뺀다.
6. 무, 대파, 당근을 채 썬 뒤 전분에 버무린다.
7. 전분에 버무린 채소를 기름에 튀긴 뒤 체에 밭쳐 기름기를 뺀다.
8. 기름을 두른 팬에 다진 생강을 넣고 소주로 불을 내 익힌다.
9. 익힌 생강에 고추장아찌국물, 딸기잼"&amp;"을 넣고 졸여 간장소스를 만든다.
10. 팬에 손질된 앵두를 넣고 졸인다.
11. 간장소스에 후추를 넣는다.
12. 졸인 앵두에 소주, 잣, 케첩, 설탕을 넣고 졸여 앵두소스를 만든다.
13. 접시에 참돔살튀김과 아가미튀김을 올린다.
14. 앵두소스에 전분물을 넣어 농도를 조절한다.
15. 참돔살튀김 위에 간장소스와 앵두소스를 각각 붓는다.
16. 참돔튀김에 채소튀김을 곁들인다.")</f>
        <v>1. 참돔을 해체한다.
2. 참돔살에 격자무늬로 칼집을 낸다.
3. 손질한 참돔살과 아가미에 전분을 묻힌다.
4. 전분을 묻힌 참돔살과 아가미를 기름에 튀긴다.
5. 튀긴 참돔살과 아가미를 건져내 기름기를 뺀다.
6. 무, 대파, 당근을 채 썬 뒤 전분에 버무린다.
7. 전분에 버무린 채소를 기름에 튀긴 뒤 체에 밭쳐 기름기를 뺀다.
8. 기름을 두른 팬에 다진 생강을 넣고 소주로 불을 내 익힌다.
9. 익힌 생강에 고추장아찌국물, 딸기잼을 넣고 졸여 간장소스를 만든다.
10. 팬에 손질된 앵두를 넣고 졸인다.
11. 간장소스에 후추를 넣는다.
12. 졸인 앵두에 소주, 잣, 케첩, 설탕을 넣고 졸여 앵두소스를 만든다.
13. 접시에 참돔살튀김과 아가미튀김을 올린다.
14. 앵두소스에 전분물을 넣어 농도를 조절한다.
15. 참돔살튀김 위에 간장소스와 앵두소스를 각각 붓는다.
16. 참돔튀김에 채소튀김을 곁들인다.</v>
      </c>
    </row>
    <row r="672">
      <c r="A672" s="2" t="str">
        <f>recipe!C672
</f>
        <v>울금 캐비지</v>
      </c>
      <c r="B672" s="2" t="str">
        <f>IFERROR(__xludf.DUMMYFUNCTION("TRIM(
  REGEXEXTRACT(
    raw!A672,
    ""●\s*조리\s*방법([\s\S]*)""
  )
)
"),"1. 군고구마의 껍질을 벗겨낸다.
2. 우둔살과 불린 건표고버섯은 잘게 썰고, 마늘은 으깬다.
3. 기름을 두른 팬에 잘게 썬 우둔살과 건표고버섯, 으깬 마늘을 넣고 볶는다.
4. 볶던 우둔살에 간장, 후추를 넣는다.
5. 군고구마에 볶은 우둔살을 넣은 뒤 함께 으깬다.
6. 5를 삶은 양배추에 올린 뒤 돌돌 말아 양배추롤을 만든다.
7. 양배추롤을 꼬치로 고정시킨다.
8. 기름을 두른 팬에 은행을 굽는다.
9. 버터를 녹인 냄비에 잘게 "&amp;"썬 양파를 넣고 볶는다.
10. 볶던 양파에 밀가루, 두유, 사과즙을 넣고 섞는다.
11. 10에 울금가루를 넣어 울금소스를 만든다.
12. 울금소스에 소금으로 간 한다.
13. 기름을 두른 팬에 양배추롤을 굽는다.
14. 사과와 당근을 채 썬다.
15. 채 썬 사과와 당근에 채 썬 양배추, 올리브오일, 키위식초를 넣고 버무려 샐러드를 만든다.
16. 접시에 울금소스를 담은 뒤, 구운 양배추롤과 은행을 올린다.
17. 샐러드와 울금양배추롤"&amp;"을 함께 낸다.")</f>
        <v>1. 군고구마의 껍질을 벗겨낸다.
2. 우둔살과 불린 건표고버섯은 잘게 썰고, 마늘은 으깬다.
3. 기름을 두른 팬에 잘게 썬 우둔살과 건표고버섯, 으깬 마늘을 넣고 볶는다.
4. 볶던 우둔살에 간장, 후추를 넣는다.
5. 군고구마에 볶은 우둔살을 넣은 뒤 함께 으깬다.
6. 5를 삶은 양배추에 올린 뒤 돌돌 말아 양배추롤을 만든다.
7. 양배추롤을 꼬치로 고정시킨다.
8. 기름을 두른 팬에 은행을 굽는다.
9. 버터를 녹인 냄비에 잘게 썬 양파를 넣고 볶는다.
10. 볶던 양파에 밀가루, 두유, 사과즙을 넣고 섞는다.
11. 10에 울금가루를 넣어 울금소스를 만든다.
12. 울금소스에 소금으로 간 한다.
13. 기름을 두른 팬에 양배추롤을 굽는다.
14. 사과와 당근을 채 썬다.
15. 채 썬 사과와 당근에 채 썬 양배추, 올리브오일, 키위식초를 넣고 버무려 샐러드를 만든다.
16. 접시에 울금소스를 담은 뒤, 구운 양배추롤과 은행을 올린다.
17. 샐러드와 울금양배추롤을 함께 낸다.</v>
      </c>
    </row>
    <row r="673">
      <c r="A673" s="2" t="str">
        <f>recipe!C673
</f>
        <v>시나몬 아로니아 비스킷</v>
      </c>
      <c r="B673" s="2" t="str">
        <f>IFERROR(__xludf.DUMMYFUNCTION("TRIM(
  REGEXEXTRACT(
    raw!A673,
    ""●\s*조리\s*방법([\s\S]*)""
  )
)
"),"1. 호박즙과 사과즙을 각각 팬에 넣고 끓인다.
2. 끓이던 사과즙에 씨를 빼고 손질한 사과를 넣고 졸인다.
3. 끓이던 호박즙에 적당한 크기로 썬 레몬을 넣고 졸인다.
4. 졸이던 사과즙에 대추청을 넣는다.
5. 레몬과 함께 졸이던 호박즙에 패션프루트주스를 넣는다.
6. 핸드블렌더에 현미누룽지를 넣고 간다.
7. 간 현미누룽지를 두 개의 볼에 나눠 담는다.
8. 달걀흰자로 머랭을 친다.
9. 현미누룽지가루에 각각 계피가루와 아로니아가루를"&amp;" 넣은 뒤, 흑설탕을 넣는다.
10. 아로니아누룽지가루에 머랭을 섞어 아로니아비스킷반죽을 만든다.
11. 원형틀에 적당한 크기로 썬 군고구마를 넣는다.
12. 원형틀에 아로니아비스킷반죽을 넣는다.
13. 계피누룽지가루에 머랭을 섞어 계피비스킷반죽을 만든다.
14. 원형틀에 계피비스킷반죽을 넣는다.
15. 비스킷반죽 위에 적당한 크기로 썬 군고구마를 올린다.
16. 비스킷반죽을 오븐에 넣고 굽는다.
17. 오븐에 구운 비스킷을 원형틀에서 빼"&amp;"낸 뒤, 접시에 담는다.
18. 계피비스킷 위에 호박소스, 조린 레몬과 패션프루트를 올린다.
19. 사과대추소스에 조린 사과 위에 아로니아 비스킷을 올린다.
20. 사과대추소스를 접시에 플레이팅 해 마무리한다.")</f>
        <v>1. 호박즙과 사과즙을 각각 팬에 넣고 끓인다.
2. 끓이던 사과즙에 씨를 빼고 손질한 사과를 넣고 졸인다.
3. 끓이던 호박즙에 적당한 크기로 썬 레몬을 넣고 졸인다.
4. 졸이던 사과즙에 대추청을 넣는다.
5. 레몬과 함께 졸이던 호박즙에 패션프루트주스를 넣는다.
6. 핸드블렌더에 현미누룽지를 넣고 간다.
7. 간 현미누룽지를 두 개의 볼에 나눠 담는다.
8. 달걀흰자로 머랭을 친다.
9. 현미누룽지가루에 각각 계피가루와 아로니아가루를 넣은 뒤, 흑설탕을 넣는다.
10. 아로니아누룽지가루에 머랭을 섞어 아로니아비스킷반죽을 만든다.
11. 원형틀에 적당한 크기로 썬 군고구마를 넣는다.
12. 원형틀에 아로니아비스킷반죽을 넣는다.
13. 계피누룽지가루에 머랭을 섞어 계피비스킷반죽을 만든다.
14. 원형틀에 계피비스킷반죽을 넣는다.
15. 비스킷반죽 위에 적당한 크기로 썬 군고구마를 올린다.
16. 비스킷반죽을 오븐에 넣고 굽는다.
17. 오븐에 구운 비스킷을 원형틀에서 빼낸 뒤, 접시에 담는다.
18. 계피비스킷 위에 호박소스, 조린 레몬과 패션프루트를 올린다.
19. 사과대추소스에 조린 사과 위에 아로니아 비스킷을 올린다.
20. 사과대추소스를 접시에 플레이팅 해 마무리한다.</v>
      </c>
    </row>
    <row r="674">
      <c r="A674" s="2" t="str">
        <f>recipe!C674
</f>
        <v>고기말이~ 히트다 히트!</v>
      </c>
      <c r="B674" s="2" t="str">
        <f>IFERROR(__xludf.DUMMYFUNCTION("TRIM(
  REGEXEXTRACT(
    raw!A674,
    ""●\s*조리\s*방법([\s\S]*)""
  )
)
"),"1. 기름을 두른 팬에 채 썬 당근과 다진 마늘, 소금, 잘게 썬 홍고추를 넣고 볶는다.
2. 핸드블렌더에 오징어닭가슴살스테이크를 넣고 간다.
3. 볶던 재료에 간 오징어닭가슴살스테이크, 간장, 참기름, 깨를 넣고 볶는다.
4. 우둔살을 얇게 썬다.
5. 얇게 썬 우둔살을 고기망치로 두드려 넓게 편다.
6. 넓게 편 우둔살에 볶은 당근과 군고구마를 넣고 돌돌 만 뒤, 이쑤시개로 고정한다.
7. 기름을 두른 팬에 고기말이를 굽는다.
8. 고기"&amp;"말이에 소금, 후추로 간 한다.
9. 잘게 썬 홍고추, 간장, 식초, 올리브오일, 다진 마늘, 다진 생강, 흑설탕, 참기름, 레몬즙을 섞어 드레싱을 만든다.
10. 고기말이를 토치로 직화한다.
11. 고기말이를 고정하던 이쑤시개를 제거한 뒤, 접시에 담는다.
12. 고기말이 위에 드레싱을 뿌린다.
13. 사과와 대파를 채 썬다.
14. 고기말이에 채 썬 양배추와 사과, 대파를 곁들인다.
15. 잘게 부순 깨를 뿌려 마무리한다.")</f>
        <v>1. 기름을 두른 팬에 채 썬 당근과 다진 마늘, 소금, 잘게 썬 홍고추를 넣고 볶는다.
2. 핸드블렌더에 오징어닭가슴살스테이크를 넣고 간다.
3. 볶던 재료에 간 오징어닭가슴살스테이크, 간장, 참기름, 깨를 넣고 볶는다.
4. 우둔살을 얇게 썬다.
5. 얇게 썬 우둔살을 고기망치로 두드려 넓게 편다.
6. 넓게 편 우둔살에 볶은 당근과 군고구마를 넣고 돌돌 만 뒤, 이쑤시개로 고정한다.
7. 기름을 두른 팬에 고기말이를 굽는다.
8. 고기말이에 소금, 후추로 간 한다.
9. 잘게 썬 홍고추, 간장, 식초, 올리브오일, 다진 마늘, 다진 생강, 흑설탕, 참기름, 레몬즙을 섞어 드레싱을 만든다.
10. 고기말이를 토치로 직화한다.
11. 고기말이를 고정하던 이쑤시개를 제거한 뒤, 접시에 담는다.
12. 고기말이 위에 드레싱을 뿌린다.
13. 사과와 대파를 채 썬다.
14. 고기말이에 채 썬 양배추와 사과, 대파를 곁들인다.
15. 잘게 부순 깨를 뿌려 마무리한다.</v>
      </c>
    </row>
    <row r="675">
      <c r="A675" s="2" t="str">
        <f>recipe!C675
</f>
        <v>버거킴</v>
      </c>
      <c r="B675" s="2" t="str">
        <f>IFERROR(__xludf.DUMMYFUNCTION("TRIM(
  REGEXEXTRACT(
    raw!A675,
    ""●\s*조리\s*방법([\s\S]*)""
  )
)
"),"1. 적당한 크기로 썬 우둔살과 오징어닭가슴살스테이크를 핸드블렌더에 넣고 간다.
2. 간 재료에 통밀빵, 잘게 썬 마늘, 후추, 소금을 넣고 치대어 패티반죽을 만든다.
3. 패티반죽의 모양을 잡은 뒤, 기름을 두른 팬에 굽는다.
4. 볼에 군고구마, 통밀빵, 전분, 두유를 넣고 치대어 빵반죽을 만든다.
5. 빵반죽의 모양을 잡은 뒤, 기름을 두른 팬에 굽는다.
6. 채 썬 양배추에 키위식초를 넣는다.
7. 볼에 마요네즈, 고추냉이를 넣고 섞은"&amp;" 뒤, 채 썬 사과와 청양고추를 넣는다.
8. 7에 소금, 키위식초를 섞은 채 썬 양배추를 넣고 버무려 코울슬로를 만든다.
9. 사과즙, 배즙, 오디즙, 키위식초를 섞어 건강주스를 만든다.
10. 기름을 두른 팬에 통으로 썬 양파를 굽는다.
11. 구운 빵을 반으로 가른 뒤, 케첩을 뿌린다.
12. 케첩을 뿌린 빵 위에 패티와 코울슬로를 올린다.
13. 코울슬로 위에 구운 양파, 케첩을 뿌린 빵을 얹어 햄버거를 만든다.
14. 얼음잔에 건강"&amp;"주스를 담아 함께 낸다.")</f>
        <v>1. 적당한 크기로 썬 우둔살과 오징어닭가슴살스테이크를 핸드블렌더에 넣고 간다.
2. 간 재료에 통밀빵, 잘게 썬 마늘, 후추, 소금을 넣고 치대어 패티반죽을 만든다.
3. 패티반죽의 모양을 잡은 뒤, 기름을 두른 팬에 굽는다.
4. 볼에 군고구마, 통밀빵, 전분, 두유를 넣고 치대어 빵반죽을 만든다.
5. 빵반죽의 모양을 잡은 뒤, 기름을 두른 팬에 굽는다.
6. 채 썬 양배추에 키위식초를 넣는다.
7. 볼에 마요네즈, 고추냉이를 넣고 섞은 뒤, 채 썬 사과와 청양고추를 넣는다.
8. 7에 소금, 키위식초를 섞은 채 썬 양배추를 넣고 버무려 코울슬로를 만든다.
9. 사과즙, 배즙, 오디즙, 키위식초를 섞어 건강주스를 만든다.
10. 기름을 두른 팬에 통으로 썬 양파를 굽는다.
11. 구운 빵을 반으로 가른 뒤, 케첩을 뿌린다.
12. 케첩을 뿌린 빵 위에 패티와 코울슬로를 올린다.
13. 코울슬로 위에 구운 양파, 케첩을 뿌린 빵을 얹어 햄버거를 만든다.
14. 얼음잔에 건강주스를 담아 함께 낸다.</v>
      </c>
    </row>
    <row r="676">
      <c r="A676" s="2" t="str">
        <f>recipe!C676
</f>
        <v>어서 와~ 이런 바칼라는 처음이지?</v>
      </c>
      <c r="B676" s="2" t="str">
        <f>IFERROR(__xludf.DUMMYFUNCTION("TRIM(
  REGEXEXTRACT(
    raw!A676,
    ""●\s*조리\s*방법([\s\S]*)""
  )
)
"),"1. 기름을 두른 팬에 고등어살과 손질가자미를 함께 굽는다.
2. 소금물에 아스파라거스와 그린 빈을 넣고 데친다.
3. 냄비에 다진 소고기와 소금, 뜨거운 물을 넣고 끓여 소고기육수를 만든다.
4. 애호박과 양파, 파프리카를 적당한 크기로 썰어 그릴팬에 굽는다.
5. 핸드블랜더에 마늘과 올리브오일을 넣고 갈아 마늘오일을 만든다.
6. 데친 아스파라거스와 그린 빈을 건져내 식힌다.
7. 그린 빈과 아스파라거스를 데친 물에 그라냐노면과 냉동 감자"&amp;"튀김을 삶는다.
8. 데친 아스파라거스와 그린 빈을 적당한 크기로 썰어 채소를 굽던 그릴팬에 넣고 함께 굽는다.
9. 볼에 안초비 기름을 따라내고, 안초비를 다진다.
10. 볼에 안초비 기름과 다진 안초비, 레몬즙, 마늘오일, 케이퍼, 적당한 크기로 썬 모차렐라 치즈와 방울토마토를 넣고 페코리노 치즈를 갈아 넣어 안초비드레싱을 만든다.
11. 핸드블랜더에 구운 고등어살과 가자미살, 생크림, 간 페코리노 치즈, 삶은 감자튀김을 넣고 갈아 바칼라를 "&amp;"만든다.
12. 기름을 두른 팬에 잘게 썬 당근과 마늘, 양파, 다진 소고기와 불린 포르치니버섯, 소금, 후추, 올리브오일, 마늘오일, 화이트와인, 소고기육수를 넣고 볶아 라구소스를 만든다.
13. 채소를 굽던 그릴팬에 치아바타를 함께 굽는다.
14. 구운 채소를 안초비드레싱에 버무려 안초비샐러드를 만든다.
15. 안초비샐러드와 치아바타를 접시에 담은 뒤, 구운 치아바타 위에 바칼라를 올린다.
16. 15 위에 마늘오일과 후추, 루콜라, 간 페"&amp;"코리노 치즈를 얹는다.
17. 삶은 그라냐노면을 건져 라구소스에 넣고 볶아 라구 그라냐노 파스타를 만든다.
18. 라구 그라냐노 파스타에 구운 애호박과 간 페코리노 치즈를 넣고 볶는다.
19. 접시에 라구 그라냐노 파스타를 담은 뒤, 간 페코리노 치즈를 뿌린다.
20. 라구 그라냐노 파스타와 바칼라, 안초비샐러드에 간 파르미지아노 레지아노 치즈를 뿌려 완성한다.")</f>
        <v>1. 기름을 두른 팬에 고등어살과 손질가자미를 함께 굽는다.
2. 소금물에 아스파라거스와 그린 빈을 넣고 데친다.
3. 냄비에 다진 소고기와 소금, 뜨거운 물을 넣고 끓여 소고기육수를 만든다.
4. 애호박과 양파, 파프리카를 적당한 크기로 썰어 그릴팬에 굽는다.
5. 핸드블랜더에 마늘과 올리브오일을 넣고 갈아 마늘오일을 만든다.
6. 데친 아스파라거스와 그린 빈을 건져내 식힌다.
7. 그린 빈과 아스파라거스를 데친 물에 그라냐노면과 냉동 감자튀김을 삶는다.
8. 데친 아스파라거스와 그린 빈을 적당한 크기로 썰어 채소를 굽던 그릴팬에 넣고 함께 굽는다.
9. 볼에 안초비 기름을 따라내고, 안초비를 다진다.
10. 볼에 안초비 기름과 다진 안초비, 레몬즙, 마늘오일, 케이퍼, 적당한 크기로 썬 모차렐라 치즈와 방울토마토를 넣고 페코리노 치즈를 갈아 넣어 안초비드레싱을 만든다.
11. 핸드블랜더에 구운 고등어살과 가자미살, 생크림, 간 페코리노 치즈, 삶은 감자튀김을 넣고 갈아 바칼라를 만든다.
12. 기름을 두른 팬에 잘게 썬 당근과 마늘, 양파, 다진 소고기와 불린 포르치니버섯, 소금, 후추, 올리브오일, 마늘오일, 화이트와인, 소고기육수를 넣고 볶아 라구소스를 만든다.
13. 채소를 굽던 그릴팬에 치아바타를 함께 굽는다.
14. 구운 채소를 안초비드레싱에 버무려 안초비샐러드를 만든다.
15. 안초비샐러드와 치아바타를 접시에 담은 뒤, 구운 치아바타 위에 바칼라를 올린다.
16. 15 위에 마늘오일과 후추, 루콜라, 간 페코리노 치즈를 얹는다.
17. 삶은 그라냐노면을 건져 라구소스에 넣고 볶아 라구 그라냐노 파스타를 만든다.
18. 라구 그라냐노 파스타에 구운 애호박과 간 페코리노 치즈를 넣고 볶는다.
19. 접시에 라구 그라냐노 파스타를 담은 뒤, 간 페코리노 치즈를 뿌린다.
20. 라구 그라냐노 파스타와 바칼라, 안초비샐러드에 간 파르미지아노 레지아노 치즈를 뿌려 완성한다.</v>
      </c>
    </row>
    <row r="677">
      <c r="A677" s="2" t="str">
        <f>recipe!C677
</f>
        <v>알파고</v>
      </c>
      <c r="B677" s="2" t="str">
        <f>IFERROR(__xludf.DUMMYFUNCTION("TRIM(
  REGEXEXTRACT(
    raw!A677,
    ""●\s*조리\s*방법([\s\S]*)""
  )
)
"),"1. 양파를 잘게 썬다.
2. 소고기 안심에 이탈리아소금과 후추, 트러플오일로 밑간한다.
3. 핸드블랜더에 각종 허브, 건 포르치니버섯, 물을 넣고 간다.
4. 간 재료를 뭉쳐 훈연칩을 만든 뒤, 찜기에 넣고 가열해 태운다.
5. 볼에 팩 레드와인을 부은 뒤, 면포를 넣어 적신다.
6. 팩 레드와인에 적신 면포로 밑간한 안심을 감싼다.
7. 훈연칩을 태워 둔 찜기에 면포로 감싼 안심을 넣고 훈연한다.
8. 끓는 물에 소금을 넣는다.
9. "&amp;"소금물에 트러플 탈리아텔레면을 넣고 삶는다.
10. 삶던 면에 얼음물을 넣는다.
11. 삶은 트러플 탈리아텔레면을 체에 밭쳐 물기를 뺀다.
12. 냄비에 버터와 잘게 썬 양파를 넣고 볶는다.
13. 양파를 볶던 팬에 물에 불린 포르치니 버섯, 화이트와인을 넣고 볶는다.
14. 볶던 재료에 삶은 트러플 탈리아텔레면, 포르치니 버섯을 불린 물, 생크림, 아시아고 치즈, 간 페코리노 치즈를 넣고 볶아 크림파스타를 만든다.
15. 훈연한 안심 스테이"&amp;"크를 적당한 크기로 썬다.
16. 크림파스타를 접시에 담는다.
17. 크림파스타를 담은 접시에 안심 스테이크를 올리고 아스파라거스를 올린다.
18. 크림파스타와 안심 스테이크에 트러플오일을 뿌려 마무리한다.")</f>
        <v>1. 양파를 잘게 썬다.
2. 소고기 안심에 이탈리아소금과 후추, 트러플오일로 밑간한다.
3. 핸드블랜더에 각종 허브, 건 포르치니버섯, 물을 넣고 간다.
4. 간 재료를 뭉쳐 훈연칩을 만든 뒤, 찜기에 넣고 가열해 태운다.
5. 볼에 팩 레드와인을 부은 뒤, 면포를 넣어 적신다.
6. 팩 레드와인에 적신 면포로 밑간한 안심을 감싼다.
7. 훈연칩을 태워 둔 찜기에 면포로 감싼 안심을 넣고 훈연한다.
8. 끓는 물에 소금을 넣는다.
9. 소금물에 트러플 탈리아텔레면을 넣고 삶는다.
10. 삶던 면에 얼음물을 넣는다.
11. 삶은 트러플 탈리아텔레면을 체에 밭쳐 물기를 뺀다.
12. 냄비에 버터와 잘게 썬 양파를 넣고 볶는다.
13. 양파를 볶던 팬에 물에 불린 포르치니 버섯, 화이트와인을 넣고 볶는다.
14. 볶던 재료에 삶은 트러플 탈리아텔레면, 포르치니 버섯을 불린 물, 생크림, 아시아고 치즈, 간 페코리노 치즈를 넣고 볶아 크림파스타를 만든다.
15. 훈연한 안심 스테이크를 적당한 크기로 썬다.
16. 크림파스타를 접시에 담는다.
17. 크림파스타를 담은 접시에 안심 스테이크를 올리고 아스파라거스를 올린다.
18. 크림파스타와 안심 스테이크에 트러플오일을 뿌려 마무리한다.</v>
      </c>
    </row>
    <row r="678">
      <c r="A678" s="2" t="str">
        <f>recipe!C678
</f>
        <v>알짜배기 두부</v>
      </c>
      <c r="B678" s="2" t="str">
        <f>IFERROR(__xludf.DUMMYFUNCTION("TRIM(
  REGEXEXTRACT(
    raw!A678,
    ""●\s*조리\s*방법([\s\S]*)""
  )
)
"),"1. 기름에 두부를 넣어 통째로 튀긴다.
2. 애호박, 양파, 알배추를 적당한 크기로 썬다.
3. 적당한 크기로 썬 채소를 끓는 물에 데친다.
4. 대파를 적당한 크기로 썰어 기름에 튀긴 뒤, 고춧가루를 넣어 고추기름을 만든다.
5. 데친 채소를 체에 밭쳐 거른 뒤, 찬물에 헹궈 식힌다.
6. 식힌 채소를 얼음물에 담가 차갑게 만든다.
7. 얼음물에 담갔던 데친 알배추의 물기를 짠 뒤, 접시에 담는다.
8. 얼음물에 담갔던 채소를 체에 밭쳐"&amp;" 물기를 뺀다.
9. 고추기름을 체에 밭쳐 건더기를 걸러낸다.
10. 그린 빈과 대파는 잘게 썰고, 마늘은 으깬다.
11. 고추기름을 두른 팬에 손질한 채소와 다진 소고기, 간장을 넣고 볶는다.
12. 아스파라거스를 적당한 크기로 썬다.
13. 볶던 재료에 적당한 크기로 썬 아스파라거스를 넣고 함께 볶는다.
14. 파스타면을 삶는다.
15. 볼에 스리라차소스, 스위트칠리소스, 굴소스, 식초, 고추기름을 넣고 섞어 비빔소스를 만든다.
16."&amp;" 튀긴 두부를 건져 윗부분을 편평하게 잘라낸다.
17. 튀긴 두부의 속을 파낸다.
18. 파낸 두부의 속을 으깬다.
19. 볶던 재료에 으깬 두부와 뜨거운 물, 고추기름을 넣고 끓여 두부소스를 만든다.
20. 삶은 파스타면을 건져 찬물에 헹궈 식힌다.
21. 비빔소스에 손질한 아스파라거스와 데친 채소, 차가운 파스타면을 넣고 버무린다.
22. 속을 파낸 튀긴 두부에 완성된 파스타를 넣는다.
23. 데친 알배추가 담긴 접시 위에 두부소스를 얹"&amp;"는다.
24. 두부소스 위에 파스타로 속을 채운 두부튀김을 올린다.
25. 자숙새우를 곁들여 마무리한다.")</f>
        <v>1. 기름에 두부를 넣어 통째로 튀긴다.
2. 애호박, 양파, 알배추를 적당한 크기로 썬다.
3. 적당한 크기로 썬 채소를 끓는 물에 데친다.
4. 대파를 적당한 크기로 썰어 기름에 튀긴 뒤, 고춧가루를 넣어 고추기름을 만든다.
5. 데친 채소를 체에 밭쳐 거른 뒤, 찬물에 헹궈 식힌다.
6. 식힌 채소를 얼음물에 담가 차갑게 만든다.
7. 얼음물에 담갔던 데친 알배추의 물기를 짠 뒤, 접시에 담는다.
8. 얼음물에 담갔던 채소를 체에 밭쳐 물기를 뺀다.
9. 고추기름을 체에 밭쳐 건더기를 걸러낸다.
10. 그린 빈과 대파는 잘게 썰고, 마늘은 으깬다.
11. 고추기름을 두른 팬에 손질한 채소와 다진 소고기, 간장을 넣고 볶는다.
12. 아스파라거스를 적당한 크기로 썬다.
13. 볶던 재료에 적당한 크기로 썬 아스파라거스를 넣고 함께 볶는다.
14. 파스타면을 삶는다.
15. 볼에 스리라차소스, 스위트칠리소스, 굴소스, 식초, 고추기름을 넣고 섞어 비빔소스를 만든다.
16. 튀긴 두부를 건져 윗부분을 편평하게 잘라낸다.
17. 튀긴 두부의 속을 파낸다.
18. 파낸 두부의 속을 으깬다.
19. 볶던 재료에 으깬 두부와 뜨거운 물, 고추기름을 넣고 끓여 두부소스를 만든다.
20. 삶은 파스타면을 건져 찬물에 헹궈 식힌다.
21. 비빔소스에 손질한 아스파라거스와 데친 채소, 차가운 파스타면을 넣고 버무린다.
22. 속을 파낸 튀긴 두부에 완성된 파스타를 넣는다.
23. 데친 알배추가 담긴 접시 위에 두부소스를 얹는다.
24. 두부소스 위에 파스타로 속을 채운 두부튀김을 올린다.
25. 자숙새우를 곁들여 마무리한다.</v>
      </c>
    </row>
    <row r="679">
      <c r="A679" s="2" t="str">
        <f>recipe!C679
</f>
        <v>두부 맛있또</v>
      </c>
      <c r="B679" s="2" t="str">
        <f>IFERROR(__xludf.DUMMYFUNCTION("TRIM(
  REGEXEXTRACT(
    raw!A679,
    ""●\s*조리\s*방법([\s\S]*)""
  )
)
"),"1. 두부를 으깬다.
2. 으깬 두부에 소금을 넣는다.
3. 핸드블랜더에 자숙새우와 완두콩을 넣고 간다.
4. 으깬 두부에 간 자숙새우와 완두콩을 넣고 치대어 만두소를 만든다.
5. 만두소를 동그랗게 빚은 뒤, 전분에 굴린다.
6. 전분에 굴린 만두에 달걀흰자를 입힌 뒤, 다시 전분에 굴린다.
7. 두부굴림만두를 찜기에 넣고 찐다.
8. 파프리카, 애호박, 양파를 적당한 크기로 썬다.
9. 핸드블랜더에 적당한 크기로 썬 채소를 넣고 갈다가"&amp;" 양송이버섯을 더해 간다.
10. 들기름&amp;참기름을 두른 팬에 간 채소와 수제된장, 뜨거운 물을 넣고 볶는다.
11. 볶던 재료에 잘게 다진 루콜라를 넣고 볶아 된장소스를 만든다.
12. 차갑게 만든 볼에 연두부, 설탕, 생크림을 넣고 섞는다.
13. 연두부크림을 냉동실에 넣어둔다.
14. 차갑게 만든 볼에 얼음을 넣는다.
15. 믹서기에 적당한 크기로 썬 냉동 고구마와 두부를 넣고 간다.
16. 얼음 위에 볼을 올린 뒤, 간 고구마와 두부를"&amp;" 넣고 치댄다.
17. 16에 차갑게 만든 연두부크림을 조금씩 넣어가며 계속 치대어 두부젤라또를 만든다.
18. 접시에 된장소스를 담는다.
19. 된장소스 위에 적당한 크기로 썬 루콜라와 들기름&amp;참기름, 들깻가루를 올린다.
20. 판도로를 적당한 크기로 썰어 유리잔에 담는다.
21. 판도로가 담긴 유리잔에 두부젤라또를 담는다.
22. 두부젤라또 위에 꿀을 뿌린다.
23. 두부굴림만두를 접시에 담아 마무리한다.")</f>
        <v>1. 두부를 으깬다.
2. 으깬 두부에 소금을 넣는다.
3. 핸드블랜더에 자숙새우와 완두콩을 넣고 간다.
4. 으깬 두부에 간 자숙새우와 완두콩을 넣고 치대어 만두소를 만든다.
5. 만두소를 동그랗게 빚은 뒤, 전분에 굴린다.
6. 전분에 굴린 만두에 달걀흰자를 입힌 뒤, 다시 전분에 굴린다.
7. 두부굴림만두를 찜기에 넣고 찐다.
8. 파프리카, 애호박, 양파를 적당한 크기로 썬다.
9. 핸드블랜더에 적당한 크기로 썬 채소를 넣고 갈다가 양송이버섯을 더해 간다.
10. 들기름&amp;참기름을 두른 팬에 간 채소와 수제된장, 뜨거운 물을 넣고 볶는다.
11. 볶던 재료에 잘게 다진 루콜라를 넣고 볶아 된장소스를 만든다.
12. 차갑게 만든 볼에 연두부, 설탕, 생크림을 넣고 섞는다.
13. 연두부크림을 냉동실에 넣어둔다.
14. 차갑게 만든 볼에 얼음을 넣는다.
15. 믹서기에 적당한 크기로 썬 냉동 고구마와 두부를 넣고 간다.
16. 얼음 위에 볼을 올린 뒤, 간 고구마와 두부를 넣고 치댄다.
17. 16에 차갑게 만든 연두부크림을 조금씩 넣어가며 계속 치대어 두부젤라또를 만든다.
18. 접시에 된장소스를 담는다.
19. 된장소스 위에 적당한 크기로 썬 루콜라와 들기름&amp;참기름, 들깻가루를 올린다.
20. 판도로를 적당한 크기로 썰어 유리잔에 담는다.
21. 판도로가 담긴 유리잔에 두부젤라또를 담는다.
22. 두부젤라또 위에 꿀을 뿌린다.
23. 두부굴림만두를 접시에 담아 마무리한다.</v>
      </c>
    </row>
    <row r="680">
      <c r="A680" s="2" t="str">
        <f>recipe!C680
</f>
        <v>생오취리</v>
      </c>
      <c r="B680" s="2" t="str">
        <f>IFERROR(__xludf.DUMMYFUNCTION("TRIM(
  REGEXEXTRACT(
    raw!A680,
    ""●\s*조리\s*방법([\s\S]*)""
  )
)
"),"1. 소고기 등심 위에 비닐을 덮은 뒤, 고기망치로 두드려 얇게 편다.
2. 얇게 편 등심에 후추, 올리브 오일을 뿌린다.
3. 볼에 홀그레인 머스터드와 식초를 넣고 섞어 드레싱을 만든다.
4. 얇게 편 등심에 드레싱을 바른다.
5. 드레싱을 바른 등심을 비닐로 덮어 다시 한 번 두드린 뒤, 냉동실에 넣어둔다.
6. 베이컨을 오븐에 넣고 굽는다.
7. 물에 불린 귀리, 가나 땅콩가루, 파르메산 치즈가루, 소금을 섞어 크루통 반죽을 만든다.
"&amp;"8. 기름을 두른 팬에 크루통 반죽을 구워 크루통을 만든다.
9. 토마토와 상추를 적당한 크기로 썬다.
10. 볼에 적당한 크기로 썬 토마토와 상추, 얇게 저민 양파, 올리브오일, 소금을 넣고 버무려 샐러드를 만든다.
11. 접시에 샐러드를 담은 뒤, 얇게 저민 파프리카를 올린다.
12. 냉동실에 넣어둔 등심을 4등분 한 뒤, 샐러드 위에 올린다.
13. 얇게 저민 양파와 파프리카를 얹는다.
14. 구운 크루통을 적당한 크기로 썰어 올린 뒤,"&amp;" 후추를 뿌린다.
15. 볼에 파슬리, 올리브오일, 잘게 썬 마늘을 넣고 버무려 드레싱을 만든 뒤, 소고기샐러드 위에 뿌린다.
16. 구운 베이컨과 얇게 저민 파프리카를 소고기샐러드 위에 올려 마무리한다.")</f>
        <v>1. 소고기 등심 위에 비닐을 덮은 뒤, 고기망치로 두드려 얇게 편다.
2. 얇게 편 등심에 후추, 올리브 오일을 뿌린다.
3. 볼에 홀그레인 머스터드와 식초를 넣고 섞어 드레싱을 만든다.
4. 얇게 편 등심에 드레싱을 바른다.
5. 드레싱을 바른 등심을 비닐로 덮어 다시 한 번 두드린 뒤, 냉동실에 넣어둔다.
6. 베이컨을 오븐에 넣고 굽는다.
7. 물에 불린 귀리, 가나 땅콩가루, 파르메산 치즈가루, 소금을 섞어 크루통 반죽을 만든다.
8. 기름을 두른 팬에 크루통 반죽을 구워 크루통을 만든다.
9. 토마토와 상추를 적당한 크기로 썬다.
10. 볼에 적당한 크기로 썬 토마토와 상추, 얇게 저민 양파, 올리브오일, 소금을 넣고 버무려 샐러드를 만든다.
11. 접시에 샐러드를 담은 뒤, 얇게 저민 파프리카를 올린다.
12. 냉동실에 넣어둔 등심을 4등분 한 뒤, 샐러드 위에 올린다.
13. 얇게 저민 양파와 파프리카를 얹는다.
14. 구운 크루통을 적당한 크기로 썰어 올린 뒤, 후추를 뿌린다.
15. 볼에 파슬리, 올리브오일, 잘게 썬 마늘을 넣고 버무려 드레싱을 만든 뒤, 소고기샐러드 위에 뿌린다.
16. 구운 베이컨과 얇게 저민 파프리카를 소고기샐러드 위에 올려 마무리한다.</v>
      </c>
    </row>
    <row r="681">
      <c r="A681" s="2" t="str">
        <f>recipe!C681
</f>
        <v>맛있는 소고기렌당</v>
      </c>
      <c r="B681" s="2" t="str">
        <f>IFERROR(__xludf.DUMMYFUNCTION("TRIM(
  REGEXEXTRACT(
    raw!A681,
    ""●\s*조리\s*방법([\s\S]*)""
  )
)
"),"1. 강판에 양파를 간다.
2. 가나 절구에 고춧가루, 다진 생강, 간 양파를 넣고 찧듯이 섞는다.
3. 소고기 등심을 적당한 크기로 썬다.
4. 적당한 크기로 썬 등심에 소금을 뿌린다.
5. 기름을 두른 냄비에 찧은 재료와 다진 마늘, 강황가루, 계피가루를 넣고 볶는다.
6. 볶던 재료에 간 한 등심을 넣고 볶는다.
7. 볶던 재료에 청양고추, 코코넛밀크를 넣고 끓인다.
8. 끓이던 재료에 계피가루와 강황가루, 고춧가루를 넣는다.
9. "&amp;"끓이던 재료에 레몬껍질을 넣고 졸여 렌당을 만든다.
10. 브로콜리를 적당한 크기로 썬다.
11. 끓는 소금물에 브로콜리를 넣고 데친다.
12. 데친 브로콜리를 건져 올리브오일을 넣고 버무린 뒤, 그릴팬에 굽는다.
13. 냄비에 올리브오일과 다진 마늘을 넣고 끓여 마늘오일을 만든다.
14. 홍고추와 청양고추를 잘게 썬다.
15. 마늘오일에 잘게 썬 고추와 가나 새우가루, 시토를 넣고 섞어 소스를 만든다.
16. 구운 브로콜리에 소스를 넣고 "&amp;"버무려 접시에 담아낸 뒤, 레몬즙을 뿌린다.
17. 렌당에 코코넛밀크를 더해가며 졸인다.
18. 즉석밥을 접시에 담아낸다.
19. 렌당을 미니냄비에 담은 뒤, 미니화로 위에 올려 낸다.")</f>
        <v>1. 강판에 양파를 간다.
2. 가나 절구에 고춧가루, 다진 생강, 간 양파를 넣고 찧듯이 섞는다.
3. 소고기 등심을 적당한 크기로 썬다.
4. 적당한 크기로 썬 등심에 소금을 뿌린다.
5. 기름을 두른 냄비에 찧은 재료와 다진 마늘, 강황가루, 계피가루를 넣고 볶는다.
6. 볶던 재료에 간 한 등심을 넣고 볶는다.
7. 볶던 재료에 청양고추, 코코넛밀크를 넣고 끓인다.
8. 끓이던 재료에 계피가루와 강황가루, 고춧가루를 넣는다.
9. 끓이던 재료에 레몬껍질을 넣고 졸여 렌당을 만든다.
10. 브로콜리를 적당한 크기로 썬다.
11. 끓는 소금물에 브로콜리를 넣고 데친다.
12. 데친 브로콜리를 건져 올리브오일을 넣고 버무린 뒤, 그릴팬에 굽는다.
13. 냄비에 올리브오일과 다진 마늘을 넣고 끓여 마늘오일을 만든다.
14. 홍고추와 청양고추를 잘게 썬다.
15. 마늘오일에 잘게 썬 고추와 가나 새우가루, 시토를 넣고 섞어 소스를 만든다.
16. 구운 브로콜리에 소스를 넣고 버무려 접시에 담아낸 뒤, 레몬즙을 뿌린다.
17. 렌당에 코코넛밀크를 더해가며 졸인다.
18. 즉석밥을 접시에 담아낸다.
19. 렌당을 미니냄비에 담은 뒤, 미니화로 위에 올려 낸다.</v>
      </c>
    </row>
    <row r="682">
      <c r="A682" s="2" t="str">
        <f>recipe!C682
</f>
        <v>가나 가즈아~</v>
      </c>
      <c r="B682" s="2" t="str">
        <f>IFERROR(__xludf.DUMMYFUNCTION("TRIM(
  REGEXEXTRACT(
    raw!A682,
    ""●\s*조리\s*방법([\s\S]*)""
  )
)
"),"1. 닭다리에 칼집을 넣는다.
2. 칼집을 넣은 닭다리를 기름에 튀긴다.
3. 핸드블랜더에 통마늘과 양파, 다진 생강, 가나 새우가루, 레드팜 오일을 넣는다.
4. 3에 토마토 페이스트를 넣고 간다.
5. 냄비에 간 재료와 물을 넣고 끓여 수프를 만든다.
6. 튀긴 닭다리를 물에 삶는다.
7. 7에 치킨스톡을 넣는다.
8. 달걀흰자와 전분을 섞어 튀김반죽을 만든 뒤, 게맛살을 넣고 버무린다.
9. 튀김반죽에 버무린 게맛살을 기름에 튀긴다."&amp;"
10. 게맛살튀김을 건져내 기름기를 뺀다.
11. 냄비에 푸푸가루와 물을 넣은 뒤, 끓이면서 저어 푸푸 반죽을 만든다.
12. 수프에 닭육수와 닭다리를 넣고 끓인다.
13. 13에 소금과 게맛살튀김, 후추를 넣는다.
14. 가나 절구에 뜨거운 물을 부은 뒤, 푸푸 반죽을 넣는다.
15. 푸푸 반죽을 찧어 푸푸를 만든다.
16. 수프에 코코넛밀크를 넣고 끓인다.
17. 접시에 푸푸를 담고, 수프를 부어 마무리한다.")</f>
        <v>1. 닭다리에 칼집을 넣는다.
2. 칼집을 넣은 닭다리를 기름에 튀긴다.
3. 핸드블랜더에 통마늘과 양파, 다진 생강, 가나 새우가루, 레드팜 오일을 넣는다.
4. 3에 토마토 페이스트를 넣고 간다.
5. 냄비에 간 재료와 물을 넣고 끓여 수프를 만든다.
6. 튀긴 닭다리를 물에 삶는다.
7. 7에 치킨스톡을 넣는다.
8. 달걀흰자와 전분을 섞어 튀김반죽을 만든 뒤, 게맛살을 넣고 버무린다.
9. 튀김반죽에 버무린 게맛살을 기름에 튀긴다.
10. 게맛살튀김을 건져내 기름기를 뺀다.
11. 냄비에 푸푸가루와 물을 넣은 뒤, 끓이면서 저어 푸푸 반죽을 만든다.
12. 수프에 닭육수와 닭다리를 넣고 끓인다.
13. 13에 소금과 게맛살튀김, 후추를 넣는다.
14. 가나 절구에 뜨거운 물을 부은 뒤, 푸푸 반죽을 넣는다.
15. 푸푸 반죽을 찧어 푸푸를 만든다.
16. 수프에 코코넛밀크를 넣고 끓인다.
17. 접시에 푸푸를 담고, 수프를 부어 마무리한다.</v>
      </c>
    </row>
    <row r="683">
      <c r="A683" s="2" t="str">
        <f>recipe!C683
</f>
        <v>나이스! 라이스~</v>
      </c>
      <c r="B683" s="2" t="str">
        <f>IFERROR(__xludf.DUMMYFUNCTION("TRIM(
  REGEXEXTRACT(
    raw!A683,
    ""●\s*조리\s*방법([\s\S]*)""
  )
)
"),"1. 냄비에 인스턴트 사골곰탕, 불린 쌀을 넣고 끓인다.
2. 쌀을 끓이던 냄비에 잘게 썬 양파와 토마토 페이스트를 넣는다.
3. 다른 냄비에 적당한 크기로 썬 양파를 넣은 뒤, 버터스프레이를 뿌린다.
4. 볶던 양파에 레드팜 오일을 넣고 볶는다.
5. 파프리카를 적당한 크기로 썰어 쌀을 끓이던 냄비에 넣는다.
6. 핸드블랜더에 토마토를 넣고 간다.
7. 다른 핸드블랜더에 레드팜 오일에 볶은 양파와 청양고추, 통마늘, 다진 생강을 넣는다.
"&amp;"8. 끓이던 쌀에 다진 생강을 넣는다.
9. 핸드블랜더에 넣은 채소를 간다.
10. 기름을 두른 팬에 적당한 크기로 썬 소고기 등심과 스테이크시즈닝을 넣고 볶는다.
11. 볶던 등심에 간 토마토와 간 채소를 넣고 볶는다.
12. 등심볶음과 끓이던 쌀에 강황가루와 가나 새우가루를 넣는다.
13. 끓이던 쌀에 등심볶음을 넣고 졸여 졸로프 라이스를 만든다.
14. 남은 등심볶음에 인스턴트 사골곰탕과 팜너트 통조림을 넣고 끓여 팜너트 스튜를 만든다."&amp;"
15. 그릇에 팜너트 스튜를 담는다.
16. 종지에 시토를 담는다.
17. 그릇에 졸로프 라이스를 담고 팜너트 스튜와 시토를 함께 낸다.")</f>
        <v>1. 냄비에 인스턴트 사골곰탕, 불린 쌀을 넣고 끓인다.
2. 쌀을 끓이던 냄비에 잘게 썬 양파와 토마토 페이스트를 넣는다.
3. 다른 냄비에 적당한 크기로 썬 양파를 넣은 뒤, 버터스프레이를 뿌린다.
4. 볶던 양파에 레드팜 오일을 넣고 볶는다.
5. 파프리카를 적당한 크기로 썰어 쌀을 끓이던 냄비에 넣는다.
6. 핸드블랜더에 토마토를 넣고 간다.
7. 다른 핸드블랜더에 레드팜 오일에 볶은 양파와 청양고추, 통마늘, 다진 생강을 넣는다.
8. 끓이던 쌀에 다진 생강을 넣는다.
9. 핸드블랜더에 넣은 채소를 간다.
10. 기름을 두른 팬에 적당한 크기로 썬 소고기 등심과 스테이크시즈닝을 넣고 볶는다.
11. 볶던 등심에 간 토마토와 간 채소를 넣고 볶는다.
12. 등심볶음과 끓이던 쌀에 강황가루와 가나 새우가루를 넣는다.
13. 끓이던 쌀에 등심볶음을 넣고 졸여 졸로프 라이스를 만든다.
14. 남은 등심볶음에 인스턴트 사골곰탕과 팜너트 통조림을 넣고 끓여 팜너트 스튜를 만든다.
15. 그릇에 팜너트 스튜를 담는다.
16. 종지에 시토를 담는다.
17. 그릇에 졸로프 라이스를 담고 팜너트 스튜와 시토를 함께 낸다.</v>
      </c>
    </row>
    <row r="684">
      <c r="A684" s="2" t="str">
        <f>recipe!C684
</f>
        <v>죽빙</v>
      </c>
      <c r="B684" s="2" t="str">
        <f>IFERROR(__xludf.DUMMYFUNCTION("TRIM(
  REGEXEXTRACT(
    raw!A684,
    ""●\s*조리\s*방법([\s\S]*)""
  )
)
"),"1. 끓는 물에 잘게 부순 누룽지를 넣고 끓인다.
2. 적당한 크기로 썬 오징어의 뼈를 제거하고 핸드블랜더에 넣어 간다.
3. 마른 팬에 잘게 썬 애호박과 간 오징어를 넣고 볶는다.
4. 볶던 재료에 편마늘과 맛술을 넣는다.
5. 쑥떡을 적당한 크기로 썬다.
6. 핸드블랜더에 쑥떡을 넣고 간 뒤, 끓이던 누룽지에 넣는다.
7. 6에 볶은 오징어와 애호박을 넣고 함께 끓인다.
8. 끓이던 재료에 뜨거운 물을 더한 뒤, 핸드블랜더로 갈아 죽을"&amp;" 만든다.
9. 죽에 소금으로 간 한다.
10. 핸드블랜더에 멍게젓과 청양고추를 넣고 간다.
11. 간 멍게젓에 깨와 참기름을 넣고 섞어 양념장을 만든다.
12. 종지에 양념장을 담고 잘게 썬 대파를 올린다.
13. 핸드블랜더에 청포도를 넣고 간다.
14. 간 청포도에 꿀을 넣고 다시 한 번 간다.
15. 간 청포도를 체에 밭쳐 건더기와 즙을 걸러낸다.
16. 수수부꾸미에서 팥만 골라낸다.
17. 팥에 꿀을 넣고 버무린다.
18. 믹서"&amp;"기에 얼음을 넣고 간다.
19. 청포도즙에 레몬즙을 넣은 뒤, 종지에 담아낸다.
20. 그릇에 간 청포도&gt;간 얼음&gt;팥&gt;간 얼음&gt;간 청포도&gt;팥을 순서대로 담아 팥빙수를 만든다.
21. 팥빙수에 잘게 썬 딸기를 얹는다.
22. 팥빙수에 블루베리를 올리고 잘게 썬 레몬껍질을 뿌린다.
23. 그릇에 죽을 담고 잘게 썬 레몬껍질을 뿌린다.
24. 죽 위에 잘게 썬 대파를 올려 마무리한다.")</f>
        <v>1. 끓는 물에 잘게 부순 누룽지를 넣고 끓인다.
2. 적당한 크기로 썬 오징어의 뼈를 제거하고 핸드블랜더에 넣어 간다.
3. 마른 팬에 잘게 썬 애호박과 간 오징어를 넣고 볶는다.
4. 볶던 재료에 편마늘과 맛술을 넣는다.
5. 쑥떡을 적당한 크기로 썬다.
6. 핸드블랜더에 쑥떡을 넣고 간 뒤, 끓이던 누룽지에 넣는다.
7. 6에 볶은 오징어와 애호박을 넣고 함께 끓인다.
8. 끓이던 재료에 뜨거운 물을 더한 뒤, 핸드블랜더로 갈아 죽을 만든다.
9. 죽에 소금으로 간 한다.
10. 핸드블랜더에 멍게젓과 청양고추를 넣고 간다.
11. 간 멍게젓에 깨와 참기름을 넣고 섞어 양념장을 만든다.
12. 종지에 양념장을 담고 잘게 썬 대파를 올린다.
13. 핸드블랜더에 청포도를 넣고 간다.
14. 간 청포도에 꿀을 넣고 다시 한 번 간다.
15. 간 청포도를 체에 밭쳐 건더기와 즙을 걸러낸다.
16. 수수부꾸미에서 팥만 골라낸다.
17. 팥에 꿀을 넣고 버무린다.
18. 믹서기에 얼음을 넣고 간다.
19. 청포도즙에 레몬즙을 넣은 뒤, 종지에 담아낸다.
20. 그릇에 간 청포도&gt;간 얼음&gt;팥&gt;간 얼음&gt;간 청포도&gt;팥을 순서대로 담아 팥빙수를 만든다.
21. 팥빙수에 잘게 썬 딸기를 얹는다.
22. 팥빙수에 블루베리를 올리고 잘게 썬 레몬껍질을 뿌린다.
23. 그릇에 죽을 담고 잘게 썬 레몬껍질을 뿌린다.
24. 죽 위에 잘게 썬 대파를 올려 마무리한다.</v>
      </c>
    </row>
    <row r="685">
      <c r="A685" s="2" t="str">
        <f>recipe!C685
</f>
        <v>수비드 레이서</v>
      </c>
      <c r="B685" s="2" t="str">
        <f>IFERROR(__xludf.DUMMYFUNCTION("TRIM(
  REGEXEXTRACT(
    raw!A685,
    ""●\s*조리\s*방법([\s\S]*)""
  )
)
"),"1. 연어를 적당한 크기로 썬다.
2. 비닐백에 올리브오일을 붓고, 소금으로 간 한 연어를 넣는다.
3. 볼에 뜨거운 물과 찬물을 섞어 미지근한 물(약 47℃)을 만든 뒤, 연어를 넣은 비닐팩을 담가 수비드한다.
4. 애호박을 슬라이스한 뒤, 소금을 뿌리고 올리브오일에 버무린다.
5. 그릴팬에 애호박을 굽는다.
6. 갈치의 살을 발라낸다.
7. 기름을 두른 팬에 잘게 썬 대파를 볶는다.
8. 대파를 볶던 팬에 적당한 크기로 썬 갈치살을 넣는"&amp;"다.
9. 볶던 갈치살에 달걀과 소금을 넣는다.
10. 갈치살과 애호박에 후추를 뿌린다.
11. 볶은 갈치살에 불린 누룽지를 넣고 볶아 갈치볶음밥을 만든다.
12. 아보카도를 손질한다.
13. 손질한 아보카도를 얇게 썬다.
14. 구운 애호박 위에 얇게 썬 아보카도를 올린다.
15. 수비드한 연어를 체에 밭쳐 기름을 뺀다.
16. 구운 애호박과 얇게 썬 아보카도 위에 수비드한 연어를 올린다.
17. 구운 애호박&gt;얇게 썬 아보카도&gt;수비드한"&amp;" 연어를 차례로 계속해서 쌓아 레이어드한다.
18. 레이어드한 연어와 채소의 가장자리를 잘라낸 뒤, 접시에 담는다.
19. 양파를 채 썬다.
20. 기름을 두른 팬에 채 썬 양파와 통후추, 레몬즙을 넣고 볶는다.
21. 볶던 재료에 레드와인과 화이트와인을 넣고 졸여 와인소스를 만든다.
22. 와인소스를 체에 밭쳐 건더기를 걸러낸다.
23. 와인소스에 레몬즙, 올리브오일, 모과청, 연겨자, 손질한 청포도와 딸기를 넣고 섞는다.
24. 레이어드"&amp;"한 연어&amp;채소 위에 과일소스를 뿌린다.
25. 그릇에 갈치볶음밥을 담아낸다.")</f>
        <v>1. 연어를 적당한 크기로 썬다.
2. 비닐백에 올리브오일을 붓고, 소금으로 간 한 연어를 넣는다.
3. 볼에 뜨거운 물과 찬물을 섞어 미지근한 물(약 47℃)을 만든 뒤, 연어를 넣은 비닐팩을 담가 수비드한다.
4. 애호박을 슬라이스한 뒤, 소금을 뿌리고 올리브오일에 버무린다.
5. 그릴팬에 애호박을 굽는다.
6. 갈치의 살을 발라낸다.
7. 기름을 두른 팬에 잘게 썬 대파를 볶는다.
8. 대파를 볶던 팬에 적당한 크기로 썬 갈치살을 넣는다.
9. 볶던 갈치살에 달걀과 소금을 넣는다.
10. 갈치살과 애호박에 후추를 뿌린다.
11. 볶은 갈치살에 불린 누룽지를 넣고 볶아 갈치볶음밥을 만든다.
12. 아보카도를 손질한다.
13. 손질한 아보카도를 얇게 썬다.
14. 구운 애호박 위에 얇게 썬 아보카도를 올린다.
15. 수비드한 연어를 체에 밭쳐 기름을 뺀다.
16. 구운 애호박과 얇게 썬 아보카도 위에 수비드한 연어를 올린다.
17. 구운 애호박&gt;얇게 썬 아보카도&gt;수비드한 연어를 차례로 계속해서 쌓아 레이어드한다.
18. 레이어드한 연어와 채소의 가장자리를 잘라낸 뒤, 접시에 담는다.
19. 양파를 채 썬다.
20. 기름을 두른 팬에 채 썬 양파와 통후추, 레몬즙을 넣고 볶는다.
21. 볶던 재료에 레드와인과 화이트와인을 넣고 졸여 와인소스를 만든다.
22. 와인소스를 체에 밭쳐 건더기를 걸러낸다.
23. 와인소스에 레몬즙, 올리브오일, 모과청, 연겨자, 손질한 청포도와 딸기를 넣고 섞는다.
24. 레이어드한 연어&amp;채소 위에 과일소스를 뿌린다.
25. 그릇에 갈치볶음밥을 담아낸다.</v>
      </c>
    </row>
    <row r="686">
      <c r="A686" s="2" t="str">
        <f>recipe!C686
</f>
        <v>베리베리 맛있게</v>
      </c>
      <c r="B686" s="2" t="str">
        <f>IFERROR(__xludf.DUMMYFUNCTION("TRIM(
  REGEXEXTRACT(
    raw!A686,
    ""●\s*조리\s*방법([\s\S]*)""
  )
)
"),"1. 꽃게를 손질해 적당한 크기로 자른다.
2. 달군 찜기에 화이트와인을 부어 끓인다.
3. 끓이는 화이트와인에 귤차 티백과 페퍼민트차 티백을 넣는다.
4. 찜기에 손질한 꽃게와 오징어를 넣고 찐다.
5. 물과 식용유, 밀가루, 잘게 부순 누룽지를 섞어 누룽지튀일반죽을 만든다.
6. 누룽지튀일반죽을 팬에 굽는다.
7. 믹서기에 꼭지를 제거한 딸기와 블루베리를 넣는다.
8. 딸기와 블루베리를 넣은 믹서기에 물과 화이트 와인, 모과청, 얼음을 "&amp;"넣고 갈아 베리베리주스를 만든다.
9. 양파를 잘게 썬다.
10. 핸드블랜더에 손질한 아보카도와 다진 양파, 레몬즙, 마요네즈, 소금을 넣고 갈아 아보카도무스를 만든다.
11. 찐 꽃게를 밀대로 밀어 게살을 발라내고, 찐 오징어는 적당한 크기로 썬다.
12. 게살과 찐 오징어를 잘게 다진다.
13. 볼에 잘게 다진 게살&amp;오징어, 다진 양파, 소금, 연겨자, 레몬즙을 넣는다.
14. 13에 올리브오일과 후추를 넣고 섞어 게살 타르타르를 만든다."&amp;"
15. 접시에 원형틀을 올린 뒤, 게살 타르타르와 아보카도무스를 담는다.
16. 원형틀을 제거한 뒤, 누룽지튀일을 곁들인다.
17. 베리베리주스를 잔에 따른다.
18. 체리와 청포도를 곁들여 마무리한다.")</f>
        <v>1. 꽃게를 손질해 적당한 크기로 자른다.
2. 달군 찜기에 화이트와인을 부어 끓인다.
3. 끓이는 화이트와인에 귤차 티백과 페퍼민트차 티백을 넣는다.
4. 찜기에 손질한 꽃게와 오징어를 넣고 찐다.
5. 물과 식용유, 밀가루, 잘게 부순 누룽지를 섞어 누룽지튀일반죽을 만든다.
6. 누룽지튀일반죽을 팬에 굽는다.
7. 믹서기에 꼭지를 제거한 딸기와 블루베리를 넣는다.
8. 딸기와 블루베리를 넣은 믹서기에 물과 화이트 와인, 모과청, 얼음을 넣고 갈아 베리베리주스를 만든다.
9. 양파를 잘게 썬다.
10. 핸드블랜더에 손질한 아보카도와 다진 양파, 레몬즙, 마요네즈, 소금을 넣고 갈아 아보카도무스를 만든다.
11. 찐 꽃게를 밀대로 밀어 게살을 발라내고, 찐 오징어는 적당한 크기로 썬다.
12. 게살과 찐 오징어를 잘게 다진다.
13. 볼에 잘게 다진 게살&amp;오징어, 다진 양파, 소금, 연겨자, 레몬즙을 넣는다.
14. 13에 올리브오일과 후추를 넣고 섞어 게살 타르타르를 만든다.
15. 접시에 원형틀을 올린 뒤, 게살 타르타르와 아보카도무스를 담는다.
16. 원형틀을 제거한 뒤, 누룽지튀일을 곁들인다.
17. 베리베리주스를 잔에 따른다.
18. 체리와 청포도를 곁들여 마무리한다.</v>
      </c>
    </row>
    <row r="687">
      <c r="A687" s="2" t="str">
        <f>recipe!C687
</f>
        <v>골든 크랩</v>
      </c>
      <c r="B687" s="2" t="str">
        <f>IFERROR(__xludf.DUMMYFUNCTION("TRIM(
  REGEXEXTRACT(
    raw!A687,
    ""●\s*조리\s*방법([\s\S]*)""
  )
)
"),"1. 양파를 채 썬다.
2. 냄비에 채 썬 양파와 모과청, 간장, 물을 넣고 끓인다.
3. 꽃게의 내장을 발라낸다.
4. 꽃게를 밀대로 밀어 게살을 발라낸다.
5. 오징어를 적당한 크기로 썬다.
6. 핸드블랜더에 누룽지를 넣고 간다.
7. 간 누룽지를 체에 밭쳐 곱게 거른다.
8. 핸드블랜더에 고운 누룽지가루와 게살, 오징어, 통조림 참치를 넣고 갈아 게살반죽을 만든다.
9. 살을 발라낸 게 다리에 전분을 묻힌 뒤, 게살반죽을 뭉쳐 붙인다"&amp;".
10. 게살반죽 위에 누룽지가루를 입히고 기름에 튀긴다.
11. 꽃게 등딱지를 물에 씻어낸 뒤, 안쪽에 전분을 묻힌다.
12. 남은 게살반죽에 게살을 더하고, 게내장과 즉석밥을 넣는다.
13. 멍게젓을 잘게 다진다.
14. 게내장밥에 잘게 다진 멍게젓을 넣고 섞는다.
15. 게 등딱지에 게내장밥을 담은 뒤, 전분-&gt;달걀-&gt;전분을 순서대로 묻혀 찜기에 넣고 찐다.
16. 감말랭이를 잘게 썬다.
17. 양파와 모과청을 넣고 끓인 간장소스를"&amp;" 체에 밭쳐 건더기는 걸러낸다.
18. 팬에 간장소스와 잘게 썬 감말랭이, 물, 레몬즙, 설탕을 넣고 졸여 감소스를 만든다.
19. 게튀김을 건져 기름기를 뺀다.
20. 양상추와 얇게 저민 단감, 식초, 잘게 썬 체리, 페퍼민트차 가루, 레몬즙을 섞어 단감샐러드를 만든다.
21. 게 등딱지에 담아서 찐 게내장밥과 게튀김, 감소스를 접시에 담고 단감샐러드를 얹어 마무리한다.")</f>
        <v>1. 양파를 채 썬다.
2. 냄비에 채 썬 양파와 모과청, 간장, 물을 넣고 끓인다.
3. 꽃게의 내장을 발라낸다.
4. 꽃게를 밀대로 밀어 게살을 발라낸다.
5. 오징어를 적당한 크기로 썬다.
6. 핸드블랜더에 누룽지를 넣고 간다.
7. 간 누룽지를 체에 밭쳐 곱게 거른다.
8. 핸드블랜더에 고운 누룽지가루와 게살, 오징어, 통조림 참치를 넣고 갈아 게살반죽을 만든다.
9. 살을 발라낸 게 다리에 전분을 묻힌 뒤, 게살반죽을 뭉쳐 붙인다.
10. 게살반죽 위에 누룽지가루를 입히고 기름에 튀긴다.
11. 꽃게 등딱지를 물에 씻어낸 뒤, 안쪽에 전분을 묻힌다.
12. 남은 게살반죽에 게살을 더하고, 게내장과 즉석밥을 넣는다.
13. 멍게젓을 잘게 다진다.
14. 게내장밥에 잘게 다진 멍게젓을 넣고 섞는다.
15. 게 등딱지에 게내장밥을 담은 뒤, 전분-&gt;달걀-&gt;전분을 순서대로 묻혀 찜기에 넣고 찐다.
16. 감말랭이를 잘게 썬다.
17. 양파와 모과청을 넣고 끓인 간장소스를 체에 밭쳐 건더기는 걸러낸다.
18. 팬에 간장소스와 잘게 썬 감말랭이, 물, 레몬즙, 설탕을 넣고 졸여 감소스를 만든다.
19. 게튀김을 건져 기름기를 뺀다.
20. 양상추와 얇게 저민 단감, 식초, 잘게 썬 체리, 페퍼민트차 가루, 레몬즙을 섞어 단감샐러드를 만든다.
21. 게 등딱지에 담아서 찐 게내장밥과 게튀김, 감소스를 접시에 담고 단감샐러드를 얹어 마무리한다.</v>
      </c>
    </row>
    <row r="688">
      <c r="A688" s="2" t="str">
        <f>recipe!C688
</f>
        <v>샘표 한상</v>
      </c>
      <c r="B688" s="2" t="str">
        <f>IFERROR(__xludf.DUMMYFUNCTION("TRIM(
  REGEXEXTRACT(
    raw!A688,
    ""●\s*조리\s*방법([\s\S]*)""
  )
)
"),"1. 핸드블랜더에 올리브오일과 통마늘을 넣고 갈아 마늘오일을 만든다.
2. 기름을 두른 냄비에 통마늘과 국거리용 소고기를 넣고 볶는다.
3. 볶던 소고기에 적당한 크기로 썬 무와 소금을 넣는다.
4. 3에 뜨거운 물을 붓고 끓여 소고기육수를 낸다.
5. 양파와 당근을 채 썬 뒤, 기름을 두른 팬에 볶다가 소금으로 간 한다.
6. 볶던 채소에 적당한 크기로 썬 어묵을 넣고 함께 볶는다.
7. 볶던 재료에 적당한 크기로 썬 청양고추와 마늘오일을 "&amp;"넣는다.
8. 볶던 재료에 고춧가루와 간장, 설탕, 참기름을 더해 어묵볶음을 만든다.
9. 볼에 간장과 설탕, 삼겹살, 고춧가루, 고추장, 매실액, 마늘오일을 넣고 버무려 고추장불고기를 만든다.
10. 고추장불고기에 후추, 참기름, 다진 생강, 물엿을 넣고 버무린다.
11. 청양고추와 대파를 썰어 고추장불고기에 넣고 버무린다.
12. 볼에 고추장과 참기름, 적당한 크기로 썬 청양고추, 멸치를 넣고 버무려 멸치고추장무침을 만든다.
13. 청양고"&amp;"추와 홍고추를 적당한 크기로 썰어 고추장불고기에 넣는다.
14. 가지를 길게 썬 뒤, 밀가루를 묻혀 기름에 튀긴다.
15. 팬에 마늘오일과 간 우둔살, 소금, 간장, 맛술을 넣고 볶은 뒤, 참기름을 더해 양념을 만든다.
16. 튀긴 가지와 양념, 잘게 썬 대파와 참기름을 버무려 가지무침을 만든다.
17. 그릴팬에 고추장불고기를 굽는다.
18. 팬에 마늘오일과 참기름, 국거리용 소고기, 소금을 넣고 볶다가 소고기육수를 넣고 끓인다.
19. 끓이"&amp;"던 재료를 체에 밭쳐 건더기를 걸러낸 뒤, 매생이를 넣고 끓여 매생이국을 만든다.
20. 매생이국에 소금과 간장으로 간 한다.
21. 김을 구운 뒤 적당한 크기로 찢는다.
22. 즉석밥을 전자레인지에 돌린다.
23. 구운 김과 멸치고추장무침, 어묵볶음을 각각 접시에 담는다.
24. 매생이국을 그릇에 담는다.
25. 가지무침과 고추장불고기, 밥을 각각 접시에 담는다.
26. 밥과 고추장불고기, 매생이국, 멸치고추장무침, 어묵볶음, 가지무침을 "&amp;"함께 낸다.")</f>
        <v>1. 핸드블랜더에 올리브오일과 통마늘을 넣고 갈아 마늘오일을 만든다.
2. 기름을 두른 냄비에 통마늘과 국거리용 소고기를 넣고 볶는다.
3. 볶던 소고기에 적당한 크기로 썬 무와 소금을 넣는다.
4. 3에 뜨거운 물을 붓고 끓여 소고기육수를 낸다.
5. 양파와 당근을 채 썬 뒤, 기름을 두른 팬에 볶다가 소금으로 간 한다.
6. 볶던 채소에 적당한 크기로 썬 어묵을 넣고 함께 볶는다.
7. 볶던 재료에 적당한 크기로 썬 청양고추와 마늘오일을 넣는다.
8. 볶던 재료에 고춧가루와 간장, 설탕, 참기름을 더해 어묵볶음을 만든다.
9. 볼에 간장과 설탕, 삼겹살, 고춧가루, 고추장, 매실액, 마늘오일을 넣고 버무려 고추장불고기를 만든다.
10. 고추장불고기에 후추, 참기름, 다진 생강, 물엿을 넣고 버무린다.
11. 청양고추와 대파를 썰어 고추장불고기에 넣고 버무린다.
12. 볼에 고추장과 참기름, 적당한 크기로 썬 청양고추, 멸치를 넣고 버무려 멸치고추장무침을 만든다.
13. 청양고추와 홍고추를 적당한 크기로 썰어 고추장불고기에 넣는다.
14. 가지를 길게 썬 뒤, 밀가루를 묻혀 기름에 튀긴다.
15. 팬에 마늘오일과 간 우둔살, 소금, 간장, 맛술을 넣고 볶은 뒤, 참기름을 더해 양념을 만든다.
16. 튀긴 가지와 양념, 잘게 썬 대파와 참기름을 버무려 가지무침을 만든다.
17. 그릴팬에 고추장불고기를 굽는다.
18. 팬에 마늘오일과 참기름, 국거리용 소고기, 소금을 넣고 볶다가 소고기육수를 넣고 끓인다.
19. 끓이던 재료를 체에 밭쳐 건더기를 걸러낸 뒤, 매생이를 넣고 끓여 매생이국을 만든다.
20. 매생이국에 소금과 간장으로 간 한다.
21. 김을 구운 뒤 적당한 크기로 찢는다.
22. 즉석밥을 전자레인지에 돌린다.
23. 구운 김과 멸치고추장무침, 어묵볶음을 각각 접시에 담는다.
24. 매생이국을 그릇에 담는다.
25. 가지무침과 고추장불고기, 밥을 각각 접시에 담는다.
26. 밥과 고추장불고기, 매생이국, 멸치고추장무침, 어묵볶음, 가지무침을 함께 낸다.</v>
      </c>
    </row>
    <row r="689">
      <c r="A689" s="2" t="str">
        <f>recipe!C689
</f>
        <v>맘스텔라</v>
      </c>
      <c r="B689" s="2" t="str">
        <f>IFERROR(__xludf.DUMMYFUNCTION("TRIM(
  REGEXEXTRACT(
    raw!A689,
    ""●\s*조리\s*방법([\s\S]*)""
  )
)
"),"1. 가지를 길게 자른 뒤, 찜기에 넣고 찐다.
2. 무를 적당한 크기로 썰어 냄비에 깐 뒤, 조기를 올린다.
3. 양파와 청양고추를 적당한 크기로 썰어 조기 위에 올린다.
4. 대파를 적당한 크기로 썬다.
5. 해물다시팩에 뜨거운 물을 부어 해물육수를 낸다.
6. 해물육수에 고춧가루, 간장, 다진 마늘, 청주, 소금을 넣어 양념을 만든다.
7. 조기에 양념을 붓고 조린다.
8. 버터를 전자레인지에 돌려 녹인다.
9. 볼에 설탕과 달걀흰자"&amp;"를 넣고 섞어 머랭을 만든다.
10. 머랭에 달걀노른자와 밀가루를 넣고 섞어 카스텔라 반죽을 만든다.
11. 카스텔라 반죽에 우유와 녹인 버터를 넣는다.
12. 달군 팬에 녹인 버터를 넣고 한번 닦아낸 뒤, 카스텔라 반죽을 붓고 뚜껑을 덮어 익힌다.
13. 카스텔라를 돌돌 말아 김발로 고정한다.
14. 조기매운탕에 참치액을 넣는다.
15. 찐 가지를 꺼내 물기를 짠다.
16. 볼에 찐 가지, 적당한 크기로 썬 대파와 홍고추, 깨를 넣는다.
"&amp;"
17. 16에 참치액과 참기름, 다진 마늘, 소금을 넣고 무쳐 가지무침을 만든다.
18. 접시에 가지무침을 담는다.
19. 전자레인지에 넣고 돌린 즉석밥을 그릇에 담는다.
20. 카스텔라를 적당한 크기로 썰어 접시에 담는다.
21. 조기매운탕에 잘게 썬 대파를 올린다.
22. 밥과 가지무침, 카스텔라, 조기매운탕을 함께 낸다.")</f>
        <v>1. 가지를 길게 자른 뒤, 찜기에 넣고 찐다.
2. 무를 적당한 크기로 썰어 냄비에 깐 뒤, 조기를 올린다.
3. 양파와 청양고추를 적당한 크기로 썰어 조기 위에 올린다.
4. 대파를 적당한 크기로 썬다.
5. 해물다시팩에 뜨거운 물을 부어 해물육수를 낸다.
6. 해물육수에 고춧가루, 간장, 다진 마늘, 청주, 소금을 넣어 양념을 만든다.
7. 조기에 양념을 붓고 조린다.
8. 버터를 전자레인지에 돌려 녹인다.
9. 볼에 설탕과 달걀흰자를 넣고 섞어 머랭을 만든다.
10. 머랭에 달걀노른자와 밀가루를 넣고 섞어 카스텔라 반죽을 만든다.
11. 카스텔라 반죽에 우유와 녹인 버터를 넣는다.
12. 달군 팬에 녹인 버터를 넣고 한번 닦아낸 뒤, 카스텔라 반죽을 붓고 뚜껑을 덮어 익힌다.
13. 카스텔라를 돌돌 말아 김발로 고정한다.
14. 조기매운탕에 참치액을 넣는다.
15. 찐 가지를 꺼내 물기를 짠다.
16. 볼에 찐 가지, 적당한 크기로 썬 대파와 홍고추, 깨를 넣는다.
17. 16에 참치액과 참기름, 다진 마늘, 소금을 넣고 무쳐 가지무침을 만든다.
18. 접시에 가지무침을 담는다.
19. 전자레인지에 넣고 돌린 즉석밥을 그릇에 담는다.
20. 카스텔라를 적당한 크기로 썰어 접시에 담는다.
21. 조기매운탕에 잘게 썬 대파를 올린다.
22. 밥과 가지무침, 카스텔라, 조기매운탕을 함께 낸다.</v>
      </c>
    </row>
    <row r="690">
      <c r="A690" s="2" t="str">
        <f>recipe!C690
</f>
        <v>허니버터치</v>
      </c>
      <c r="B690" s="2" t="str">
        <f>IFERROR(__xludf.DUMMYFUNCTION("TRIM(
  REGEXEXTRACT(
    raw!A690,
    ""●\s*조리\s*방법([\s\S]*)""
  )
)
"),"1. 멸치의 대가리와 내장을 제거한다.
2. 끓는 물에 다시마와 무, 국물용 멸치를 넣고 우린다.
3. 버터를 녹이던 팬에 잘게 다진 마늘과 꿀, 화이트와인을 넣어 허니버터를 만든다.
4. 끓는 물에 표고버섯 불린 물과 참치액을 넣은 뒤, 파스타면을 넣고 삶는다.
5. 삶던 파스타면에 소금을 넣는다.
6. 손질한 멸치를 체에 밭친 뒤, 멸치육수에 담가 익힌다.
7. 물에 불린 표고버섯을 적당한 크기로 썬다.
8. 느타리버섯은 적당한 크기로 "&amp;"찢고, 마늘은 잘게 다진다.
9. 팬에 들기름을 두르고, 다진 마늘과 간장, 손질한 버섯을 넣고 볶는다.
10. 볶던 재료에 삶은 파스타면과 멸치육수를 넣고 볶아 멸치파스타를 만든다.
11. 멸치파스타에 잘게 썬 청양고추를 넣는다.
12. 멸치육수에 담가 익힌 멸치를 허니버터에 넣고 버무려 허니버터멸치를 만든다.
13. 접시에 어린잎채소를 담고, 허니버터멸치를 올린다.
14. 멸치파스타에 후추와 참기름을 넣은 뒤, 접시에 담아 마무리한다.")</f>
        <v>1. 멸치의 대가리와 내장을 제거한다.
2. 끓는 물에 다시마와 무, 국물용 멸치를 넣고 우린다.
3. 버터를 녹이던 팬에 잘게 다진 마늘과 꿀, 화이트와인을 넣어 허니버터를 만든다.
4. 끓는 물에 표고버섯 불린 물과 참치액을 넣은 뒤, 파스타면을 넣고 삶는다.
5. 삶던 파스타면에 소금을 넣는다.
6. 손질한 멸치를 체에 밭친 뒤, 멸치육수에 담가 익힌다.
7. 물에 불린 표고버섯을 적당한 크기로 썬다.
8. 느타리버섯은 적당한 크기로 찢고, 마늘은 잘게 다진다.
9. 팬에 들기름을 두르고, 다진 마늘과 간장, 손질한 버섯을 넣고 볶는다.
10. 볶던 재료에 삶은 파스타면과 멸치육수를 넣고 볶아 멸치파스타를 만든다.
11. 멸치파스타에 잘게 썬 청양고추를 넣는다.
12. 멸치육수에 담가 익힌 멸치를 허니버터에 넣고 버무려 허니버터멸치를 만든다.
13. 접시에 어린잎채소를 담고, 허니버터멸치를 올린다.
14. 멸치파스타에 후추와 참기름을 넣은 뒤, 접시에 담아 마무리한다.</v>
      </c>
    </row>
    <row r="691">
      <c r="A691" s="2" t="str">
        <f>recipe!C691
</f>
        <v>차이나는 비빔면</v>
      </c>
      <c r="B691" s="2" t="str">
        <f>IFERROR(__xludf.DUMMYFUNCTION("TRIM(
  REGEXEXTRACT(
    raw!A691,
    ""●\s*조리\s*방법([\s\S]*)""
  )
)
"),"1. 새송이버섯을 적당한 크기로 썬다.
2. 적당한 크기로 자른 새송이버섯에 파스타면을 꽂는다.
3. 양배추물을 끓이다가 소금을 넣고, 새송이버섯에 꽂은 파스타면을 삶는다.
4. 팬에 기름을 넉넉하게 두른 뒤, 길게 자른 대파를 넣고 튀겨 파기름을 낸다.
5. 파기름에 다진 생강과 새우젓을 넣는다.
6. 통조림옥수수에 전분을 묻힌다.
7. 전분을 묻힌 옥수수알을 기름에 튀긴 뒤, 건져내 기름기를 뺀다.
8. 잔멸치를 기름에 튀긴 뒤, 건져내"&amp;" 기름기를 뺀다.
9. 어묵을 채 썬다.
10. 채 썬 어묵에 전분을 묻힌 뒤, 기름에 튀긴다.
11. 어묵튀김을 건져내 얼음물에 넣고 식힌다.
12. 마늘장아찌를 적당한 크기로 썬다.
13. 파기름에 면수를 넣는다.
14. 끓이던 파기름에 잘게 썬 청양고추를 넣는다.
15. 삶은 파스타면을 건져낸 뒤, 얼음물에 담가 식힌다.
16. 파기름을 체에 밭쳐 건더기를 걸러낸다.
17. 파스타면에 파기름을 넣고 버무린 뒤, 후추를 넣어 파기름비"&amp;"빔면을 만든다.
18. 양상추를 채 썬다.
19. 접시에 채 썬 양상추를 담고, 파기름비빔면을 올린다.
20. 파기름비빔면 위에 적당한 크기로 썬 마늘장아찌와 파기름을 뿌린다.
21. 20 위에 설탕과 후추를 뿌린다.
22. 옥수수알튀김에 소금을 넣고 섞는다.
23. 접시에 옥수수알튀김을 담아낸다.")</f>
        <v>1. 새송이버섯을 적당한 크기로 썬다.
2. 적당한 크기로 자른 새송이버섯에 파스타면을 꽂는다.
3. 양배추물을 끓이다가 소금을 넣고, 새송이버섯에 꽂은 파스타면을 삶는다.
4. 팬에 기름을 넉넉하게 두른 뒤, 길게 자른 대파를 넣고 튀겨 파기름을 낸다.
5. 파기름에 다진 생강과 새우젓을 넣는다.
6. 통조림옥수수에 전분을 묻힌다.
7. 전분을 묻힌 옥수수알을 기름에 튀긴 뒤, 건져내 기름기를 뺀다.
8. 잔멸치를 기름에 튀긴 뒤, 건져내 기름기를 뺀다.
9. 어묵을 채 썬다.
10. 채 썬 어묵에 전분을 묻힌 뒤, 기름에 튀긴다.
11. 어묵튀김을 건져내 얼음물에 넣고 식힌다.
12. 마늘장아찌를 적당한 크기로 썬다.
13. 파기름에 면수를 넣는다.
14. 끓이던 파기름에 잘게 썬 청양고추를 넣는다.
15. 삶은 파스타면을 건져낸 뒤, 얼음물에 담가 식힌다.
16. 파기름을 체에 밭쳐 건더기를 걸러낸다.
17. 파스타면에 파기름을 넣고 버무린 뒤, 후추를 넣어 파기름비빔면을 만든다.
18. 양상추를 채 썬다.
19. 접시에 채 썬 양상추를 담고, 파기름비빔면을 올린다.
20. 파기름비빔면 위에 적당한 크기로 썬 마늘장아찌와 파기름을 뿌린다.
21. 20 위에 설탕과 후추를 뿌린다.
22. 옥수수알튀김에 소금을 넣고 섞는다.
23. 접시에 옥수수알튀김을 담아낸다.</v>
      </c>
    </row>
    <row r="692">
      <c r="A692" s="2" t="str">
        <f>recipe!C692
</f>
        <v>참치 언더파~</v>
      </c>
      <c r="B692" s="2" t="str">
        <f>IFERROR(__xludf.DUMMYFUNCTION("TRIM(
  REGEXEXTRACT(
    raw!A692,
    ""●\s*조리\s*방법([\s\S]*)""
  )
)
"),"1. 마늘을 잘게 다진다.
2. 소갈비살을 적당한 크기로 썬다.
3. 기름을 두른 팬에 잘게 다진 마늘과 소갈비살을 넣고 볶는다.
4. 볶던 소갈비에 잘게 썬 살라미를 넣고 볶는다.
5. 볶던 재료에 즉석밥을 넣고 볶아 볶음밥을 만든다..
6. 볶음밥에 인스턴트 사골곰탕 국물을 넣는다.
7. 핸드블랜더에 마늘과 올리브오일을 넣고 갈아 마늘오일을 만든다.
8. 참치를 적당한 크기로 썬 뒤, 마늘오일에 버무린다.
9. 쪽파의 적당한 크기로 썬"&amp;" 뒤, 기름을 두른 그릴팬에 굽는다.
10. 굽던 쪽파에 바비큐소스를 바른다.
11. 쪽파를 굽는 그릴팬에 양파를 함께 굽는다.
12. 볶음밥에 파르메산치즈를 갈아 넣는다.
13. 볶음밥에 리코타치즈를 넣고 섞는다.
14. 볶음밥에 후추와 모차렐라치즈를 넣고 식힌다.
15. 핸드블렌더에 통밀빵을 갈아 빵가루를 만든다.
16. 볶음밥을 동그랗게 뭉친 뒤, 전분&gt;달걀물&gt;빵가루를 순서대로 입히고 기름에 튀겨 아란치니를 만든다.
17. 플레인 요"&amp;"거트와 홀스래디시, 소금, 후추, 레몬즙을 섞은 뒤, 라임껍질을 갈아 넣어 요거트소스를 만든다.
18. 기름을 두른 팬에 마늘오일에 버무린 참치를 굽는다.
19. 석쇠에 베트남고추를 굽다가, 구운 참치를 올려 고추향을 입힌다.
20. 구운 쪽파를 접시에 담는다.
21. 아보카도를 적당한 크기로 썰어 쪽파 위에 올린다.
22. 볼에 바비큐소스와 발사믹식초, 레몬즙, 올리브오일을 넣고 섞어 소스를 만든다.
23. 참치타다키를 적당한 크기로 썰어 "&amp;"아보카도 위에 올린다.
24. 참치타다키 위에 소스를 뿌리고 구운 양파를 곁들인다.
25. 그릇에 요거트소스를 담은 뒤, 아란치니를 올린다.
26. 아란치니 위에 라임껍질과 파르메산치즈를 갈아 올린다.
27. 참치타다키 위에 잘게 썬 애플민트와 레몬즙을 뿌려 마무리한다.")</f>
        <v>1. 마늘을 잘게 다진다.
2. 소갈비살을 적당한 크기로 썬다.
3. 기름을 두른 팬에 잘게 다진 마늘과 소갈비살을 넣고 볶는다.
4. 볶던 소갈비에 잘게 썬 살라미를 넣고 볶는다.
5. 볶던 재료에 즉석밥을 넣고 볶아 볶음밥을 만든다..
6. 볶음밥에 인스턴트 사골곰탕 국물을 넣는다.
7. 핸드블랜더에 마늘과 올리브오일을 넣고 갈아 마늘오일을 만든다.
8. 참치를 적당한 크기로 썬 뒤, 마늘오일에 버무린다.
9. 쪽파의 적당한 크기로 썬 뒤, 기름을 두른 그릴팬에 굽는다.
10. 굽던 쪽파에 바비큐소스를 바른다.
11. 쪽파를 굽는 그릴팬에 양파를 함께 굽는다.
12. 볶음밥에 파르메산치즈를 갈아 넣는다.
13. 볶음밥에 리코타치즈를 넣고 섞는다.
14. 볶음밥에 후추와 모차렐라치즈를 넣고 식힌다.
15. 핸드블렌더에 통밀빵을 갈아 빵가루를 만든다.
16. 볶음밥을 동그랗게 뭉친 뒤, 전분&gt;달걀물&gt;빵가루를 순서대로 입히고 기름에 튀겨 아란치니를 만든다.
17. 플레인 요거트와 홀스래디시, 소금, 후추, 레몬즙을 섞은 뒤, 라임껍질을 갈아 넣어 요거트소스를 만든다.
18. 기름을 두른 팬에 마늘오일에 버무린 참치를 굽는다.
19. 석쇠에 베트남고추를 굽다가, 구운 참치를 올려 고추향을 입힌다.
20. 구운 쪽파를 접시에 담는다.
21. 아보카도를 적당한 크기로 썰어 쪽파 위에 올린다.
22. 볼에 바비큐소스와 발사믹식초, 레몬즙, 올리브오일을 넣고 섞어 소스를 만든다.
23. 참치타다키를 적당한 크기로 썰어 아보카도 위에 올린다.
24. 참치타다키 위에 소스를 뿌리고 구운 양파를 곁들인다.
25. 그릇에 요거트소스를 담은 뒤, 아란치니를 올린다.
26. 아란치니 위에 라임껍질과 파르메산치즈를 갈아 올린다.
27. 참치타다키 위에 잘게 썬 애플민트와 레몬즙을 뿌려 마무리한다.</v>
      </c>
    </row>
    <row r="693">
      <c r="A693" s="2" t="str">
        <f>recipe!C693
</f>
        <v>스피드 스퀴드</v>
      </c>
      <c r="B693" s="2" t="str">
        <f>IFERROR(__xludf.DUMMYFUNCTION("TRIM(
  REGEXEXTRACT(
    raw!A693,
    ""●\s*조리\s*방법([\s\S]*)""
  )
)
"),"1. 통밀빵을 큐브모양으로 썬다.
2. 큐브모양으로 썬 통밀빵을 오븐에 구워 크루통을 만든다.
3. 오징어는 다리를 잘라낸다.
4. 오징어의 몸통을 잘게 썬다.
5. 팬에 으깬 마늘과 올리브오일을 넣고 굽는다.
6. 쪽파 흰 부분을 잘게 썬다.
7. 마늘을 굽던 팬에 잘게 썬 쪽파 흰 부분과 오징어를 넣고 볶는다.
8. 볶던 재료에 소금과 후추로 간 한다.
9. 볼에 리코타치즈와 볶은 오징어, 잘게 썬 애플민트를 넣고 레몬껍질과 파르메산치"&amp;"즈를 갈아 넣어 소를 만든다.
10. 소에 크루통을 넣는다.
11. 통오징어의 몸통 안에 소를 채워 넣는다.
12. 소을 채운 오징어를 나무꼬치로 고정한 뒤, 올리브오일과 후추를 뿌린다.
13. 마른 그릴팬에 소을 채운 오징어를 굽는다.
14. 굽던 오징어를 오븐에 넣고 굽는다.
15. 적양파를 적당한 크기로 썬다.
16. 끓는 물에 소금을 넣고, 적양파를 넣어 데친다.
17. 16에 레드와인과 식초, 설탕을 넣고 끓인다.
18. 핸드블"&amp;"랜더에 손질한 아보카도와 잘게 썬 쪽파, 라임즙, 후추를 넣는다.
19. 구운 오징어를 그릴팬에 옮겨 담은 뒤, 올리브오일을 뿌리고 뚜껑을 덮어 익힌다.
20. 재료를 넣은 핸드블랜더에 올리브오일을 넣고 갈아 아보카도소스를 만든다.
21. 아보카도소스를 체에 곱게 걸러낸다.
22. 아보카도소스를 짤주머니에 넣고, 접시에 플레이팅 한다.
23. 데친 적양파를 건져낸 뒤, 소금과 올리브오일에 버무린다.
24. 아보카도소스 위에 적양파를 올린다.
"&amp;"
25. 아보카도를 적당한 크기로 썬 뒤, 레몬즙과 후추를 뿌리고 접시에 플레이팅한다.
26. 애플민트를 곁들인다.
27. 구운 오징어의 나무꼬치를 제거한다.
28. 접시에 구운 오징어를 담아 마무리한다.")</f>
        <v>1. 통밀빵을 큐브모양으로 썬다.
2. 큐브모양으로 썬 통밀빵을 오븐에 구워 크루통을 만든다.
3. 오징어는 다리를 잘라낸다.
4. 오징어의 몸통을 잘게 썬다.
5. 팬에 으깬 마늘과 올리브오일을 넣고 굽는다.
6. 쪽파 흰 부분을 잘게 썬다.
7. 마늘을 굽던 팬에 잘게 썬 쪽파 흰 부분과 오징어를 넣고 볶는다.
8. 볶던 재료에 소금과 후추로 간 한다.
9. 볼에 리코타치즈와 볶은 오징어, 잘게 썬 애플민트를 넣고 레몬껍질과 파르메산치즈를 갈아 넣어 소를 만든다.
10. 소에 크루통을 넣는다.
11. 통오징어의 몸통 안에 소를 채워 넣는다.
12. 소을 채운 오징어를 나무꼬치로 고정한 뒤, 올리브오일과 후추를 뿌린다.
13. 마른 그릴팬에 소을 채운 오징어를 굽는다.
14. 굽던 오징어를 오븐에 넣고 굽는다.
15. 적양파를 적당한 크기로 썬다.
16. 끓는 물에 소금을 넣고, 적양파를 넣어 데친다.
17. 16에 레드와인과 식초, 설탕을 넣고 끓인다.
18. 핸드블랜더에 손질한 아보카도와 잘게 썬 쪽파, 라임즙, 후추를 넣는다.
19. 구운 오징어를 그릴팬에 옮겨 담은 뒤, 올리브오일을 뿌리고 뚜껑을 덮어 익힌다.
20. 재료를 넣은 핸드블랜더에 올리브오일을 넣고 갈아 아보카도소스를 만든다.
21. 아보카도소스를 체에 곱게 걸러낸다.
22. 아보카도소스를 짤주머니에 넣고, 접시에 플레이팅 한다.
23. 데친 적양파를 건져낸 뒤, 소금과 올리브오일에 버무린다.
24. 아보카도소스 위에 적양파를 올린다.
25. 아보카도를 적당한 크기로 썬 뒤, 레몬즙과 후추를 뿌리고 접시에 플레이팅한다.
26. 애플민트를 곁들인다.
27. 구운 오징어의 나무꼬치를 제거한다.
28. 접시에 구운 오징어를 담아 마무리한다.</v>
      </c>
    </row>
    <row r="694">
      <c r="A694" s="2" t="str">
        <f>recipe!C694
</f>
        <v>월드클래스 삼합</v>
      </c>
      <c r="B694" s="2" t="str">
        <f>IFERROR(__xludf.DUMMYFUNCTION("TRIM(
  REGEXEXTRACT(
    raw!A694,
    ""●\s*조리\s*방법([\s\S]*)""
  )
)
"),"1. 소갈비는 뼈를 발라내고 반으로 접어 두툼하게 만든 뒤, 두드려 넓게 편다.
2. 반으로 접은 소갈비를 조리용 실로 묶어 고정한다.
3. 소갈비에 블랙트러플소금으로 간 한다.
4. 대파를 적당한 크기로 썬 뒤, 석쇠에 올린다.
5. 석쇠에 올린 대파를 직화한다.
6. 통밀빵을 슬라이스 한 뒤, 마른 팬에 굽는다.
7. 핸드블랜더에 구운 통밀빵과 선드라이드 토마토, 파르메산 치즈, 씻은 김치, 스리라차소스를 넣고 갈아 로메스코소스를 만든다."&amp;"
8. 애플민트를 적당한 크기로 썬 뒤, 고량주에 재운다.
9. 마른 팬에 통조림 옥수수를 굽는다.
10. 적양파를 잘게 다진다.
11. 핸드블랜더에 손질한 아보카도와 다진 적양파를 넣고 간다.
12. 간 아보카도에 구운 옥수수와 레몬즙, 소금을 넣어 과카몰레를 만든다.
13. 볼에 크림치즈와 블랙트러플오일, 블랙트러플페이스트, 잘게 썬 블랙트러플, 블랙트러플소금을 넣고 섞어 트러플치즈소스를 만든다.
14. 트러플크림소스에 레몬즙을 더한다."&amp;"
15. 볼에 크림치즈와 고추냉이크림, 소금을 넣고 섞어 고추냉이치즈소스를 만든다.
16. 뜨거운 물에 레몬즙과 레몬, 소금을 넣고 끓인 뒤, 관자를 데친다.
17. 데친 관자를 건져 식힌다.
18. 기름을 두른 팬에 소갈비를 굽다가 버터를 넣는다.
19. 구운 통밀빵 위에 트러플치즈소스와 고추냉이치즈소스를 올린다.
20. 접시에 소스를 올린 통밀빵과 과카몰레, 로메스코소스를 담는다.
21. 대파 칼솟타다의 껍질을 벗겨낸 뒤, 로메스코소스 "&amp;"위에 올린다.
22. 구운 소갈비스테이크의 실을 풀고 반으로 자른다.
23. 트러플치즈소스와 고추냉이치즈소스 위에 각각 소갈비스테이크를 올린다.
24. 구운 소갈비를 반으로 자른 뒤, 트러플크림치즈소스와 고추냉이크림치즈소스 위에 올린다.
25. 과카몰레 위에 데친 관자를 올린다.
26. 접시에 고량주에 재운 애플민트를 담은 뒤, 토치로 불을 붙여 낸다.")</f>
        <v>1. 소갈비는 뼈를 발라내고 반으로 접어 두툼하게 만든 뒤, 두드려 넓게 편다.
2. 반으로 접은 소갈비를 조리용 실로 묶어 고정한다.
3. 소갈비에 블랙트러플소금으로 간 한다.
4. 대파를 적당한 크기로 썬 뒤, 석쇠에 올린다.
5. 석쇠에 올린 대파를 직화한다.
6. 통밀빵을 슬라이스 한 뒤, 마른 팬에 굽는다.
7. 핸드블랜더에 구운 통밀빵과 선드라이드 토마토, 파르메산 치즈, 씻은 김치, 스리라차소스를 넣고 갈아 로메스코소스를 만든다.
8. 애플민트를 적당한 크기로 썬 뒤, 고량주에 재운다.
9. 마른 팬에 통조림 옥수수를 굽는다.
10. 적양파를 잘게 다진다.
11. 핸드블랜더에 손질한 아보카도와 다진 적양파를 넣고 간다.
12. 간 아보카도에 구운 옥수수와 레몬즙, 소금을 넣어 과카몰레를 만든다.
13. 볼에 크림치즈와 블랙트러플오일, 블랙트러플페이스트, 잘게 썬 블랙트러플, 블랙트러플소금을 넣고 섞어 트러플치즈소스를 만든다.
14. 트러플크림소스에 레몬즙을 더한다.
15. 볼에 크림치즈와 고추냉이크림, 소금을 넣고 섞어 고추냉이치즈소스를 만든다.
16. 뜨거운 물에 레몬즙과 레몬, 소금을 넣고 끓인 뒤, 관자를 데친다.
17. 데친 관자를 건져 식힌다.
18. 기름을 두른 팬에 소갈비를 굽다가 버터를 넣는다.
19. 구운 통밀빵 위에 트러플치즈소스와 고추냉이치즈소스를 올린다.
20. 접시에 소스를 올린 통밀빵과 과카몰레, 로메스코소스를 담는다.
21. 대파 칼솟타다의 껍질을 벗겨낸 뒤, 로메스코소스 위에 올린다.
22. 구운 소갈비스테이크의 실을 풀고 반으로 자른다.
23. 트러플치즈소스와 고추냉이치즈소스 위에 각각 소갈비스테이크를 올린다.
24. 구운 소갈비를 반으로 자른 뒤, 트러플크림치즈소스와 고추냉이크림치즈소스 위에 올린다.
25. 과카몰레 위에 데친 관자를 올린다.
26. 접시에 고량주에 재운 애플민트를 담은 뒤, 토치로 불을 붙여 낸다.</v>
      </c>
    </row>
    <row r="695">
      <c r="A695" s="2" t="str">
        <f>recipe!C695
</f>
        <v>세리볼 나이스샷</v>
      </c>
      <c r="B695" s="2" t="str">
        <f>IFERROR(__xludf.DUMMYFUNCTION("TRIM(
  REGEXEXTRACT(
    raw!A695,
    ""●\s*조리\s*방법([\s\S]*)""
  )
)
"),"1. 뜨거운 물에 맛술과 다시마, 소금, 설탕, 식용유를 넣고 끓인다.
2. 끓이던 재료에 참기름을 넣는다.
3. 양파는 채 썰고, 무는 얇게 썬 뒤 끓이던 재료에 넣고 끓인다.
4. 대파를 길게 썰어 마른 그릴팬에 굽는다.
5. 쪽파는 뿌리를 잘라내고 그릴팬에 함께 굽는다.
6. 볼에 잘게 다진 선드라이드 토마토와 통조림 게살을 넣는다.
7. 구운 대파와 쪽파를 잘게 썰어 볼에 함께 담고, 소금을 더해 섞는다.
8. 7에 참기름과 김칫국물"&amp;"을 넣어 소를 만든다.
9. 끓이던 재료를 체에 밭쳐 건더기만 걸러내고, 양파와 무만 꺼내 잘게 다진다.
10. 소에 잘게 다진 양파와 무를 섞는다.
11. 아보카도를 손질한 뒤, 기름을 두른 그릴팬에 굽는다.
12. 구운 아보카도를 적당한 크기로 썰어 소에 넣고 섞는다.
13. 소에 레몬즙을 더한다.
14. 안창살에 소금과 후추로 간한 뒤, 기름을 두른 그릴팬에 굽는다.
15. 배추김치의 잎만 잘라낸다.
16. 랩 위에 김치 잎을 넓게 "&amp;"편다.
17. 넓게 편 김치 위에 소를 올린 뒤, 동그랗게 모양을 잡아 김치볼을 만든다.
18. 김치볼의 랩을 벗겨내고 그릇에 담는다.
19. 굽던 안창살에 김칫국물을 넣는다.
20. 김칫국물을 넣고 구운 안창살을 김치볼과 함께 담는다.
21. 김칫국물과 참기름을 뿌려 마무리한다.")</f>
        <v>1. 뜨거운 물에 맛술과 다시마, 소금, 설탕, 식용유를 넣고 끓인다.
2. 끓이던 재료에 참기름을 넣는다.
3. 양파는 채 썰고, 무는 얇게 썬 뒤 끓이던 재료에 넣고 끓인다.
4. 대파를 길게 썰어 마른 그릴팬에 굽는다.
5. 쪽파는 뿌리를 잘라내고 그릴팬에 함께 굽는다.
6. 볼에 잘게 다진 선드라이드 토마토와 통조림 게살을 넣는다.
7. 구운 대파와 쪽파를 잘게 썰어 볼에 함께 담고, 소금을 더해 섞는다.
8. 7에 참기름과 김칫국물을 넣어 소를 만든다.
9. 끓이던 재료를 체에 밭쳐 건더기만 걸러내고, 양파와 무만 꺼내 잘게 다진다.
10. 소에 잘게 다진 양파와 무를 섞는다.
11. 아보카도를 손질한 뒤, 기름을 두른 그릴팬에 굽는다.
12. 구운 아보카도를 적당한 크기로 썰어 소에 넣고 섞는다.
13. 소에 레몬즙을 더한다.
14. 안창살에 소금과 후추로 간한 뒤, 기름을 두른 그릴팬에 굽는다.
15. 배추김치의 잎만 잘라낸다.
16. 랩 위에 김치 잎을 넓게 편다.
17. 넓게 편 김치 위에 소를 올린 뒤, 동그랗게 모양을 잡아 김치볼을 만든다.
18. 김치볼의 랩을 벗겨내고 그릇에 담는다.
19. 굽던 안창살에 김칫국물을 넣는다.
20. 김칫국물을 넣고 구운 안창살을 김치볼과 함께 담는다.
21. 김칫국물과 참기름을 뿌려 마무리한다.</v>
      </c>
    </row>
    <row r="696">
      <c r="A696" s="2" t="str">
        <f>recipe!C696
</f>
        <v>연복풍 완자</v>
      </c>
      <c r="B696" s="2" t="str">
        <f>IFERROR(__xludf.DUMMYFUNCTION("TRIM(
  REGEXEXTRACT(
    raw!A696,
    ""●\s*조리\s*방법([\s\S]*)""
  )
)
"),"1. 끓는 물에 해물다시팩과 적당한 크기로 썬 무, 고추를 넣고 끓여 해물육수를 낸다.
2. 그린 빈을 손질한 뒤, 기름에 튀기듯 볶는다.
3. 양파와 브로콜리를 적당한 크기로 썬다.
4. 양송이버섯과 새송이버섯을 적당한 크기로 썬다.
5. 가지와 소고기 안심을 적당한 크기로 썬 뒤, 기름에 튀긴다.
6. 튀긴 가지와 안심을 건져내 기름기를 뺀다.
7. 믹서기에 돼지고기 어깨살과 간 닭고기, 닭허벅지살, 대구맛후리카케, 통마늘, 다진 생강을 "&amp;"넣고 간다.
8. 간 고기에 전분을 넣고 치댄다.
9. 8에 후추와 대구맛후리카케, 달걀흰자를 넣고 치대 완자반죽을 만든다.
10. 완자반죽을 동그란 모양으로 커다랗게 뭉친 뒤, 기름에 튀긴다.
11. 익힌 그린 빈을 체에 밭쳐 기름기를 뺀다.
12. 대파는 잘게 썰고 마늘은 으깬다.
13. 기름을 두른 팬에 라유와 잘게 썬 대파, 으깬 마늘, 익힌 그린 빈, 야키니쿠소스, 해물육수를 넣고 볶는다.
14. 기름을 두른 팬에 말린 새우를 넣고"&amp;" 볶다가 미소된장, 적당한 크기로 썬 채소, 야키니쿠소스, 명란젓, 튀긴 안심과 가지, 해물육수를 넣고 볶아 완자소를 만든다.
15. 채 썬 양파를 볶던 그린 빈과 함께 볶는다.
16. 대파와 마늘, 돼지고기 어깨살, 무, 표고버섯을 적당한 크기로 썬다.
17. 기름을 두른 팬에 돼지고기 어깨살과 대파, 고춧가루, 간장을 넣고 볶는다.
18. 볶던 재료에 손질한 표고버섯과 무를 넣은 뒤, 해물육수를 더해 끓인다.
19. 끓이던 재료에 가리비다"&amp;"시마소스를 넣는다.
20. 끓는 물에 우동면을 넣고 삶는다.
21. 끓이던 재료에 대게다리살과 시금치를 넣는다.
22. 튀긴 완자를 건져 기름기를 뺀다.
23. 완자의 윗부분을 잘라낸 뒤, 속을 파낸다.
24. 속을 파낸 완자를 기름에 다시 한 번 튀긴다.
25. 튀긴 완자의 속에 완자소를 채운다.
26. 접시에 완자를 올린 뒤, 그린 빈 볶음을 담는다.
27. 그릇에 우동탕을 담아 마무리한다.")</f>
        <v>1. 끓는 물에 해물다시팩과 적당한 크기로 썬 무, 고추를 넣고 끓여 해물육수를 낸다.
2. 그린 빈을 손질한 뒤, 기름에 튀기듯 볶는다.
3. 양파와 브로콜리를 적당한 크기로 썬다.
4. 양송이버섯과 새송이버섯을 적당한 크기로 썬다.
5. 가지와 소고기 안심을 적당한 크기로 썬 뒤, 기름에 튀긴다.
6. 튀긴 가지와 안심을 건져내 기름기를 뺀다.
7. 믹서기에 돼지고기 어깨살과 간 닭고기, 닭허벅지살, 대구맛후리카케, 통마늘, 다진 생강을 넣고 간다.
8. 간 고기에 전분을 넣고 치댄다.
9. 8에 후추와 대구맛후리카케, 달걀흰자를 넣고 치대 완자반죽을 만든다.
10. 완자반죽을 동그란 모양으로 커다랗게 뭉친 뒤, 기름에 튀긴다.
11. 익힌 그린 빈을 체에 밭쳐 기름기를 뺀다.
12. 대파는 잘게 썰고 마늘은 으깬다.
13. 기름을 두른 팬에 라유와 잘게 썬 대파, 으깬 마늘, 익힌 그린 빈, 야키니쿠소스, 해물육수를 넣고 볶는다.
14. 기름을 두른 팬에 말린 새우를 넣고 볶다가 미소된장, 적당한 크기로 썬 채소, 야키니쿠소스, 명란젓, 튀긴 안심과 가지, 해물육수를 넣고 볶아 완자소를 만든다.
15. 채 썬 양파를 볶던 그린 빈과 함께 볶는다.
16. 대파와 마늘, 돼지고기 어깨살, 무, 표고버섯을 적당한 크기로 썬다.
17. 기름을 두른 팬에 돼지고기 어깨살과 대파, 고춧가루, 간장을 넣고 볶는다.
18. 볶던 재료에 손질한 표고버섯과 무를 넣은 뒤, 해물육수를 더해 끓인다.
19. 끓이던 재료에 가리비다시마소스를 넣는다.
20. 끓는 물에 우동면을 넣고 삶는다.
21. 끓이던 재료에 대게다리살과 시금치를 넣는다.
22. 튀긴 완자를 건져 기름기를 뺀다.
23. 완자의 윗부분을 잘라낸 뒤, 속을 파낸다.
24. 속을 파낸 완자를 기름에 다시 한 번 튀긴다.
25. 튀긴 완자의 속에 완자소를 채운다.
26. 접시에 완자를 올린 뒤, 그린 빈 볶음을 담는다.
27. 그릇에 우동탕을 담아 마무리한다.</v>
      </c>
    </row>
    <row r="697">
      <c r="A697" s="2" t="str">
        <f>recipe!C697
</f>
        <v>추바라시</v>
      </c>
      <c r="B697" s="2" t="str">
        <f>IFERROR(__xludf.DUMMYFUNCTION("TRIM(
  REGEXEXTRACT(
    raw!A697,
    ""●\s*조리\s*방법([\s\S]*)""
  )
)
"),"1. 오븐에 식빵을 넣고 굽는다.
2. 끓는 물에 해물다시팩을 넣고 끓여 해물육수를 낸다.
3. 마늘과 양송이버섯은 편 썰고, 브로콜리는 적당한 크기로 썬다.
4. 끓는 올리브오일에 편마늘과 양송이버섯, 브로콜리, 오렌지껍질을 넣고 끓인다.
5. 소고기 안심에 소금과 후추를 뿌린 뒤, 끓이던 올리브오일에 넣고 익힌다.
6. 달걀흰자와 노른자를 분리한다.
7. 달걀노른자와 우유를 섞은 뒤, 체에 곱게 걸러내 달걀찜반죽을 만든다.
8. 잘게 썬"&amp;" 블루치즈와 구운 식빵을 그릇에 담는다.
9. 달걀찜반죽을 그릇에 담은 뒤, 파르미지아노 치즈를 갈아 올린다.
10. 찜기에 달걀찜반죽을 넣고 찐다.
11. 양파를 채 썬다.
12. 볼에 달걀과 달걀껍데기, 간 닭고기, 채 썬 양파를 넣는다.
13. 11에 잘게 썬 당근과 방울토마토, 어니언프라이를 넣고 손으로 으깨듯 섞는다.
14. 끓이던 해물육수에서 해물다시팩을 건져낸 뒤, 섞은 재료를 넣고 끓인다.
15. 올리브오일에 익힌 안심을 건져"&amp;" 마른 팬에 굽는다.
16. 멘쯔유와 우동 쯔유, 마늘간장소스를 섞어 쯔유소스를 만든다.
17. 굽던 안심에 쯔유소스를 부어 졸인 뒤, 쯔유소스는 해물육수에 넣고 안심은 식힌다.
18. 올리브오일에 익힌 재료들을 건져내 잘게 썬다.
19. 볼에 달걀흰자를 넣고 치대어 머랭을 만든다.
20. 끓이던 올리브오일을 체에 곱게 걸러 잔에 담고, 머랭을 올린다.
21. 해물육수에 끓이던 재료를 체에 걸러 국물만 팬에 담는다.
22. 21에 손질한 아"&amp;"보카도와 올리브오일에 익힌 브로콜리, 양송이버섯을 넣어 콩소메수프를 만든다.
23. 콩소메수프에 전분물을 넣어 농도를 조절한다.
24. 달걀찜 위에 콩소메수프를 붓는다.
25. 적당한 크기로 썬 안심을 콩소메수프 위에 얹는다.
26. 콩소메수프 위에 올리브오일에 익힌 오렌지껍질을 뿌린다.
27. 올리브오일과 머랭이 담긴 소스에 금가루를 뿌린다.")</f>
        <v>1. 오븐에 식빵을 넣고 굽는다.
2. 끓는 물에 해물다시팩을 넣고 끓여 해물육수를 낸다.
3. 마늘과 양송이버섯은 편 썰고, 브로콜리는 적당한 크기로 썬다.
4. 끓는 올리브오일에 편마늘과 양송이버섯, 브로콜리, 오렌지껍질을 넣고 끓인다.
5. 소고기 안심에 소금과 후추를 뿌린 뒤, 끓이던 올리브오일에 넣고 익힌다.
6. 달걀흰자와 노른자를 분리한다.
7. 달걀노른자와 우유를 섞은 뒤, 체에 곱게 걸러내 달걀찜반죽을 만든다.
8. 잘게 썬 블루치즈와 구운 식빵을 그릇에 담는다.
9. 달걀찜반죽을 그릇에 담은 뒤, 파르미지아노 치즈를 갈아 올린다.
10. 찜기에 달걀찜반죽을 넣고 찐다.
11. 양파를 채 썬다.
12. 볼에 달걀과 달걀껍데기, 간 닭고기, 채 썬 양파를 넣는다.
13. 11에 잘게 썬 당근과 방울토마토, 어니언프라이를 넣고 손으로 으깨듯 섞는다.
14. 끓이던 해물육수에서 해물다시팩을 건져낸 뒤, 섞은 재료를 넣고 끓인다.
15. 올리브오일에 익힌 안심을 건져 마른 팬에 굽는다.
16. 멘쯔유와 우동 쯔유, 마늘간장소스를 섞어 쯔유소스를 만든다.
17. 굽던 안심에 쯔유소스를 부어 졸인 뒤, 쯔유소스는 해물육수에 넣고 안심은 식힌다.
18. 올리브오일에 익힌 재료들을 건져내 잘게 썬다.
19. 볼에 달걀흰자를 넣고 치대어 머랭을 만든다.
20. 끓이던 올리브오일을 체에 곱게 걸러 잔에 담고, 머랭을 올린다.
21. 해물육수에 끓이던 재료를 체에 걸러 국물만 팬에 담는다.
22. 21에 손질한 아보카도와 올리브오일에 익힌 브로콜리, 양송이버섯을 넣어 콩소메수프를 만든다.
23. 콩소메수프에 전분물을 넣어 농도를 조절한다.
24. 달걀찜 위에 콩소메수프를 붓는다.
25. 적당한 크기로 썬 안심을 콩소메수프 위에 얹는다.
26. 콩소메수프 위에 올리브오일에 익힌 오렌지껍질을 뿌린다.
27. 올리브오일과 머랭이 담긴 소스에 금가루를 뿌린다.</v>
      </c>
    </row>
    <row r="698">
      <c r="A698" s="2" t="str">
        <f>recipe!C698
</f>
        <v>추추테일러</v>
      </c>
      <c r="B698" s="2" t="str">
        <f>IFERROR(__xludf.DUMMYFUNCTION("TRIM(
  REGEXEXTRACT(
    raw!A698,
    ""●\s*조리\s*방법([\s\S]*)""
  )
)
"),"1. 마늘을 으깬다.
2. 양파와 대파, 당근을 적당한 크기로 썬다.
3. 냄비에 으깬 마늘과 적당한 크기로 썬 채소, 밀가루, 뜨거운 물, 스키야키소스, 고기소스, 인삼, 대추를 넣고 끓여 꼬리곰탕소스를 만든다.
4. 무를 적당한 크기로 썰어 끓이던 재료에 넣는다.
5. 무를 원통모양으로 썬다.
6. 소고기 안심에 원형틀로 동그란 구멍을 낸다.
7. 구멍을 낸 소고기 안심에 소금과 후추로 밑간한 뒤, 밀가루를 묻힌다.
8. 원통모양 무에 "&amp;"밀가루를 묻히고, 소고기 안심 구멍에 끼워 소꼬리 모양을 만든다.
9. 쿠킹포일로 안심 테두리를 감싼 뒤, 기름에 튀긴다.
10. 찜기에 나무젓가락과 튀긴 안심을 넣는다.
11. 나무젓가락에 토치로 불을 붙인 뒤, 찜기 뚜껑을 덮어 안심을 훈연한다.
12. 기름을 두른 팬에 다진 마늘과 데친 고사리를 넣고 볶는다.
13. 핸드블렌더에 들깻가루와 물을 넣고 간 뒤, 볶던 고사리에 넣는다.
14. 끓는 물에 손질한 양배추와 브로콜리니, 시금치를 "&amp;"넣고 데친 뒤, 얼음물에 담가 식힌다.
15. 꼬리곰탕소스에서 인삼만 건져낸 뒤, 밀가루를 묻혀 튀긴다.
16. 튀긴 인삼을 건져내 기름기를 뺀다.
17. 데친 시금치의 물기를 짠 뒤, 고사리를 볶던 팬에 넣는다.
18. 볶던 재료에 팽이버섯을 넣는다.
19. 데친 브로콜리니와 양배추의 물기를 짠 뒤, 식초와 고춧가루, 가리비다시마소스, 소금을 넣고 버무려 김치를 만든 뒤, 접시에 담아낸다.
20. 훈연한 안심의 쿠킹포일을 벗겨낸다.
21."&amp;" 안심을 마른 그릴팬에 굽는다.
22. 꼬리곰탕소스를 종지에 담는다.
23. 후머스와 콘수프를 섞어 접시에 플레이팅 한다.
24. 접시에 고사리시금치볶음을 담는다.
25. 접시에 당근드레싱을 뿌리고 안심 스테이크를 담는다.
26. 튀긴 인삼에 금가루를 뿌린 뒤, 접시에 올려 마무리한다")</f>
        <v>1. 마늘을 으깬다.
2. 양파와 대파, 당근을 적당한 크기로 썬다.
3. 냄비에 으깬 마늘과 적당한 크기로 썬 채소, 밀가루, 뜨거운 물, 스키야키소스, 고기소스, 인삼, 대추를 넣고 끓여 꼬리곰탕소스를 만든다.
4. 무를 적당한 크기로 썰어 끓이던 재료에 넣는다.
5. 무를 원통모양으로 썬다.
6. 소고기 안심에 원형틀로 동그란 구멍을 낸다.
7. 구멍을 낸 소고기 안심에 소금과 후추로 밑간한 뒤, 밀가루를 묻힌다.
8. 원통모양 무에 밀가루를 묻히고, 소고기 안심 구멍에 끼워 소꼬리 모양을 만든다.
9. 쿠킹포일로 안심 테두리를 감싼 뒤, 기름에 튀긴다.
10. 찜기에 나무젓가락과 튀긴 안심을 넣는다.
11. 나무젓가락에 토치로 불을 붙인 뒤, 찜기 뚜껑을 덮어 안심을 훈연한다.
12. 기름을 두른 팬에 다진 마늘과 데친 고사리를 넣고 볶는다.
13. 핸드블렌더에 들깻가루와 물을 넣고 간 뒤, 볶던 고사리에 넣는다.
14. 끓는 물에 손질한 양배추와 브로콜리니, 시금치를 넣고 데친 뒤, 얼음물에 담가 식힌다.
15. 꼬리곰탕소스에서 인삼만 건져낸 뒤, 밀가루를 묻혀 튀긴다.
16. 튀긴 인삼을 건져내 기름기를 뺀다.
17. 데친 시금치의 물기를 짠 뒤, 고사리를 볶던 팬에 넣는다.
18. 볶던 재료에 팽이버섯을 넣는다.
19. 데친 브로콜리니와 양배추의 물기를 짠 뒤, 식초와 고춧가루, 가리비다시마소스, 소금을 넣고 버무려 김치를 만든 뒤, 접시에 담아낸다.
20. 훈연한 안심의 쿠킹포일을 벗겨낸다.
21. 안심을 마른 그릴팬에 굽는다.
22. 꼬리곰탕소스를 종지에 담는다.
23. 후머스와 콘수프를 섞어 접시에 플레이팅 한다.
24. 접시에 고사리시금치볶음을 담는다.
25. 접시에 당근드레싱을 뿌리고 안심 스테이크를 담는다.
26. 튀긴 인삼에 금가루를 뿌린 뒤, 접시에 올려 마무리한다</v>
      </c>
    </row>
    <row r="699">
      <c r="A699" s="2" t="str">
        <f>recipe!C699
</f>
        <v>K.F.C.(Korean Fried Chicken)</v>
      </c>
      <c r="B699" s="2" t="str">
        <f>IFERROR(__xludf.DUMMYFUNCTION("TRIM(
  REGEXEXTRACT(
    raw!A699,
    ""●\s*조리\s*방법([\s\S]*)""
  )
)
"),"1. 양파를 적당한 크기로 썬다.
2. 믹서기에 적당한 크기로 썬 양파와 소금, 된장, 고추장, 달걀흰자, 후추를 넣고 갈아 된장소스를 만든다.
3. 닭허벅지살을 두드려 넓게 편다.
4. 넓게 편 닭허벅지살에 후추와 소금으로 밑간한다.
5. 밑간한 닭허벅지살을 된장소스에 버무려 재운다.
6. 냄비에 설탕과 레드와인식초, 고추장, 스리라차소스, 다진 생강, 다진 마늘을 넣고 끓여 고추장소스를 만든다.
7. 고추장소스에 참기름을 더한다.
8. "&amp;"무를 잘게 썬다.
9. 잘게 썬 무에 설탕과 청주, 식초를 넣고 절인다.
10. 볼에 팬케이크가루와 우유, 고추맛후리카케를 넣고 섞어 팬케이크반죽을 만든다.
11. 다른 볼에 밀가루와 시치미, 유자향시치미, 소금을 섞어 튀김옷을 만든다.
12. 된장소스에 재운 닭허벅지살에 튀김옷을 입힌 뒤, 기름에 튀긴다.
13. 기름을 두른 팬에 팬케이크반죽을 굽는다.
14. 치킨을 건져내 기름기를 뺀다.
15. 치킨을 다시 한 번 기름에 튀긴 뒤, 건져"&amp;"내 기름기를 뺀다.
16. 기름을 두른 팬에 손질한 아보카도를 넣고 굽는다.
17. 빵가루를 튀긴다.
18. 튀긴 빵가루와 대파를 잘게 썬다.
19. 치킨에 고추장소스를 바른다.
20. 19에 튀긴 빵가루와 대파, 고추맛후리카케를 뿌린다.
21. 팬케이크 위에 치킨을 올린다.
22. 치킨 위에 구운 아보카도를 올린 뒤, 고춧가루를 뿌려 접시에 담아낸다.
23. 치킨 위에 절인 무를 올려 마무리한다.")</f>
        <v>1. 양파를 적당한 크기로 썬다.
2. 믹서기에 적당한 크기로 썬 양파와 소금, 된장, 고추장, 달걀흰자, 후추를 넣고 갈아 된장소스를 만든다.
3. 닭허벅지살을 두드려 넓게 편다.
4. 넓게 편 닭허벅지살에 후추와 소금으로 밑간한다.
5. 밑간한 닭허벅지살을 된장소스에 버무려 재운다.
6. 냄비에 설탕과 레드와인식초, 고추장, 스리라차소스, 다진 생강, 다진 마늘을 넣고 끓여 고추장소스를 만든다.
7. 고추장소스에 참기름을 더한다.
8. 무를 잘게 썬다.
9. 잘게 썬 무에 설탕과 청주, 식초를 넣고 절인다.
10. 볼에 팬케이크가루와 우유, 고추맛후리카케를 넣고 섞어 팬케이크반죽을 만든다.
11. 다른 볼에 밀가루와 시치미, 유자향시치미, 소금을 섞어 튀김옷을 만든다.
12. 된장소스에 재운 닭허벅지살에 튀김옷을 입힌 뒤, 기름에 튀긴다.
13. 기름을 두른 팬에 팬케이크반죽을 굽는다.
14. 치킨을 건져내 기름기를 뺀다.
15. 치킨을 다시 한 번 기름에 튀긴 뒤, 건져내 기름기를 뺀다.
16. 기름을 두른 팬에 손질한 아보카도를 넣고 굽는다.
17. 빵가루를 튀긴다.
18. 튀긴 빵가루와 대파를 잘게 썬다.
19. 치킨에 고추장소스를 바른다.
20. 19에 튀긴 빵가루와 대파, 고추맛후리카케를 뿌린다.
21. 팬케이크 위에 치킨을 올린다.
22. 치킨 위에 구운 아보카도를 올린 뒤, 고춧가루를 뿌려 접시에 담아낸다.
23. 치킨 위에 절인 무를 올려 마무리한다.</v>
      </c>
    </row>
    <row r="700">
      <c r="A700" s="2" t="str">
        <f>recipe!C700
</f>
        <v>투가스</v>
      </c>
      <c r="B700" s="2" t="str">
        <f>IFERROR(__xludf.DUMMYFUNCTION("TRIM(
  REGEXEXTRACT(
    raw!A700,
    ""●\s*조리\s*방법([\s\S]*)""
  )
)
"),"1. 끓는 물에 양파를 데친다.
2. 금태의 살을 발라낸다.
3. 양파를 데치던 냄비에 데친 시금치와 완두콩, 물을 넣고 끓인다.
4. 끓이던 채소의 물을 모두 따라낸 뒤, 인스턴트 설렁탕을 넣고 끓인다.
5. 소고기 안심에 소금과 후추로 밑간한다.
6. 밑간한 소고기 안심에 디종 머스터드를 발라 겹겹이 쌓는다.
7. 금태살에 소금으로 밑간한 뒤, 고추냉이를 바르고 다른 금태살을 붙여 샌드한다.
8. 겹겹이 쌓은 소고기 안심과 금태살에 밀가"&amp;"루를 입힌다.
9. 8에 우유를 넣은 달걀물 &gt; 밀가루 &gt; 달걀물 &gt; 빵가루를 순서대로 입힌다.
10. 설렁탕과 함께 끓이던 채소를 핸드블렌더로 곱게 갈아 채소수프를 만든다.
11. 팬에 버터를 두른 뒤, 밀가루를 넣고 볶아 루를 만든다.
12. 채소수프에 루와 우유를 넣고 끓인다.
13. 기름을 넉넉히 두른 팬에 통마늘을 넣어 마늘향을 낸 뒤, 튀김옷을 입힌 소고기 안심과 금태살을 넣고 튀기듯 굽는다.
14. 루에 스테이크소스와 미네스트로네"&amp;"수프, 케첩, 물을 넣고 섞어 데미글라스소스를 만든다.
15. 잘게 썬 청양고추와 마요네즈, 타르타르소스, 레몬즙, 소금을 넣고 섞어 수제타르타르소스를 만든다.
16. 굽던 안심가스와 금태가스에 버터를 넣는다.
17. 접시에 안심가스소스와 금태가스소스를 담는다.
18. 소스 위에 각각 안심가스와 금태가스를 올려 마무리한다.")</f>
        <v>1. 끓는 물에 양파를 데친다.
2. 금태의 살을 발라낸다.
3. 양파를 데치던 냄비에 데친 시금치와 완두콩, 물을 넣고 끓인다.
4. 끓이던 채소의 물을 모두 따라낸 뒤, 인스턴트 설렁탕을 넣고 끓인다.
5. 소고기 안심에 소금과 후추로 밑간한다.
6. 밑간한 소고기 안심에 디종 머스터드를 발라 겹겹이 쌓는다.
7. 금태살에 소금으로 밑간한 뒤, 고추냉이를 바르고 다른 금태살을 붙여 샌드한다.
8. 겹겹이 쌓은 소고기 안심과 금태살에 밀가루를 입힌다.
9. 8에 우유를 넣은 달걀물 &gt; 밀가루 &gt; 달걀물 &gt; 빵가루를 순서대로 입힌다.
10. 설렁탕과 함께 끓이던 채소를 핸드블렌더로 곱게 갈아 채소수프를 만든다.
11. 팬에 버터를 두른 뒤, 밀가루를 넣고 볶아 루를 만든다.
12. 채소수프에 루와 우유를 넣고 끓인다.
13. 기름을 넉넉히 두른 팬에 통마늘을 넣어 마늘향을 낸 뒤, 튀김옷을 입힌 소고기 안심과 금태살을 넣고 튀기듯 굽는다.
14. 루에 스테이크소스와 미네스트로네수프, 케첩, 물을 넣고 섞어 데미글라스소스를 만든다.
15. 잘게 썬 청양고추와 마요네즈, 타르타르소스, 레몬즙, 소금을 넣고 섞어 수제타르타르소스를 만든다.
16. 굽던 안심가스와 금태가스에 버터를 넣는다.
17. 접시에 안심가스소스와 금태가스소스를 담는다.
18. 소스 위에 각각 안심가스와 금태가스를 올려 마무리한다.</v>
      </c>
    </row>
    <row r="701">
      <c r="A701" s="2" t="str">
        <f>recipe!C701
</f>
        <v>프리하새우</v>
      </c>
      <c r="B701" s="2" t="str">
        <f>IFERROR(__xludf.DUMMYFUNCTION("TRIM(
  REGEXEXTRACT(
    raw!A701,
    ""●\s*조리\s*방법([\s\S]*)""
  )
)
"),"1. 끓는 물에 달걀을 넣고 삶는다.
2. 냄비에 다진 마늘과 식용유, 불고기용 돼지고기를 넣고 볶는다.
3. 볶던 재료에 적당한 크기로 썬 고구마를 넣는다.
4. 핸드블랜더에 토마토즙과 적당한 크기로 썬 토마토를 넣고 간다.
5. 볶던 재료에 간 토마토와 물, 스리라차소스, 잘게 썬 청양고추, 고추장을 넣고 끓여 나베를 만든다.
6. 끓이던 나베에 참치액을 넣는다.
7. 두부를 깍둑썰기 한 뒤, 전분을 묻혀 기름에 튀긴다.
8. 튀긴 두부"&amp;"를 나베에 넣고 끓이다가 설탕을 더한다.
9. 테두리를 잘라낸 식빵을 믹서기에 넣고 갈아 빵가루를 만든다.
10. 밀가루와 달걀, 우유, 간 마를 섞어 튀김반죽을 만든다.
11. 손질한 새우에 칼집을 넣고, 다섯 마리를 꼬치에 끼워 고정한다.
12. 새우에 튀김반죽을 묻히고 빵가루를 입힌 뒤, 기름에 튀긴다.
13. 나베에 고춧가루를 넣는다.
14. 간 사과와 레몬즙, 간 레몬껍질, 플레인요거트, 마요네즈, 설탕, 삶은 달걀을 섞어 수제타르타"&amp;"르소스를 만든다.
15. 나베를 뚝배기에 옮겨 담고 끓인다.
16. 접시에 채 썬 양배추와 타르타르소스를 담은 뒤, 꼬치를 제거한 새우가스를 올려 마무리한다.")</f>
        <v>1. 끓는 물에 달걀을 넣고 삶는다.
2. 냄비에 다진 마늘과 식용유, 불고기용 돼지고기를 넣고 볶는다.
3. 볶던 재료에 적당한 크기로 썬 고구마를 넣는다.
4. 핸드블랜더에 토마토즙과 적당한 크기로 썬 토마토를 넣고 간다.
5. 볶던 재료에 간 토마토와 물, 스리라차소스, 잘게 썬 청양고추, 고추장을 넣고 끓여 나베를 만든다.
6. 끓이던 나베에 참치액을 넣는다.
7. 두부를 깍둑썰기 한 뒤, 전분을 묻혀 기름에 튀긴다.
8. 튀긴 두부를 나베에 넣고 끓이다가 설탕을 더한다.
9. 테두리를 잘라낸 식빵을 믹서기에 넣고 갈아 빵가루를 만든다.
10. 밀가루와 달걀, 우유, 간 마를 섞어 튀김반죽을 만든다.
11. 손질한 새우에 칼집을 넣고, 다섯 마리를 꼬치에 끼워 고정한다.
12. 새우에 튀김반죽을 묻히고 빵가루를 입힌 뒤, 기름에 튀긴다.
13. 나베에 고춧가루를 넣는다.
14. 간 사과와 레몬즙, 간 레몬껍질, 플레인요거트, 마요네즈, 설탕, 삶은 달걀을 섞어 수제타르타르소스를 만든다.
15. 나베를 뚝배기에 옮겨 담고 끓인다.
16. 접시에 채 썬 양배추와 타르타르소스를 담은 뒤, 꼬치를 제거한 새우가스를 올려 마무리한다.</v>
      </c>
    </row>
    <row r="702">
      <c r="A702" s="2" t="str">
        <f>recipe!C702
</f>
        <v>폼나는 조식</v>
      </c>
      <c r="B702" s="2" t="str">
        <f>IFERROR(__xludf.DUMMYFUNCTION("TRIM(
  REGEXEXTRACT(
    raw!A702,
    ""●\s*조리\s*방법([\s\S]*)""
  )
)
"),"1. 달걀의 끝부분만 깨서 껍데기 원형을 살리고 달걀속은 빼낸다.
2. 달걀물을 체에 밭쳐 곱게 거른다.
3. 달걀물에 통조림연어를 넣고 섞는다.
4. 달걀컵에 달걀껍데기를 담고, 속에 연어달걀물을 채운다.
5. 4를 찜기에 넣은 뒤, 키친타월로 덮고 찐다.
6. 마른 팬에 손질한 토마토를 굽는다.
7. 물과 전분, 밀가루, 소금을 섞어 라이스페이퍼반죽을 만든다.
8. 기름을 바른 접시에 라이스페이퍼반죽을 동그랗게 붓고, 랩으로 덮는다.
"&amp;"9. 라이스페이퍼반죽을 전자레인지에 넣고 돌린다.
10. 전자레인지에서 익힌 라이스페이퍼를 꺼내 얼음물에 담가 식힌다.
11. 양배추와 상추, 깻잎을 채 썬다.
12. 핸드블랜더에 토마토즙과 설탕을 넣고 갈아 토마토폼소스를 만든다.
13. 뜨거운 물에 새우와 완두콩을 넣어 데친 뒤, 얼음물에 넣어 식힌다.
14. 라이스페이퍼에 채 썬 채소와 타르타르소스, 데친 새우를 넣고 돌돌 말아 새우스프링롤을 만든다.
15. 접시에 타르타르소스로 플레이팅"&amp;"한 뒤, 구운 토마토와 새우스프링롤을 올린다.
16. 잘게 간 볶은땅콩과 오리엔탈드레싱을 뿌린다.
17. 딸기의 꼭지를 제거한 뒤, 곁들인다.
18. 새우스프링롤 위에 채 썬 채소와 토마토폼소스를 올린다.
19. 연어달걀찜을 곁들여 마무리한다.")</f>
        <v>1. 달걀의 끝부분만 깨서 껍데기 원형을 살리고 달걀속은 빼낸다.
2. 달걀물을 체에 밭쳐 곱게 거른다.
3. 달걀물에 통조림연어를 넣고 섞는다.
4. 달걀컵에 달걀껍데기를 담고, 속에 연어달걀물을 채운다.
5. 4를 찜기에 넣은 뒤, 키친타월로 덮고 찐다.
6. 마른 팬에 손질한 토마토를 굽는다.
7. 물과 전분, 밀가루, 소금을 섞어 라이스페이퍼반죽을 만든다.
8. 기름을 바른 접시에 라이스페이퍼반죽을 동그랗게 붓고, 랩으로 덮는다.
9. 라이스페이퍼반죽을 전자레인지에 넣고 돌린다.
10. 전자레인지에서 익힌 라이스페이퍼를 꺼내 얼음물에 담가 식힌다.
11. 양배추와 상추, 깻잎을 채 썬다.
12. 핸드블랜더에 토마토즙과 설탕을 넣고 갈아 토마토폼소스를 만든다.
13. 뜨거운 물에 새우와 완두콩을 넣어 데친 뒤, 얼음물에 넣어 식힌다.
14. 라이스페이퍼에 채 썬 채소와 타르타르소스, 데친 새우를 넣고 돌돌 말아 새우스프링롤을 만든다.
15. 접시에 타르타르소스로 플레이팅한 뒤, 구운 토마토와 새우스프링롤을 올린다.
16. 잘게 간 볶은땅콩과 오리엔탈드레싱을 뿌린다.
17. 딸기의 꼭지를 제거한 뒤, 곁들인다.
18. 새우스프링롤 위에 채 썬 채소와 토마토폼소스를 올린다.
19. 연어달걀찜을 곁들여 마무리한다.</v>
      </c>
    </row>
    <row r="703">
      <c r="A703" s="2" t="str">
        <f>recipe!C703
</f>
        <v>수플레가 모닝?</v>
      </c>
      <c r="B703" s="2" t="str">
        <f>IFERROR(__xludf.DUMMYFUNCTION("TRIM(
  REGEXEXTRACT(
    raw!A703,
    ""●\s*조리\s*방법([\s\S]*)""
  )
)
"),"1. 달걀흰자와 노른자를 분리한다.
2. 달걀노른자를 휘저어 푼 뒤, 밀가루를 섞는다.
3. 달걀흰자에 설탕을 넣어가며 쳐서 머랭을 만든다.
4. 밀가루를 넣은 달걀노른자에 머랭을 조금씩 넣어가며 섞어 수플레팬케이크반죽을 만든다.
5. 기름을 두른 팬에 수플레팬케이크반죽을 올린 뒤, 뚜껑을 덮고 약불에서 서서히 익힌다.
6. 우유를 끓인 뒤, 레몬즙을 넣는다.
7. 끓인 우유를 체에 밭쳐 리코타치즈를 만든다.
8. 수플레팬케이크 위에 반죽을"&amp;" 한 번 더 올리고, 다시 익힌다.
9. 딸기를 적당한 크기로 썬 뒤, 설탕과 레몬즙을 섞는다.
10. 프랑크소시지에 칼집을 넣은 뒤, 뜨거운 물에 넣고 데친다.
11. 볼에 달걀을 푼다.
12. 양상추를 채 썬다.
13. 팬에 메이플시럽을 넣고 끓인다.
14. 한 팬에는 달걀물을 넣어 에그스크램블을 만들고, 한 팬에는 식빵을 넣어 굽는다.
15. 사과를 적당한 크기로 썬다.
16. 핸드블랜더에 사과와 식혜를 넣는다.
17. 16에 당근"&amp;"과 다진 생강을 넣고 갈아 채소주스를 만든다.
18. 에그스크램블에 버터와 채 썬 양상추를 넣고, 소금으로 간 한다.
19. 접시에 수플레팬케이크와 설탕에 절인 딸기, 에그스크램블을 담는다.
20. 구운 식빵을 썰어 접시에 올린다.
21. 끓인 메이플시럽을 수플레팬케이크 위에 뿌린다.
22. 채소주스를 체에 거른다.
23. 데친 프랑크소시지를 마른 팬에 굽는다.
24. 구운 프랑크소시지를 접시에 담아낸다.
25. 리코타치즈에 소금과 꿀을 "&amp;"넣고 섞은 뒤, 접시에 담아낸다.
26. 채소주스를 곁들인다.")</f>
        <v>1. 달걀흰자와 노른자를 분리한다.
2. 달걀노른자를 휘저어 푼 뒤, 밀가루를 섞는다.
3. 달걀흰자에 설탕을 넣어가며 쳐서 머랭을 만든다.
4. 밀가루를 넣은 달걀노른자에 머랭을 조금씩 넣어가며 섞어 수플레팬케이크반죽을 만든다.
5. 기름을 두른 팬에 수플레팬케이크반죽을 올린 뒤, 뚜껑을 덮고 약불에서 서서히 익힌다.
6. 우유를 끓인 뒤, 레몬즙을 넣는다.
7. 끓인 우유를 체에 밭쳐 리코타치즈를 만든다.
8. 수플레팬케이크 위에 반죽을 한 번 더 올리고, 다시 익힌다.
9. 딸기를 적당한 크기로 썬 뒤, 설탕과 레몬즙을 섞는다.
10. 프랑크소시지에 칼집을 넣은 뒤, 뜨거운 물에 넣고 데친다.
11. 볼에 달걀을 푼다.
12. 양상추를 채 썬다.
13. 팬에 메이플시럽을 넣고 끓인다.
14. 한 팬에는 달걀물을 넣어 에그스크램블을 만들고, 한 팬에는 식빵을 넣어 굽는다.
15. 사과를 적당한 크기로 썬다.
16. 핸드블랜더에 사과와 식혜를 넣는다.
17. 16에 당근과 다진 생강을 넣고 갈아 채소주스를 만든다.
18. 에그스크램블에 버터와 채 썬 양상추를 넣고, 소금으로 간 한다.
19. 접시에 수플레팬케이크와 설탕에 절인 딸기, 에그스크램블을 담는다.
20. 구운 식빵을 썰어 접시에 올린다.
21. 끓인 메이플시럽을 수플레팬케이크 위에 뿌린다.
22. 채소주스를 체에 거른다.
23. 데친 프랑크소시지를 마른 팬에 굽는다.
24. 구운 프랑크소시지를 접시에 담아낸다.
25. 리코타치즈에 소금과 꿀을 넣고 섞은 뒤, 접시에 담아낸다.
26. 채소주스를 곁들인다.</v>
      </c>
    </row>
    <row r="704">
      <c r="A704" s="2" t="str">
        <f>recipe!C704
</f>
        <v>나도 어디서 꿀리진 않魚</v>
      </c>
      <c r="B704" s="2" t="str">
        <f>IFERROR(__xludf.DUMMYFUNCTION("TRIM(
  REGEXEXTRACT(
    raw!A704,
    ""●\s*조리\s*방법([\s\S]*)""
  )
)
"),"1. 기름을 두른 냄비에 잘게 썬 대파와 으깬 마늘, 토마토즙을 넣고 끓여 토마토탕을 만든다.
2. 핸드블렌더에 마늘과 잣, 그린올리브, 크림치즈, 콩테치즈, 깻잎, 올리브오일을 넣고 갈아 깻잎페스토를 만든다.
3. 핸드블렌더에 차돌박이와 오겹살, 통마늘, 후추, 맛술을 넣고 간다.
4. 마른 팬에 잘게 썬 대파와 간 고기, 소금을 넣고 볶는다.
5. 볶던 재료에 밥과 깻잎페스토를 넣고 볶아 볶음밥을 만든다.
6. 볶음밥과 쌈무, 김, 간 당근"&amp;"으로 물고기초밥을 만든다.
7. 쌈무로 만든 물고기 꼬리와 몸통을 얹어 물고기 초밥을 만든다.
8. 접시에 볶음밥을 담아 마무리한다.")</f>
        <v>1. 기름을 두른 냄비에 잘게 썬 대파와 으깬 마늘, 토마토즙을 넣고 끓여 토마토탕을 만든다.
2. 핸드블렌더에 마늘과 잣, 그린올리브, 크림치즈, 콩테치즈, 깻잎, 올리브오일을 넣고 갈아 깻잎페스토를 만든다.
3. 핸드블렌더에 차돌박이와 오겹살, 통마늘, 후추, 맛술을 넣고 간다.
4. 마른 팬에 잘게 썬 대파와 간 고기, 소금을 넣고 볶는다.
5. 볶던 재료에 밥과 깻잎페스토를 넣고 볶아 볶음밥을 만든다.
6. 볶음밥과 쌈무, 김, 간 당근으로 물고기초밥을 만든다.
7. 쌈무로 만든 물고기 꼬리와 몸통을 얹어 물고기 초밥을 만든다.
8. 접시에 볶음밥을 담아 마무리한다.</v>
      </c>
    </row>
    <row r="705">
      <c r="A705" s="2" t="str">
        <f>recipe!C705
</f>
        <v>치즈 쇼타임~마!</v>
      </c>
      <c r="B705" s="2" t="str">
        <f>IFERROR(__xludf.DUMMYFUNCTION("TRIM(
  REGEXEXTRACT(
    raw!A705,
    ""●\s*조리\s*방법([\s\S]*)""
  )
)
"),"1. 기름을 두른 그릴팬에 손질한 양파와 오이고추를 굽는다.
2. 전분과 달걀, 물을 섞어 튀김반죽을 만든다.
3. 양파를 적당한 크기로 썰어 튀김반죽을 입힌 뒤, 소금과 후추로 간 한다.
4. 튀김반죽을 입힌 양파를 기름에 튀긴다.
5. 기름을 두른 팬에 잘게 썬 양파를 볶는다.
6. 핸드블렌더에 오겹살과 차돌박이, 인스턴트 고기산적, 슬라이스 훈제오리를 넣고 갈아 패티반죽을 만든다.
7. 패티반죽에 볶은 양파를 넣고 소금과 후추로 간 한다"&amp;".
8. 기름을 두른 팬에 적당한 크기로 떼어낸 패티반죽을 굽는다.
9. 양파튀김을 건져 기름기를 뺀다.
10. 양파와 오이 껍질을 잘게 썬다.
11. 볼에 잘게 썬 양파와 오이, 플레인 요거트, 레몬즙, 소금, 후추를 넣고 섞는다.
12. 굽던 패티 위에 슬라이스 체더치즈를 올린다.
13. 발사믹드레싱과 간 배, 올리브오일, 레몬즙, 잘게 썬 오이와 구운 오이고추, 후추를 넣고 섞어 소스를 만든다.
14. 접시에 양파튀김과 생양파를 담는다"&amp;".
15. 생양파 위에 구운 양파 &gt; 치즈를 올린 패티 &gt; 구운 양파 &gt; 치즈를 올린 패티 순으로 쌓는다.
16. 16에 쇠꼬치를 꽂아 고정한다.
17. 종지에 소스를 담는다.
18. 고춧가루와 파슬리를 뿌려 마무리한다.")</f>
        <v>1. 기름을 두른 그릴팬에 손질한 양파와 오이고추를 굽는다.
2. 전분과 달걀, 물을 섞어 튀김반죽을 만든다.
3. 양파를 적당한 크기로 썰어 튀김반죽을 입힌 뒤, 소금과 후추로 간 한다.
4. 튀김반죽을 입힌 양파를 기름에 튀긴다.
5. 기름을 두른 팬에 잘게 썬 양파를 볶는다.
6. 핸드블렌더에 오겹살과 차돌박이, 인스턴트 고기산적, 슬라이스 훈제오리를 넣고 갈아 패티반죽을 만든다.
7. 패티반죽에 볶은 양파를 넣고 소금과 후추로 간 한다.
8. 기름을 두른 팬에 적당한 크기로 떼어낸 패티반죽을 굽는다.
9. 양파튀김을 건져 기름기를 뺀다.
10. 양파와 오이 껍질을 잘게 썬다.
11. 볼에 잘게 썬 양파와 오이, 플레인 요거트, 레몬즙, 소금, 후추를 넣고 섞는다.
12. 굽던 패티 위에 슬라이스 체더치즈를 올린다.
13. 발사믹드레싱과 간 배, 올리브오일, 레몬즙, 잘게 썬 오이와 구운 오이고추, 후추를 넣고 섞어 소스를 만든다.
14. 접시에 양파튀김과 생양파를 담는다.
15. 생양파 위에 구운 양파 &gt; 치즈를 올린 패티 &gt; 구운 양파 &gt; 치즈를 올린 패티 순으로 쌓는다.
16. 16에 쇠꼬치를 꽂아 고정한다.
17. 종지에 소스를 담는다.
18. 고춧가루와 파슬리를 뿌려 마무리한다.</v>
      </c>
    </row>
    <row r="706">
      <c r="A706" s="2" t="str">
        <f>recipe!C706
</f>
        <v>곤짜장</v>
      </c>
      <c r="B706" s="2" t="str">
        <f>IFERROR(__xludf.DUMMYFUNCTION("TRIM(
  REGEXEXTRACT(
    raw!A706,
    ""●\s*조리\s*방법([\s\S]*)""
  )
)
"),"1. 냄비에 통조림간장골뱅이 국물을 따라낸다.
2. 통조림간장골뱅이 국물에 곤약면과 레몬즙을 넣고 조린다.
3. 기름을 두른 팬에 적당한 크기로 썬 오겹살을 넣고 볶는다.
4. 양파와 애호박을 적당한 크기로 썬다.
5. 볶던 오겹살에 양파를 넣고 볶는다.
6. 밀대로 민 식빵의 테두리를 잘라낸 뒤, 정사각형 모양으로 자른다.
7. 핸드블렌더에 슬라이스 닭가슴살과 달걀, 전분, 버터를 넣고 갈아 닭가슴살반죽을 만든다.
8. 닭가슴살반죽에 잣을"&amp;" 넣고 섞는다.
9. 슬라이스 체더치즈를 뭉친 뒤, 닭가슴살반죽으로 감싼다.
10. 식빵 사이에 닭가슴살반죽을 넣어 샌드한 뒤, 기름에 튀긴다.
11. 멘보샤를 건져 기름기를 뺀다.
12. 간장골뱅이국물에 조린 곤약면을 체에 밭쳐 물기를 뺀다.
13. 볶던 재료에 간장과 인스턴트 짜장가루를 넣고 볶아 짜장양념을 만든다.
14. 짜장양념에 전분물을 넣는다.
15. 양배추를 채 썬 뒤, 접시에 담는다.
16. 멘보샤를 건져낸 뒤, 접시에 담는"&amp;"다.
17. 채 썬 양배추 위에 케첩과 마요네즈를 뿌린다.
18. 오이를 채 썬다.
19. 접시에 곤약면을 담는다.
20. 곤약면 위에 짜장양념을 올린 후, 채 썬 오이를 얹어 마무리한다.")</f>
        <v>1. 냄비에 통조림간장골뱅이 국물을 따라낸다.
2. 통조림간장골뱅이 국물에 곤약면과 레몬즙을 넣고 조린다.
3. 기름을 두른 팬에 적당한 크기로 썬 오겹살을 넣고 볶는다.
4. 양파와 애호박을 적당한 크기로 썬다.
5. 볶던 오겹살에 양파를 넣고 볶는다.
6. 밀대로 민 식빵의 테두리를 잘라낸 뒤, 정사각형 모양으로 자른다.
7. 핸드블렌더에 슬라이스 닭가슴살과 달걀, 전분, 버터를 넣고 갈아 닭가슴살반죽을 만든다.
8. 닭가슴살반죽에 잣을 넣고 섞는다.
9. 슬라이스 체더치즈를 뭉친 뒤, 닭가슴살반죽으로 감싼다.
10. 식빵 사이에 닭가슴살반죽을 넣어 샌드한 뒤, 기름에 튀긴다.
11. 멘보샤를 건져 기름기를 뺀다.
12. 간장골뱅이국물에 조린 곤약면을 체에 밭쳐 물기를 뺀다.
13. 볶던 재료에 간장과 인스턴트 짜장가루를 넣고 볶아 짜장양념을 만든다.
14. 짜장양념에 전분물을 넣는다.
15. 양배추를 채 썬 뒤, 접시에 담는다.
16. 멘보샤를 건져낸 뒤, 접시에 담는다.
17. 채 썬 양배추 위에 케첩과 마요네즈를 뿌린다.
18. 오이를 채 썬다.
19. 접시에 곤약면을 담는다.
20. 곤약면 위에 짜장양념을 올린 후, 채 썬 오이를 얹어 마무리한다.</v>
      </c>
    </row>
    <row r="707">
      <c r="A707" s="2" t="str">
        <f>recipe!C707
</f>
        <v>치킨 치즈 스마일</v>
      </c>
      <c r="B707" s="2" t="str">
        <f>IFERROR(__xludf.DUMMYFUNCTION("TRIM(
  REGEXEXTRACT(
    raw!A707,
    ""●\s*조리\s*방법([\s\S]*)""
  )
)
"),"1. 소금을 넣은 끓는 물에 달걀을 삶는다.
2. 끓는 물에 잘게 썬 당근을 넣고 삶는다.
3. 밀가루를 체에 걸러 곱게 친다.
4. 밀가루에 달걀노른자와 올리브오일, 맥주를 넣고 섞어 튀김반죽을 만든다.
5. 달걀흰자에 소금을 넣고 쳐서 머랭을 만든다.
6. 튀김반죽에 머랭을 넣고 섞는다.
7. 냉동한 크림치즈를 적당한 크기로 썰어 밀가루를 묻힌다.
8. 큐브닭가슴살에 레몬즙을 넣은 뒤, 밀가루를 묻힌다.
9. 밀가루를 묻힌 크림치즈와 "&amp;"큐브닭가슴살에 튀김반죽을 입혀 기름에 튀긴다.
10. 다이어트도시락에서 완두콩과 옥수수만 골라낸다.
11. 닭가슴살과 닭가슴살 소시지, 인스턴트 감자튀김을 적당한 크기로 썰어 볼에 담는다.
12. 볼에 완두콩과 옥수수, 잘게 썬 그린올리브, 소금, 후추를 넣는다.
13. 12에 마요네즈와 잘게 썬 사과를 넣고 섞어 샐러드를 만든다.
14. 삶은 달걀의 껍데기를 깐다.
15. 샐러드에 삶은 당근을 넣는다.
16. 다이어트도시락의 각종 채소와 "&amp;"잘게 썬 양파, 칠리소스를 섞은 뒤, 원형틀 안에 넣는다.
17. 칠리소스와 라즈베리잼을 섞어 소스를 만든다.
18. 치즈튀김과 닭가슴살튀김을 건져 기름기를 뺀다.
19. 접시에 상추와 치즈튀김, 닭가슴살튀김을 담는다.
20. 샐러드에 삶은 달걀을 으깨 넣고 섞은 뒤, 접시에 담는다.
21. 오이를 슬라이스한 뒤, 플레이팅한다.
22. 오렌지를 적당한 크기로 썰어 플레이팅한다.
23. 그린올리브로 토끼모양을 만든 뒤, 샐러드 위에 올려 마무"&amp;"리한다.")</f>
        <v>1. 소금을 넣은 끓는 물에 달걀을 삶는다.
2. 끓는 물에 잘게 썬 당근을 넣고 삶는다.
3. 밀가루를 체에 걸러 곱게 친다.
4. 밀가루에 달걀노른자와 올리브오일, 맥주를 넣고 섞어 튀김반죽을 만든다.
5. 달걀흰자에 소금을 넣고 쳐서 머랭을 만든다.
6. 튀김반죽에 머랭을 넣고 섞는다.
7. 냉동한 크림치즈를 적당한 크기로 썰어 밀가루를 묻힌다.
8. 큐브닭가슴살에 레몬즙을 넣은 뒤, 밀가루를 묻힌다.
9. 밀가루를 묻힌 크림치즈와 큐브닭가슴살에 튀김반죽을 입혀 기름에 튀긴다.
10. 다이어트도시락에서 완두콩과 옥수수만 골라낸다.
11. 닭가슴살과 닭가슴살 소시지, 인스턴트 감자튀김을 적당한 크기로 썰어 볼에 담는다.
12. 볼에 완두콩과 옥수수, 잘게 썬 그린올리브, 소금, 후추를 넣는다.
13. 12에 마요네즈와 잘게 썬 사과를 넣고 섞어 샐러드를 만든다.
14. 삶은 달걀의 껍데기를 깐다.
15. 샐러드에 삶은 당근을 넣는다.
16. 다이어트도시락의 각종 채소와 잘게 썬 양파, 칠리소스를 섞은 뒤, 원형틀 안에 넣는다.
17. 칠리소스와 라즈베리잼을 섞어 소스를 만든다.
18. 치즈튀김과 닭가슴살튀김을 건져 기름기를 뺀다.
19. 접시에 상추와 치즈튀김, 닭가슴살튀김을 담는다.
20. 샐러드에 삶은 달걀을 으깨 넣고 섞은 뒤, 접시에 담는다.
21. 오이를 슬라이스한 뒤, 플레이팅한다.
22. 오렌지를 적당한 크기로 썰어 플레이팅한다.
23. 그린올리브로 토끼모양을 만든 뒤, 샐러드 위에 올려 마무리한다.</v>
      </c>
    </row>
    <row r="708">
      <c r="A708" s="2" t="str">
        <f>recipe!C708
</f>
        <v>연볶면</v>
      </c>
      <c r="B708" s="2" t="str">
        <f>IFERROR(__xludf.DUMMYFUNCTION("TRIM(
  REGEXEXTRACT(
    raw!A708,
    ""●\s*조리\s*방법([\s\S]*)""
  )
)
"),"1. 대파 흰 부분을 잘게 썬다.
2. 마른 찜기에 잘게 썬 대파를 넣고 뚜껑을 덮은 뒤 가열한다.
3. 밀가루와 물을 섞어 면반죽을 만든 뒤, 젖은 행주를 덮어 숙성한다.
4. 끓는 기름에 손질한 대파와 고춧가루를 넣고 끓여 고추기름을 낸다.
5. 고추기름에 청양고추를 넣는다.
6. 손질새우와 낙지를 적당한 크기로 썬다.
7. 적당한 크기로 썬 새우와 낙지를 데친다.
8. 데친 새우와 낙지를 체에 밭쳐 물기를 뺀다.
9. 양파, 표고버섯"&amp;", 당근, 차돌박이, 목살, 쪽파를 적당한 크기로 썬다.
10. 고추기름을 체에 밭쳐 건더기를 걸러낸다.
11. 기름을 두른 팬에 고추기름을 붓는다.
12. 면반죽을 밀대로 얇게 민다.
13. 면반죽을 썰어 면을 뽑은 뒤, 기름에 튀긴다.
14. 고추기름을 두른 팬에 손질한 차돌박이와 목살, 쪽파를 넣고 볶다가 화이트와인을 넣는다.
15. 14에 손질한 채소들, 돼지불고기 양념, 고추장을 넣고 볶아 볶음짬뽕소스을 만든다.
16. 대파를 태우"&amp;"는 찜기에 볶음짬뽕소스를 담은 그릇을 얹은 뒤, 데친 새우와 낙지를 넣고 섞는다.
17. 찜기의 뚜껑을 닫아 볶음짬뽕소스에 불향을 입힌다.
18. 튀긴 면을 건져 기름기를 뺀다.
19. 깻잎을 채 썬다.
20. 종지에 마요네즈를 담는다.
21. 그릇에 튀긴 면을 담는다.
22. 훈연한 볶음짬뽕소스 위에 채 썬 깻잎을 얹어 낸다.")</f>
        <v>1. 대파 흰 부분을 잘게 썬다.
2. 마른 찜기에 잘게 썬 대파를 넣고 뚜껑을 덮은 뒤 가열한다.
3. 밀가루와 물을 섞어 면반죽을 만든 뒤, 젖은 행주를 덮어 숙성한다.
4. 끓는 기름에 손질한 대파와 고춧가루를 넣고 끓여 고추기름을 낸다.
5. 고추기름에 청양고추를 넣는다.
6. 손질새우와 낙지를 적당한 크기로 썬다.
7. 적당한 크기로 썬 새우와 낙지를 데친다.
8. 데친 새우와 낙지를 체에 밭쳐 물기를 뺀다.
9. 양파, 표고버섯, 당근, 차돌박이, 목살, 쪽파를 적당한 크기로 썬다.
10. 고추기름을 체에 밭쳐 건더기를 걸러낸다.
11. 기름을 두른 팬에 고추기름을 붓는다.
12. 면반죽을 밀대로 얇게 민다.
13. 면반죽을 썰어 면을 뽑은 뒤, 기름에 튀긴다.
14. 고추기름을 두른 팬에 손질한 차돌박이와 목살, 쪽파를 넣고 볶다가 화이트와인을 넣는다.
15. 14에 손질한 채소들, 돼지불고기 양념, 고추장을 넣고 볶아 볶음짬뽕소스을 만든다.
16. 대파를 태우는 찜기에 볶음짬뽕소스를 담은 그릇을 얹은 뒤, 데친 새우와 낙지를 넣고 섞는다.
17. 찜기의 뚜껑을 닫아 볶음짬뽕소스에 불향을 입힌다.
18. 튀긴 면을 건져 기름기를 뺀다.
19. 깻잎을 채 썬다.
20. 종지에 마요네즈를 담는다.
21. 그릇에 튀긴 면을 담는다.
22. 훈연한 볶음짬뽕소스 위에 채 썬 깻잎을 얹어 낸다.</v>
      </c>
    </row>
    <row r="709">
      <c r="A709" s="2" t="str">
        <f>recipe!C709
</f>
        <v>볶출어람</v>
      </c>
      <c r="B709" s="2" t="str">
        <f>IFERROR(__xludf.DUMMYFUNCTION("TRIM(
  REGEXEXTRACT(
    raw!A709,
    ""●\s*조리\s*방법([\s\S]*)""
  )
)
"),"1. 즉석밥을 물에 헹궈 전분기를 뺀 뒤, 체에 밭쳐 물기를 뺀다.
2. 마른 팬에 설탕을 녹인 뒤, 뜨거운 물을 섞어 캐러멜소스를 만든다.
3. 캐러멜소스에 다진 생강과 소금을 섞는다.
4. 목살과 인스턴트 떡갈비를 잘게 썬다.
5. 대파, 마늘, 청양고추를 잘게 썬다.
6. 표고버섯과 깻잎을 적당한 크기로 썬다.
7. 오이를 적당한 크기로 썬 뒤, 속을 파낸다.
8. 씻어서 물기를 뺀 밥을 체에 밭쳐 기름에 튀긴다.
9. 밥튀김의 기름"&amp;"기를 뺀다.
10. 김에 캐러멜소스를 묻힌 뒤, 기름에 튀긴다.
11. 손질한 표고버섯에 캐러멜소스를 묻힌 뒤, 기름에 튀긴다.
12. 기름을 두른 팬에 손질한 대파와 마늘, 청양고추, 멸치액젓을 넣고 볶는다.
13. 12에 손질한 목살과 인스턴트 떡갈비, 낙지볶음소스, 후추, 청주를 넣고 볶는다.
14. 접시에 밥튀김을 깔고 김튀김과 표고버섯튀김을 얹는다.
15. 접시에 속을 파낸 오이를 담은 뒤, 속에 깻잎을 깐다.
16. 속을 파낸 오"&amp;"이와 접시에 고기볶음을 담아 마무리한다.")</f>
        <v>1. 즉석밥을 물에 헹궈 전분기를 뺀 뒤, 체에 밭쳐 물기를 뺀다.
2. 마른 팬에 설탕을 녹인 뒤, 뜨거운 물을 섞어 캐러멜소스를 만든다.
3. 캐러멜소스에 다진 생강과 소금을 섞는다.
4. 목살과 인스턴트 떡갈비를 잘게 썬다.
5. 대파, 마늘, 청양고추를 잘게 썬다.
6. 표고버섯과 깻잎을 적당한 크기로 썬다.
7. 오이를 적당한 크기로 썬 뒤, 속을 파낸다.
8. 씻어서 물기를 뺀 밥을 체에 밭쳐 기름에 튀긴다.
9. 밥튀김의 기름기를 뺀다.
10. 김에 캐러멜소스를 묻힌 뒤, 기름에 튀긴다.
11. 손질한 표고버섯에 캐러멜소스를 묻힌 뒤, 기름에 튀긴다.
12. 기름을 두른 팬에 손질한 대파와 마늘, 청양고추, 멸치액젓을 넣고 볶는다.
13. 12에 손질한 목살과 인스턴트 떡갈비, 낙지볶음소스, 후추, 청주를 넣고 볶는다.
14. 접시에 밥튀김을 깔고 김튀김과 표고버섯튀김을 얹는다.
15. 접시에 속을 파낸 오이를 담은 뒤, 속에 깻잎을 깐다.
16. 속을 파낸 오이와 접시에 고기볶음을 담아 마무리한다.</v>
      </c>
    </row>
    <row r="710">
      <c r="A710" s="2" t="str">
        <f>recipe!C710
</f>
        <v>안심하고 튀겼새우</v>
      </c>
      <c r="B710" s="2" t="str">
        <f>IFERROR(__xludf.DUMMYFUNCTION("TRIM(
  REGEXEXTRACT(
    raw!A710,
    ""●\s*조리\s*방법([\s\S]*)""
  )
)
"),"1. 끓는 물에 다시마와 국물용 멸치를 넣고 끓여 육수를 낸다.
2. 마늘을 편 썬 뒤, 찬물에 담가 아린 맛을 뺀다.
3. 스테이크용 안심을 고기망치로 두드려 넓게 편 후, 소금과 후추로 밑간한다.
4. 통조림햄을 적당한 크기로 썬다.
5. 표고버섯에 칼집을 넣어 모양을 낸다.
6. 차돌박이에 손질새우를 올린 뒤, 돌돌 만다.
7. 손질한 안심과 통조림햄, 표고버섯, 차돌박이로 만 새우에 밀가루를 묻힌다.
8. 전자레인지에 즉석밥을 넣고 "&amp;"돌린다.
9. 팬에 육수와 맛술, 청주, 간장, 설탕을 넣어 데리야키소스를 만든다.
10. 설탕과 식초, 케첩, 마요네즈를 섞어 마요소스를 만든다.
11. 편마늘을 튀긴 뒤, 기름기를 뺀다.
12. 밀가루와 튀김가루, 맥주, 얼음물을 섞어 튀김반죽을 만든다.
13. 안심에 튀김반죽을 묻힌 뒤, 튀긴다.
14. 튀김반죽을 튀겨 덴카스를 만든다.
15. 차돌박이로 만 새우와 통조림햄에 튀김반죽을 묻힌 뒤, 튀긴다.
16. 튀김과 덴카스를 건져"&amp;" 기름기를 뺀다.
17. 즉석밥을 그릇에 담은 뒤, 데리야키소스를 뿌린다.
18. 차돌박이새우튀김과 햄튀김을 한 번 더 튀긴 뒤, 건져 기름기를 뺀다.
19. 안심튀김을 한 번 더 튀긴다.
20. 차돌박이새우튀김을 적당한 크기로 썬 뒤, 마요소스에 버무려 접시에 담아낸다.
21. 안심튀김을 건져 적당한 크기로 썬 뒤, 밥 위에 얹고 덴카스를 뿌린다.
22. 달걀을 기름에 튀긴다.
23. 달걀튀김을 건져 안심튀김 위에 얹는다.
24. 달걀튀"&amp;"김 위에 잘게 썬 청양고추를 올린 뒤, 데리야키소스를 뿌려 마무리한다.")</f>
        <v>1. 끓는 물에 다시마와 국물용 멸치를 넣고 끓여 육수를 낸다.
2. 마늘을 편 썬 뒤, 찬물에 담가 아린 맛을 뺀다.
3. 스테이크용 안심을 고기망치로 두드려 넓게 편 후, 소금과 후추로 밑간한다.
4. 통조림햄을 적당한 크기로 썬다.
5. 표고버섯에 칼집을 넣어 모양을 낸다.
6. 차돌박이에 손질새우를 올린 뒤, 돌돌 만다.
7. 손질한 안심과 통조림햄, 표고버섯, 차돌박이로 만 새우에 밀가루를 묻힌다.
8. 전자레인지에 즉석밥을 넣고 돌린다.
9. 팬에 육수와 맛술, 청주, 간장, 설탕을 넣어 데리야키소스를 만든다.
10. 설탕과 식초, 케첩, 마요네즈를 섞어 마요소스를 만든다.
11. 편마늘을 튀긴 뒤, 기름기를 뺀다.
12. 밀가루와 튀김가루, 맥주, 얼음물을 섞어 튀김반죽을 만든다.
13. 안심에 튀김반죽을 묻힌 뒤, 튀긴다.
14. 튀김반죽을 튀겨 덴카스를 만든다.
15. 차돌박이로 만 새우와 통조림햄에 튀김반죽을 묻힌 뒤, 튀긴다.
16. 튀김과 덴카스를 건져 기름기를 뺀다.
17. 즉석밥을 그릇에 담은 뒤, 데리야키소스를 뿌린다.
18. 차돌박이새우튀김과 햄튀김을 한 번 더 튀긴 뒤, 건져 기름기를 뺀다.
19. 안심튀김을 한 번 더 튀긴다.
20. 차돌박이새우튀김을 적당한 크기로 썬 뒤, 마요소스에 버무려 접시에 담아낸다.
21. 안심튀김을 건져 적당한 크기로 썬 뒤, 밥 위에 얹고 덴카스를 뿌린다.
22. 달걀을 기름에 튀긴다.
23. 달걀튀김을 건져 안심튀김 위에 얹는다.
24. 달걀튀김 위에 잘게 썬 청양고추를 올린 뒤, 데리야키소스를 뿌려 마무리한다.</v>
      </c>
    </row>
    <row r="711">
      <c r="A711" s="2" t="str">
        <f>recipe!C711
</f>
        <v>두고보샤</v>
      </c>
      <c r="B711" s="2" t="str">
        <f>IFERROR(__xludf.DUMMYFUNCTION("TRIM(
  REGEXEXTRACT(
    raw!A711,
    ""●\s*조리\s*방법([\s\S]*)""
  )
)
"),"1. 기름을 두른 팬에 달걀과 조미료를 넣고 휘저어 스크램블을 만든다.
2. 끓는 기름에 대파와 통마늘, 고춧가루를 넣어 고추기름을 만든다.
3. 두부를 가로로 썬 뒤, 기름에 튀긴다.
4. 볼에 스크램블을 담아 식힌다.
5. 핸드블렌더에 차돌박이와 달걀흰자, 전분, 소금, 후추를 넣고 간다.
6. 간 재료에 손질새우를 넣고 다시 한 번 간다.
7. 스크램블과 간 재료를 섞어 새우반죽을 만든다.
8. 튀긴 두부를 건져 정사각형 모양으로 자른"&amp;"다.
9. 튀긴 두부 사이에 새우반죽을 넣고 샌드한 뒤, 이쑤시개로 고정해 튀긴다.
10. 표고버섯 사이에 새우반죽을 넣고 샌드한 뒤, 튀긴다.
11. 뜨거운 물에 콩나물을 넣고 데친다.
12. 간장과 고춧가루, 식초, 설탕, 잘게 썬 쪽파를 섞어 양념장을 만든다.
13. 양념장에 다진 마늘을 넣는다.
14. 지퍼백에 오이를 넣고 두드린 뒤, 잘게 썰어 양념장에 넣는다.
15. 데친 콩나물을 접시에 담는다.
16. 두부멘보샤를 건져 이쑤시"&amp;"개를 제거한 뒤, 접시에 담는다.
17. 표고버섯멘보샤를 건져 접시에 담는다.
18. 오이를 넣은 양념장을 얹고, 고추기름을 뿌려 마무리한다.")</f>
        <v>1. 기름을 두른 팬에 달걀과 조미료를 넣고 휘저어 스크램블을 만든다.
2. 끓는 기름에 대파와 통마늘, 고춧가루를 넣어 고추기름을 만든다.
3. 두부를 가로로 썬 뒤, 기름에 튀긴다.
4. 볼에 스크램블을 담아 식힌다.
5. 핸드블렌더에 차돌박이와 달걀흰자, 전분, 소금, 후추를 넣고 간다.
6. 간 재료에 손질새우를 넣고 다시 한 번 간다.
7. 스크램블과 간 재료를 섞어 새우반죽을 만든다.
8. 튀긴 두부를 건져 정사각형 모양으로 자른다.
9. 튀긴 두부 사이에 새우반죽을 넣고 샌드한 뒤, 이쑤시개로 고정해 튀긴다.
10. 표고버섯 사이에 새우반죽을 넣고 샌드한 뒤, 튀긴다.
11. 뜨거운 물에 콩나물을 넣고 데친다.
12. 간장과 고춧가루, 식초, 설탕, 잘게 썬 쪽파를 섞어 양념장을 만든다.
13. 양념장에 다진 마늘을 넣는다.
14. 지퍼백에 오이를 넣고 두드린 뒤, 잘게 썰어 양념장에 넣는다.
15. 데친 콩나물을 접시에 담는다.
16. 두부멘보샤를 건져 이쑤시개를 제거한 뒤, 접시에 담는다.
17. 표고버섯멘보샤를 건져 접시에 담는다.
18. 오이를 넣은 양념장을 얹고, 고추기름을 뿌려 마무리한다.</v>
      </c>
    </row>
    <row r="712">
      <c r="A712" s="2" t="str">
        <f>recipe!C712
</f>
        <v>파스타가 캐비아</v>
      </c>
      <c r="B712" s="2" t="str">
        <f>IFERROR(__xludf.DUMMYFUNCTION("TRIM(
  REGEXEXTRACT(
    raw!A712,
    ""●\s*조리\s*방법([\s\S]*)""
  )
)
"),"1. 옥돔의 살만 발라낸다.
2. 채칼로 애호박을 슬라이스한다.
3. 옥돔살 위에 슬라이스한 애호박을 얹은 뒤, 끝부분을 잘라낸다.
4. 애호박을 얹은 옥돔살을 찜기에 넣고 찐다.
5. 양파를 채 썬 뒤, 기름을 두른 팬에 넣고 볶는다.
6. 감자를 채 썬 뒤, 볶던 양파와 함께 볶는다.
7. 볶던 양파와 감자에 소금으로 간 하고, 수제양파와인과 잘게 썬 베이컨을 넣는다.
8. 7에 트러플페스토와 후추를 넣고 볶아 트러플양파볶음을 만든다.
"&amp;"
9. 끓는 물에 디포리와 가츠오부시를 넣고 끓여 해물육수를 낸 뒤, 건더기만 걸러낸다.
10. 육수에 고다치즈를 넣고 끓여 해물치즈육수를 만든다.
11. 10을 핸드블렌더로 간다.
12. 끓는 물에 사발라면의 면을 넣고 익힌다.
13. 익힌 사발라면의 면을 찬물에 헹궈 식힌다.
14. 해물치즈육수에 생크림을 넣고 끓인다.
15. 사발라면 면을 해물치즈육수에 버무린다.
16. 접시에 트러플양파볶음을 담는다.
17. 캐비아를 절구로 빻은 뒤"&amp;", 면에 넣고 섞는다.
18. 트러플양파볶음 위에 해물치즈육수와 캐비아에 버무린 면을 얹는다.
19. 면 위에 애호박옥돔찜을 얹는다.
20. 해물치즈육수에 캐비아를 넣고 끓인 뒤, 소금 간을 해 캐비아소스를 만든다.
21. 접시에 캐비아소스를 부어 낸다.")</f>
        <v>1. 옥돔의 살만 발라낸다.
2. 채칼로 애호박을 슬라이스한다.
3. 옥돔살 위에 슬라이스한 애호박을 얹은 뒤, 끝부분을 잘라낸다.
4. 애호박을 얹은 옥돔살을 찜기에 넣고 찐다.
5. 양파를 채 썬 뒤, 기름을 두른 팬에 넣고 볶는다.
6. 감자를 채 썬 뒤, 볶던 양파와 함께 볶는다.
7. 볶던 양파와 감자에 소금으로 간 하고, 수제양파와인과 잘게 썬 베이컨을 넣는다.
8. 7에 트러플페스토와 후추를 넣고 볶아 트러플양파볶음을 만든다.
9. 끓는 물에 디포리와 가츠오부시를 넣고 끓여 해물육수를 낸 뒤, 건더기만 걸러낸다.
10. 육수에 고다치즈를 넣고 끓여 해물치즈육수를 만든다.
11. 10을 핸드블렌더로 간다.
12. 끓는 물에 사발라면의 면을 넣고 익힌다.
13. 익힌 사발라면의 면을 찬물에 헹궈 식힌다.
14. 해물치즈육수에 생크림을 넣고 끓인다.
15. 사발라면 면을 해물치즈육수에 버무린다.
16. 접시에 트러플양파볶음을 담는다.
17. 캐비아를 절구로 빻은 뒤, 면에 넣고 섞는다.
18. 트러플양파볶음 위에 해물치즈육수와 캐비아에 버무린 면을 얹는다.
19. 면 위에 애호박옥돔찜을 얹는다.
20. 해물치즈육수에 캐비아를 넣고 끓인 뒤, 소금 간을 해 캐비아소스를 만든다.
21. 접시에 캐비아소스를 부어 낸다.</v>
      </c>
    </row>
    <row r="713">
      <c r="A713" s="2" t="str">
        <f>recipe!C713
</f>
        <v>돈 코스</v>
      </c>
      <c r="B713" s="2" t="str">
        <f>IFERROR(__xludf.DUMMYFUNCTION("TRIM(
  REGEXEXTRACT(
    raw!A713,
    ""●\s*조리\s*방법([\s\S]*)""
  )
)
"),"1. 핸드블렌더에 호두와 아몬드, 잣을 넣고 간다.
2. 간 견과류를 체에 밭친 뒤, 끓는 물에 데쳐 기름을 뺀다.
3. 데친 견과류를 설탕에 버무린 뒤, 오븐에 굽는다.
4. 볼에 푸아그라와 생크림을 넣고, 끓는 물 위에서 중탕하며 섞는다.
5. 발사믹식초에 설탕을 넣고 졸여 발사믹크림을 만든 뒤, 식혀둔다.
6. 생크림을 얼음물 위에 얹고 설탕을 넣은 뒤 거품기로 젓는다.
7. 기름을 두른 팬에 손질한 파프리카와 애호박을 굽는다.
8. "&amp;"양파를 반으로 썬 뒤, 모양을 살려 기름에 튀긴다.
9. 대파 흰 부분을 채 썬 뒤, 기름에 튀긴다.
10. 튀긴 양파와 대파를 건져둔다.
11. 핸드블렌더에 마늘과 올리브오일을 넣고 갈아 마늘오일을 만든다.
12. 기름을 두른 팬에 마늘오일과 손질한 송화버섯을 넣고 볶는다.
13. 송화버섯에는 소금과 후추로, 굽던 파프리카와 애호박에는 소금으로 간 한다.
14. 볶던 송화버섯에 식초를 넣고 볶는다.
15. 이베리코 목살에 소금으로 간 한 "&amp;"뒤, 기름을 두른 팬에 굽는다.
16. 이베리코 목살스테이크에 후추를 뿌린다.
17. 팬에 굴소스, 마늘오일, 올리브오일, 발사믹식초, 잘게 썬 구운 파프리카를 넣고 볶아 발사믹소스를 만든다.
18. 아보카도를 손질한 뒤, 적당한 크기로 썰어 접시에 깔고 소금과 후추, 올리브오일을 뿌린다.
19. 아보카도 위에 레몬즙을 뿌린다.
20. 끓는 기름에 생바질을 넣고 튀긴다.
21. 바질기름에 적당한 크기로 썬 관자를 넣어 익힌다.
22. 바질기"&amp;"름에 익한 관자를 아보카도 위에 얹고 후추를 뿌린다.
23. 송화버섯볶음에 버터를 넣고 녹인다.
24. 관자 위에 송화버섯소스를 뿌리고 튀긴 대파와 캐비아를 얹는다.
25. 발사믹크림에 파프리카를 넣은 발사믹소스를 섞은 뒤 뿌린다.
26. 차게 굳힌 생크림에 푸아그라를 녹인 생크림을 섞어 푸아그라무스를 만든다.
27. 잔에 설탕에 버무려 구운 견과류를 담고, 푸아그라무스를 얹는다.
28. 푸아그라무스 위에 잘게 썬 배를 얹는다.
29. 접시"&amp;"에 튀긴 양파와 튀긴 대파, 이베리코 목살스테이크, 송화버섯볶음과 발사믹크림을 섞은 발사믹소스를 담아낸다.")</f>
        <v>1. 핸드블렌더에 호두와 아몬드, 잣을 넣고 간다.
2. 간 견과류를 체에 밭친 뒤, 끓는 물에 데쳐 기름을 뺀다.
3. 데친 견과류를 설탕에 버무린 뒤, 오븐에 굽는다.
4. 볼에 푸아그라와 생크림을 넣고, 끓는 물 위에서 중탕하며 섞는다.
5. 발사믹식초에 설탕을 넣고 졸여 발사믹크림을 만든 뒤, 식혀둔다.
6. 생크림을 얼음물 위에 얹고 설탕을 넣은 뒤 거품기로 젓는다.
7. 기름을 두른 팬에 손질한 파프리카와 애호박을 굽는다.
8. 양파를 반으로 썬 뒤, 모양을 살려 기름에 튀긴다.
9. 대파 흰 부분을 채 썬 뒤, 기름에 튀긴다.
10. 튀긴 양파와 대파를 건져둔다.
11. 핸드블렌더에 마늘과 올리브오일을 넣고 갈아 마늘오일을 만든다.
12. 기름을 두른 팬에 마늘오일과 손질한 송화버섯을 넣고 볶는다.
13. 송화버섯에는 소금과 후추로, 굽던 파프리카와 애호박에는 소금으로 간 한다.
14. 볶던 송화버섯에 식초를 넣고 볶는다.
15. 이베리코 목살에 소금으로 간 한 뒤, 기름을 두른 팬에 굽는다.
16. 이베리코 목살스테이크에 후추를 뿌린다.
17. 팬에 굴소스, 마늘오일, 올리브오일, 발사믹식초, 잘게 썬 구운 파프리카를 넣고 볶아 발사믹소스를 만든다.
18. 아보카도를 손질한 뒤, 적당한 크기로 썰어 접시에 깔고 소금과 후추, 올리브오일을 뿌린다.
19. 아보카도 위에 레몬즙을 뿌린다.
20. 끓는 기름에 생바질을 넣고 튀긴다.
21. 바질기름에 적당한 크기로 썬 관자를 넣어 익힌다.
22. 바질기름에 익한 관자를 아보카도 위에 얹고 후추를 뿌린다.
23. 송화버섯볶음에 버터를 넣고 녹인다.
24. 관자 위에 송화버섯소스를 뿌리고 튀긴 대파와 캐비아를 얹는다.
25. 발사믹크림에 파프리카를 넣은 발사믹소스를 섞은 뒤 뿌린다.
26. 차게 굳힌 생크림에 푸아그라를 녹인 생크림을 섞어 푸아그라무스를 만든다.
27. 잔에 설탕에 버무려 구운 견과류를 담고, 푸아그라무스를 얹는다.
28. 푸아그라무스 위에 잘게 썬 배를 얹는다.
29. 접시에 튀긴 양파와 튀긴 대파, 이베리코 목살스테이크, 송화버섯볶음과 발사믹크림을 섞은 발사믹소스를 담아낸다.</v>
      </c>
    </row>
    <row r="714">
      <c r="A714" s="2" t="str">
        <f>recipe!C714
</f>
        <v>타조가 조타</v>
      </c>
      <c r="B714" s="2" t="str">
        <f>IFERROR(__xludf.DUMMYFUNCTION("TRIM(
  REGEXEXTRACT(
    raw!A714,
    ""●\s*조리\s*방법([\s\S]*)""
  )
)
"),"1. 양파를 채 썬다.
2. 두 개의 팬에 버터를 두른 뒤, 채 썬 양파를 넣고 볶는다.
3. 볶던 양파에 소금과 후추로 간 한다.
4. 송화버섯과 만가닥버섯, 대파 흰 부분을 잘게 썬다.
5. 볶던 양파에 각각 손질한 채소들을 넣고 볶는다.
6. 볶던 채소에 적당한 크기로 썬 베이컨을 넣고 볶는다.
7. 밀가루와 파프리카 파우더를 섞는다.
8. 타조고기를 고기망치로 두드려 얇게 편다.
9. 타조고기에 소금과 후추로 간을 한 뒤 길게 채 "&amp;"썬다.
10. 타조고기에 파프리카 파우더를 섞은 밀가루를 묻힌 뒤, 볶던 채소에 넣고 버터를 더한다.
11. 10에 생크림을 넣고 끓여 타조 스트로가노프를 만든다.
12. 타조 스트로가노프에 소금과 간장으로 간 한다.
13. 핸드블렌더에 달걀, 우유, 레몬즙, 밀가루를 넣고 섞어 스패츨 반죽을 만든다.
14. 스패츨 반죽을 체에 내려 스패츨을 만든 뒤, 끓는 물에 익힌다.
15. 볶던 채소와 베이컨에 스패츨과 다진 쪽파를 넣고 볶는다.
16"&amp;". 그릇에 볶은 스패츨을 담고 고다치즈를 갈아서 뿌린다.
17. 스패츨 위에 타조 스트로가노프를 얹고, 다진 쪽파를 뿌린다.
18. 사워크림과 다진 쪽파를 한 번 더 올려 마무리한다.")</f>
        <v>1. 양파를 채 썬다.
2. 두 개의 팬에 버터를 두른 뒤, 채 썬 양파를 넣고 볶는다.
3. 볶던 양파에 소금과 후추로 간 한다.
4. 송화버섯과 만가닥버섯, 대파 흰 부분을 잘게 썬다.
5. 볶던 양파에 각각 손질한 채소들을 넣고 볶는다.
6. 볶던 채소에 적당한 크기로 썬 베이컨을 넣고 볶는다.
7. 밀가루와 파프리카 파우더를 섞는다.
8. 타조고기를 고기망치로 두드려 얇게 편다.
9. 타조고기에 소금과 후추로 간을 한 뒤 길게 채 썬다.
10. 타조고기에 파프리카 파우더를 섞은 밀가루를 묻힌 뒤, 볶던 채소에 넣고 버터를 더한다.
11. 10에 생크림을 넣고 끓여 타조 스트로가노프를 만든다.
12. 타조 스트로가노프에 소금과 간장으로 간 한다.
13. 핸드블렌더에 달걀, 우유, 레몬즙, 밀가루를 넣고 섞어 스패츨 반죽을 만든다.
14. 스패츨 반죽을 체에 내려 스패츨을 만든 뒤, 끓는 물에 익힌다.
15. 볶던 채소와 베이컨에 스패츨과 다진 쪽파를 넣고 볶는다.
16. 그릇에 볶은 스패츨을 담고 고다치즈를 갈아서 뿌린다.
17. 스패츨 위에 타조 스트로가노프를 얹고, 다진 쪽파를 뿌린다.
18. 사워크림과 다진 쪽파를 한 번 더 올려 마무리한다.</v>
      </c>
    </row>
    <row r="715">
      <c r="A715" s="2" t="str">
        <f>recipe!C715
</f>
        <v>돈스테이크</v>
      </c>
      <c r="B715" s="2" t="str">
        <f>IFERROR(__xludf.DUMMYFUNCTION("TRIM(
  REGEXEXTRACT(
    raw!A715,
    ""●\s*조리\s*방법([\s\S]*)""
  )
)
"),"1. 끓는 기름에 대파를 넣어 파기름을 낸다.
2. 양파를 채 썬다.
3. 기름을 두른 냄비에 채 썬 양파를 넣고 볶는다.
4. 냄비에 두유를 넣고 끓인다.
5. 감자와 당근, 아스파라거스를 적당한 크기로 썬 뒤 끓는 두유에 넣고 익힌다.
6. 타조고기를 적당한 크기로 손질한 뒤, 소금과 후추로 간 한다.
7. 끓는 파기름을 불에서 내린 뒤, 타조고기를 넣어 튀긴다.
8. 파기름에 튀긴 타조고기를 기름을 두른 팬에 굽는다.
9. 가열하던 "&amp;"찜기에 바질과 로즈메리를 넣은 뒤 타조스테이크를 올려 훈연한다.
10. 적당한 크기로 썬 베이컨을 볶던 양파에 넣고 함께 볶는다.
11. 적당한 크기로 썬 타조고기를 밀가루에 묻힌 뒤, 볶던 양파와 베이컨에 넣고 함께 볶는다.
12. 11에 파프리카 파우더를 넣는다.
13. 12에 편마늘과 토마토소스, 손질한 송화버섯과 만가닥버섯, 수제된장, 흑맥주와 물을 넣고 끓인다.
14. 끓이던 각종 재료를 체에 밭쳐 건더기를 걸러낸 뒤 국물만 끓인다.
"&amp;"
15. 팬에 버터와 밀가루를 넣고 볶아 루를 만든다.
16. 끓이던 국물에 루를 넣어 타조스튜소스를 만든다.
17. 타조스튜소스에 소금으로 간 한다.
18. 두유에 익힌 채소를 건져낸 뒤 물에 헹군다.
19. 접시에 두유에 익힌 감자&gt;슬라이스 치즈&gt;아스파라거스&gt;슬라이스 치즈&gt;당근&gt;슬라이스 치즈 순으로 켜켜이 쌓는다.
20. 치즈와 채소를 토치로 직화한다.
21. 훈연한 타조스테이크를 적당한 크기로 썰어 올린 뒤, 타조스튜소스를 붓는다.
2"&amp;"2. 타조스튜에서 건져낸 송화버섯을 얹어 마무리한다.")</f>
        <v>1. 끓는 기름에 대파를 넣어 파기름을 낸다.
2. 양파를 채 썬다.
3. 기름을 두른 냄비에 채 썬 양파를 넣고 볶는다.
4. 냄비에 두유를 넣고 끓인다.
5. 감자와 당근, 아스파라거스를 적당한 크기로 썬 뒤 끓는 두유에 넣고 익힌다.
6. 타조고기를 적당한 크기로 손질한 뒤, 소금과 후추로 간 한다.
7. 끓는 파기름을 불에서 내린 뒤, 타조고기를 넣어 튀긴다.
8. 파기름에 튀긴 타조고기를 기름을 두른 팬에 굽는다.
9. 가열하던 찜기에 바질과 로즈메리를 넣은 뒤 타조스테이크를 올려 훈연한다.
10. 적당한 크기로 썬 베이컨을 볶던 양파에 넣고 함께 볶는다.
11. 적당한 크기로 썬 타조고기를 밀가루에 묻힌 뒤, 볶던 양파와 베이컨에 넣고 함께 볶는다.
12. 11에 파프리카 파우더를 넣는다.
13. 12에 편마늘과 토마토소스, 손질한 송화버섯과 만가닥버섯, 수제된장, 흑맥주와 물을 넣고 끓인다.
14. 끓이던 각종 재료를 체에 밭쳐 건더기를 걸러낸 뒤 국물만 끓인다.
15. 팬에 버터와 밀가루를 넣고 볶아 루를 만든다.
16. 끓이던 국물에 루를 넣어 타조스튜소스를 만든다.
17. 타조스튜소스에 소금으로 간 한다.
18. 두유에 익힌 채소를 건져낸 뒤 물에 헹군다.
19. 접시에 두유에 익힌 감자&gt;슬라이스 치즈&gt;아스파라거스&gt;슬라이스 치즈&gt;당근&gt;슬라이스 치즈 순으로 켜켜이 쌓는다.
20. 치즈와 채소를 토치로 직화한다.
21. 훈연한 타조스테이크를 적당한 크기로 썰어 올린 뒤, 타조스튜소스를 붓는다.
22. 타조스튜에서 건져낸 송화버섯을 얹어 마무리한다.</v>
      </c>
    </row>
    <row r="716">
      <c r="A716" s="2" t="str">
        <f>recipe!C716
</f>
        <v>비먹부먹</v>
      </c>
      <c r="B716" s="2" t="str">
        <f>IFERROR(__xludf.DUMMYFUNCTION("TRIM(
  REGEXEXTRACT(
    raw!A716,
    ""●\s*조리\s*방법([\s\S]*)""
  )
)
"),"1. 끓는 기름에 대파와 고춧가루를 넣어 고추기름을 낸다.
2. 팬에 식용유와 들기름을 넣는다.
3. 2에 으깬 마늘을 넣고 볶는다.
4. 볶던 마늘에 불린 황태채를 넣고 볶는다.
5. 볶던 황태채에 멸치액젓과 건새우, 뜨거운 물, 다시마를 넣고 끓여 육수를 낸다.
6. 대패삼겹살을 적당한 크기로 썬다.
7. 고추기름을 두른 팬에 대패삼겹살을 볶는다.
8. 볶던 대패삼겹살에 으깬 마늘과 맛술을 넣는다.
9. 8에 굴소스, 간장, 쯔유, 후"&amp;"추, 잘게 썬 대파, 식초를 넣고 볶아 비빔양념을 만든다.
10. 육수에 건표고버섯 불린 물을 넣는다.
11. 육수에 식초와 쯔유를 넣는다.
12. 마른 팬에 불린 건표고버섯과 굴소스, 간장, 맛술, 식초, 소금, 후추를 넣고 볶는다.
13. 볶은 건표고버섯에 고추기름을 넣는다.
14. 끓는 물에 짬뽕면을 삶는다.
15. 육수는 체에 밭쳐 국물만 뚝배기에 옮겨 담는다.
16. 그릇에 익힌 면을 담고 쯔유를 넣어 섞는다.
17. 면 위에 비"&amp;"빔양념과 건표고버섯볶음을 얹는다.
18. 레몬슬라이스를 함께 낸다.")</f>
        <v>1. 끓는 기름에 대파와 고춧가루를 넣어 고추기름을 낸다.
2. 팬에 식용유와 들기름을 넣는다.
3. 2에 으깬 마늘을 넣고 볶는다.
4. 볶던 마늘에 불린 황태채를 넣고 볶는다.
5. 볶던 황태채에 멸치액젓과 건새우, 뜨거운 물, 다시마를 넣고 끓여 육수를 낸다.
6. 대패삼겹살을 적당한 크기로 썬다.
7. 고추기름을 두른 팬에 대패삼겹살을 볶는다.
8. 볶던 대패삼겹살에 으깬 마늘과 맛술을 넣는다.
9. 8에 굴소스, 간장, 쯔유, 후추, 잘게 썬 대파, 식초를 넣고 볶아 비빔양념을 만든다.
10. 육수에 건표고버섯 불린 물을 넣는다.
11. 육수에 식초와 쯔유를 넣는다.
12. 마른 팬에 불린 건표고버섯과 굴소스, 간장, 맛술, 식초, 소금, 후추를 넣고 볶는다.
13. 볶은 건표고버섯에 고추기름을 넣는다.
14. 끓는 물에 짬뽕면을 삶는다.
15. 육수는 체에 밭쳐 국물만 뚝배기에 옮겨 담는다.
16. 그릇에 익힌 면을 담고 쯔유를 넣어 섞는다.
17. 면 위에 비빔양념과 건표고버섯볶음을 얹는다.
18. 레몬슬라이스를 함께 낸다.</v>
      </c>
    </row>
    <row r="717">
      <c r="A717" s="2" t="str">
        <f>recipe!C717
</f>
        <v>팟타이가 맛있돔</v>
      </c>
      <c r="B717" s="2" t="str">
        <f>IFERROR(__xludf.DUMMYFUNCTION("TRIM(
  REGEXEXTRACT(
    raw!A717,
    ""●\s*조리\s*방법([\s\S]*)""
  )
)
"),"1. 소금을 넣은 물에 파스타면을 삶는다.
2. 끓는 기름에 편마늘과 건새우를 넣고 끓여 새우기름을 낸다.
3. 팬에 새우기름을 두른 뒤, 손질한 옥돔살을 넣고 굽는다.
4. 굽던 옥돔살에 적당한 크기로 썬 표고버섯을 넣고 볶는다.
5. 달걀로 에그스크램블을 만든다.
6. 볶던 옥돔과 버섯에 에그스크램블과 대패삼겹살을 넣고 볶다가 소금과 후추로 간 한다.
7. 6에 맛술과 다진 마늘을 넣고 볶는다.
8. 굴소스와 간장, 발사믹식초, 메이플시"&amp;"럽을 섞어 소스를 만든다.
9. 삶은 파스타면을 건져 물기를 뺀다.
10. 볶던 재료에 파스타면과 소스, 통고추를 넣어 함께 볶는다.
11. 채 썬 대파 흰 부분과 잘게 썬 홍고추를 넣고 함께 볶아 옥돔팟타이를 만든다.
12. 통고추는 빼내고, 접시에 옥돔팟타이를 담아낸다.
13. 옥돔팟타이에 고춧가루를 뿌려 마무리한다.")</f>
        <v>1. 소금을 넣은 물에 파스타면을 삶는다.
2. 끓는 기름에 편마늘과 건새우를 넣고 끓여 새우기름을 낸다.
3. 팬에 새우기름을 두른 뒤, 손질한 옥돔살을 넣고 굽는다.
4. 굽던 옥돔살에 적당한 크기로 썬 표고버섯을 넣고 볶는다.
5. 달걀로 에그스크램블을 만든다.
6. 볶던 옥돔과 버섯에 에그스크램블과 대패삼겹살을 넣고 볶다가 소금과 후추로 간 한다.
7. 6에 맛술과 다진 마늘을 넣고 볶는다.
8. 굴소스와 간장, 발사믹식초, 메이플시럽을 섞어 소스를 만든다.
9. 삶은 파스타면을 건져 물기를 뺀다.
10. 볶던 재료에 파스타면과 소스, 통고추를 넣어 함께 볶는다.
11. 채 썬 대파 흰 부분과 잘게 썬 홍고추를 넣고 함께 볶아 옥돔팟타이를 만든다.
12. 통고추는 빼내고, 접시에 옥돔팟타이를 담아낸다.
13. 옥돔팟타이에 고춧가루를 뿌려 마무리한다.</v>
      </c>
    </row>
    <row r="718">
      <c r="A718" s="2" t="str">
        <f>recipe!C718
</f>
        <v>고기의 품격</v>
      </c>
      <c r="B718" s="2" t="str">
        <f>IFERROR(__xludf.DUMMYFUNCTION("TRIM(
  REGEXEXTRACT(
    raw!A718,
    ""●\s*조리\s*방법([\s\S]*)""
  )
)
"),"1. 애호박을 슬라이스 한 뒤, 기름을 두른 그릴팬에 굽는다.
2. 감자를 슬라이스 한 뒤, 냄비에 넣고 뜨거운 물을 부어 끓인다.
3. 익히던 감자에 소금을 넣는다.
4. 팬에 버터를 녹인 뒤, 밀가루를 넣고 섞어 루를 만든다.
5. 루에 우유를 넣어 베샤멜소스를 만든다.
6. 감자에 베샤멜소스를 넣고 끓여 감자수프를 만든다.
7. 핸드블렌더에 적당한 크기로 썬 표고버섯과 새송이버섯을 넣고 간다.
8. 기름을 두른 팬에 간 버섯을 볶는다."&amp;"
9. 소고기등심에 올리브오일과 소금, 후추로 간 한다.
10. 그릴팬에 밑간 한 소고기등심을 굽는다.
11. 양파를 채 썬 뒤, 기름에 튀긴다.
12. 튀긴 양파를 건져낸 뒤, 통마늘을 튀긴다.
13. 튀긴 양파채와 마늘에 발사믹식초, 후추를 넣고 섞는다.
14. 갈아서 볶은 버섯을 감자수프에 넣고 끓여 버섯감자수프를 만든다.
15. 갈아서 볶은 버섯의 나머지에 버터를 넣는다.
16. 핸드블렌더에 아몬드와 호두를 넣고 간다.
17. 버"&amp;"터를 넣은 볶은 버섯에 간 견과류를 넣는다.
18. 랩 위에 구운 애호박을 깔고, 발사믹식초에 버무린 튀긴 양파와 마늘을 올린다.
19. 19 위에 등심스테이크를 올린 뒤 홀그레인머스터드를 바르고 간 버섯볶음을 얹어 돌돌 만다.
20. 애호박으로 만 등심스테이크를 오븐에 굽는다.
21. 버섯감자수프에 파르메산치즈가루를 넣고 섞은 뒤, 그릇에 담아내고 간 견과류를 뿌린다.
22. 화이트식초와 올리브오일, 발사믹식초, 설탕, 방울토마토, 레몬즙, "&amp;"홀그레인머스터드를 섞어 드레싱을 만든다.
23. 접시에 드레싱을 담고, 발사믹식초에 버무린 튀긴 양파와 마늘을 올린다.
24. 발사믹식초와 올리브오일을 섞어 발사믹오일을 만든다.
25. 드레싱을 담은 접시에 구운 애호박으로 만 등심스테이크를 올린다.
26. 발사믹오일과 간 견과류를 뿌려 마무리한다.")</f>
        <v>1. 애호박을 슬라이스 한 뒤, 기름을 두른 그릴팬에 굽는다.
2. 감자를 슬라이스 한 뒤, 냄비에 넣고 뜨거운 물을 부어 끓인다.
3. 익히던 감자에 소금을 넣는다.
4. 팬에 버터를 녹인 뒤, 밀가루를 넣고 섞어 루를 만든다.
5. 루에 우유를 넣어 베샤멜소스를 만든다.
6. 감자에 베샤멜소스를 넣고 끓여 감자수프를 만든다.
7. 핸드블렌더에 적당한 크기로 썬 표고버섯과 새송이버섯을 넣고 간다.
8. 기름을 두른 팬에 간 버섯을 볶는다.
9. 소고기등심에 올리브오일과 소금, 후추로 간 한다.
10. 그릴팬에 밑간 한 소고기등심을 굽는다.
11. 양파를 채 썬 뒤, 기름에 튀긴다.
12. 튀긴 양파를 건져낸 뒤, 통마늘을 튀긴다.
13. 튀긴 양파채와 마늘에 발사믹식초, 후추를 넣고 섞는다.
14. 갈아서 볶은 버섯을 감자수프에 넣고 끓여 버섯감자수프를 만든다.
15. 갈아서 볶은 버섯의 나머지에 버터를 넣는다.
16. 핸드블렌더에 아몬드와 호두를 넣고 간다.
17. 버터를 넣은 볶은 버섯에 간 견과류를 넣는다.
18. 랩 위에 구운 애호박을 깔고, 발사믹식초에 버무린 튀긴 양파와 마늘을 올린다.
19. 19 위에 등심스테이크를 올린 뒤 홀그레인머스터드를 바르고 간 버섯볶음을 얹어 돌돌 만다.
20. 애호박으로 만 등심스테이크를 오븐에 굽는다.
21. 버섯감자수프에 파르메산치즈가루를 넣고 섞은 뒤, 그릇에 담아내고 간 견과류를 뿌린다.
22. 화이트식초와 올리브오일, 발사믹식초, 설탕, 방울토마토, 레몬즙, 홀그레인머스터드를 섞어 드레싱을 만든다.
23. 접시에 드레싱을 담고, 발사믹식초에 버무린 튀긴 양파와 마늘을 올린다.
24. 발사믹식초와 올리브오일을 섞어 발사믹오일을 만든다.
25. 드레싱을 담은 접시에 구운 애호박으로 만 등심스테이크를 올린다.
26. 발사믹오일과 간 견과류를 뿌려 마무리한다.</v>
      </c>
    </row>
    <row r="719">
      <c r="A719" s="2" t="str">
        <f>recipe!C719
</f>
        <v>파이팅롤</v>
      </c>
      <c r="B719" s="2" t="str">
        <f>IFERROR(__xludf.DUMMYFUNCTION("TRIM(
  REGEXEXTRACT(
    raw!A719,
    ""●\s*조리\s*방법([\s\S]*)""
  )
)
"),"1. 감자와 당근을 동그랗게 모양 낸 뒤, 끓는 물에 삶는다.
2. 표고버섯을 슬라이스 한 뒤, 기름을 두른 팬에 볶는다.
3. 볶던 표고버섯에 채 썬 양파, 편마늘, 버터, 소금, 후추를 넣고 볶는다.
4. 채끝살을 고기망치로 두드려 얇게 편다.
5. 얇게 편 채끝살에 소금과 후추로 간 한 뒤, 고추장을 바른다.
6. 5에 표고버섯볶음을 올려 돌돌 만 뒤, 이쑤시개로 고정한다.
7. 기름을 두른 팬에 채끝버섯롤을 굽는다.
8. 삶은 감자와"&amp;" 당근을 건져내 마른 팬에 굽는다.
9. 애호박을 동그랗게 모양낸 뒤, 함께 굽는다.
10. 구운 채소에 버터와 후추, 소금을 넣고 볶는다.
11. 상추를 적당한 크기로 썬 뒤, 강판에 간 총각김치와 채 썬 양파, 소금, 올리브오일을 넣고 버무려 총각김치샐러드를 만든다.
12. 총각김치샐러드에 발사믹식초를 넣는다.
13. 총각김치샐러드에 화이트식초를 넣는다.
14. 접시에 총각김치샐러드를 담는다.
15. 구운 채끝버섯롤을 전자레인지에 넣고 "&amp;"익힌다.
16. 채끝버섯롤을 적당한 크기로 썬다.
17. 마른 팬에 채끝버섯롤을 한 번 더 굽는다.
18. 접시에 구운 채소와 어린잎 채소를 담는다.
19. 채끝버섯롤을 담아낸다.")</f>
        <v>1. 감자와 당근을 동그랗게 모양 낸 뒤, 끓는 물에 삶는다.
2. 표고버섯을 슬라이스 한 뒤, 기름을 두른 팬에 볶는다.
3. 볶던 표고버섯에 채 썬 양파, 편마늘, 버터, 소금, 후추를 넣고 볶는다.
4. 채끝살을 고기망치로 두드려 얇게 편다.
5. 얇게 편 채끝살에 소금과 후추로 간 한 뒤, 고추장을 바른다.
6. 5에 표고버섯볶음을 올려 돌돌 만 뒤, 이쑤시개로 고정한다.
7. 기름을 두른 팬에 채끝버섯롤을 굽는다.
8. 삶은 감자와 당근을 건져내 마른 팬에 굽는다.
9. 애호박을 동그랗게 모양낸 뒤, 함께 굽는다.
10. 구운 채소에 버터와 후추, 소금을 넣고 볶는다.
11. 상추를 적당한 크기로 썬 뒤, 강판에 간 총각김치와 채 썬 양파, 소금, 올리브오일을 넣고 버무려 총각김치샐러드를 만든다.
12. 총각김치샐러드에 발사믹식초를 넣는다.
13. 총각김치샐러드에 화이트식초를 넣는다.
14. 접시에 총각김치샐러드를 담는다.
15. 구운 채끝버섯롤을 전자레인지에 넣고 익힌다.
16. 채끝버섯롤을 적당한 크기로 썬다.
17. 마른 팬에 채끝버섯롤을 한 번 더 굽는다.
18. 접시에 구운 채소와 어린잎 채소를 담는다.
19. 채끝버섯롤을 담아낸다.</v>
      </c>
    </row>
    <row r="720">
      <c r="A720" s="2" t="str">
        <f>recipe!C720
</f>
        <v>푸딩이 최고당</v>
      </c>
      <c r="B720" s="2" t="str">
        <f>IFERROR(__xludf.DUMMYFUNCTION("TRIM(
  REGEXEXTRACT(
    raw!A720,
    ""●\s*조리\s*방법([\s\S]*)""
  )
)
"),"1. 볼에 카카오 70% 초콜릿을 넣고 중탕한다.
2. 냄비에 설탕과 버터를 넣고 녹이다가 우유와 땅콩버터를 넣어 땅콩 캐러멜 소스를 만든다.
3. 식빵은 테두리를 잘라내고 잘게 썬다.
4. 달걀물을 만든다.
5. 달걀물에 설탕과 우유를 섞는다.
6. 초콜릿과 건무화과, 건살구를 잘게 썬다.
7. 설탕과 우유를 섞은 달걀물에 잘게 썬 식빵을 넣는다.
8. 볼에 올리브오일을 바른 뒤, 달걀물에 적신 식빵&gt;잘게 썬 초콜릿과 건과일&gt;달걀물에 적신"&amp;" 식빵을 켜켜이 담는다.
9. 8을 전자레인지에 넣고 돌린다.
10. 귤을 슬라이스 한 뒤, 껍질을 벗겨낸다.
11. 청포도를 잘게 썬다.
12. 손질한 귤과 청포도에 설탕을 뿌리고 토치로 직화해 캐러멜라이즈한다.
13. 전자레인지에서 브레드푸딩을 꺼내 랩으로 싸둔다.
14. 냄비에 두유와 우유, 칼집을 낸 청양고추를 넣고 끓인다.
15. 14에 녹인 초콜릿을 넣고 끓여 멕시코식 핫초콜릿을 만든다.
16. 잔에 멕시코식 핫초콜릿을 담는다."&amp;"
17. 카카오 70% 초콜릿을 갈아 가루를 낸다.
18. 브레드푸딩에 초콜릿가루를 묻혀 그릇에 담는다.
19. 브레드푸딩과 멕시코식 핫초콜릿 위에 캐러멜라이즈한 귤을 올린다.
20. 브레드푸딩이 담긴 그릇에 땅콩 캐러멜 소스를 담고, 캐러멜라이즈한 청포도를 곁들인다.
21. 참외를 채 썬다.
22. 채 썬 참외에 설탕을 뿌리고 토치로 직화해 캐러멜라이즈한다.
23. 브레드푸딩 위에 캐러멜라이즈한 참외를 올려 마무리한다.")</f>
        <v>1. 볼에 카카오 70% 초콜릿을 넣고 중탕한다.
2. 냄비에 설탕과 버터를 넣고 녹이다가 우유와 땅콩버터를 넣어 땅콩 캐러멜 소스를 만든다.
3. 식빵은 테두리를 잘라내고 잘게 썬다.
4. 달걀물을 만든다.
5. 달걀물에 설탕과 우유를 섞는다.
6. 초콜릿과 건무화과, 건살구를 잘게 썬다.
7. 설탕과 우유를 섞은 달걀물에 잘게 썬 식빵을 넣는다.
8. 볼에 올리브오일을 바른 뒤, 달걀물에 적신 식빵&gt;잘게 썬 초콜릿과 건과일&gt;달걀물에 적신 식빵을 켜켜이 담는다.
9. 8을 전자레인지에 넣고 돌린다.
10. 귤을 슬라이스 한 뒤, 껍질을 벗겨낸다.
11. 청포도를 잘게 썬다.
12. 손질한 귤과 청포도에 설탕을 뿌리고 토치로 직화해 캐러멜라이즈한다.
13. 전자레인지에서 브레드푸딩을 꺼내 랩으로 싸둔다.
14. 냄비에 두유와 우유, 칼집을 낸 청양고추를 넣고 끓인다.
15. 14에 녹인 초콜릿을 넣고 끓여 멕시코식 핫초콜릿을 만든다.
16. 잔에 멕시코식 핫초콜릿을 담는다.
17. 카카오 70% 초콜릿을 갈아 가루를 낸다.
18. 브레드푸딩에 초콜릿가루를 묻혀 그릇에 담는다.
19. 브레드푸딩과 멕시코식 핫초콜릿 위에 캐러멜라이즈한 귤을 올린다.
20. 브레드푸딩이 담긴 그릇에 땅콩 캐러멜 소스를 담고, 캐러멜라이즈한 청포도를 곁들인다.
21. 참외를 채 썬다.
22. 채 썬 참외에 설탕을 뿌리고 토치로 직화해 캐러멜라이즈한다.
23. 브레드푸딩 위에 캐러멜라이즈한 참외를 올려 마무리한다.</v>
      </c>
    </row>
    <row r="721">
      <c r="A721" s="2" t="str">
        <f>recipe!C721
</f>
        <v>티라미수코리아</v>
      </c>
      <c r="B721" s="2" t="str">
        <f>IFERROR(__xludf.DUMMYFUNCTION("TRIM(
  REGEXEXTRACT(
    raw!A721,
    ""●\s*조리\s*방법([\s\S]*)""
  )
)
"),"1. 절구에 카카오 70% 초콜릿을 넣고 빻는다.
2. 다른 절구에 코코넛과자를 넣고 빻는다.
3. 핸드블렌더에 빻은 코코넛과자를 넣고 곱게 간다.
4. 마른 팬에 설탕과 뜨거운 물을 넣고 끓이다가 버터, 빻은 초콜릿을 넣고 녹인다.
5. 녹인 초콜릿에 우유와 청주, 달걀노른자를 넣고 섞는다.
6. 달걀흰자로 머랭을 치다가 설탕을 넣고 계속해서 친다.
7. 녹인 초콜릿에 머랭을 섞어 초콜릿무스를 만든다.
8. 컵에 코코넛과자가루&gt;초콜릿무스&gt;"&amp;"코코넛과자가루&gt;초콜릿무스를 켜켜이 담아 초코티라미수를 만든다.
9. 초코티라미수 위에 초콜릿을 갈아 올린다.
10. 초코티라미수를 냉동실에 넣어둔다.
11. 화이트와인과 자몽청, 레몬즙, 얇게 썬 사과를 섞어 디저트와인을 만든 뒤, 잔에 담아낸다.
12. 초코티라미수와 디저트와인을 함께 낸다.")</f>
        <v>1. 절구에 카카오 70% 초콜릿을 넣고 빻는다.
2. 다른 절구에 코코넛과자를 넣고 빻는다.
3. 핸드블렌더에 빻은 코코넛과자를 넣고 곱게 간다.
4. 마른 팬에 설탕과 뜨거운 물을 넣고 끓이다가 버터, 빻은 초콜릿을 넣고 녹인다.
5. 녹인 초콜릿에 우유와 청주, 달걀노른자를 넣고 섞는다.
6. 달걀흰자로 머랭을 치다가 설탕을 넣고 계속해서 친다.
7. 녹인 초콜릿에 머랭을 섞어 초콜릿무스를 만든다.
8. 컵에 코코넛과자가루&gt;초콜릿무스&gt;코코넛과자가루&gt;초콜릿무스를 켜켜이 담아 초코티라미수를 만든다.
9. 초코티라미수 위에 초콜릿을 갈아 올린다.
10. 초코티라미수를 냉동실에 넣어둔다.
11. 화이트와인과 자몽청, 레몬즙, 얇게 썬 사과를 섞어 디저트와인을 만든 뒤, 잔에 담아낸다.
12. 초코티라미수와 디저트와인을 함께 낸다.</v>
      </c>
    </row>
    <row r="722">
      <c r="A722" s="2" t="str">
        <f>recipe!C722
</f>
        <v>나이스~튜</v>
      </c>
      <c r="B722" s="2" t="str">
        <f>IFERROR(__xludf.DUMMYFUNCTION("TRIM(
  REGEXEXTRACT(
    raw!A722,
    ""●\s*조리\s*방법([\s\S]*)""
  )
)
"),"1. 갈치를 손질한 뒤, 소금과 후추로 간 한다.
2. 손질한 갈치에 전분을 입히고 기름을 두른 팬에 굽는다.
3. 감자와 양파, 아스파라거스, 청양고추, 대파, 마늘을 잘게 썬다.
4. 냄비에 손질한 채소와 우유, 땅콩버터, 슬라이스 체더치즈를 넣고 끓여 스튜를 만든다.
5. 적당한 크기로 썬 방울토마토를 스튜에 넣고 끓인다.
6. 명란젓을 잘게 다진다.
7. 스튜에 잘게 다진 명란젓을 넣는다.
8. 금태의 살을 발라낸 뒤, 적당한 크기로"&amp;" 썬다.
9. 금태살에 전분을 묻혀 기름에 튀긴다.
10. 마른 팬에 케첩, 물, 레몬즙, 매실청, 샹라장, 채 썬 양파와 당근, 아스파라거스, 방울토마토를 넣고 끓여 탕수소스를 만든다.
11. 끓이던 스튜에 구운 갈치를 넣는다.
12. 시금치를 적당한 크기로 썰어 스튜에 넣는다.
13. 접시에 스튜를 담는다.
14. 그릇에 탕수소스를 담는다.
15. 금태튀김을 탕수소스 위에 올려 마무리한다.")</f>
        <v>1. 갈치를 손질한 뒤, 소금과 후추로 간 한다.
2. 손질한 갈치에 전분을 입히고 기름을 두른 팬에 굽는다.
3. 감자와 양파, 아스파라거스, 청양고추, 대파, 마늘을 잘게 썬다.
4. 냄비에 손질한 채소와 우유, 땅콩버터, 슬라이스 체더치즈를 넣고 끓여 스튜를 만든다.
5. 적당한 크기로 썬 방울토마토를 스튜에 넣고 끓인다.
6. 명란젓을 잘게 다진다.
7. 스튜에 잘게 다진 명란젓을 넣는다.
8. 금태의 살을 발라낸 뒤, 적당한 크기로 썬다.
9. 금태살에 전분을 묻혀 기름에 튀긴다.
10. 마른 팬에 케첩, 물, 레몬즙, 매실청, 샹라장, 채 썬 양파와 당근, 아스파라거스, 방울토마토를 넣고 끓여 탕수소스를 만든다.
11. 끓이던 스튜에 구운 갈치를 넣는다.
12. 시금치를 적당한 크기로 썰어 스튜에 넣는다.
13. 접시에 스튜를 담는다.
14. 그릇에 탕수소스를 담는다.
15. 금태튀김을 탕수소스 위에 올려 마무리한다.</v>
      </c>
    </row>
    <row r="723">
      <c r="A723" s="2" t="str">
        <f>recipe!C723
</f>
        <v>라돌체비타</v>
      </c>
      <c r="B723" s="2" t="str">
        <f>IFERROR(__xludf.DUMMYFUNCTION("TRIM(
  REGEXEXTRACT(
    raw!A723,
    ""●\s*조리\s*방법([\s\S]*)""
  )
)
"),"1. 닭을 손질해 닭가슴살만 발라낸다.
2. 핸드블렌더에 닭가슴살과 소금, 마요네즈를 넣고 간다.
3. 아스파라거스를 얇게 슬라이스한 뒤, 얼음물에 담가둔다.
4. 삶은 달걀의 노른자와 슬라이스 체더치즈를 섞는다.
5. 동그란 그릇에 랩을 덮은 뒤, 슬라이스한 아스파라거스를 촘촘히 올린다.
6. 5 위에 간 닭가슴살을 올리고 치즈를 섞은 노른자로 속을 채운다.
7. 랩을 말아 알 모양을 만든 뒤, 끓는 물에 삶는다.
8. 마른 팬에 잘게 썬"&amp;" 양파와 적당한 크기로 썬 방울토마토를 넣고 볶다가 자몽청을 넣는다.
9. 냄비에 버터, 밀가루, 된장, 카카오 100% 초콜릿을 넣고 섞어 초코된장소스를 만든다.
10. 초코된장소스에 두유와 설탕을 넣고 섞는다.
11. 믹서기에 얼음, 청포도, 속을 파낸 참외, 방울토마토를 넣고 갈아 참외가스파초를 만든다.
12. 초코된장소스를 체에 밭쳐 곱게 거른 뒤, 짜장수프를 넣고 섞는다.
13. 접시에 초코된장소스와 자몽토마토소스를 담는다.
14. "&amp;"슬라이스한 참외와 아스파라거스에 식초, 자몽청, 소금을 넣는다.
15. 14에 잘게 썬 청포도와 두릅을 넣어 샐러드를 만든다.
16. 소스가 담긴 접시에 참외두릅샐러드를 올린다.
17. 삶은 닭고기알의 랩을 벗겨낸 뒤, 참외두릅샐러드 위에 얹는다.
18. 참외가스파초를 잔에 담는다.
19. 블랙올리브를 곁들여 마무리한다.")</f>
        <v>1. 닭을 손질해 닭가슴살만 발라낸다.
2. 핸드블렌더에 닭가슴살과 소금, 마요네즈를 넣고 간다.
3. 아스파라거스를 얇게 슬라이스한 뒤, 얼음물에 담가둔다.
4. 삶은 달걀의 노른자와 슬라이스 체더치즈를 섞는다.
5. 동그란 그릇에 랩을 덮은 뒤, 슬라이스한 아스파라거스를 촘촘히 올린다.
6. 5 위에 간 닭가슴살을 올리고 치즈를 섞은 노른자로 속을 채운다.
7. 랩을 말아 알 모양을 만든 뒤, 끓는 물에 삶는다.
8. 마른 팬에 잘게 썬 양파와 적당한 크기로 썬 방울토마토를 넣고 볶다가 자몽청을 넣는다.
9. 냄비에 버터, 밀가루, 된장, 카카오 100% 초콜릿을 넣고 섞어 초코된장소스를 만든다.
10. 초코된장소스에 두유와 설탕을 넣고 섞는다.
11. 믹서기에 얼음, 청포도, 속을 파낸 참외, 방울토마토를 넣고 갈아 참외가스파초를 만든다.
12. 초코된장소스를 체에 밭쳐 곱게 거른 뒤, 짜장수프를 넣고 섞는다.
13. 접시에 초코된장소스와 자몽토마토소스를 담는다.
14. 슬라이스한 참외와 아스파라거스에 식초, 자몽청, 소금을 넣는다.
15. 14에 잘게 썬 청포도와 두릅을 넣어 샐러드를 만든다.
16. 소스가 담긴 접시에 참외두릅샐러드를 올린다.
17. 삶은 닭고기알의 랩을 벗겨낸 뒤, 참외두릅샐러드 위에 얹는다.
18. 참외가스파초를 잔에 담는다.
19. 블랙올리브를 곁들여 마무리한다.</v>
      </c>
    </row>
    <row r="724">
      <c r="A724" s="2" t="str">
        <f>recipe!C724
</f>
        <v>술 당길 만두 하지</v>
      </c>
      <c r="B724" s="2" t="str">
        <f>IFERROR(__xludf.DUMMYFUNCTION("TRIM(
  REGEXEXTRACT(
    raw!A724,
    ""●\s*조리\s*방법([\s\S]*)""
  )
)
"),"1. 두부를 적당한 크기로 썬 뒤, 전자레인지에 넣고 돌린다.
2. 양파를 잘게 다진다.
3. 칼집을 낸 대파와 당근을 냄비에 넣고, 기름을 두른 뒤 새우를 넣는다.
4. 3에 으깬 마늘과 맛술, 물을 넣고 끓여 새우육수를 낸다.
5. 냄비에 채 썬 양파를 볶다가 버터와 밀가루를 넣어 루를 만든다.
6. 루에 우유를 넣어 베샤멜소스를 만든다.
7. 삼겹살을 적당한 크기로 썬 뒤, 핸드블렌더에 넣고 간다.
8. 다른 핸드블렌더에 소고기안심과 "&amp;"삼겹살을 함께 넣고 간다.
9. 소고기와 함께 간 삼겹살을 다진 양파와 함께 섞는다.
10. 전자레인지에서 익힌 두부를 삼겹살소와 양파를 섞은 소고기삼겹살소에 각각 담는다.
11. 부추를 새우육수에 데친다.
12. 데친 부추를 잘게 썬다.
13. 삼겹살소와 소고기삼겹살소에 데친 부추와 다진 마늘을 각각 넣는다.
14. 삼겹살소에 쌈장과 후추를 넣고 치댄다.
15. 만두피에 삼겹살소를 넣어 만두를 빚는다.
16. 기름을 두른 팬에 삼겹살만두"&amp;"를 굽다가, 뚜껑을 덮어 속까지 익힌다.
17. 끓이던 베샤멜소스에 데친 시금치를 잘라 넣는다.
18. 새우는 껍데기를 벗겨내고 잘게 다진 뒤, 소고기삼겹살소에 넣고 굴소스로 양념한다.
19. 청양고추를 잘게 썬다.
20. 청양고추에 칼집을 낸 뒤, 새우육수에 넣는다.
21. 잘게 썬 청양고추를 새우고기소에 넣고 섞는다.
22. 만두피에 새우고기소를 넣고 빚은 뒤, 새우육수에 넣고 삶는다.
23. 베샤멜소스에 새우육수를 넣는다.
24. 베"&amp;"샤멜소스에 소금으로 간 한다.
25. 베샤멜소스에 파르메산치즈가루를 넣는다.
26. 새우육수에서 새우를 건져내 껍데기를 벗겨낸다.
27. 간장, 식초, 연겨자를 섞어 양념간장을 만든 뒤, 종지에 담는다.
28. 새우육수에서 삶은 새우만두를 꺼내 그릇에 담고, 베샤멜소스와 모차렐라치즈를 올린다.
29. 삼겹살군만두를 양념간장과 함께 그릇에 담아낸다.
30. 토치로 모차렐라치즈를 직화해 새우만두 그라탕을 완성한다.")</f>
        <v>1. 두부를 적당한 크기로 썬 뒤, 전자레인지에 넣고 돌린다.
2. 양파를 잘게 다진다.
3. 칼집을 낸 대파와 당근을 냄비에 넣고, 기름을 두른 뒤 새우를 넣는다.
4. 3에 으깬 마늘과 맛술, 물을 넣고 끓여 새우육수를 낸다.
5. 냄비에 채 썬 양파를 볶다가 버터와 밀가루를 넣어 루를 만든다.
6. 루에 우유를 넣어 베샤멜소스를 만든다.
7. 삼겹살을 적당한 크기로 썬 뒤, 핸드블렌더에 넣고 간다.
8. 다른 핸드블렌더에 소고기안심과 삼겹살을 함께 넣고 간다.
9. 소고기와 함께 간 삼겹살을 다진 양파와 함께 섞는다.
10. 전자레인지에서 익힌 두부를 삼겹살소와 양파를 섞은 소고기삼겹살소에 각각 담는다.
11. 부추를 새우육수에 데친다.
12. 데친 부추를 잘게 썬다.
13. 삼겹살소와 소고기삼겹살소에 데친 부추와 다진 마늘을 각각 넣는다.
14. 삼겹살소에 쌈장과 후추를 넣고 치댄다.
15. 만두피에 삼겹살소를 넣어 만두를 빚는다.
16. 기름을 두른 팬에 삼겹살만두를 굽다가, 뚜껑을 덮어 속까지 익힌다.
17. 끓이던 베샤멜소스에 데친 시금치를 잘라 넣는다.
18. 새우는 껍데기를 벗겨내고 잘게 다진 뒤, 소고기삼겹살소에 넣고 굴소스로 양념한다.
19. 청양고추를 잘게 썬다.
20. 청양고추에 칼집을 낸 뒤, 새우육수에 넣는다.
21. 잘게 썬 청양고추를 새우고기소에 넣고 섞는다.
22. 만두피에 새우고기소를 넣고 빚은 뒤, 새우육수에 넣고 삶는다.
23. 베샤멜소스에 새우육수를 넣는다.
24. 베샤멜소스에 소금으로 간 한다.
25. 베샤멜소스에 파르메산치즈가루를 넣는다.
26. 새우육수에서 새우를 건져내 껍데기를 벗겨낸다.
27. 간장, 식초, 연겨자를 섞어 양념간장을 만든 뒤, 종지에 담는다.
28. 새우육수에서 삶은 새우만두를 꺼내 그릇에 담고, 베샤멜소스와 모차렐라치즈를 올린다.
29. 삼겹살군만두를 양념간장과 함께 그릇에 담아낸다.
30. 토치로 모차렐라치즈를 직화해 새우만두 그라탕을 완성한다.</v>
      </c>
    </row>
    <row r="725">
      <c r="A725" s="2" t="str">
        <f>recipe!C725
</f>
        <v>불금 가즈아!</v>
      </c>
      <c r="B725" s="2" t="str">
        <f>IFERROR(__xludf.DUMMYFUNCTION("TRIM(
  REGEXEXTRACT(
    raw!A725,
    ""●\s*조리\s*방법([\s\S]*)""
  )
)
"),"1. 양파를 채 썬다.
2. 마늘을 편으로 썬다.
3. 팬에 버터를 두른 뒤, 채 썬 양파와 편마늘을 넣고 볶는다.
4. 소갈빗살에 소금과 후추로 간한 뒤, 기름을 두른 그릴팬에 굽는다.
5. 볶던 양파와 마늘에 밀가루를 넣어 루를 만든다.
6. 루에 우유를 조금씩 넣어가며 익혀 베샤멜소스를 만든다.
7. 데친 시금치를 잘게 다진다.
8. 잘게 썬 시금치를 베샤멜소스에 넣고, 우유를 부어가며 익히다가 소금으로 간한다.
9. 잘게 썬 청양고"&amp;"추와 우유, 파르메산치즈가루를 더한다.
10. 구운 소갈빗살을 오븐용 그릇에 담는다.
11. 소갈빗살 위에 시금치크림볶음을 올린다.
12. 11에 달걀을 올린 뒤 오븐에 넣어 익힌다.
13. 부추를 잘게 썬다.
14. 요거트드레싱, 레몬즙, 잘게 썬 부추, 다진 마늘을 섞어 요거트소스를 만든다.
15. 오븐에서 소갈빗살과 함께 익힌 시금치크림볶음을 꺼낸 뒤 요거트소스를 올리고, 후추를 뿌려 마무리한다.")</f>
        <v>1. 양파를 채 썬다.
2. 마늘을 편으로 썬다.
3. 팬에 버터를 두른 뒤, 채 썬 양파와 편마늘을 넣고 볶는다.
4. 소갈빗살에 소금과 후추로 간한 뒤, 기름을 두른 그릴팬에 굽는다.
5. 볶던 양파와 마늘에 밀가루를 넣어 루를 만든다.
6. 루에 우유를 조금씩 넣어가며 익혀 베샤멜소스를 만든다.
7. 데친 시금치를 잘게 다진다.
8. 잘게 썬 시금치를 베샤멜소스에 넣고, 우유를 부어가며 익히다가 소금으로 간한다.
9. 잘게 썬 청양고추와 우유, 파르메산치즈가루를 더한다.
10. 구운 소갈빗살을 오븐용 그릇에 담는다.
11. 소갈빗살 위에 시금치크림볶음을 올린다.
12. 11에 달걀을 올린 뒤 오븐에 넣어 익힌다.
13. 부추를 잘게 썬다.
14. 요거트드레싱, 레몬즙, 잘게 썬 부추, 다진 마늘을 섞어 요거트소스를 만든다.
15. 오븐에서 소갈빗살과 함께 익힌 시금치크림볶음을 꺼낸 뒤 요거트소스를 올리고, 후추를 뿌려 마무리한다.</v>
      </c>
    </row>
    <row r="726">
      <c r="A726" s="2" t="str">
        <f>recipe!C726
</f>
        <v>냉쌈온쌈</v>
      </c>
      <c r="B726" s="2" t="str">
        <f>IFERROR(__xludf.DUMMYFUNCTION("TRIM(
  REGEXEXTRACT(
    raw!A726,
    ""●\s*조리\s*방법([\s\S]*)""
  )
)
"),"1. 양파를 채 썬다.
2. 채 썬 양파를 얼음물에 담가 아린 맛을 뺀다.
3. 고춧가루, 멸치액젓, 간장, 설탕, 식초, 참기름, 다진 마늘, 후추를 섞어 양념장을 만든다.
4. 양념장에 물엿을 넣는다.
5. 소고기안심을 적당한 크기로 썬다.
6. 소고기안심에 참기름, 간장, 설탕을 넣고 버무린다.
7. 골뱅이의 표면을 거칠게 만든다.
8. 밀가루와 전분, 물을 섞어 만든 반죽에 다진 마늘과 소금을 넣어 간한다.
9. 골뱅이에 반죽을 묻"&amp;"혀 기름에 튀긴다.
10. 튀긴 골뱅이를 건져 기름기를 뺀다.
11. 달래를 적당한 크기로 썬다.
12. 달래와 아린 맛을 뺀 양파에 양념장을 섞어 달래양념장을 만든다.
13. 접시에 양념한 소고기육회를 담고 달걀노른자를 얹는다.
14. 접시에 골뱅이튀김을 담는다.
15. 밥에 소금과 참기름으로 간한 뒤 그릇에 담는다.
16. 밥과 육회에 깨를 뿌린다.
17. 쌈채소를 곁들인다.")</f>
        <v>1. 양파를 채 썬다.
2. 채 썬 양파를 얼음물에 담가 아린 맛을 뺀다.
3. 고춧가루, 멸치액젓, 간장, 설탕, 식초, 참기름, 다진 마늘, 후추를 섞어 양념장을 만든다.
4. 양념장에 물엿을 넣는다.
5. 소고기안심을 적당한 크기로 썬다.
6. 소고기안심에 참기름, 간장, 설탕을 넣고 버무린다.
7. 골뱅이의 표면을 거칠게 만든다.
8. 밀가루와 전분, 물을 섞어 만든 반죽에 다진 마늘과 소금을 넣어 간한다.
9. 골뱅이에 반죽을 묻혀 기름에 튀긴다.
10. 튀긴 골뱅이를 건져 기름기를 뺀다.
11. 달래를 적당한 크기로 썬다.
12. 달래와 아린 맛을 뺀 양파에 양념장을 섞어 달래양념장을 만든다.
13. 접시에 양념한 소고기육회를 담고 달걀노른자를 얹는다.
14. 접시에 골뱅이튀김을 담는다.
15. 밥에 소금과 참기름으로 간한 뒤 그릇에 담는다.
16. 밥과 육회에 깨를 뿌린다.
17. 쌈채소를 곁들인다.</v>
      </c>
    </row>
    <row r="727">
      <c r="A727" s="2" t="str">
        <f>recipe!C727
</f>
        <v>오윤기 쌈밥</v>
      </c>
      <c r="B727" s="2" t="str">
        <f>IFERROR(__xludf.DUMMYFUNCTION("TRIM(
  REGEXEXTRACT(
    raw!A727,
    ""●\s*조리\s*방법([\s\S]*)""
  )
)
"),"1. 전자레인지에 즉석밥을 넣고 돌린다.
2. 인스턴트 사골곰탕을 끓인다.
3. 두부, 부추, 맛타리버섯을 적당한 크기로 썰어 사골곰탕에 넣고 끓인다.
4. 오이를 얇게 슬라이스 한 뒤, 소금에 절인다.
5. 두부를 으깬다.
6. 으깬 두부에 소고기고추장볶음을 올리고 동그랗게 뭉친 뒤, 전분을 묻혀 기름에 튀긴다.
7. 밥에 으깬 명란, 마요네즈, 파르메산치즈가루를 섞는다.
8. 7을 동그랗게 뭉친 뒤, 전분을 묻힌다.
9. 전분을 묻힌 "&amp;"명란밥을 채 썬 감자로 싼 뒤, 기름에 튀긴다.
10. 골뱅이를 적당한 크기로 썬다.
11. 마른 팬에 적당한 크기로 썬 골뱅이와 된장을 넣고 볶는다.
12. 소금에 절인 오이를 물에 헹군 뒤, 물기를 짠다.
13. 잘게 다진 양파를 팬에 볶는다.
14. 볶던 양파에 밥과 춘장을 넣고 볶는다.
15. 접시에 적겨자잎과 알배추잎을 깔고, 그 위에 춘장쌈밥과 감자명란쌈밥을 올린다.
16. 밥에 된장에 볶은 골뱅이를 넣고 동그랗게 뭉친 뒤, 절인"&amp;" 오이로 감싼다.
17. 소고기안심을 고기망치로 두드려 얇게 펴고, 소금으로 간 한다.
18. 육포를 믹서기에 갈아 육포보푸라기를 만든다.
19. 밥에 소고기고추장볶음을 넣고 동그랗게 뭉친 뒤, 얇게 편 소고기로 감싼다.
20. 소고기쌈밥을 토치로 직화한 뒤 접시에 담고, 육포보푸라기를 올린다.
21. 잘게 썬 부추와 꽈리고추에 물엿과 깨를 넣고 버무린다.
22. 두부쌈 위에 양념한 부추, 파, 꽈리고추를 올린다.
23. 사골된장국을 그릇에"&amp;" 담아낸다.")</f>
        <v>1. 전자레인지에 즉석밥을 넣고 돌린다.
2. 인스턴트 사골곰탕을 끓인다.
3. 두부, 부추, 맛타리버섯을 적당한 크기로 썰어 사골곰탕에 넣고 끓인다.
4. 오이를 얇게 슬라이스 한 뒤, 소금에 절인다.
5. 두부를 으깬다.
6. 으깬 두부에 소고기고추장볶음을 올리고 동그랗게 뭉친 뒤, 전분을 묻혀 기름에 튀긴다.
7. 밥에 으깬 명란, 마요네즈, 파르메산치즈가루를 섞는다.
8. 7을 동그랗게 뭉친 뒤, 전분을 묻힌다.
9. 전분을 묻힌 명란밥을 채 썬 감자로 싼 뒤, 기름에 튀긴다.
10. 골뱅이를 적당한 크기로 썬다.
11. 마른 팬에 적당한 크기로 썬 골뱅이와 된장을 넣고 볶는다.
12. 소금에 절인 오이를 물에 헹군 뒤, 물기를 짠다.
13. 잘게 다진 양파를 팬에 볶는다.
14. 볶던 양파에 밥과 춘장을 넣고 볶는다.
15. 접시에 적겨자잎과 알배추잎을 깔고, 그 위에 춘장쌈밥과 감자명란쌈밥을 올린다.
16. 밥에 된장에 볶은 골뱅이를 넣고 동그랗게 뭉친 뒤, 절인 오이로 감싼다.
17. 소고기안심을 고기망치로 두드려 얇게 펴고, 소금으로 간 한다.
18. 육포를 믹서기에 갈아 육포보푸라기를 만든다.
19. 밥에 소고기고추장볶음을 넣고 동그랗게 뭉친 뒤, 얇게 편 소고기로 감싼다.
20. 소고기쌈밥을 토치로 직화한 뒤 접시에 담고, 육포보푸라기를 올린다.
21. 잘게 썬 부추와 꽈리고추에 물엿과 깨를 넣고 버무린다.
22. 두부쌈 위에 양념한 부추, 파, 꽈리고추를 올린다.
23. 사골된장국을 그릇에 담아낸다.</v>
      </c>
    </row>
    <row r="728">
      <c r="A728" s="2" t="str">
        <f>recipe!C728
</f>
        <v>복칼로리 피자</v>
      </c>
      <c r="B728" s="2" t="str">
        <f>IFERROR(__xludf.DUMMYFUNCTION("TRIM(
  REGEXEXTRACT(
    raw!A728,
    ""●\s*조리\s*방법([\s\S]*)""
  )
)
"),"1. 밀가루에 올리브오일, 뜨거운 물, 소금을 넣고 익반죽 한다.
2. 비닐을 넓게 펼친 뒤 밀가루, 소금을 뿌려둔다.
3. 닭가슴살을 얇게 포 뜬 뒤, 밀가루와 소금을 묻힌다.
4. 닭가슴살을 비닐로 덮은 뒤 밀대로 밀어 납작하게 편다.
5. 반죽을 넓게 펴 도우를 만든다.
6. 기름을 두른 팬에 도우를 굽는다.
7. 밀가루를 묻힌 닭가슴살을 기름을 두른 팬에 굽는다.
8. 적당한 크기로 썬 돼지고기 목살에 다진 마늘, 대파, 양파를 썰어"&amp;" 넣는다.
9. 7에 설탕, 맛술, 간장을 넣고 양념한 뒤, 팬에 볶다가 후추를 넣는다.
10. 팬에 버터, 다진 양파를 넣고 볶다가 인스턴트 양송이 수프를 넣는다.
11. 7에 브리치즈, 스트링치즈, 밀가루를 넣어 볶아 크림소스를 만든다.
12. 구운 도우를 그릇에 담는다.
13. 도우 위에 케첩을 뿌린다.
14. 도우 위에 구운 닭가슴살과 돼지목살볶음을 올린다.
15. 돼지목살 위에 크림소스를 올린 뒤 잘게 찢은 게맛살을 얹는다.
16"&amp;". 피자 위에 브리치즈, 스트링치즈를 올린다.
17. 피자를 오븐에 넣어 치즈를 녹인다.
18. 샐러드 채소, 딸기, 블루베리를 접시에 담는다.
19. 올리브오일, 메이플시럽, 레몬즙을 섞어 드레싱을 만든 뒤 샐러드에 뿌린다.
20. 오븐에서 꺼낸 피자에 아보카도를 올린다.
21. 아보카도를 올린 피자를 토치로 직화해 마무리한다.")</f>
        <v>1. 밀가루에 올리브오일, 뜨거운 물, 소금을 넣고 익반죽 한다.
2. 비닐을 넓게 펼친 뒤 밀가루, 소금을 뿌려둔다.
3. 닭가슴살을 얇게 포 뜬 뒤, 밀가루와 소금을 묻힌다.
4. 닭가슴살을 비닐로 덮은 뒤 밀대로 밀어 납작하게 편다.
5. 반죽을 넓게 펴 도우를 만든다.
6. 기름을 두른 팬에 도우를 굽는다.
7. 밀가루를 묻힌 닭가슴살을 기름을 두른 팬에 굽는다.
8. 적당한 크기로 썬 돼지고기 목살에 다진 마늘, 대파, 양파를 썰어 넣는다.
9. 7에 설탕, 맛술, 간장을 넣고 양념한 뒤, 팬에 볶다가 후추를 넣는다.
10. 팬에 버터, 다진 양파를 넣고 볶다가 인스턴트 양송이 수프를 넣는다.
11. 7에 브리치즈, 스트링치즈, 밀가루를 넣어 볶아 크림소스를 만든다.
12. 구운 도우를 그릇에 담는다.
13. 도우 위에 케첩을 뿌린다.
14. 도우 위에 구운 닭가슴살과 돼지목살볶음을 올린다.
15. 돼지목살 위에 크림소스를 올린 뒤 잘게 찢은 게맛살을 얹는다.
16. 피자 위에 브리치즈, 스트링치즈를 올린다.
17. 피자를 오븐에 넣어 치즈를 녹인다.
18. 샐러드 채소, 딸기, 블루베리를 접시에 담는다.
19. 올리브오일, 메이플시럽, 레몬즙을 섞어 드레싱을 만든 뒤 샐러드에 뿌린다.
20. 오븐에서 꺼낸 피자에 아보카도를 올린다.
21. 아보카도를 올린 피자를 토치로 직화해 마무리한다.</v>
      </c>
    </row>
    <row r="729">
      <c r="A729" s="2" t="str">
        <f>recipe!C729
</f>
        <v>도리아랑</v>
      </c>
      <c r="B729" s="2" t="str">
        <f>IFERROR(__xludf.DUMMYFUNCTION("TRIM(
  REGEXEXTRACT(
    raw!A729,
    ""●\s*조리\s*방법([\s\S]*)""
  )
)
"),"1. 달걀노른자에 밀가루, 설탕, 바나나우유를 섞어 커스터드크림을 만든다.
2. 커스터드크림을 전자레인지에 넣고 돌린다.
3. 기름을 두른 팬에 달걀을 넣고 에그 스크램블을 만들어 따로 담아놓는다.
4. 대파, 양파를 잘게 다져 팬에 볶는다.
5. 돼지목살을 적당한 크기로 썬다.
6. 재료를 볶던 팬에 돼지목살, 에그 스크램블, 밥, 소금, 버터를 넣는다.
7. 볼에 달걀노른자와 생초콜릿, 밀가루를 넣고 섞는다.
8. 달걀흰자를 섞어 거품을"&amp;" 낸 뒤 달걀과 밀가루를 섞은 초콜릿을 섞어 초콜릿 반죽을 만든다.
9. 초콜릿 반죽에 식용유를 넣은 뒤 컵에 담는다.
10. 전자레인지에 돌린 커스터드크림을 얼음물에 올려 차게 식힌다.
11. 초콜릿반죽을 전자레인지에 넣고 돌린다.
12. 커스터드크림에 꿀을 넣고 섞는다.
13. 전자레인지에 돌린 초콜릿 케이크를 꺼낸다.
14. 초콜릿 케이크를 적당한 크기로 나눈다.
15. 냄비에 밀가루, 버터를 넣고 볶아 루를 만든다.
16. 루에 양"&amp;"송이수프, 우유, 게맛살을 넣고 끓여 크림소스를 만든다.
17. 딸기를 적당한 크기로 썬다.
18. 유리컵에 커스터드크림&gt;딸기&gt;초콜릿 케이크&gt;블루베리 순으로 층층이 쌓는다.
19. 커스터드크림에 살구잼을 넣어 초콜릿 케이크 위에 올린다.
20. 믹서기에 설탕을 넣고 갈아 슈가파우더를 만든 뒤 초콜릿 컵케이크 위에 뿌린다.
21. 무쇠팬에 크림소스를 깔고 볶음밥&gt;크림소스&gt;잘게 찢은 스트링치즈를 올린다.
22. 무쇠팬 위에 다른 무쇠팬을 달궈 올"&amp;"린 뒤 토치로 가열해 치즈를 녹인다.")</f>
        <v>1. 달걀노른자에 밀가루, 설탕, 바나나우유를 섞어 커스터드크림을 만든다.
2. 커스터드크림을 전자레인지에 넣고 돌린다.
3. 기름을 두른 팬에 달걀을 넣고 에그 스크램블을 만들어 따로 담아놓는다.
4. 대파, 양파를 잘게 다져 팬에 볶는다.
5. 돼지목살을 적당한 크기로 썬다.
6. 재료를 볶던 팬에 돼지목살, 에그 스크램블, 밥, 소금, 버터를 넣는다.
7. 볼에 달걀노른자와 생초콜릿, 밀가루를 넣고 섞는다.
8. 달걀흰자를 섞어 거품을 낸 뒤 달걀과 밀가루를 섞은 초콜릿을 섞어 초콜릿 반죽을 만든다.
9. 초콜릿 반죽에 식용유를 넣은 뒤 컵에 담는다.
10. 전자레인지에 돌린 커스터드크림을 얼음물에 올려 차게 식힌다.
11. 초콜릿반죽을 전자레인지에 넣고 돌린다.
12. 커스터드크림에 꿀을 넣고 섞는다.
13. 전자레인지에 돌린 초콜릿 케이크를 꺼낸다.
14. 초콜릿 케이크를 적당한 크기로 나눈다.
15. 냄비에 밀가루, 버터를 넣고 볶아 루를 만든다.
16. 루에 양송이수프, 우유, 게맛살을 넣고 끓여 크림소스를 만든다.
17. 딸기를 적당한 크기로 썬다.
18. 유리컵에 커스터드크림&gt;딸기&gt;초콜릿 케이크&gt;블루베리 순으로 층층이 쌓는다.
19. 커스터드크림에 살구잼을 넣어 초콜릿 케이크 위에 올린다.
20. 믹서기에 설탕을 넣고 갈아 슈가파우더를 만든 뒤 초콜릿 컵케이크 위에 뿌린다.
21. 무쇠팬에 크림소스를 깔고 볶음밥&gt;크림소스&gt;잘게 찢은 스트링치즈를 올린다.
22. 무쇠팬 위에 다른 무쇠팬을 달궈 올린 뒤 토치로 가열해 치즈를 녹인다.</v>
      </c>
    </row>
    <row r="730">
      <c r="A730" s="2" t="str">
        <f>recipe!C730
</f>
        <v>전주행</v>
      </c>
      <c r="B730" s="2" t="str">
        <f>IFERROR(__xludf.DUMMYFUNCTION("TRIM(
  REGEXEXTRACT(
    raw!A730,
    ""●\s*조리\s*방법([\s\S]*)""
  )
)
"),"1. 돼지목살을 적당한 크기로 썬다.
2. 기름을 두른 팬에 목살과 설탕을 넣고 볶는다.
3. 대파, 양파, 홍고추를 팬에 넣고 함께 볶는다.
4. 3에 고춧가루를 넣는다.
5. 볶던 재료에 고추장, 간장, 후추, 참기름, 다진 마늘, 맛술, 물엿을 넣는다.
6. 기름을 두른 냄비에 돼지목살, 된장, 설탕, 양파를 넣는다.
7. 6에 물을 부은 뒤 채 썬 홍고추, 고춧가루, 간장을 넣어 끓인다.
8. 볼에 달걀을 넣고 부드럽게 풀어준다.
"&amp;"9. 달걀물에 대파를 잘게 썰어 넣는다.
10. 기름을 두른 팬에 달걀물을 부어 굽는다.
11. 된장찌개에 파를 썰어 넣는다.
12. 달걀을 말아준 뒤, 달걀물을 더 부어 익힌다.
13. 전자레인지에 즉석밥을 넣고 돌린다.
14. 달걀을 한 번 더 말아준다.
15. 달걀말이를 썰어 접시에 담는다.
16. 종지에 케첩을 따로 낸다.
17. 제육볶음을 접시에 담는다.
18. 된장찌개를 양은냄비에 담은 뒤 연두부를 썰어 넣는다.
19. 즉석"&amp;"밥을 그릇에 따로 담아낸다.")</f>
        <v>1. 돼지목살을 적당한 크기로 썬다.
2. 기름을 두른 팬에 목살과 설탕을 넣고 볶는다.
3. 대파, 양파, 홍고추를 팬에 넣고 함께 볶는다.
4. 3에 고춧가루를 넣는다.
5. 볶던 재료에 고추장, 간장, 후추, 참기름, 다진 마늘, 맛술, 물엿을 넣는다.
6. 기름을 두른 냄비에 돼지목살, 된장, 설탕, 양파를 넣는다.
7. 6에 물을 부은 뒤 채 썬 홍고추, 고춧가루, 간장을 넣어 끓인다.
8. 볼에 달걀을 넣고 부드럽게 풀어준다.
9. 달걀물에 대파를 잘게 썰어 넣는다.
10. 기름을 두른 팬에 달걀물을 부어 굽는다.
11. 된장찌개에 파를 썰어 넣는다.
12. 달걀을 말아준 뒤, 달걀물을 더 부어 익힌다.
13. 전자레인지에 즉석밥을 넣고 돌린다.
14. 달걀을 한 번 더 말아준다.
15. 달걀말이를 썰어 접시에 담는다.
16. 종지에 케첩을 따로 낸다.
17. 제육볶음을 접시에 담는다.
18. 된장찌개를 양은냄비에 담은 뒤 연두부를 썰어 넣는다.
19. 즉석밥을 그릇에 따로 담아낸다.</v>
      </c>
    </row>
    <row r="731">
      <c r="A731" s="2" t="str">
        <f>recipe!C731
</f>
        <v>집밥 정선생</v>
      </c>
      <c r="B731" s="2" t="str">
        <f>IFERROR(__xludf.DUMMYFUNCTION("TRIM(
  REGEXEXTRACT(
    raw!A731,
    ""●\s*조리\s*방법([\s\S]*)""
  )
)
"),"1. 뚝배기에 불린 쌀, 물을 넣고 밥을 짓는다.
2. 돼지목살을 고기망치로 두드린 뒤 적당한 크기로 썬다.
3. 고추장, 고춧가루, 간장, 물엿, 설탕을 넣고 섞는다.
4. 4에 다진 마늘, 맛술을 넣은 뒤 돼지목살을 넣어 재워둔다.
5. 양파, 대파를 썰어 기름을 두른 팬에 볶는다.
6. 채소를 볶던 팬에 제육볶음양념에 재운 목살을 넣고 볶는다.
7. 석쇠에 대파를 올린 뒤 제육볶음을 올려 굽는다.
8. 석쇠에 구운 제육볶음을 팬에 넣고"&amp;" 한 번 더 볶는다.
9. 냄비에 물, 황태국밥 수프를 넣고 끓여 황태육수를 만든다.
10. 달걀물에 설탕, 소금, 잘게 찢은 게맛살을 넣고 섞는다.
11. 달걀물에 황태육수를 넣고, 잘게 썬 대파를 넣는다.
12. 뚝배기에 달걀물을 넣고 익힌다.
13. 뚝배기에 뚜껑을 덮어 익힌다.
14. 볼에 게맛살, 시리얼, 블루베리, 마요네즈, 샐러드 채소를 넣고 버무려 게살샐러드를 만든다.
15. 제육볶음을 접시에 담고, 잘게 썬 홍고추, 참기름,"&amp;" 깨를 뿌린다.
16. 달걀찜에 잘게 썬 대파, 홍고추, 깨, 참기름을 뿌려 완성한다.")</f>
        <v>1. 뚝배기에 불린 쌀, 물을 넣고 밥을 짓는다.
2. 돼지목살을 고기망치로 두드린 뒤 적당한 크기로 썬다.
3. 고추장, 고춧가루, 간장, 물엿, 설탕을 넣고 섞는다.
4. 4에 다진 마늘, 맛술을 넣은 뒤 돼지목살을 넣어 재워둔다.
5. 양파, 대파를 썰어 기름을 두른 팬에 볶는다.
6. 채소를 볶던 팬에 제육볶음양념에 재운 목살을 넣고 볶는다.
7. 석쇠에 대파를 올린 뒤 제육볶음을 올려 굽는다.
8. 석쇠에 구운 제육볶음을 팬에 넣고 한 번 더 볶는다.
9. 냄비에 물, 황태국밥 수프를 넣고 끓여 황태육수를 만든다.
10. 달걀물에 설탕, 소금, 잘게 찢은 게맛살을 넣고 섞는다.
11. 달걀물에 황태육수를 넣고, 잘게 썬 대파를 넣는다.
12. 뚝배기에 달걀물을 넣고 익힌다.
13. 뚝배기에 뚜껑을 덮어 익힌다.
14. 볼에 게맛살, 시리얼, 블루베리, 마요네즈, 샐러드 채소를 넣고 버무려 게살샐러드를 만든다.
15. 제육볶음을 접시에 담고, 잘게 썬 홍고추, 참기름, 깨를 뿌린다.
16. 달걀찜에 잘게 썬 대파, 홍고추, 깨, 참기름을 뿌려 완성한다.</v>
      </c>
    </row>
    <row r="732">
      <c r="A732" s="2" t="str">
        <f>recipe!C732
</f>
        <v>이츠 대파타임</v>
      </c>
      <c r="B732" s="2" t="str">
        <f>IFERROR(__xludf.DUMMYFUNCTION("TRIM(
  REGEXEXTRACT(
    raw!A732,
    ""●\s*조리\s*방법([\s\S]*)""
  )
)
"),"1. 핸드블렌더에 밀가루, 달걀을 넣고 갈아 면반죽을 만든다.
2. 그릴 팬에 청양고추를 넣고 올리브오일을 뿌려 굽는다.
3. 소고기등심을 먹기 좋은 크기로 잘라, 전분을 묻힌다.
4. 기름을 두른 팬에 전분을 묻힌 소고기등심을 굽는다.
5. 마늘, 양파, 대파를 썬 뒤, 기름을 두른 팬에 볶는다.
6. 볶던 채소에 소금, 후추로 간한다.
7. 적당한 크기로 썬 대파를 끓는 기름에 넣어 파기름을 낸다.
8. 볶던 채소에 파기름을 넣고, 파기"&amp;"름을 낸 대파는 건져낸다.
9. 파기름에 고춧가루를 넣어 고추기름을 낸다.
10. 면반죽을 밀대로 민 뒤, 적당한 크기로 썰어 면을 뽑는다.
11. 볶던 채소에 구운 소고기등심을 넣고, 간장, 맛술, 설탕, 고춧가루, 파기름을 냈던 대파를 넣고 볶는다.
12. 소금을 넣은 물에 면을 넣고 삶는다.
13. 삶은 면을 볶던 재료와 함께 볶아 볶음면을 만든다.
14. 구운 청양고추를 적당한 크기로 썬 뒤, 올리브오일과 후추, 핫소스, 레몬즙을 넣고"&amp;" 절인다.
15. 대파를 채 썬다.
16. 접시에 볶음면을 담고, 채 썬 대파를 올린다.
17. 그릇에 구운 청양고추 절임을 담아낸다.
18. 볶음면에 깨를 뿌리고, 레몬을 곁들여 마무리 한다.")</f>
        <v>1. 핸드블렌더에 밀가루, 달걀을 넣고 갈아 면반죽을 만든다.
2. 그릴 팬에 청양고추를 넣고 올리브오일을 뿌려 굽는다.
3. 소고기등심을 먹기 좋은 크기로 잘라, 전분을 묻힌다.
4. 기름을 두른 팬에 전분을 묻힌 소고기등심을 굽는다.
5. 마늘, 양파, 대파를 썬 뒤, 기름을 두른 팬에 볶는다.
6. 볶던 채소에 소금, 후추로 간한다.
7. 적당한 크기로 썬 대파를 끓는 기름에 넣어 파기름을 낸다.
8. 볶던 채소에 파기름을 넣고, 파기름을 낸 대파는 건져낸다.
9. 파기름에 고춧가루를 넣어 고추기름을 낸다.
10. 면반죽을 밀대로 민 뒤, 적당한 크기로 썰어 면을 뽑는다.
11. 볶던 채소에 구운 소고기등심을 넣고, 간장, 맛술, 설탕, 고춧가루, 파기름을 냈던 대파를 넣고 볶는다.
12. 소금을 넣은 물에 면을 넣고 삶는다.
13. 삶은 면을 볶던 재료와 함께 볶아 볶음면을 만든다.
14. 구운 청양고추를 적당한 크기로 썬 뒤, 올리브오일과 후추, 핫소스, 레몬즙을 넣고 절인다.
15. 대파를 채 썬다.
16. 접시에 볶음면을 담고, 채 썬 대파를 올린다.
17. 그릇에 구운 청양고추 절임을 담아낸다.
18. 볶음면에 깨를 뿌리고, 레몬을 곁들여 마무리 한다.</v>
      </c>
    </row>
    <row r="733">
      <c r="A733" s="2" t="str">
        <f>recipe!C733
</f>
        <v>갓다니엘 정식</v>
      </c>
      <c r="B733" s="2" t="str">
        <f>IFERROR(__xludf.DUMMYFUNCTION("TRIM(
  REGEXEXTRACT(
    raw!A733,
    ""●\s*조리\s*방법([\s\S]*)""
  )
)
"),"1. 김을 뜨거운 물에 불린다.
2. 핸드블렌더에 즉석밥, 뜨거운 물, 소금을 넣고 갈아 떡반죽을 만든다.
3. 대파를 적당한 크기로 썬 뒤, 원형 모양을 살려 한 겹씩 벗겨낸다.
4. 대파를 소금물에 데친다.
5. 데친 대파를 얼음물에 담가둔다.
6. 지퍼백에 떡반죽을 넣고, 모서리를 잘라 짤주머니를 만든다.
7. 떡반죽으로 대파의 속을 채워 대파떡을 만든다.
8. 지퍼백에 통후추를 넣고 고기망치로 두드려 부순다.
9. 마른 팬에 소고기"&amp;"등심을 굽다가 소금으로 간 한다.
10. 채 썬 양파와 청양고추를 팬에 볶다가 후춧가루, 우유를 넣어 후추크림소스를 만든다.
11. 끓는 물에 라면을 삶는다.
12. 후추크림소스에 슬라이스 모차렐라치즈를 넣는다.
13. 12에 불린 김을 넣는다.
14. 육포를 잘게 다져 후추크림소스에 넣는다.
15. 구운 소고기등심을 적당한 크기로 썬다.
16. 꼬치에 소고기등심&gt;대파떡&gt;소고기등심&gt;대파떡 순서로 꽂는다.
17. 기름을 두른 팬에 소고기대파"&amp;"떡꼬치를 굽는다.
18. 불닭소스와 짜장소스를 섞어 불닭짜장소스를 만든다.
19. 불닭짜장소스를 소고기대파떡꼬치에 발라가며 굽는다.
20. 삶은 라면을 얼음물에 담가 식힌다.
21. 후추크림소스에 삶은 라면과 버터를 넣고 볶아 후추김파스타를 만든다.
22. 접시에 후추김파스타를 담는다.
23. 소고기대파떡꼬치에 불닭라면플레이크, 후추를 뿌린다.")</f>
        <v>1. 김을 뜨거운 물에 불린다.
2. 핸드블렌더에 즉석밥, 뜨거운 물, 소금을 넣고 갈아 떡반죽을 만든다.
3. 대파를 적당한 크기로 썬 뒤, 원형 모양을 살려 한 겹씩 벗겨낸다.
4. 대파를 소금물에 데친다.
5. 데친 대파를 얼음물에 담가둔다.
6. 지퍼백에 떡반죽을 넣고, 모서리를 잘라 짤주머니를 만든다.
7. 떡반죽으로 대파의 속을 채워 대파떡을 만든다.
8. 지퍼백에 통후추를 넣고 고기망치로 두드려 부순다.
9. 마른 팬에 소고기등심을 굽다가 소금으로 간 한다.
10. 채 썬 양파와 청양고추를 팬에 볶다가 후춧가루, 우유를 넣어 후추크림소스를 만든다.
11. 끓는 물에 라면을 삶는다.
12. 후추크림소스에 슬라이스 모차렐라치즈를 넣는다.
13. 12에 불린 김을 넣는다.
14. 육포를 잘게 다져 후추크림소스에 넣는다.
15. 구운 소고기등심을 적당한 크기로 썬다.
16. 꼬치에 소고기등심&gt;대파떡&gt;소고기등심&gt;대파떡 순서로 꽂는다.
17. 기름을 두른 팬에 소고기대파떡꼬치를 굽는다.
18. 불닭소스와 짜장소스를 섞어 불닭짜장소스를 만든다.
19. 불닭짜장소스를 소고기대파떡꼬치에 발라가며 굽는다.
20. 삶은 라면을 얼음물에 담가 식힌다.
21. 후추크림소스에 삶은 라면과 버터를 넣고 볶아 후추김파스타를 만든다.
22. 접시에 후추김파스타를 담는다.
23. 소고기대파떡꼬치에 불닭라면플레이크, 후추를 뿌린다.</v>
      </c>
    </row>
    <row r="734">
      <c r="A734" s="2" t="str">
        <f>recipe!C734
</f>
        <v>레옹 정식</v>
      </c>
      <c r="B734" s="2" t="str">
        <f>IFERROR(__xludf.DUMMYFUNCTION("TRIM(
  REGEXEXTRACT(
    raw!A734,
    ""●\s*조리\s*방법([\s\S]*)""
  )
)
"),"1. 즉석밥을 전자레인지에 넣고 돌린다.
2. 양파를 잘게 다진다.
3. 삼겹살, 소고기등심을 썰어 핸드블렌더에 넣고 간다.
4. 핸드블렌더에 옥수수과자를 넣고 간다.
5. 간 삼겹살, 소고기등심에 간 옥수수과자와 소금, 후추를 넣는다.
6. 5에 달걀물을 넣고 섞어 고기반죽을 만든다.
7. 밥에 소금과 후추, 깨로 간 한 뒤 삼각형 모양으로 뭉쳐 기름을 두른 팬에 굽는다.
8. 넓게 편 고기반죽 위에 구운 밥, 슬라이스 모차렐라치즈를 올린"&amp;" 뒤 고기반죽으로 감싼다.
9. 기름을 두른 팬에 삼각고기밥을 굽는다.
10. 식초를 넣은 물에 라면 면을 삶는다.
11. 삶은 라면을 얼음물에 담가둔다.
12. 양파, 대파, 청양고추를 썰어 기름을 두른 팬에 볶는다.
13. 볶던 채소에 라면수프, 족발을 넣고 볶는다.
14. 볶던 재료에 물을 넣고 끓여 족발국물을 만든다.
15. 면수에 달걀을 넣어 수란을 만든다.
16. 끓이던 족발국물에 건더기수프를 넣는다.
17. 삼각고기밥 위에 "&amp;"슬라이스 모차렐라치즈를 올려 굽는다.
18. 족발국물에 삶은 라면 면을 넣고 끓인다.
19. 족발라면을 그릇에 담는다.
20. 족발라면 위에 수란을 올린다.
21. 상추를 올린 접시에 삼각고기밥을 담아낸다.")</f>
        <v>1. 즉석밥을 전자레인지에 넣고 돌린다.
2. 양파를 잘게 다진다.
3. 삼겹살, 소고기등심을 썰어 핸드블렌더에 넣고 간다.
4. 핸드블렌더에 옥수수과자를 넣고 간다.
5. 간 삼겹살, 소고기등심에 간 옥수수과자와 소금, 후추를 넣는다.
6. 5에 달걀물을 넣고 섞어 고기반죽을 만든다.
7. 밥에 소금과 후추, 깨로 간 한 뒤 삼각형 모양으로 뭉쳐 기름을 두른 팬에 굽는다.
8. 넓게 편 고기반죽 위에 구운 밥, 슬라이스 모차렐라치즈를 올린 뒤 고기반죽으로 감싼다.
9. 기름을 두른 팬에 삼각고기밥을 굽는다.
10. 식초를 넣은 물에 라면 면을 삶는다.
11. 삶은 라면을 얼음물에 담가둔다.
12. 양파, 대파, 청양고추를 썰어 기름을 두른 팬에 볶는다.
13. 볶던 채소에 라면수프, 족발을 넣고 볶는다.
14. 볶던 재료에 물을 넣고 끓여 족발국물을 만든다.
15. 면수에 달걀을 넣어 수란을 만든다.
16. 끓이던 족발국물에 건더기수프를 넣는다.
17. 삼각고기밥 위에 슬라이스 모차렐라치즈를 올려 굽는다.
18. 족발국물에 삶은 라면 면을 넣고 끓인다.
19. 족발라면을 그릇에 담는다.
20. 족발라면 위에 수란을 올린다.
21. 상추를 올린 접시에 삼각고기밥을 담아낸다.</v>
      </c>
    </row>
    <row r="735">
      <c r="A735" s="2" t="str">
        <f>recipe!C735
</f>
        <v>카르옹나라</v>
      </c>
      <c r="B735" s="2" t="str">
        <f>IFERROR(__xludf.DUMMYFUNCTION("TRIM(
  REGEXEXTRACT(
    raw!A735,
    ""●\s*조리\s*방법([\s\S]*)""
  )
)
"),"1. 전분과 밀가루, 소금에 뜨거운 물을 넣고 익반죽을 한다.
2. 반죽을 동그랗게 빚어 옹심이를 만든다.
3. 삼겹살을 잘게 썬다.
4. 삼겹살에 쌍화음료를 넣고 버무린다.
5. 4에 간장, 맛술, 전분을 넣고 섞은 뒤 기름에 튀기듯이 볶는다.
6. 채 썬 양파와 으깬 마늘을 팬에 넣는다.
7. 6에 버터, 후추, 밀가루, 간장, 소금을 넣고 볶다가 물을 넣고 끓인다.
8. 끓이던 채소에 우유와 라면수프를 넣어 카르보나라 소스를 만든다.
"&amp;"
9. 카르보나라 소스에 옹심이를 넣고 익힌다.
10. 청양고추를 핸드블렌더에 간 뒤, 옹심이 카르보나라에 넣는다.
11. 팬에 슬라이스 모차렐라치즈, 우유를 넣고 끓여 치즈소스를 만든다.
12. 옹심이 카르보나라를 그릇에 담고, 볶은 삼겹살과 치즈소스를 올린다.")</f>
        <v>1. 전분과 밀가루, 소금에 뜨거운 물을 넣고 익반죽을 한다.
2. 반죽을 동그랗게 빚어 옹심이를 만든다.
3. 삼겹살을 잘게 썬다.
4. 삼겹살에 쌍화음료를 넣고 버무린다.
5. 4에 간장, 맛술, 전분을 넣고 섞은 뒤 기름에 튀기듯이 볶는다.
6. 채 썬 양파와 으깬 마늘을 팬에 넣는다.
7. 6에 버터, 후추, 밀가루, 간장, 소금을 넣고 볶다가 물을 넣고 끓인다.
8. 끓이던 채소에 우유와 라면수프를 넣어 카르보나라 소스를 만든다.
9. 카르보나라 소스에 옹심이를 넣고 익힌다.
10. 청양고추를 핸드블렌더에 간 뒤, 옹심이 카르보나라에 넣는다.
11. 팬에 슬라이스 모차렐라치즈, 우유를 넣고 끓여 치즈소스를 만든다.
12. 옹심이 카르보나라를 그릇에 담고, 볶은 삼겹살과 치즈소스를 올린다.</v>
      </c>
    </row>
    <row r="736">
      <c r="A736" s="2" t="str">
        <f>recipe!C736
</f>
        <v>게 섞어라</v>
      </c>
      <c r="B736" s="2" t="str">
        <f>IFERROR(__xludf.DUMMYFUNCTION("TRIM(
  REGEXEXTRACT(
    raw!A736,
    ""●\s*조리\s*방법([\s\S]*)""
  )
)
"),"1. 끓는 물에 멸치볶음을 데친다.
2. 찐 꽃게의 살을 발라낸다.
3. 기름을 두른 팬에 잘게 썬 총각김치와 밥을 넣고 볶는다.
4. 통조림햄, 소고기안심을 잘게 썰어 기름을 두른 팬에 볶는다.
5. 두 개의 팬에 버터를 녹인다.
6. 버터를 녹인 팬에 밀가루와 뜨거운 물을 넣고 끓여 루를 만든다.
7. 버터를 녹인 다른 팬에 삶은 옥수수알과 설탕을 넣고 볶는다.
8. 볶던 밥에 데친 멸치볶음과 고추장, 고춧가루, 굴소스를 넣는다.
9."&amp;" 8에 잘게 썬 대파, 볶은 햄과 소고기를 넣고 함께 볶는다.
10. 루에 게살을 넣고 소금, 후추로 간한 뒤, 모차렐라치즈를 넣고 끓여 게살크림소스를 만든다.
11. 총각김치볶음밥을 밥그릇에 눌러 담아 모양을 잡는다.
12. 마른 팬에 총각김치볶음밥을 그릇째 뒤집어 올려 누룽지를 만든다.
13. 달걀흰자에 설탕을 넣고 머랭을 친다.
14. 달걀노른자에 머랭을 넣고 섞어 달걀반죽을 만든다.
15. 버터를 녹인 팬에 달걀반죽을 넣고, 볶은 햄과"&amp;" 소고기, 머랭을 올려 굽는다.
16. 15를 반으로 접어 익힌다.
17. 그릇에 총각김치볶음밥을 담는다.
18. 총각김치볶음밥에 게살크림소스를 담는다.
19. 총각김치볶음밥 위에 달걀 디저트를 올린다.
20. 버터에 볶은 삶은 옥수수알을 뿌려 마무리한다.")</f>
        <v>1. 끓는 물에 멸치볶음을 데친다.
2. 찐 꽃게의 살을 발라낸다.
3. 기름을 두른 팬에 잘게 썬 총각김치와 밥을 넣고 볶는다.
4. 통조림햄, 소고기안심을 잘게 썰어 기름을 두른 팬에 볶는다.
5. 두 개의 팬에 버터를 녹인다.
6. 버터를 녹인 팬에 밀가루와 뜨거운 물을 넣고 끓여 루를 만든다.
7. 버터를 녹인 다른 팬에 삶은 옥수수알과 설탕을 넣고 볶는다.
8. 볶던 밥에 데친 멸치볶음과 고추장, 고춧가루, 굴소스를 넣는다.
9. 8에 잘게 썬 대파, 볶은 햄과 소고기를 넣고 함께 볶는다.
10. 루에 게살을 넣고 소금, 후추로 간한 뒤, 모차렐라치즈를 넣고 끓여 게살크림소스를 만든다.
11. 총각김치볶음밥을 밥그릇에 눌러 담아 모양을 잡는다.
12. 마른 팬에 총각김치볶음밥을 그릇째 뒤집어 올려 누룽지를 만든다.
13. 달걀흰자에 설탕을 넣고 머랭을 친다.
14. 달걀노른자에 머랭을 넣고 섞어 달걀반죽을 만든다.
15. 버터를 녹인 팬에 달걀반죽을 넣고, 볶은 햄과 소고기, 머랭을 올려 굽는다.
16. 15를 반으로 접어 익힌다.
17. 그릇에 총각김치볶음밥을 담는다.
18. 총각김치볶음밥에 게살크림소스를 담는다.
19. 총각김치볶음밥 위에 달걀 디저트를 올린다.
20. 버터에 볶은 삶은 옥수수알을 뿌려 마무리한다.</v>
      </c>
    </row>
    <row r="737">
      <c r="A737" s="2" t="str">
        <f>recipe!C737
</f>
        <v>꽃게를 든 남자</v>
      </c>
      <c r="B737" s="2" t="str">
        <f>IFERROR(__xludf.DUMMYFUNCTION("TRIM(
  REGEXEXTRACT(
    raw!A737,
    ""●\s*조리\s*방법([\s\S]*)""
  )
)
"),"1. 삶은 옥수수의 알을 발라낸다.
2. 비닐팩에 찐 꽃게와 적당한 크기로 썬 양파, 대파, 당근과 마늘을 넣고 고기망치로 두드려 으깬다.
3. 기름을 두른 냄비에 으깬 꽃게와 채소, 물을 넣고 끓여 육수를 낸다.
4. 육수에 된장을 넣고 끓인다.
5. 4에 토마토소스, 칼국수라면 면을 넣고 끓여 비스크소스를 만든다.
6. 달걀흰자를 분리한다.
7. 달걀흰자로 머랭을 친 뒤, 소금, 후추, 검은콩두유를 넣고 섞는다.
8. 핸드블렌더에 삶은 "&amp;"약밤, 검은콩두유를 넣고 갈아 밤페이스트를 만든다.
9. 머그잔으로 비닐백의 모양을 잡은 뒤, 올리브오일을 바른다.
10. 비닐백에 밤페이스트를 담은 뒤, 머랭을 넣고 밀봉한다.
11. 10을 끓는 물에 넣고 익힌다.
12. 양파, 통조림햄, 김치를 잘게 썰어 기름을 두른 팬에 넣고 볶는다.
13. 볶던 재료에 밥을 넣고 볶다가 굴소스, 소금, 후추로 간 한다.
14. 비스크소스를 믹서기에 넣고 간다.
15. 믹서기에 간 비스크소스를 체에 "&amp;"걸러 한 번 더 끓인다.
16. 비스크소스에 버터, 삶은 옥수수알을 넣고 끓인다.
17. 끓는 물에 익힌 몽블랑달걀찜을 전자레인지에 넣고 한 번 더 익힌다.
18. 그릇에 김치볶음밥을 담는다.
19. 김치볶음밥 위에 몽블랑달걀찜을 올린다.
20. 비스크소스를 따로 담아낸다.")</f>
        <v>1. 삶은 옥수수의 알을 발라낸다.
2. 비닐팩에 찐 꽃게와 적당한 크기로 썬 양파, 대파, 당근과 마늘을 넣고 고기망치로 두드려 으깬다.
3. 기름을 두른 냄비에 으깬 꽃게와 채소, 물을 넣고 끓여 육수를 낸다.
4. 육수에 된장을 넣고 끓인다.
5. 4에 토마토소스, 칼국수라면 면을 넣고 끓여 비스크소스를 만든다.
6. 달걀흰자를 분리한다.
7. 달걀흰자로 머랭을 친 뒤, 소금, 후추, 검은콩두유를 넣고 섞는다.
8. 핸드블렌더에 삶은 약밤, 검은콩두유를 넣고 갈아 밤페이스트를 만든다.
9. 머그잔으로 비닐백의 모양을 잡은 뒤, 올리브오일을 바른다.
10. 비닐백에 밤페이스트를 담은 뒤, 머랭을 넣고 밀봉한다.
11. 10을 끓는 물에 넣고 익힌다.
12. 양파, 통조림햄, 김치를 잘게 썰어 기름을 두른 팬에 넣고 볶는다.
13. 볶던 재료에 밥을 넣고 볶다가 굴소스, 소금, 후추로 간 한다.
14. 비스크소스를 믹서기에 넣고 간다.
15. 믹서기에 간 비스크소스를 체에 걸러 한 번 더 끓인다.
16. 비스크소스에 버터, 삶은 옥수수알을 넣고 끓인다.
17. 끓는 물에 익힌 몽블랑달걀찜을 전자레인지에 넣고 한 번 더 익힌다.
18. 그릇에 김치볶음밥을 담는다.
19. 김치볶음밥 위에 몽블랑달걀찜을 올린다.
20. 비스크소스를 따로 담아낸다.</v>
      </c>
    </row>
    <row r="738">
      <c r="A738" s="2" t="str">
        <f>recipe!C738
</f>
        <v>꽃게길만 걷자</v>
      </c>
      <c r="B738" s="2" t="str">
        <f>IFERROR(__xludf.DUMMYFUNCTION("TRIM(
  REGEXEXTRACT(
    raw!A738,
    ""●\s*조리\s*방법([\s\S]*)""
  )
)
"),"1. 끓는 기름에 적당한 크기로 썬 대파, 고춧가루를 넣어 고추기름을 낸다.
2. 압력솥에 김치, 물을 넣고 끓인다.
3. 찐 꽃게의 살을 발라낸다.
4. 으깬 마늘, 잘게 썬 대파를 기름을 두른 팬에 볶는다.
5. 소고기안심과 불린 수제육포를 적당한 크기로 썬다.
6. 적당한 크기로 썬 소고기안심과 수제육포를 핸드블렌더에 넣고 간다.
7. 볶던 채소에 간 소고기와 육포, 간장, 청주를 넣고 볶은 뒤 김치를 끓이던 압력솥에 넣는다.
8. "&amp;"7에 인스턴트 만두를 넣고 뚜껑을 닫아 푹 끓인다.
9. 불린 수제육포와 닭갈비, 대파를 잘게 썬 뒤 기름을 두른 팬에 볶는다.
10. 볶던 재료에 굴소스를 넣고 볶는다.
11. 삶은 약밤을 잘게 썬다.
12. 잘게 썬 삶은 약밤에 밥, 참기름, 볶은 재료를 넣고 비빈다.
13. 비빈 밥을 그릇에 담고 게살을 올린 뒤, 찜기에 넣고 찐다.
14. 고추기름을 체에 거른다.
15. 잘게 썬 대파, 다진 마늘, 간장, 맛술, 레몬즙, 고추기름을 "&amp;"넣어 간장소스를 만든다.
16. 간장소스를 종지에 담는다.
17. 찐 밥을 뚝배기에 옮겨 담은 뒤, 한 번 더 익힌다.
18. 기름을 두른 팬에 쑥개떡을 튀기듯 굽는다.
19. 압력솥에서 끓인 김치전골을 뚝배기에 옮겨 담는다.
20. 김치전골에 구운 쑥개떡을 올려 마무리한다.")</f>
        <v>1. 끓는 기름에 적당한 크기로 썬 대파, 고춧가루를 넣어 고추기름을 낸다.
2. 압력솥에 김치, 물을 넣고 끓인다.
3. 찐 꽃게의 살을 발라낸다.
4. 으깬 마늘, 잘게 썬 대파를 기름을 두른 팬에 볶는다.
5. 소고기안심과 불린 수제육포를 적당한 크기로 썬다.
6. 적당한 크기로 썬 소고기안심과 수제육포를 핸드블렌더에 넣고 간다.
7. 볶던 채소에 간 소고기와 육포, 간장, 청주를 넣고 볶은 뒤 김치를 끓이던 압력솥에 넣는다.
8. 7에 인스턴트 만두를 넣고 뚜껑을 닫아 푹 끓인다.
9. 불린 수제육포와 닭갈비, 대파를 잘게 썬 뒤 기름을 두른 팬에 볶는다.
10. 볶던 재료에 굴소스를 넣고 볶는다.
11. 삶은 약밤을 잘게 썬다.
12. 잘게 썬 삶은 약밤에 밥, 참기름, 볶은 재료를 넣고 비빈다.
13. 비빈 밥을 그릇에 담고 게살을 올린 뒤, 찜기에 넣고 찐다.
14. 고추기름을 체에 거른다.
15. 잘게 썬 대파, 다진 마늘, 간장, 맛술, 레몬즙, 고추기름을 넣어 간장소스를 만든다.
16. 간장소스를 종지에 담는다.
17. 찐 밥을 뚝배기에 옮겨 담은 뒤, 한 번 더 익힌다.
18. 기름을 두른 팬에 쑥개떡을 튀기듯 굽는다.
19. 압력솥에서 끓인 김치전골을 뚝배기에 옮겨 담는다.
20. 김치전골에 구운 쑥개떡을 올려 마무리한다.</v>
      </c>
    </row>
    <row r="739">
      <c r="A739" s="2" t="str">
        <f>recipe!C739
</f>
        <v>구구닭</v>
      </c>
      <c r="B739" s="2" t="str">
        <f>IFERROR(__xludf.DUMMYFUNCTION("TRIM(
  REGEXEXTRACT(
    raw!A739,
    ""●\s*조리\s*방법([\s\S]*)""
  )
)
"),"1. 인스턴트 만두소를 분리한다.
2. 으깬 마늘, 적당한 크기로 썬 대파와 양파, 만두소에 청주, 물을 넣고 끓여 육수를 낸다.
3. 팬에 닭갈비, 청주, 자른 대파와 양파를 넣고 볶는다.
4. 쑥개떡을 잘게 썰어 닭갈비에 넣고 볶는다.
5. 닭갈비에 끓인 육수를 넣어 물닭갈비를 만든다.
6. 물닭갈비에 잘게 썬 청양고추, 홍고추를 넣는다.
7. 믹서기에 수제육포를 넣고 간다.
8. 밀가루, 튀김가루, 물을 섞어 반죽을 만들고, 부추겉절이"&amp;"를 잘라 넣는다.
9. 반죽에 간 육포를 넣고 섞는다.
10. 기름을 두른 팬에 부추육포반죽을 올려 부친다.
11. 청양고추, 홍고추, 양파를 잘게 다진다.
12. 11에 설탕, 간장, 식초, 고춧가루를 넣고 섞어 간장소스를 만든 뒤, 종지에 담는다.
13. 끓는 물에 칼국수라면 면을 삶는다.
14. 다진 마늘과 고춧가루를 섞어 양념을 만든 뒤, 물닭갈비에 넣는다.
15. 삶은 칼국수면을 물닭갈비에 넣고 완성한다.")</f>
        <v>1. 인스턴트 만두소를 분리한다.
2. 으깬 마늘, 적당한 크기로 썬 대파와 양파, 만두소에 청주, 물을 넣고 끓여 육수를 낸다.
3. 팬에 닭갈비, 청주, 자른 대파와 양파를 넣고 볶는다.
4. 쑥개떡을 잘게 썰어 닭갈비에 넣고 볶는다.
5. 닭갈비에 끓인 육수를 넣어 물닭갈비를 만든다.
6. 물닭갈비에 잘게 썬 청양고추, 홍고추를 넣는다.
7. 믹서기에 수제육포를 넣고 간다.
8. 밀가루, 튀김가루, 물을 섞어 반죽을 만들고, 부추겉절이를 잘라 넣는다.
9. 반죽에 간 육포를 넣고 섞는다.
10. 기름을 두른 팬에 부추육포반죽을 올려 부친다.
11. 청양고추, 홍고추, 양파를 잘게 다진다.
12. 11에 설탕, 간장, 식초, 고춧가루를 넣고 섞어 간장소스를 만든 뒤, 종지에 담는다.
13. 끓는 물에 칼국수라면 면을 삶는다.
14. 다진 마늘과 고춧가루를 섞어 양념을 만든 뒤, 물닭갈비에 넣는다.
15. 삶은 칼국수면을 물닭갈비에 넣고 완성한다.</v>
      </c>
    </row>
    <row r="740">
      <c r="A740" s="2" t="str">
        <f>recipe!C740
</f>
        <v>최용수테이크</v>
      </c>
      <c r="B740" s="2" t="str">
        <f>IFERROR(__xludf.DUMMYFUNCTION("TRIM(
  REGEXEXTRACT(
    raw!A740,
    ""●\s*조리\s*방법([\s\S]*)""
  )
)
"),"1. 도미 머리를 잘라 기름을 두른 압력솥에 넣고 굽는다.
2. 구운 도미 머리에 적당한 크기로 썬 양파, 으깬 마늘, 청양고추, 송이토마토를 넣는다.
3. 2에 청주와 맛술, 끓는 물을 붓고 끓이다가 수제된장, 수제고추장, 토마토소스를 넣은 뒤 압력솥 뚜껑을 닫고 푹 끓인다.
4. 도미의 뼈를 발라낸 뒤, 도미 껍질에 칼집을 낸다.
5. 칼집을 낸 도미에 뜨거운 물을 부어 데친다.
6. 데친 도미를 얼음물에 담가둔다.
7. 도미의 물기를 제"&amp;"거하고 소금으로 간 한 뒤, 전분을 묻힌다.
8. 기름을 두른 팬에 전분을 묻힌 도미를 굽는다.
9. 적당한 크기로 썬 감자와 아스파라거스에 소금, 후추로 간한 뒤 도미를 굽던 팬에 함께 굽는다.
10. 끓는 물에 칼국수면을 삶는다.
11. 찜기에 물, 레몬즙과 레몬을 넣고 끓인다.
12. 찜기에 구운 도미를 넣고 찐다.
13. 마른 팬에 버터, 밀가루를 넣어 루를 만든다.
14. 압력솥에서 도미 머리를 건져 내고 육수를 핸드블렌더로 간 뒤"&amp;", 루를 넣고 섞어 토마토고추장소스를 만든다.
15. 삶은 칼국수면에 올리브오일을 넣고 버무린 뒤 그릇에 담는다.
16. 구운 감자 위에 스트링치즈를 올린 뒤, 토치로 직화해 치즈를 녹인다.
17. 16을 구운 도미 배 사이에 넣는다.
18. 토마토고추장소스에 설탕을 더한 뒤, 칼국수면 위에 뿌린다.
19. 18에 도미스테이크를 올린 뒤 구운 아스파라거스를 곁들인다.
20. 도미스테이크에 올리브오일을 뿌린다.
21. 도미스테이크에 잘게 썬 "&amp;"대파를 올려 마무리한다.")</f>
        <v>1. 도미 머리를 잘라 기름을 두른 압력솥에 넣고 굽는다.
2. 구운 도미 머리에 적당한 크기로 썬 양파, 으깬 마늘, 청양고추, 송이토마토를 넣는다.
3. 2에 청주와 맛술, 끓는 물을 붓고 끓이다가 수제된장, 수제고추장, 토마토소스를 넣은 뒤 압력솥 뚜껑을 닫고 푹 끓인다.
4. 도미의 뼈를 발라낸 뒤, 도미 껍질에 칼집을 낸다.
5. 칼집을 낸 도미에 뜨거운 물을 부어 데친다.
6. 데친 도미를 얼음물에 담가둔다.
7. 도미의 물기를 제거하고 소금으로 간 한 뒤, 전분을 묻힌다.
8. 기름을 두른 팬에 전분을 묻힌 도미를 굽는다.
9. 적당한 크기로 썬 감자와 아스파라거스에 소금, 후추로 간한 뒤 도미를 굽던 팬에 함께 굽는다.
10. 끓는 물에 칼국수면을 삶는다.
11. 찜기에 물, 레몬즙과 레몬을 넣고 끓인다.
12. 찜기에 구운 도미를 넣고 찐다.
13. 마른 팬에 버터, 밀가루를 넣어 루를 만든다.
14. 압력솥에서 도미 머리를 건져 내고 육수를 핸드블렌더로 간 뒤, 루를 넣고 섞어 토마토고추장소스를 만든다.
15. 삶은 칼국수면에 올리브오일을 넣고 버무린 뒤 그릇에 담는다.
16. 구운 감자 위에 스트링치즈를 올린 뒤, 토치로 직화해 치즈를 녹인다.
17. 16을 구운 도미 배 사이에 넣는다.
18. 토마토고추장소스에 설탕을 더한 뒤, 칼국수면 위에 뿌린다.
19. 18에 도미스테이크를 올린 뒤 구운 아스파라거스를 곁들인다.
20. 도미스테이크에 올리브오일을 뿌린다.
21. 도미스테이크에 잘게 썬 대파를 올려 마무리한다.</v>
      </c>
    </row>
    <row r="741">
      <c r="A741" s="2" t="str">
        <f>recipe!C741
</f>
        <v>테린우스</v>
      </c>
      <c r="B741" s="2" t="str">
        <f>IFERROR(__xludf.DUMMYFUNCTION("TRIM(
  REGEXEXTRACT(
    raw!A741,
    ""●\s*조리\s*방법([\s\S]*)""
  )
)
"),"1. 자반고등어를 적당한 크기로 썬다.
2. 끓는 물에 올리브오일과 식초, 버터를 넣은 뒤 손질한 고등어를 넣고 데친다.
3. 고등어를 데치는 물에 소금을 넣는다.
4. 전복의 살과 내장을 분리한다.
5. 고등어를 데치는 냄비에 전복살을 넣은 뒤, 레몬즙을 더해 삶는다.
6. 데친 고등어의 뼈를 발라낸다.
7. 마른 팬에 마늘, 전복내장을 넣은 뒤, 올리브오일을 넣고 볶는다.
8. 볶던 재료에 적당한 크기로 썬 양파, 간장, 맛술, 설탕, "&amp;"물, 대파를 넣고 끓여 간장소스를 만든다.
9. 올리브오일과 식초, 버터를 넣은 끓는 물에 적당한 크기로 썬 아스파라거스와 대파를 데친다.
10. 카망베르치즈와 크림치즈를 섞는다.
11. 고등어살, 달걀물, 트러플페스토를 핸드블렌더에 넣고 간다.
12. 말린 채소칩을 핸드블렌더에 넣고 간다.
13. 원형틀에 명이나물을 올리고, 트러플페스토를 더해 간 고등어와 데친 아스파라거스, 대파를 얹는다.
14. 원형틀에 채 썬 파프리카를 얹는다.
15"&amp;". 14 위에 삶은 전복을 올리고 트러플페스토를 더해 간 고등어를 얹은 뒤, 명이나물로 감싸 찜기에 넣고 찐다.
16. 무를 오각형 막대모양으로 손질한다.
17. 접시에 체에 곱게 거른 초록색 채소칩가루를 뿌린다.
18. 섞은 치즈를 아이스크림 스쿱으로 동그랗게 모양낸 뒤, 채소칩가루 위에 얹는다.
19. 모양을 낸 무에 초록색 채소칩가루와 갈색 채소칩가루를 묻힌 뒤, 치즈볼에 축구공 무늬를 찍는다.
20. 찜기에 익힌 고등어테린을 반으로 자른"&amp;"다.
21. 끓이던 간장소스를 체에 밭쳐 국물만 걸러낸 뒤, 한 번 더 끓인다.
22. 간장소스에 물을 넣는다.
23. 접시에 고등어테린을 올린다.
24. 간장소스에 버터를 넣고 녹인 뒤, 고등어테린 위에 뿌린다.
25. 고등어테린에 갈색 채소칩가루와 트러플오일을 뿌려 완성한다.")</f>
        <v>1. 자반고등어를 적당한 크기로 썬다.
2. 끓는 물에 올리브오일과 식초, 버터를 넣은 뒤 손질한 고등어를 넣고 데친다.
3. 고등어를 데치는 물에 소금을 넣는다.
4. 전복의 살과 내장을 분리한다.
5. 고등어를 데치는 냄비에 전복살을 넣은 뒤, 레몬즙을 더해 삶는다.
6. 데친 고등어의 뼈를 발라낸다.
7. 마른 팬에 마늘, 전복내장을 넣은 뒤, 올리브오일을 넣고 볶는다.
8. 볶던 재료에 적당한 크기로 썬 양파, 간장, 맛술, 설탕, 물, 대파를 넣고 끓여 간장소스를 만든다.
9. 올리브오일과 식초, 버터를 넣은 끓는 물에 적당한 크기로 썬 아스파라거스와 대파를 데친다.
10. 카망베르치즈와 크림치즈를 섞는다.
11. 고등어살, 달걀물, 트러플페스토를 핸드블렌더에 넣고 간다.
12. 말린 채소칩을 핸드블렌더에 넣고 간다.
13. 원형틀에 명이나물을 올리고, 트러플페스토를 더해 간 고등어와 데친 아스파라거스, 대파를 얹는다.
14. 원형틀에 채 썬 파프리카를 얹는다.
15. 14 위에 삶은 전복을 올리고 트러플페스토를 더해 간 고등어를 얹은 뒤, 명이나물로 감싸 찜기에 넣고 찐다.
16. 무를 오각형 막대모양으로 손질한다.
17. 접시에 체에 곱게 거른 초록색 채소칩가루를 뿌린다.
18. 섞은 치즈를 아이스크림 스쿱으로 동그랗게 모양낸 뒤, 채소칩가루 위에 얹는다.
19. 모양을 낸 무에 초록색 채소칩가루와 갈색 채소칩가루를 묻힌 뒤, 치즈볼에 축구공 무늬를 찍는다.
20. 찜기에 익힌 고등어테린을 반으로 자른다.
21. 끓이던 간장소스를 체에 밭쳐 국물만 걸러낸 뒤, 한 번 더 끓인다.
22. 간장소스에 물을 넣는다.
23. 접시에 고등어테린을 올린다.
24. 간장소스에 버터를 넣고 녹인 뒤, 고등어테린 위에 뿌린다.
25. 고등어테린에 갈색 채소칩가루와 트러플오일을 뿌려 완성한다.</v>
      </c>
    </row>
    <row r="742">
      <c r="A742" s="2" t="str">
        <f>recipe!C742
</f>
        <v>독수리 세트</v>
      </c>
      <c r="B742" s="2" t="str">
        <f>IFERROR(__xludf.DUMMYFUNCTION("TRIM(
  REGEXEXTRACT(
    raw!A742,
    ""●\s*조리\s*방법([\s\S]*)""
  )
)
"),"1. 끓는 기름에 통마늘을 튀긴다.
2. 대파와 삼겹살을 적당한 크기로 썰어 기름을 두른 팬에 볶는다.
3. 낙지 다리를 적당한 크기로 잘라 볶던 재료와 함께 볶는다.
4. 3에 채 썬 양파, 홍고추, 청양고추, 다진 마늘, 간장, 고춧가루, 굴소스, 설탕, 맛술, 채 썬 깻잎을 넣고 볶아 낙지삼겹살볶음을 만든다.
5. 소고기를 적당한 크기로 썰어 핸드블렌더에 넣고 간다.
6. 기름을 두른 팬에 다진 마늘, 간 소고기, 고추장, 간장을 넣고 볶"&amp;"는다.
7. 소고기고추장볶음을 종지에 담고, 다진 쪽파를 올린다.
8. 기름을 두른 팬에 간 소고기, 다진 마늘, 다진 양파, 콩나물을 넣고 볶는다.
9. 9에 굴소스, 다진 홍고추, 밥을 넣고 볶다가 적당한 크기로 썬 전복, 달걀, 다진 쪽파를 넣어 전복소고기볶음밥을 만든다.
10. 전복소고기볶음밥을 뚝배기에 옮겨 담은 뒤, 한 번 더 익힌다.
11. 칼국수면을 삶은 뒤, 소고기고추장볶음을 넣고 볶는다.
12. 접시에 낙지삼겹살볶음을 담은 "&amp;"뒤, 볶은 칼국수면을 곁들인다.
13. 12에 다진 쪽파를 올린다.
14. 전복소고기볶음밥에 튀긴 통마늘을 올려 마무리한다.")</f>
        <v>1. 끓는 기름에 통마늘을 튀긴다.
2. 대파와 삼겹살을 적당한 크기로 썰어 기름을 두른 팬에 볶는다.
3. 낙지 다리를 적당한 크기로 잘라 볶던 재료와 함께 볶는다.
4. 3에 채 썬 양파, 홍고추, 청양고추, 다진 마늘, 간장, 고춧가루, 굴소스, 설탕, 맛술, 채 썬 깻잎을 넣고 볶아 낙지삼겹살볶음을 만든다.
5. 소고기를 적당한 크기로 썰어 핸드블렌더에 넣고 간다.
6. 기름을 두른 팬에 다진 마늘, 간 소고기, 고추장, 간장을 넣고 볶는다.
7. 소고기고추장볶음을 종지에 담고, 다진 쪽파를 올린다.
8. 기름을 두른 팬에 간 소고기, 다진 마늘, 다진 양파, 콩나물을 넣고 볶는다.
9. 9에 굴소스, 다진 홍고추, 밥을 넣고 볶다가 적당한 크기로 썬 전복, 달걀, 다진 쪽파를 넣어 전복소고기볶음밥을 만든다.
10. 전복소고기볶음밥을 뚝배기에 옮겨 담은 뒤, 한 번 더 익힌다.
11. 칼국수면을 삶은 뒤, 소고기고추장볶음을 넣고 볶는다.
12. 접시에 낙지삼겹살볶음을 담은 뒤, 볶은 칼국수면을 곁들인다.
13. 12에 다진 쪽파를 올린다.
14. 전복소고기볶음밥에 튀긴 통마늘을 올려 마무리한다.</v>
      </c>
    </row>
    <row r="743">
      <c r="A743" s="2" t="str">
        <f>recipe!C743
</f>
        <v>오복쟁반</v>
      </c>
      <c r="B743" s="2" t="str">
        <f>IFERROR(__xludf.DUMMYFUNCTION("TRIM(
  REGEXEXTRACT(
    raw!A743,
    ""●\s*조리\s*방법([\s\S]*)""
  )
)
"),"1. 삼겹살을 적당한 크기로 썰어 냄비에 볶는다.
2. 볶던 삼겹살에 인스턴트 들깨삼계탕 국물만 넣고 끓인다.
3. 끓는 물에 전복을 데친다.
4. 데친 전복의 살과 내장을 발라낸다.
5. 적당한 크기로 썬 쪽파를 전골냄비에 담는다.
6. 데친 전복살에 칼집을 낸 뒤 적당한 크기로 썰어 전골냄비에 담는다.
7. 끓는 물에 달걀을 삶는다.
8. 기름을 두른 팬에 데친 전복내장을 볶는다.
9. 볶던 전복내장에 다진 양파, 절인 복분자, 청주,"&amp;" 고추장을 넣고 끓여 전복내장고추장을 만든다.
10. 전골냄비에 적당한 크기로 썬 표고버섯을 담는다.
11. 끓이던 육수에 양파즙, 간장, 굴소스를 넣는다.
12. 소금으로 간 한 소고기를 그릴팬에 구운 뒤, 적당한 크기로 썰어 전골냄비에 담는다.
13. 낙지다리를 고기망치로 두드려 부드럽게 만든 뒤, 전골냄비에 담는다.
14. 홍고추와 깻잎을 적당한 크기로 썰어 전골냄비에 담는다.
15. 볼에 적당한 크기로 썬 대파와 식용유, 고춧가루를 담"&amp;"고 전자레인지에 돌려 고추기름을 낸다.
16. 끓인 전복내장고추장을 핸드블렌더에 넣고 간 뒤, 참기름을 더한다.
17. 전복내장고추장에 고추기름을 넣는다.
18. 끓이던 육수를 전골냄비에 붓고 끓인다.
19. 우동면에 끓는 물을 부어 데친 후 전골냄비에 담는다.
20. 삶은 달걀의 껍데기를 벗겨 전골냄비에 담는다.
21. 전복내장고추장을 종지에 담는다.
22. 잘게 썬 청양고추를 전복내장고추장 위에 올려 마무리한다.")</f>
        <v>1. 삼겹살을 적당한 크기로 썰어 냄비에 볶는다.
2. 볶던 삼겹살에 인스턴트 들깨삼계탕 국물만 넣고 끓인다.
3. 끓는 물에 전복을 데친다.
4. 데친 전복의 살과 내장을 발라낸다.
5. 적당한 크기로 썬 쪽파를 전골냄비에 담는다.
6. 데친 전복살에 칼집을 낸 뒤 적당한 크기로 썰어 전골냄비에 담는다.
7. 끓는 물에 달걀을 삶는다.
8. 기름을 두른 팬에 데친 전복내장을 볶는다.
9. 볶던 전복내장에 다진 양파, 절인 복분자, 청주, 고추장을 넣고 끓여 전복내장고추장을 만든다.
10. 전골냄비에 적당한 크기로 썬 표고버섯을 담는다.
11. 끓이던 육수에 양파즙, 간장, 굴소스를 넣는다.
12. 소금으로 간 한 소고기를 그릴팬에 구운 뒤, 적당한 크기로 썰어 전골냄비에 담는다.
13. 낙지다리를 고기망치로 두드려 부드럽게 만든 뒤, 전골냄비에 담는다.
14. 홍고추와 깻잎을 적당한 크기로 썰어 전골냄비에 담는다.
15. 볼에 적당한 크기로 썬 대파와 식용유, 고춧가루를 담고 전자레인지에 돌려 고추기름을 낸다.
16. 끓인 전복내장고추장을 핸드블렌더에 넣고 간 뒤, 참기름을 더한다.
17. 전복내장고추장에 고추기름을 넣는다.
18. 끓이던 육수를 전골냄비에 붓고 끓인다.
19. 우동면에 끓는 물을 부어 데친 후 전골냄비에 담는다.
20. 삶은 달걀의 껍데기를 벗겨 전골냄비에 담는다.
21. 전복내장고추장을 종지에 담는다.
22. 잘게 썬 청양고추를 전복내장고추장 위에 올려 마무리한다.</v>
      </c>
    </row>
    <row r="744">
      <c r="A744" s="2" t="str">
        <f>recipe!C744
</f>
        <v>불닭 카리스마</v>
      </c>
      <c r="B744" s="2" t="str">
        <f>IFERROR(__xludf.DUMMYFUNCTION("TRIM(
  REGEXEXTRACT(
    raw!A744,
    ""●\s*조리\s*방법([\s\S]*)""
  )
)
"),"1. 기름에 고춧가루와 적당한 크기로 썬 대파를 넣고 끓여 고추기름을 낸다.
2. 밀가루, 전분, 소금, 물, 달걀물, 식용유를 섞어 튀김반죽을 만든다.
3. 닭은 뼈를 발라낸 뒤, 튀김반죽을 입혀 기름에 튀긴다.
4. 달걀, 우유, 물, 컵우동소스를 섞어 달걀물을 만든다.
5. 큰 그릇 안에 작은 그릇을 넣은 뒤, 달걀물을 붓는다.
6. 달걀물이 담긴 그릇을 전자레인지에 돌려 달걀찜을 만든다.
7. 양파는 채 썰고, 양배추, 청양고추, 대파"&amp;"는 잘게 썬다.
8. 고추기름을 체에 밭쳐 거른다.
9. 팬에 고추기름을 두른 뒤, 손질한 채소를 넣고 볶는다.
10. 볶던 채소에 고추장, 고춧가루, 설탕, 간장, 물, 삶은 메추리알, 적당한 크기로 썬 아스파라거스를 넣고 볶는다.
11. 연두부에 십자(十)로 칼집을 낸 뒤, 기름에 튀긴다.
12. 뜨거운 물에 데친 우동면과 적당한 크기로 썬 차돌박이를 볶던 채소에 넣고 함께 볶는다.
13. 닭튀김을 체에 밭쳐 기름을 뺀다.
14. 볶던 "&amp;"재료에 닭튀김을 넣고 볶아 불닭을 만든다.
15. 간장, 물엿, 식초, 고추기름, 잘게 다진 쪽파를 섞어 소스를 만든다.
16. 양배추를 채 썰어 그릇에 담는다.
17. 채 썬 양배추 위에 연두부튀김을 올리고 소스를 뿌린다.
18. 전자레인지에 익힌 달걀찜을 꺼내 작은 그릇을 빼낸 뒤, 닭튀김을 올린다.
19. 닭튀김이 담긴 달걀찜그릇에 불닭도 함께 담아낸다.")</f>
        <v>1. 기름에 고춧가루와 적당한 크기로 썬 대파를 넣고 끓여 고추기름을 낸다.
2. 밀가루, 전분, 소금, 물, 달걀물, 식용유를 섞어 튀김반죽을 만든다.
3. 닭은 뼈를 발라낸 뒤, 튀김반죽을 입혀 기름에 튀긴다.
4. 달걀, 우유, 물, 컵우동소스를 섞어 달걀물을 만든다.
5. 큰 그릇 안에 작은 그릇을 넣은 뒤, 달걀물을 붓는다.
6. 달걀물이 담긴 그릇을 전자레인지에 돌려 달걀찜을 만든다.
7. 양파는 채 썰고, 양배추, 청양고추, 대파는 잘게 썬다.
8. 고추기름을 체에 밭쳐 거른다.
9. 팬에 고추기름을 두른 뒤, 손질한 채소를 넣고 볶는다.
10. 볶던 채소에 고추장, 고춧가루, 설탕, 간장, 물, 삶은 메추리알, 적당한 크기로 썬 아스파라거스를 넣고 볶는다.
11. 연두부에 십자(十)로 칼집을 낸 뒤, 기름에 튀긴다.
12. 뜨거운 물에 데친 우동면과 적당한 크기로 썬 차돌박이를 볶던 채소에 넣고 함께 볶는다.
13. 닭튀김을 체에 밭쳐 기름을 뺀다.
14. 볶던 재료에 닭튀김을 넣고 볶아 불닭을 만든다.
15. 간장, 물엿, 식초, 고추기름, 잘게 다진 쪽파를 섞어 소스를 만든다.
16. 양배추를 채 썰어 그릇에 담는다.
17. 채 썬 양배추 위에 연두부튀김을 올리고 소스를 뿌린다.
18. 전자레인지에 익힌 달걀찜을 꺼내 작은 그릇을 빼낸 뒤, 닭튀김을 올린다.
19. 닭튀김이 담긴 달걀찜그릇에 불닭도 함께 담아낸다.</v>
      </c>
    </row>
    <row r="745">
      <c r="A745" s="2" t="str">
        <f>recipe!C745
</f>
        <v>오~ 야식 코리아♬</v>
      </c>
      <c r="B745" s="2" t="str">
        <f>IFERROR(__xludf.DUMMYFUNCTION("TRIM(
  REGEXEXTRACT(
    raw!A745,
    ""●\s*조리\s*방법([\s\S]*)""
  )
)
"),"1. 끓는 물에 우동면을 삶는다.
2. 청양고추를 석쇠에 올려 직화한다.
3. 소고기등심과 양념돼지목살을 핸드블렌더에 넣고 간다.
4. 간 고기에 밀가루와 후추를 넣고 치대어 패티 반죽을 만든다.
5. 삶은 우동면에 컵우동소스로 간한 뒤, 전분을 섞는다.
6. 우동면을 원형틀에 넣고 구워 우동번을 만든다.
7. 패티 반죽을 빚어 모양 잡은 뒤, 기름을 두른 팬에 굽는다.
8. 기름을 두른 팬에 슬라이스한 양파를 굽는다.
9. 구운 청양고추"&amp;"와 방울토마토를 핸드블렌더에 넣고 간다.
10. 기름을 두른 팬에 다진 마늘, 고춧가루, 케첩, 뜨거운 물, 간 청양고추와 방울토마토, 간장, 물엿, 설탕, 고추장을 넣고 끓여 소스를 만든다.
11. 소스에 구운 패티와 물을 넣고 조린다.
12. 씻어서 불린 진미채에 컵우동소스로 간한 뒤, 튀김가루를 묻혀 기름에 튀긴다.
13. 양배추를 채 썰어 물에 담가둔다.
14. 우동번 위에 샐러드채소&gt;방울토마토&gt;패티&gt;구운 양파&gt;패티 순으로 올린다.
1"&amp;"5. 달걀프라이를 만든다.
16. 패티 위에 채 썬 양배추를 올리고, 진미채튀김과 우동번을 곁들인다.
17. 버거 위에 달걀프라이를 올려 완성한다.")</f>
        <v>1. 끓는 물에 우동면을 삶는다.
2. 청양고추를 석쇠에 올려 직화한다.
3. 소고기등심과 양념돼지목살을 핸드블렌더에 넣고 간다.
4. 간 고기에 밀가루와 후추를 넣고 치대어 패티 반죽을 만든다.
5. 삶은 우동면에 컵우동소스로 간한 뒤, 전분을 섞는다.
6. 우동면을 원형틀에 넣고 구워 우동번을 만든다.
7. 패티 반죽을 빚어 모양 잡은 뒤, 기름을 두른 팬에 굽는다.
8. 기름을 두른 팬에 슬라이스한 양파를 굽는다.
9. 구운 청양고추와 방울토마토를 핸드블렌더에 넣고 간다.
10. 기름을 두른 팬에 다진 마늘, 고춧가루, 케첩, 뜨거운 물, 간 청양고추와 방울토마토, 간장, 물엿, 설탕, 고추장을 넣고 끓여 소스를 만든다.
11. 소스에 구운 패티와 물을 넣고 조린다.
12. 씻어서 불린 진미채에 컵우동소스로 간한 뒤, 튀김가루를 묻혀 기름에 튀긴다.
13. 양배추를 채 썰어 물에 담가둔다.
14. 우동번 위에 샐러드채소&gt;방울토마토&gt;패티&gt;구운 양파&gt;패티 순으로 올린다.
15. 달걀프라이를 만든다.
16. 패티 위에 채 썬 양배추를 올리고, 진미채튀김과 우동번을 곁들인다.
17. 버거 위에 달걀프라이를 올려 완성한다.</v>
      </c>
    </row>
    <row r="746">
      <c r="A746" s="2" t="str">
        <f>recipe!C746
</f>
        <v>입에 불나게</v>
      </c>
      <c r="B746" s="2" t="str">
        <f>IFERROR(__xludf.DUMMYFUNCTION("TRIM(
  REGEXEXTRACT(
    raw!A746,
    ""●\s*조리\s*방법([\s\S]*)""
  )
)
"),"1. 핸드블렌더에 청양고추, 홍고추, 마늘, 적당한 크기로 썬 셀러리를 넣고 간다.
2. 기름을 두른 팬에 간 채소를 넣고 볶는다.
3. 볶던 재료에 설탕을 넣고 볶는다.
4. 볶던 재료에 컵우동소스로 간한 뒤 느타리버섯을 넣는다.
5. 소금을 넣은 뜨거운 물에 게맛살을 담가둔다.
6. 방울토마토를 반으로 자른 뒤, 볶던 재료에 넣고 볶아 칠리소스를 만든다.
7. 게맛살을 게 집게 모양으로 자른다.
8. 게맛살에 전분을 입혀 기름에 튀긴다."&amp;"
9. 즉석밥을 전자레인지에 넣고 돌린다.
10. 볶던 칠리소스에 게맛살튀김을 넣고 볶아 칠리크랩을 만든다.
11. 즉석밥을 그릇에 따로 담아낸다.
12. 칠리크랩을 그릇에 담는다.
13. 잘게 썬 쪽파를 칠리크랩 위에 올려 마무리한다.")</f>
        <v>1. 핸드블렌더에 청양고추, 홍고추, 마늘, 적당한 크기로 썬 셀러리를 넣고 간다.
2. 기름을 두른 팬에 간 채소를 넣고 볶는다.
3. 볶던 재료에 설탕을 넣고 볶는다.
4. 볶던 재료에 컵우동소스로 간한 뒤 느타리버섯을 넣는다.
5. 소금을 넣은 뜨거운 물에 게맛살을 담가둔다.
6. 방울토마토를 반으로 자른 뒤, 볶던 재료에 넣고 볶아 칠리소스를 만든다.
7. 게맛살을 게 집게 모양으로 자른다.
8. 게맛살에 전분을 입혀 기름에 튀긴다.
9. 즉석밥을 전자레인지에 넣고 돌린다.
10. 볶던 칠리소스에 게맛살튀김을 넣고 볶아 칠리크랩을 만든다.
11. 즉석밥을 그릇에 따로 담아낸다.
12. 칠리크랩을 그릇에 담는다.
13. 잘게 썬 쪽파를 칠리크랩 위에 올려 마무리한다.</v>
      </c>
    </row>
    <row r="747">
      <c r="A747" s="2" t="str">
        <f>recipe!C747
</f>
        <v>청양냉면</v>
      </c>
      <c r="B747" s="2" t="str">
        <f>IFERROR(__xludf.DUMMYFUNCTION("TRIM(
  REGEXEXTRACT(
    raw!A747,
    ""●\s*조리\s*방법([\s\S]*)""
  )
)
"),"1. 끓는 물에 소고기안심과 달걀을 넣고, 소금을 더해 삶는다.
2. 청양고추에 십자(十)로 길게 칼집을 낸다.
3. 칼집을 낸 청양고추 안에 인스턴트 떡갈비를 넣어 청양고추소박이를 만든다.
4. 청양고추소박이에 밀가루와 달걀물을 묻혀 기름에 튀긴다.
5. 적당한 크기로 썬 청양고추를 믹서기에 넣은 뒤, 뜨거운 물을 더한다.
6. 5에 적당한 크기로 썬 부추를 넣고 간다.
7. 간 청양고추와 부추를 체에 밭쳐 즙만 걸러낸다.
8. 밀가루, "&amp;"전분, 소금, 청양고추즙을 섞어 반죽한 뒤, 면포로 덮어 숙성시킨다.
9. 오이, 양배추, 씻은 총각김치를 채 썬다.
10. 열무김치를 적당한 크기로 썬다.
11. 열무김치국물에 물, 얼음, 식초, 설탕, 총각김치국물을 넣어 냉면육수를 만든다.
12. 사과와 오이를 강판에 간다.
13. 간 사과와 오이를 면포에 넣고 즙을 낸 뒤, 냉면육수에 넣는다.
14. 냉면육수에 간 청양고추와 부추를 넣는다.
15. 숙성시킨 청양고추반죽을 밀대로 얇게 "&amp;"민다.
16. 얇게 민 청양고추반죽을 가늘게 썰어 청양고추면을 만든다.
17. 청양고추면을 끓는 물에 삶는다.
18. 청양고추소박이튀김을 접시에 담아낸다.
19. 삶은 청양고추면을 얼음물에 담가 차게 만든다.
20. 삶은 소고기안심을 적당한 크기로 썬다.
21. 그릇에 채 썬 채소와 김치를 넣은 뒤, 삶은 달걀과 소고기안심을 얹는다.
22. 그릇에 청양고추면을 담은 뒤 냉면육수를 부어 마무리한다.")</f>
        <v>1. 끓는 물에 소고기안심과 달걀을 넣고, 소금을 더해 삶는다.
2. 청양고추에 십자(十)로 길게 칼집을 낸다.
3. 칼집을 낸 청양고추 안에 인스턴트 떡갈비를 넣어 청양고추소박이를 만든다.
4. 청양고추소박이에 밀가루와 달걀물을 묻혀 기름에 튀긴다.
5. 적당한 크기로 썬 청양고추를 믹서기에 넣은 뒤, 뜨거운 물을 더한다.
6. 5에 적당한 크기로 썬 부추를 넣고 간다.
7. 간 청양고추와 부추를 체에 밭쳐 즙만 걸러낸다.
8. 밀가루, 전분, 소금, 청양고추즙을 섞어 반죽한 뒤, 면포로 덮어 숙성시킨다.
9. 오이, 양배추, 씻은 총각김치를 채 썬다.
10. 열무김치를 적당한 크기로 썬다.
11. 열무김치국물에 물, 얼음, 식초, 설탕, 총각김치국물을 넣어 냉면육수를 만든다.
12. 사과와 오이를 강판에 간다.
13. 간 사과와 오이를 면포에 넣고 즙을 낸 뒤, 냉면육수에 넣는다.
14. 냉면육수에 간 청양고추와 부추를 넣는다.
15. 숙성시킨 청양고추반죽을 밀대로 얇게 민다.
16. 얇게 민 청양고추반죽을 가늘게 썰어 청양고추면을 만든다.
17. 청양고추면을 끓는 물에 삶는다.
18. 청양고추소박이튀김을 접시에 담아낸다.
19. 삶은 청양고추면을 얼음물에 담가 차게 만든다.
20. 삶은 소고기안심을 적당한 크기로 썬다.
21. 그릇에 채 썬 채소와 김치를 넣은 뒤, 삶은 달걀과 소고기안심을 얹는다.
22. 그릇에 청양고추면을 담은 뒤 냉면육수를 부어 마무리한다.</v>
      </c>
    </row>
    <row r="748">
      <c r="A748" s="2" t="str">
        <f>recipe!C748
</f>
        <v>대박나새우</v>
      </c>
      <c r="B748" s="2" t="str">
        <f>IFERROR(__xludf.DUMMYFUNCTION("TRIM(
  REGEXEXTRACT(
    raw!A748,
    ""●\s*조리\s*방법([\s\S]*)""
  )
)
"),"1. 뚝배기에 물과 알배추를 넣고 끓인다.
2. 적당한 크기로 썬 양송이버섯, 팽이버섯, 다진 소고기를 뚝배기에 넣는다.
3. 2에 적당한 크기로 썬 듀록 삼겹살, 쯔유, 인스턴트 가츠오육수, 물을 넣고 끓인다.
4. 새우살을 으깬다.
5. 게맛살을 잘게 다진다.
6. 다진 새우와 게맛살에 다진 생강, 청주, 전분, 녹인 버터를 넣고 섞어 딤섬소를 만든다.
7. 달걀흰자에 빨간색 식용 색소를 넣고 핸드블렌더로 섞는다.
8. 달걀흰자에 검정색"&amp;" 식용 색소를 넣고 핸드블렌더로 섞는다.
9. 색을 입힌 달걀흰자로 지단을 구워 빨간색, 검정색 달걀피를 만든다.
10. 달걀노른자로 지단을 구워 노란색 달걀피를 만든다.
11. 색색깔의 달걀피에 다진 딤섬소을 넣고 빚어 찜기에 찐다.
12. 어란을 잘게 썰어 딤섬 위에 올린다.
13. 뚝배기에 끓이던 재료에 떡볶이 떡을 넣고 끓인다.
14. 13에 잘게 썬 청양고추와 홍고추를 올린다.
15. 칠리소스, 케첩, 레몬즙, 설탕을 섞어 소스를 "&amp;"만든 뒤 종지에 담아낸다.")</f>
        <v>1. 뚝배기에 물과 알배추를 넣고 끓인다.
2. 적당한 크기로 썬 양송이버섯, 팽이버섯, 다진 소고기를 뚝배기에 넣는다.
3. 2에 적당한 크기로 썬 듀록 삼겹살, 쯔유, 인스턴트 가츠오육수, 물을 넣고 끓인다.
4. 새우살을 으깬다.
5. 게맛살을 잘게 다진다.
6. 다진 새우와 게맛살에 다진 생강, 청주, 전분, 녹인 버터를 넣고 섞어 딤섬소를 만든다.
7. 달걀흰자에 빨간색 식용 색소를 넣고 핸드블렌더로 섞는다.
8. 달걀흰자에 검정색 식용 색소를 넣고 핸드블렌더로 섞는다.
9. 색을 입힌 달걀흰자로 지단을 구워 빨간색, 검정색 달걀피를 만든다.
10. 달걀노른자로 지단을 구워 노란색 달걀피를 만든다.
11. 색색깔의 달걀피에 다진 딤섬소을 넣고 빚어 찜기에 찐다.
12. 어란을 잘게 썰어 딤섬 위에 올린다.
13. 뚝배기에 끓이던 재료에 떡볶이 떡을 넣고 끓인다.
14. 13에 잘게 썬 청양고추와 홍고추를 올린다.
15. 칠리소스, 케첩, 레몬즙, 설탕을 섞어 소스를 만든 뒤 종지에 담아낸다.</v>
      </c>
    </row>
    <row r="749">
      <c r="A749" s="2" t="str">
        <f>recipe!C749
</f>
        <v>우리집에 와규~</v>
      </c>
      <c r="B749" s="2" t="str">
        <f>IFERROR(__xludf.DUMMYFUNCTION("TRIM(
  REGEXEXTRACT(
    raw!A749,
    ""●\s*조리\s*방법([\s\S]*)""
  )
)
"),"1. 생강을 잘게 다진다.
2. 다진 생강을 물에 담가둔다.
3. 대파 흰 부분을 채 썬다.
4. 채 썬 대파의 일부분을 얼음물에 담가둔다.
5. 남은 채 썬 대파에 전분을 묻힌 뒤 기름에 튀긴다.
6. 튀긴 대파를 체에 밭쳐 기름기를 뺀다.
7. 와규등심에 후추과 소금으로 간한 뒤 석쇠에 올려 직화한다.
8. 감귤의 껍질을 벗긴다.
9. 간장, 식초, 물, 감귤즙, 감귤을 섞는다.
10. 냄비에 청주와 맛술을 넣고 끓인다.
11. 감"&amp;"귤간장소스에 끓인 청주와 맛술을 섞어 감귤폰즈소스를 만든다.
12. 석쇠에 구운 와규등심을 얇게 포 뜬다.
13. 포를 뜬 와규등심에 다진마늘을 바른다.
14. 와규등심에 팽이버섯을 올리고 돌돌 만다.
15. 와규등심에 채 썬 파프리카와 얼음물에 담가둔 파채를 각각 올리고 돌돌 만다.
16. 팬에 올리브오일과 참기름을 넣고 끓인다.
17. 와규채소말이를 접시에 담고 감귤폰즈소스를 뿌린다.
18. 깨를 으깬 뒤, 와규채소말이 위에 뿌린다.
"&amp;"19. 다진 생강과 잘게 썬 시금치를 와규채소말이 위에 뿌린다.
20. 기름을 두른 팬에 시금치를 볶다가 소금, 후추로 간 한다.
21. 끓인 올리브오일&amp;참기름을 와규채소말이 위에 뿌리고, 볶은 시금치와 파채튀김을 곁들인다.
22. 와규채소말이에 후추를 뿌려 마무리한다.")</f>
        <v>1. 생강을 잘게 다진다.
2. 다진 생강을 물에 담가둔다.
3. 대파 흰 부분을 채 썬다.
4. 채 썬 대파의 일부분을 얼음물에 담가둔다.
5. 남은 채 썬 대파에 전분을 묻힌 뒤 기름에 튀긴다.
6. 튀긴 대파를 체에 밭쳐 기름기를 뺀다.
7. 와규등심에 후추과 소금으로 간한 뒤 석쇠에 올려 직화한다.
8. 감귤의 껍질을 벗긴다.
9. 간장, 식초, 물, 감귤즙, 감귤을 섞는다.
10. 냄비에 청주와 맛술을 넣고 끓인다.
11. 감귤간장소스에 끓인 청주와 맛술을 섞어 감귤폰즈소스를 만든다.
12. 석쇠에 구운 와규등심을 얇게 포 뜬다.
13. 포를 뜬 와규등심에 다진마늘을 바른다.
14. 와규등심에 팽이버섯을 올리고 돌돌 만다.
15. 와규등심에 채 썬 파프리카와 얼음물에 담가둔 파채를 각각 올리고 돌돌 만다.
16. 팬에 올리브오일과 참기름을 넣고 끓인다.
17. 와규채소말이를 접시에 담고 감귤폰즈소스를 뿌린다.
18. 깨를 으깬 뒤, 와규채소말이 위에 뿌린다.
19. 다진 생강과 잘게 썬 시금치를 와규채소말이 위에 뿌린다.
20. 기름을 두른 팬에 시금치를 볶다가 소금, 후추로 간 한다.
21. 끓인 올리브오일&amp;참기름을 와규채소말이 위에 뿌리고, 볶은 시금치와 파채튀김을 곁들인다.
22. 와규채소말이에 후추를 뿌려 마무리한다.</v>
      </c>
    </row>
    <row r="750">
      <c r="A750" s="2" t="str">
        <f>recipe!C750
</f>
        <v>최고양</v>
      </c>
      <c r="B750" s="2" t="str">
        <f>IFERROR(__xludf.DUMMYFUNCTION("TRIM(
  REGEXEXTRACT(
    raw!A750,
    ""●\s*조리\s*방법([\s\S]*)""
  )
)
"),"1. 양갈비는 막을 벗겨내고 적당한 크기로 썬다.
2. 절구에 불린 레몬그라스와 마늘, 올리브오일을 넣고 빻는다.
3. 지퍼백에 손질한 양갈비와 빻은 재료, 커민, 파프리카가루, 고수가루를 넣은 뒤 주물러 재워둔다.
4. 핸드블렌더에 딸기를 넣고 간다.
5. 기름을 두른 팬에 간 딸기와 녹차 아이스크림을 넣고 끓인다.
6. 핸드블렌더에 끓인 재료와 민트젤리, 레몬 껍질을 넣고 간 뒤, 팬에 한 번 더 끓여 녹차민트딸기소스를 만든다.
7. 절구"&amp;"에 새우젓, 케이퍼, 잘게 썬 청양고추를 넣고 빻는다.
8. 7에 올리브와 올리브오일을 넣고 빻아 올리브 타프나드를 만든다.
9. 올리브 타프나드에 소금을 더한다.
10. 양파는 채 썰고 대파는 잘게 썬다.
11. 재워둔 양갈비에 손질한 채소를 넣고 주무른다.
12. 기름을 두른 팬에 양갈비와 채소를 굽는다.
13. 구운 양갈비를 먹기 좋게 손질한 뒤 토치로 직화한다.
14. 접시에 구운 양갈비를 올린 뒤 녹차민트딸기소스를 곁들인다.
15"&amp;". 올리브 타프나드에 새우젓을 더해 빻는다.
16. 녹차민트딸기소스 위에 올리브 타프나드를 올린 뒤 레몬즙, 소금, 올리브오일을 뿌려 완성한다.")</f>
        <v>1. 양갈비는 막을 벗겨내고 적당한 크기로 썬다.
2. 절구에 불린 레몬그라스와 마늘, 올리브오일을 넣고 빻는다.
3. 지퍼백에 손질한 양갈비와 빻은 재료, 커민, 파프리카가루, 고수가루를 넣은 뒤 주물러 재워둔다.
4. 핸드블렌더에 딸기를 넣고 간다.
5. 기름을 두른 팬에 간 딸기와 녹차 아이스크림을 넣고 끓인다.
6. 핸드블렌더에 끓인 재료와 민트젤리, 레몬 껍질을 넣고 간 뒤, 팬에 한 번 더 끓여 녹차민트딸기소스를 만든다.
7. 절구에 새우젓, 케이퍼, 잘게 썬 청양고추를 넣고 빻는다.
8. 7에 올리브와 올리브오일을 넣고 빻아 올리브 타프나드를 만든다.
9. 올리브 타프나드에 소금을 더한다.
10. 양파는 채 썰고 대파는 잘게 썬다.
11. 재워둔 양갈비에 손질한 채소를 넣고 주무른다.
12. 기름을 두른 팬에 양갈비와 채소를 굽는다.
13. 구운 양갈비를 먹기 좋게 손질한 뒤 토치로 직화한다.
14. 접시에 구운 양갈비를 올린 뒤 녹차민트딸기소스를 곁들인다.
15. 올리브 타프나드에 새우젓을 더해 빻는다.
16. 녹차민트딸기소스 위에 올리브 타프나드를 올린 뒤 레몬즙, 소금, 올리브오일을 뿌려 완성한다.</v>
      </c>
    </row>
    <row r="751">
      <c r="A751" s="2" t="str">
        <f>recipe!C751
</f>
        <v>오케이 마초샌드</v>
      </c>
      <c r="B751" s="2" t="str">
        <f>IFERROR(__xludf.DUMMYFUNCTION("TRIM(
  REGEXEXTRACT(
    raw!A751,
    ""●\s*조리\s*방법([\s\S]*)""
  )
)
"),"1. 끓는 기름에 적당한 크기로 썬 대파, 고춧가루, 페페론치노를 넣고 고추기름을 낸다.
2. 고추기름에 마늘을 넣고 끓인다.
3. 끓는 물에 라면을 삶는다.
4. 듀록 삼겹살을 적당한 크기로 썬다.
5. 듀록 삼겹살에 쯔유, 커민, 파프리카가루, 맛술, 후추를 넣고 버무린다.
6. 고추기름을 체에 밭쳐 거른다.
7. 삶은 라면을 팬에 납작하게 깔고 끓는 기름을 부어 튀긴다.
8. 양념한 삼겹살에 전분을 묻힌다.
9. 냄비에 삶은 라면을 "&amp;"납작하게 깔고 전분을 묻힌 삼겹살을 올린 뒤, 끓는 기름을 부어 튀긴다.
10. 양파를 채 썬다.
11. 고추기름을 두른 팬에 채 썬 양파를 볶다가 오렌지주스, 케이퍼, 버터, 레몬즙을 넣고 끓여 오렌지케이퍼소스를 만든다.
12. 튀긴 초면을 건져내 기름기를 뺀다.
13. 코코아가루에 뜨거운 물을 부어 녹인 뒤 설탕을 더해 끓인다.
14. 13에 마요네즈를 섞어 마요네즈초콜릿소스를 만든다.
15. 삼겹살을 올린 초면에 에멘탈치즈를 갈아 올린다"&amp;".
16. 15 위에 초면을 덮어 샌드한다.
17. 오렌지케이퍼소스와 마요네즈초콜릿소스를 각각 담아낸다.")</f>
        <v>1. 끓는 기름에 적당한 크기로 썬 대파, 고춧가루, 페페론치노를 넣고 고추기름을 낸다.
2. 고추기름에 마늘을 넣고 끓인다.
3. 끓는 물에 라면을 삶는다.
4. 듀록 삼겹살을 적당한 크기로 썬다.
5. 듀록 삼겹살에 쯔유, 커민, 파프리카가루, 맛술, 후추를 넣고 버무린다.
6. 고추기름을 체에 밭쳐 거른다.
7. 삶은 라면을 팬에 납작하게 깔고 끓는 기름을 부어 튀긴다.
8. 양념한 삼겹살에 전분을 묻힌다.
9. 냄비에 삶은 라면을 납작하게 깔고 전분을 묻힌 삼겹살을 올린 뒤, 끓는 기름을 부어 튀긴다.
10. 양파를 채 썬다.
11. 고추기름을 두른 팬에 채 썬 양파를 볶다가 오렌지주스, 케이퍼, 버터, 레몬즙을 넣고 끓여 오렌지케이퍼소스를 만든다.
12. 튀긴 초면을 건져내 기름기를 뺀다.
13. 코코아가루에 뜨거운 물을 부어 녹인 뒤 설탕을 더해 끓인다.
14. 13에 마요네즈를 섞어 마요네즈초콜릿소스를 만든다.
15. 삼겹살을 올린 초면에 에멘탈치즈를 갈아 올린다.
16. 15 위에 초면을 덮어 샌드한다.
17. 오렌지케이퍼소스와 마요네즈초콜릿소스를 각각 담아낸다.</v>
      </c>
    </row>
    <row r="752">
      <c r="A752" s="2" t="str">
        <f>recipe!C752
</f>
        <v>타코 판타지아♬</v>
      </c>
      <c r="B752" s="2" t="str">
        <f>IFERROR(__xludf.DUMMYFUNCTION("TRIM(
  REGEXEXTRACT(
    raw!A752,
    ""●\s*조리\s*방법([\s\S]*)""
  )
)
"),"1. 핸드블렌더에 할리페뇨라임원액, 고수, 커민, 설탕, 고춧가루, 다진 마늘, 간장,
적당한 크기로 썬 대파를 넣고 간다.
2. 간 재료에 라임즙을 넣는다.
3. 양파를 잘게 썬다.
4. 간 재료에 잘게 썬 양파를 넣고 한 번 더 갈아 할라페뇨고수소스를 만든다.
5. 기름을 두른 그릴팬에 슬라이스한 양파와 청양고추를 굽는다.
6. 굽던 양파와 청양고추, 할라페뇨고수소스에 각각 소금을 더한다.
7. 사워크림에 레몬즙, 렐리시, 다진 케이퍼, "&amp;"올리브오일, 잘게 썬 양파를 넣고 섞어 사워크림소스를 만든다.
8. 토마토와 양파, 고수를 잘게 썰어 섞는다.
9. 8에 잘게 썬 아보카도를 넣는다.
10. 밀가루에 달걀, 물, 파프리카가루를 넣고 섞어 튀김반죽을 만든다.
11. 틸라피아를 적당한 크기로 썬 뒤, 튀김반죽을 입힌다.
12. 핸드블렌더에 블랙올리브를 넣고 간다.
13. 간 블랙올리브와 구운 양파, 잘게 썬 샬롯, 레몬즙, 소금, 올리브오일, 후추를 섞어 양파절임을 만든다.
1"&amp;"4. 튀김반죽을 입힌 틸라피아를 기름에 튀긴다.
15. 틸라피아튀김을 건져낸 뒤, 소금과 커민을 넣고 버무린다.
16. 슬라이스한 토마토를 그릴팬에 굽는다.
17. 구운 청양고추를 적당한 크기로 썬 뒤 토마토, 양파, 고수, 아보카도와 섞는다.
18. 17에 올리브오일, 후추, 레몬즙을 더해 토마토살사를 만든다.
19. 양상추를 잘게 썬다.
20. 마른 팬에 토르티야를 굽는다.
21. 접시에 구운 토마토와 양파절임을 담고, 루콜라를 올린다."&amp;"
22. 구운 토르티야 위에 토마토살사&gt;틸라피아튀김&gt;사워크림소스&gt;할라페뇨고수소스를 올린다.
23. 타코에 잘게 썬 고수, 양상추를 올린다.
24. 적당한 크기로 썬 라임을 곁들여 마무리한다.")</f>
        <v>1. 핸드블렌더에 할리페뇨라임원액, 고수, 커민, 설탕, 고춧가루, 다진 마늘, 간장,
적당한 크기로 썬 대파를 넣고 간다.
2. 간 재료에 라임즙을 넣는다.
3. 양파를 잘게 썬다.
4. 간 재료에 잘게 썬 양파를 넣고 한 번 더 갈아 할라페뇨고수소스를 만든다.
5. 기름을 두른 그릴팬에 슬라이스한 양파와 청양고추를 굽는다.
6. 굽던 양파와 청양고추, 할라페뇨고수소스에 각각 소금을 더한다.
7. 사워크림에 레몬즙, 렐리시, 다진 케이퍼, 올리브오일, 잘게 썬 양파를 넣고 섞어 사워크림소스를 만든다.
8. 토마토와 양파, 고수를 잘게 썰어 섞는다.
9. 8에 잘게 썬 아보카도를 넣는다.
10. 밀가루에 달걀, 물, 파프리카가루를 넣고 섞어 튀김반죽을 만든다.
11. 틸라피아를 적당한 크기로 썬 뒤, 튀김반죽을 입힌다.
12. 핸드블렌더에 블랙올리브를 넣고 간다.
13. 간 블랙올리브와 구운 양파, 잘게 썬 샬롯, 레몬즙, 소금, 올리브오일, 후추를 섞어 양파절임을 만든다.
14. 튀김반죽을 입힌 틸라피아를 기름에 튀긴다.
15. 틸라피아튀김을 건져낸 뒤, 소금과 커민을 넣고 버무린다.
16. 슬라이스한 토마토를 그릴팬에 굽는다.
17. 구운 청양고추를 적당한 크기로 썬 뒤 토마토, 양파, 고수, 아보카도와 섞는다.
18. 17에 올리브오일, 후추, 레몬즙을 더해 토마토살사를 만든다.
19. 양상추를 잘게 썬다.
20. 마른 팬에 토르티야를 굽는다.
21. 접시에 구운 토마토와 양파절임을 담고, 루콜라를 올린다.
22. 구운 토르티야 위에 토마토살사&gt;틸라피아튀김&gt;사워크림소스&gt;할라페뇨고수소스를 올린다.
23. 타코에 잘게 썬 고수, 양상추를 올린다.
24. 적당한 크기로 썬 라임을 곁들여 마무리한다.</v>
      </c>
    </row>
    <row r="753">
      <c r="A753" s="2" t="str">
        <f>recipe!C753
</f>
        <v>살몬 판타지아♬</v>
      </c>
      <c r="B753" s="2" t="str">
        <f>IFERROR(__xludf.DUMMYFUNCTION("TRIM(
  REGEXEXTRACT(
    raw!A753,
    ""●\s*조리\s*방법([\s\S]*)""
  )
)
"),"1. 연어의 살과 껍질을 분리한다.
2. 연어 껍질에 소금, 후추로 간한 뒤 오븐에 넣고 굽는다.
3. 냄비에 화이트와인, 오미자원액, 간 너트메그, 사프란을 넣는다.
4. 3에 월계수잎, 샬롯, 소금, 오레가노홀, 후추를 넣고 끓인다.
5. 끓이던 재료에 적당한 크기로 자른 연어를 넣고 약한 불에서 천천히 익힌다.
6. 마른 팬에 냉동 콜리플라워, 냉동 아스파라거스, 냉동 그린빈,
냉동 브로콜리와 적당한 크기로 썬 당근, 버터를 넣고 볶는다."&amp;"
7. 볶던 채소에 뜨거운 물을 더한 뒤, 잘게 썬 마늘과 후추를 넣는다.
8. 익히던 연어에 너트매그홀을 넣는다.
9. 슬라이스한 래디시와 애플민트를 얼음물에 담가둔다.
10. 핸드블렌더에 아보카도, 케이퍼, 소금, 크림치즈를 넣고 갈아 아보카도무스를 만든다.
11. 화이트와인에 수비드한 연어를 건져낸다.
12. 오븐에 구운 연어 껍질을 꺼내 남은 살을 모두 발라낸 뒤, 한 번 더 굽는다.
13. 접시에 엔다이브를 올린 뒤, 아보카도무스와"&amp;" 수비드 연어를 담고 소금을 뿌린다.
14. 볶은 채소에 사워크림을 섞은 뒤 접시에 담는다.
15. 화이트와인에 익힌 샬롯과 슬라이스한 래디시, 애플민트와 라임 껍질을 갈아 올린다.
16. 오븐에 구운 연어 껍질을 곁들인다.")</f>
        <v>1. 연어의 살과 껍질을 분리한다.
2. 연어 껍질에 소금, 후추로 간한 뒤 오븐에 넣고 굽는다.
3. 냄비에 화이트와인, 오미자원액, 간 너트메그, 사프란을 넣는다.
4. 3에 월계수잎, 샬롯, 소금, 오레가노홀, 후추를 넣고 끓인다.
5. 끓이던 재료에 적당한 크기로 자른 연어를 넣고 약한 불에서 천천히 익힌다.
6. 마른 팬에 냉동 콜리플라워, 냉동 아스파라거스, 냉동 그린빈,
냉동 브로콜리와 적당한 크기로 썬 당근, 버터를 넣고 볶는다.
7. 볶던 채소에 뜨거운 물을 더한 뒤, 잘게 썬 마늘과 후추를 넣는다.
8. 익히던 연어에 너트매그홀을 넣는다.
9. 슬라이스한 래디시와 애플민트를 얼음물에 담가둔다.
10. 핸드블렌더에 아보카도, 케이퍼, 소금, 크림치즈를 넣고 갈아 아보카도무스를 만든다.
11. 화이트와인에 수비드한 연어를 건져낸다.
12. 오븐에 구운 연어 껍질을 꺼내 남은 살을 모두 발라낸 뒤, 한 번 더 굽는다.
13. 접시에 엔다이브를 올린 뒤, 아보카도무스와 수비드 연어를 담고 소금을 뿌린다.
14. 볶은 채소에 사워크림을 섞은 뒤 접시에 담는다.
15. 화이트와인에 익힌 샬롯과 슬라이스한 래디시, 애플민트와 라임 껍질을 갈아 올린다.
16. 오븐에 구운 연어 껍질을 곁들인다.</v>
      </c>
    </row>
    <row r="754">
      <c r="A754" s="2" t="str">
        <f>recipe!C754
</f>
        <v>캡틴 아메리카</v>
      </c>
      <c r="B754" s="2" t="str">
        <f>IFERROR(__xludf.DUMMYFUNCTION("TRIM(
  REGEXEXTRACT(
    raw!A754,
    ""●\s*조리\s*방법([\s\S]*)""
  )
)
"),"1. 압력솥에 기름을 두른다.
2. 양파를 채 썬다.
3. 채 썬 양파를 압력솥에 넣는다.
4. 지퍼백에 적당한 크기로 썬 당근, 닭고기를 넣고 고기망치로 두드려 으깬다.
5. 압력솥에 으깬 닭고기와 당근, 셀러리, 우유, 맛술, 월계수잎, 오레가노홀, 파슬리를 넣는다.
6. 5에 뜨거운 물을 넣은 뒤, 뚜껑을 덮어 끓여 닭육수를 낸다.
7. 스파게티면을 지퍼백에 넣고 잘게 부순다.
8. 끓는 물에 부순 스파게티면을 삶는다.
9. 밀가루에"&amp;" 베이킹파우더와 소금을 섞는다.
10. 달걀물에 식용유, 설탕, 버터를 넣고 섞는다.
11. 베이킹파우더와 소금을 넣은 밀가루에 달걀물을 섞어 케이크반죽을 만든다.
12. 케이크반죽에 라임 껍질을 갈아 넣은 뒤, 머그컵에 넣는다.
13. 케이크반죽을 전자레인지에 넣고 돌린다.
14. 믹서기에 설탕, 옥수수전분, 라임즙을 넣고 갈아 라임아이싱을 만든다.
15. 청양고추를 석쇠에 올려 직화한다.
16. 팬에 냉동 애플망고, 라임즙, 링곤베리잼,"&amp;" 잘게 썬 애플민트를 넣고 볶는다.
17. 핸드블렌더에 볶은 재료를 넣고 갈아 애플망고소스를 만든다.
18. 전자레인지에서 라임케이크를 꺼내 랩으로 싸둔다.
19. 구운 청양고추를 잘게 썰어 종지에 담는다.
20. 애플망고소스를 그릇에 담는다.
21. 애플망고소스 위에 라임케이크를 올리고, 라임아이싱을 바른다.
22. 스파게티면을 삶던 냄비에서 면수를 덜어낸다.
23. 22에 닭육수를 넣고 끓여 치킨누들수프를 만든다.
24. 그릇에 치킨누"&amp;"들수프를 담아낸다.")</f>
        <v>1. 압력솥에 기름을 두른다.
2. 양파를 채 썬다.
3. 채 썬 양파를 압력솥에 넣는다.
4. 지퍼백에 적당한 크기로 썬 당근, 닭고기를 넣고 고기망치로 두드려 으깬다.
5. 압력솥에 으깬 닭고기와 당근, 셀러리, 우유, 맛술, 월계수잎, 오레가노홀, 파슬리를 넣는다.
6. 5에 뜨거운 물을 넣은 뒤, 뚜껑을 덮어 끓여 닭육수를 낸다.
7. 스파게티면을 지퍼백에 넣고 잘게 부순다.
8. 끓는 물에 부순 스파게티면을 삶는다.
9. 밀가루에 베이킹파우더와 소금을 섞는다.
10. 달걀물에 식용유, 설탕, 버터를 넣고 섞는다.
11. 베이킹파우더와 소금을 넣은 밀가루에 달걀물을 섞어 케이크반죽을 만든다.
12. 케이크반죽에 라임 껍질을 갈아 넣은 뒤, 머그컵에 넣는다.
13. 케이크반죽을 전자레인지에 넣고 돌린다.
14. 믹서기에 설탕, 옥수수전분, 라임즙을 넣고 갈아 라임아이싱을 만든다.
15. 청양고추를 석쇠에 올려 직화한다.
16. 팬에 냉동 애플망고, 라임즙, 링곤베리잼, 잘게 썬 애플민트를 넣고 볶는다.
17. 핸드블렌더에 볶은 재료를 넣고 갈아 애플망고소스를 만든다.
18. 전자레인지에서 라임케이크를 꺼내 랩으로 싸둔다.
19. 구운 청양고추를 잘게 썰어 종지에 담는다.
20. 애플망고소스를 그릇에 담는다.
21. 애플망고소스 위에 라임케이크를 올리고, 라임아이싱을 바른다.
22. 스파게티면을 삶던 냄비에서 면수를 덜어낸다.
23. 22에 닭육수를 넣고 끓여 치킨누들수프를 만든다.
24. 그릇에 치킨누들수프를 담아낸다.</v>
      </c>
    </row>
    <row r="755">
      <c r="A755" s="2" t="str">
        <f>recipe!C755
</f>
        <v>부산행</v>
      </c>
      <c r="B755" s="2" t="str">
        <f>IFERROR(__xludf.DUMMYFUNCTION("TRIM(
  REGEXEXTRACT(
    raw!A755,
    ""●\s*조리\s*방법([\s\S]*)""
  )
)
"),"1. 양파를 채 썬다.
2. 맛술을 넣어 끓인 물에 손질한 조기를 넣고 데친다.
3. 기름을 두른 팬에 채 썬 양파, 백합을 넣고 볶다가 뜨거운 물, 소금,
불린 건고사리, 다시마를 넣고 끓여 백합육수를 낸다.
4. 무를 얇게 슬라이스한 뒤, 채 썬다.
5. 데친 조기의 살을 발라낸다.
6. 백합육수를 체에 밭쳐 육수만 걸러낸 뒤, 채 썬 무, 조기살, 고추장,
다진 마늘, 고춧가루, 불린 건표고버섯을 넣고 끓인다.
7. 끓이던 재료에 아프리"&amp;"카고추양념장, 맛술, 멸치액젓을 넣는다.
8. 백합의 살을 발라낸다.
9. 밀가루에 달걀노른자, 잘게 썬 고수를 넣는다.
10. 9에 잘게 썬 셀러리, 산초가루, 백합살, 아프리카고추양념장을 넣고 섞어 반죽을 만든다.
11. 기름을 두른 팬에 반죽을 적당한 크기로 부친다.
12. 아프리카고추양념장, 간장, 식초를 넣어 양념장을 만든다.
13. 접시에 물엿을 바른다.
14. 물엿을 바른 접시에 조기뼈를 올린 뒤, 고춧가루를 뿌린다.
15. "&amp;"믹서기에 건새우를 간다.
16. 조기뼈 위에 체에 거른 건새우가루를 뿌린다.
17. 건새우가루 위에 아사이베리가루를 뿌린다.
18. 조기무조림을 그릇에 담고 건새우가루를 뿌린다.
19. 즉석밥을 그릇에 담는다.
20. 접시에 백합고수전을 담고, 레몬 슬라이스를 곁들인다.")</f>
        <v>1. 양파를 채 썬다.
2. 맛술을 넣어 끓인 물에 손질한 조기를 넣고 데친다.
3. 기름을 두른 팬에 채 썬 양파, 백합을 넣고 볶다가 뜨거운 물, 소금,
불린 건고사리, 다시마를 넣고 끓여 백합육수를 낸다.
4. 무를 얇게 슬라이스한 뒤, 채 썬다.
5. 데친 조기의 살을 발라낸다.
6. 백합육수를 체에 밭쳐 육수만 걸러낸 뒤, 채 썬 무, 조기살, 고추장,
다진 마늘, 고춧가루, 불린 건표고버섯을 넣고 끓인다.
7. 끓이던 재료에 아프리카고추양념장, 맛술, 멸치액젓을 넣는다.
8. 백합의 살을 발라낸다.
9. 밀가루에 달걀노른자, 잘게 썬 고수를 넣는다.
10. 9에 잘게 썬 셀러리, 산초가루, 백합살, 아프리카고추양념장을 넣고 섞어 반죽을 만든다.
11. 기름을 두른 팬에 반죽을 적당한 크기로 부친다.
12. 아프리카고추양념장, 간장, 식초를 넣어 양념장을 만든다.
13. 접시에 물엿을 바른다.
14. 물엿을 바른 접시에 조기뼈를 올린 뒤, 고춧가루를 뿌린다.
15. 믹서기에 건새우를 간다.
16. 조기뼈 위에 체에 거른 건새우가루를 뿌린다.
17. 건새우가루 위에 아사이베리가루를 뿌린다.
18. 조기무조림을 그릇에 담고 건새우가루를 뿌린다.
19. 즉석밥을 그릇에 담는다.
20. 접시에 백합고수전을 담고, 레몬 슬라이스를 곁들인다.</v>
      </c>
    </row>
    <row r="756">
      <c r="A756" s="2" t="str">
        <f>recipe!C756
</f>
        <v>풍식 두비두밥♬</v>
      </c>
      <c r="B756" s="2" t="str">
        <f>IFERROR(__xludf.DUMMYFUNCTION("TRIM(
  REGEXEXTRACT(
    raw!A756,
    ""●\s*조리\s*방법([\s\S]*)""
  )
)
"),"1. 핸드블렌더에 홍고추, 청양고추, 마늘, 대파를 넣고 간다.
2. 기름을 끓이던 팬에 간 채소를 넣고 볶는다.
3. 냄비에 간장, 해물육수팩을 넣는다.
4. 끓이던 간장소스에 뜨거운 물, 설탕을 넣고 끓인다.
5. 핸드블렌더에 돼지목살을 넣고 간다.
6. 볶던 채소에 간 돼지목살, 고춧가루, 굴소스를 넣고 볶는다.
7. 볶던 재료에 설탕과 간장소스를 넣는다.
8. 두부를 적당한 크기로 썬 뒤, 기름에 튀긴다.
9. 끓는 물에 해물육수팩"&amp;", 건새우를 넣고 해물육수를 낸다.
10. 오이를 얇게 슬라이스 한다.
11. 볶던 재료에 두부튀김, 식초를 넣고 두부덮밥소스를 만든다.
12. 해물육수를 체에 밭쳐 거른 뒤, 소금을 넣고 끓인다.
13. 해물육수를 그릇에 담고, 후추, 슬라이스한 오이를 넣어 중국식 오이탕을 만든다.
14. 접시에 즉석밥과 두부덮밥소스를 담아낸다.")</f>
        <v>1. 핸드블렌더에 홍고추, 청양고추, 마늘, 대파를 넣고 간다.
2. 기름을 끓이던 팬에 간 채소를 넣고 볶는다.
3. 냄비에 간장, 해물육수팩을 넣는다.
4. 끓이던 간장소스에 뜨거운 물, 설탕을 넣고 끓인다.
5. 핸드블렌더에 돼지목살을 넣고 간다.
6. 볶던 채소에 간 돼지목살, 고춧가루, 굴소스를 넣고 볶는다.
7. 볶던 재료에 설탕과 간장소스를 넣는다.
8. 두부를 적당한 크기로 썬 뒤, 기름에 튀긴다.
9. 끓는 물에 해물육수팩, 건새우를 넣고 해물육수를 낸다.
10. 오이를 얇게 슬라이스 한다.
11. 볶던 재료에 두부튀김, 식초를 넣고 두부덮밥소스를 만든다.
12. 해물육수를 체에 밭쳐 거른 뒤, 소금을 넣고 끓인다.
13. 해물육수를 그릇에 담고, 후추, 슬라이스한 오이를 넣어 중국식 오이탕을 만든다.
14. 접시에 즉석밥과 두부덮밥소스를 담아낸다.</v>
      </c>
    </row>
    <row r="757">
      <c r="A757" s="2" t="str">
        <f>recipe!C757
</f>
        <v>한현민 Go! 현민 Go!</v>
      </c>
      <c r="B757" s="2" t="str">
        <f>IFERROR(__xludf.DUMMYFUNCTION("TRIM(
  REGEXEXTRACT(
    raw!A757,
    ""●\s*조리\s*방법([\s\S]*)""
  )
)
"),"1. 끓는 기름에 적당한 크기로 썬 대파를 넣는다.
2. 1에 고춧가루를 넣고 끓여 고추기름을 낸다.
3. 고사리무침을 지퍼백에 넣고 고기망치로 두드려 으깬다.
4. 물을 끓이던 압력솥에 으깬 고사리무침을 넣고 끓인다.
5. 고사리무침에 적당한 크기로 썬 돼지 뒷다리살, 다진 마늘, 조미료, 으깬 만두를 넣고 익힌다.
6. 고추기름을 체에 밭쳐 거른다.
7. 고등어의 가시를 발라낸다.
8. 기름을 두른 팬에 고등어를 넣고, 소금으로 간 한 "&amp;"뒤 굽는다.
9. 구운 고등어에 청주를 넣고 불을 붙여 비린내를 날린다.
10. 대파, 애호박, 양파를 잘게 썬다.
11. 기름을 두른 팬에 손질한 채소와 밥을 넣고 볶는다.
12. 굽던 고등어를 으깬 뒤, 볶음밥에 넣고 함께 볶는다.
13. 고등어볶음밥에 소금과 잘게 썬 청양고추를 넣고 볶는다.
14. 압력솥에 익힌 재료를 팬에 옮겨 담고 뜨거운 물, 간장, 고춧가루, 고추기름을 더해 끓여 고사리육개장을 만든다.
15. 핸드블렌더에 고사리"&amp;"육개장을 넣고 간 뒤, 팬에 넣고 한 번 더 끓인다.
16. 고사리육개장에 조미료를 더한다.
17. 고등어볶음밥에 굴소스, 달걀을 넣고 볶는다.
18. 고등어볶음밥에 고춧가루, 고추기름을 더한다.
19. 고사리육개장에 전분물을 넣어 농도를 조절한 뒤, 뚝배기에 옮겨 담는다.
20. 고사리육개장에 잘게 썬 청양고추, 고춧가루를 올린다.
21. 접시에 고등어볶음밥을 담아낸다.")</f>
        <v>1. 끓는 기름에 적당한 크기로 썬 대파를 넣는다.
2. 1에 고춧가루를 넣고 끓여 고추기름을 낸다.
3. 고사리무침을 지퍼백에 넣고 고기망치로 두드려 으깬다.
4. 물을 끓이던 압력솥에 으깬 고사리무침을 넣고 끓인다.
5. 고사리무침에 적당한 크기로 썬 돼지 뒷다리살, 다진 마늘, 조미료, 으깬 만두를 넣고 익힌다.
6. 고추기름을 체에 밭쳐 거른다.
7. 고등어의 가시를 발라낸다.
8. 기름을 두른 팬에 고등어를 넣고, 소금으로 간 한 뒤 굽는다.
9. 구운 고등어에 청주를 넣고 불을 붙여 비린내를 날린다.
10. 대파, 애호박, 양파를 잘게 썬다.
11. 기름을 두른 팬에 손질한 채소와 밥을 넣고 볶는다.
12. 굽던 고등어를 으깬 뒤, 볶음밥에 넣고 함께 볶는다.
13. 고등어볶음밥에 소금과 잘게 썬 청양고추를 넣고 볶는다.
14. 압력솥에 익힌 재료를 팬에 옮겨 담고 뜨거운 물, 간장, 고춧가루, 고추기름을 더해 끓여 고사리육개장을 만든다.
15. 핸드블렌더에 고사리육개장을 넣고 간 뒤, 팬에 넣고 한 번 더 끓인다.
16. 고사리육개장에 조미료를 더한다.
17. 고등어볶음밥에 굴소스, 달걀을 넣고 볶는다.
18. 고등어볶음밥에 고춧가루, 고추기름을 더한다.
19. 고사리육개장에 전분물을 넣어 농도를 조절한 뒤, 뚝배기에 옮겨 담는다.
20. 고사리육개장에 잘게 썬 청양고추, 고춧가루를 올린다.
21. 접시에 고등어볶음밥을 담아낸다.</v>
      </c>
    </row>
    <row r="758">
      <c r="A758" s="2" t="str">
        <f>recipe!C758
</f>
        <v>한국인의 밥상</v>
      </c>
      <c r="B758" s="2" t="str">
        <f>IFERROR(__xludf.DUMMYFUNCTION("TRIM(
  REGEXEXTRACT(
    raw!A758,
    ""●\s*조리\s*방법([\s\S]*)""
  )
)
"),"1. 냄비에 김치, 설탕, 식초, 물을 넣고 끓인다.
2. 끓이던 김치에 양파즙을 더해 묵은지를 만든다.
3. 즉석밥을 전자레인지에 넣고 돌린다.
4. 냄비에 물, 해물육수팩, 간장, 설탕을 넣고 끓인다.
5. 간장소스에 적당한 크기로 썬 청양고추를 넣는다.
6. 기름을 두른 팬에 적당한 크기로 썬 대파, 으깬 마늘, 고추장아찌, 조미료, 고춧가루를 넣고 볶는다.
7. 돼지목살, 닭가슴살, 훈제오리, 인스턴트 동그랑땡을 적당한 크기로 썬다.
"&amp;"
8. 7을 볶던 채소에 넣고 함께 볶는다.
9. 볶던 재료에 뜨거운 물을 넣고 끓인다.
10. 9에 묵은지를 넣고 끓여 묵은지얼큰탕을 만든다.
11. 낙지젓을 물에 씻는다.
12. 핸드블렌더에 씻은 낙지젓, 잘게 썬 어묵을 넣고 간다.
13. 라이스페이퍼를 뜨거운 물에 불린 뒤, 적당한 크기로 썬 어묵과 간 낙지&amp;어묵을 넣고 감싼다.
14. 13을 라이스페이퍼로 한 번 더 감싼 뒤, 튀김가루를 묻혀 기름에 튀긴다.
15. 묵은지얼큰탕에 다"&amp;"진 마늘, 고춧가루, 잘게 썬 홍고추, 청양고추를 넣는다.
16. 묵은지얼큰탕을 뚝배기에 옮겨 담고, 고춧가루를 더한다.
17. 핸드블렌더에 홍고추와 청양고추를 넣고 간 뒤, 종지에 담는다.
18. 간장소스를 체에 밭쳐 건더기를 걸러낸다.
19. 종지에 간장소스를 더해 양념장을 만든다.
20. 즉석밥을 그릇에 담는다.
21. 낙지어묵튀김을 건져 기름을 뺀다.
22. 간장소스를 그릇에 담고, 잘게 썬 홍고추와 청양고추를 넣는다.
23. 22"&amp;" 위에 낙지어묵튀김을 담아 간장낙지장을 만든다.")</f>
        <v>1. 냄비에 김치, 설탕, 식초, 물을 넣고 끓인다.
2. 끓이던 김치에 양파즙을 더해 묵은지를 만든다.
3. 즉석밥을 전자레인지에 넣고 돌린다.
4. 냄비에 물, 해물육수팩, 간장, 설탕을 넣고 끓인다.
5. 간장소스에 적당한 크기로 썬 청양고추를 넣는다.
6. 기름을 두른 팬에 적당한 크기로 썬 대파, 으깬 마늘, 고추장아찌, 조미료, 고춧가루를 넣고 볶는다.
7. 돼지목살, 닭가슴살, 훈제오리, 인스턴트 동그랑땡을 적당한 크기로 썬다.
8. 7을 볶던 채소에 넣고 함께 볶는다.
9. 볶던 재료에 뜨거운 물을 넣고 끓인다.
10. 9에 묵은지를 넣고 끓여 묵은지얼큰탕을 만든다.
11. 낙지젓을 물에 씻는다.
12. 핸드블렌더에 씻은 낙지젓, 잘게 썬 어묵을 넣고 간다.
13. 라이스페이퍼를 뜨거운 물에 불린 뒤, 적당한 크기로 썬 어묵과 간 낙지&amp;어묵을 넣고 감싼다.
14. 13을 라이스페이퍼로 한 번 더 감싼 뒤, 튀김가루를 묻혀 기름에 튀긴다.
15. 묵은지얼큰탕에 다진 마늘, 고춧가루, 잘게 썬 홍고추, 청양고추를 넣는다.
16. 묵은지얼큰탕을 뚝배기에 옮겨 담고, 고춧가루를 더한다.
17. 핸드블렌더에 홍고추와 청양고추를 넣고 간 뒤, 종지에 담는다.
18. 간장소스를 체에 밭쳐 건더기를 걸러낸다.
19. 종지에 간장소스를 더해 양념장을 만든다.
20. 즉석밥을 그릇에 담는다.
21. 낙지어묵튀김을 건져 기름을 뺀다.
22. 간장소스를 그릇에 담고, 잘게 썬 홍고추와 청양고추를 넣는다.
23. 22 위에 낙지어묵튀김을 담아 간장낙지장을 만든다.</v>
      </c>
    </row>
    <row r="759">
      <c r="A759" s="2" t="str">
        <f>recipe!C759
</f>
        <v>아재볼</v>
      </c>
      <c r="B759" s="2" t="str">
        <f>IFERROR(__xludf.DUMMYFUNCTION("TRIM(
  REGEXEXTRACT(
    raw!A759,
    ""●\s*조리\s*방법([\s\S]*)""
  )
)
"),"1. 기름을 두른 팬에 잘게 썬 느타리버섯, 양파, 양송이수프 분말을 넣고 볶는다.
2. 볼에 잘게 썬 양파, 다진 돼지고기, 다진 소고기, 달걀, 잘게 썬 청양고추를 넣는다.
3. 2에 물을 더한 양송이수프 분말, 후추, 소금을 넣고 치댄다.
4. 고기반죽을 동그랗게 뭉쳐 미트볼을 만든다.
5. 미트볼에 튀김가루를 묻힌 뒤, 기름에 튀긴다.
6. 양파즙, 물, 소금을 섞는다.
7. 애호박을 길게 슬라이스한 뒤, 양파즙&gt;튀김가루&gt;양파즙을 순서"&amp;"대로 묻힌다.
8. 애호박을 기름에 튀긴다.
9. 핸드블렌더에 토마토소스, 소금, 후추, 고춧가루를 넣고 간다.
10. 볶던 채소에 토마토소스와 고추장을 넣고 끓여 매운 토마토소스를 만든다.
11. 매운 토마토소스를 그릇에 담고, 튀긴 미트볼을 올린다.
12. 고추장아찌를 잘게 썬 뒤, 미트볼 위에 뿌린다.
13. 접시에 애호박칩을 담고, 고춧가루를 뿌린다.")</f>
        <v>1. 기름을 두른 팬에 잘게 썬 느타리버섯, 양파, 양송이수프 분말을 넣고 볶는다.
2. 볼에 잘게 썬 양파, 다진 돼지고기, 다진 소고기, 달걀, 잘게 썬 청양고추를 넣는다.
3. 2에 물을 더한 양송이수프 분말, 후추, 소금을 넣고 치댄다.
4. 고기반죽을 동그랗게 뭉쳐 미트볼을 만든다.
5. 미트볼에 튀김가루를 묻힌 뒤, 기름에 튀긴다.
6. 양파즙, 물, 소금을 섞는다.
7. 애호박을 길게 슬라이스한 뒤, 양파즙&gt;튀김가루&gt;양파즙을 순서대로 묻힌다.
8. 애호박을 기름에 튀긴다.
9. 핸드블렌더에 토마토소스, 소금, 후추, 고춧가루를 넣고 간다.
10. 볶던 채소에 토마토소스와 고추장을 넣고 끓여 매운 토마토소스를 만든다.
11. 매운 토마토소스를 그릇에 담고, 튀긴 미트볼을 올린다.
12. 고추장아찌를 잘게 썬 뒤, 미트볼 위에 뿌린다.
13. 접시에 애호박칩을 담고, 고춧가루를 뿌린다.</v>
      </c>
    </row>
    <row r="760">
      <c r="A760" s="2" t="str">
        <f>recipe!C760
</f>
        <v>원 펀치 쓰리 코스</v>
      </c>
      <c r="B760" s="2" t="str">
        <f>IFERROR(__xludf.DUMMYFUNCTION("TRIM(
  REGEXEXTRACT(
    raw!A760,
    ""●\s*조리\s*방법([\s\S]*)""
  )
)
"),"1. 슬라이스한 가지에 밀가루를 묻혀 기름에 튀기듯 굽는다.
2. 적당한 크기로 썬 당근, 양파에 뜨거운 물을 넣고 끓여 채소육수를 낸다.
3. 구운 가지에 토마토소스를 바른 뒤, 소금, 오레가노를 뿌린다.
4. 가지 위에 잘게 썬 생모차렐라치즈를 올린 뒤, 돌돌 만다.
5. 가지치즈말이 위에 토마토소스를 올리고 파르메산치즈를 갈아 뿌린 뒤, 오븐에 넣고 굽는다.
6. 기름을 두른 팬에 잘게 썬 방울토마토를 넣고 불을 붙여 익힌다.
7. 6에"&amp;" 잘게 썬 마늘과 통마늘, 채소육수, 토마토소스를 넣고 끓여 소스를 만든다.
8. 기름을 두른 팬에 잘게 썬 양파, 소금, 식초, 설탕을 넣고 볶는다.
9. 대파와 가지를 채 썬 뒤, 전분을 묻혀 기름에 튀긴다.
10. 파채&amp;가지채튀김을 체에 밭쳐 기름기를 뺀다.
11. 마른 팬에 즉석밥과 채소육수를 넣는다.
12. 기름을 두른 팬에 적당한 크기로 썬 칵테일새우를 넣고 볶는다.
13. 칵테일새우를 볶던 팬에 채소육수와 섞은 즉석밥, 바질페스토"&amp;", 파르메산치즈를 넣고 끓여 새우바질리소토를 만든다.
14. 소고기채끝을 직사각형 모양으로 자른 뒤, 소금과 후추로 간 한다.
15. 기름을 두른 팬에 소고기채끝을 구워 스테이크를 만든다.
16. 핸드블렌더에 껍질을 벗긴 아보카도를 넣고 간다.
17. 오븐에 구운 가지치즈말이를 접시에 담고, 파채&amp;가지채튀김을 올린다.
18. 새우바질리소토를 그릇에 담고, 파채&amp;가지채튀김을 올린다.
19. 그릇에 채끝스테이크, 볶은 양파, 간 아보카도, 채 썬"&amp;" 블랙트러플을 올린 뒤, 트러플오일을 뿌린다.")</f>
        <v>1. 슬라이스한 가지에 밀가루를 묻혀 기름에 튀기듯 굽는다.
2. 적당한 크기로 썬 당근, 양파에 뜨거운 물을 넣고 끓여 채소육수를 낸다.
3. 구운 가지에 토마토소스를 바른 뒤, 소금, 오레가노를 뿌린다.
4. 가지 위에 잘게 썬 생모차렐라치즈를 올린 뒤, 돌돌 만다.
5. 가지치즈말이 위에 토마토소스를 올리고 파르메산치즈를 갈아 뿌린 뒤, 오븐에 넣고 굽는다.
6. 기름을 두른 팬에 잘게 썬 방울토마토를 넣고 불을 붙여 익힌다.
7. 6에 잘게 썬 마늘과 통마늘, 채소육수, 토마토소스를 넣고 끓여 소스를 만든다.
8. 기름을 두른 팬에 잘게 썬 양파, 소금, 식초, 설탕을 넣고 볶는다.
9. 대파와 가지를 채 썬 뒤, 전분을 묻혀 기름에 튀긴다.
10. 파채&amp;가지채튀김을 체에 밭쳐 기름기를 뺀다.
11. 마른 팬에 즉석밥과 채소육수를 넣는다.
12. 기름을 두른 팬에 적당한 크기로 썬 칵테일새우를 넣고 볶는다.
13. 칵테일새우를 볶던 팬에 채소육수와 섞은 즉석밥, 바질페스토, 파르메산치즈를 넣고 끓여 새우바질리소토를 만든다.
14. 소고기채끝을 직사각형 모양으로 자른 뒤, 소금과 후추로 간 한다.
15. 기름을 두른 팬에 소고기채끝을 구워 스테이크를 만든다.
16. 핸드블렌더에 껍질을 벗긴 아보카도를 넣고 간다.
17. 오븐에 구운 가지치즈말이를 접시에 담고, 파채&amp;가지채튀김을 올린다.
18. 새우바질리소토를 그릇에 담고, 파채&amp;가지채튀김을 올린다.
19. 그릇에 채끝스테이크, 볶은 양파, 간 아보카도, 채 썬 블랙트러플을 올린 뒤, 트러플오일을 뿌린다.</v>
      </c>
    </row>
    <row r="761">
      <c r="A761" s="2" t="str">
        <f>recipe!C761
</f>
        <v>아임 파인다이닝, 앤드 유?</v>
      </c>
      <c r="B761" s="2" t="str">
        <f>IFERROR(__xludf.DUMMYFUNCTION("TRIM(
  REGEXEXTRACT(
    raw!A761,
    ""●\s*조리\s*방법([\s\S]*)""
  )
)
"),"1. 달걀노른자에 레몬즙과 소금을 넣는다.
2. 1에 버터를 넣은 뒤, 끓는 물이 담긴 냄비 위에서 중탕해 홀랜다이즈소스를 만든다.
3. 홀랜다이즈소스에 바질페스토와 피스타치오페스토를 넣고 섞어 피스타치오퓨레를 만든다.
4. 코코넛워터를 끓이다가 강판에 간 당근과 소금을 넣고 익힌다.
5. 핸드블랜더에 코코넛워터에 익힌 당근과 버터, 코코넛워터를 넣고 간 뒤, 즉석밥을 넣고 다시 갈아 당근 퓨레를 만든다.
6. 기름을 두른 팬에 채 썬 양파와 "&amp;"잘게 썬 소고기등심을 넣고 볶는다.
7. 볶던 재료에 레드와인, 맛술, 연겨자, 소금을 넣고 볶아 레드와인소스를 만든 뒤, 체에 밭쳐 건더기를 걸러낸다.
8. 레드와인소스에 버터를 녹여가며 섞은 뒤, 블루베리잼을 더한다.
9. 소고기등심에 소금, 후추로 간 한 뒤, 기름을 두른 팬에 굽는다.
10. 잘게 썬 아보카도를 체에 밭쳐 으깬다.
11. 잘게 썬 양파, 으깬 아보카도, 레몬즙, 잘게 썬 방울토마토, 소금, 스리라차소스를 섞어 과카몰레를 "&amp;"만든다.
12. 과카몰레에 커민과 코리앤더를 넣는다.
13. 통밀식빵을 직사각형 모양으로 자른 뒤, 마른 팬에 굽는다.
14. 접시에 피스타치오퓨레를 담는다.
15. 구운 식빵 사이에 과카몰레를 넣고 샌드한 뒤, 접시에 올린다.
16. 접시에 구운 양파와 등심스테이크를 올린다.
17. 등심스테이크 위에 블랙트러플을 갈아 올린다.
18. 셀러리를 슬라이스해서 얼음물에 담갔다 뺀 뒤, 등심스테이크에 곁들인다.
19. 당근퓨레를 체에 밭쳐 내린"&amp;"다.
20. 등심스테이크 위에 레드와인 소스를 뿌린다.
21. 접시에 당근퓨레를 담아 마무리한다.")</f>
        <v>1. 달걀노른자에 레몬즙과 소금을 넣는다.
2. 1에 버터를 넣은 뒤, 끓는 물이 담긴 냄비 위에서 중탕해 홀랜다이즈소스를 만든다.
3. 홀랜다이즈소스에 바질페스토와 피스타치오페스토를 넣고 섞어 피스타치오퓨레를 만든다.
4. 코코넛워터를 끓이다가 강판에 간 당근과 소금을 넣고 익힌다.
5. 핸드블랜더에 코코넛워터에 익힌 당근과 버터, 코코넛워터를 넣고 간 뒤, 즉석밥을 넣고 다시 갈아 당근 퓨레를 만든다.
6. 기름을 두른 팬에 채 썬 양파와 잘게 썬 소고기등심을 넣고 볶는다.
7. 볶던 재료에 레드와인, 맛술, 연겨자, 소금을 넣고 볶아 레드와인소스를 만든 뒤, 체에 밭쳐 건더기를 걸러낸다.
8. 레드와인소스에 버터를 녹여가며 섞은 뒤, 블루베리잼을 더한다.
9. 소고기등심에 소금, 후추로 간 한 뒤, 기름을 두른 팬에 굽는다.
10. 잘게 썬 아보카도를 체에 밭쳐 으깬다.
11. 잘게 썬 양파, 으깬 아보카도, 레몬즙, 잘게 썬 방울토마토, 소금, 스리라차소스를 섞어 과카몰레를 만든다.
12. 과카몰레에 커민과 코리앤더를 넣는다.
13. 통밀식빵을 직사각형 모양으로 자른 뒤, 마른 팬에 굽는다.
14. 접시에 피스타치오퓨레를 담는다.
15. 구운 식빵 사이에 과카몰레를 넣고 샌드한 뒤, 접시에 올린다.
16. 접시에 구운 양파와 등심스테이크를 올린다.
17. 등심스테이크 위에 블랙트러플을 갈아 올린다.
18. 셀러리를 슬라이스해서 얼음물에 담갔다 뺀 뒤, 등심스테이크에 곁들인다.
19. 당근퓨레를 체에 밭쳐 내린다.
20. 등심스테이크 위에 레드와인 소스를 뿌린다.
21. 접시에 당근퓨레를 담아 마무리한다.</v>
      </c>
    </row>
    <row r="762">
      <c r="A762" s="2" t="str">
        <f>recipe!C762
</f>
        <v>으라차차찜</v>
      </c>
      <c r="B762" s="2" t="str">
        <f>IFERROR(__xludf.DUMMYFUNCTION("TRIM(
  REGEXEXTRACT(
    raw!A762,
    ""●\s*조리\s*방법([\s\S]*)""
  )
)
"),"1. 끓는 기름에 대파와 고춧가루를 넣고 끓여 고추기름을 낸다.
2. 기름을 두른 팬에 적당한 크기로 썬 대파와 으깬 마늘을 넣고 볶는다.
3. 소고기등심에 촘촘하게 칼집을 낸 뒤, 적당한 크기로 썬다.
4. 볶던 채소에 칼집을 낸 소고기등심을 넣고 함께 볶는다.
5. 볶던 재료에 적당한 크기로 썬 양파, 간장, 스리라차소스, 굴소스, 설탕, 화이트와인을 넣는다.
6. 물이 자작하게 담긴 압력솥에 방울토마토를 넣고 끓이다가 볶은 소고기&amp;채소를 "&amp;"넣는다.
7. 6에 잘게 썬 청양고추를 넣고 압력솥 뚜껑을 닫아 찐다.
8. 가지를 적당한 크기로 썬다.
9. 밀가루, 전분, 물, 달걀물, 식용유을 섞어 튀김옷을 만든다.
10. 가지에 튀김옷을 묻힌 뒤, 기름에 튀긴다.
11. 고추기름을 체에 밭쳐 걸러낸다.
12. 스리라차소스와 굴소스, 설탕, 레몬즙, 고추기름을 섞어 튀김소스를 만든다.
13. 튀김소스를 종지에 담아낸다.
14. 가지튀김을 체에 밭쳐 기름기를 뺀다.
15. 채 썬 "&amp;"대파에 밀가루를 묻혀 기름에 튀긴다.
16. 그릇에 가지튀김&gt;스리라차 소고기찜&gt;파채튀김 순서대로 담는다.
17. 16에 소고기찜 국물을 듬뿍 담아 마무리한다.")</f>
        <v>1. 끓는 기름에 대파와 고춧가루를 넣고 끓여 고추기름을 낸다.
2. 기름을 두른 팬에 적당한 크기로 썬 대파와 으깬 마늘을 넣고 볶는다.
3. 소고기등심에 촘촘하게 칼집을 낸 뒤, 적당한 크기로 썬다.
4. 볶던 채소에 칼집을 낸 소고기등심을 넣고 함께 볶는다.
5. 볶던 재료에 적당한 크기로 썬 양파, 간장, 스리라차소스, 굴소스, 설탕, 화이트와인을 넣는다.
6. 물이 자작하게 담긴 압력솥에 방울토마토를 넣고 끓이다가 볶은 소고기&amp;채소를 넣는다.
7. 6에 잘게 썬 청양고추를 넣고 압력솥 뚜껑을 닫아 찐다.
8. 가지를 적당한 크기로 썬다.
9. 밀가루, 전분, 물, 달걀물, 식용유을 섞어 튀김옷을 만든다.
10. 가지에 튀김옷을 묻힌 뒤, 기름에 튀긴다.
11. 고추기름을 체에 밭쳐 걸러낸다.
12. 스리라차소스와 굴소스, 설탕, 레몬즙, 고추기름을 섞어 튀김소스를 만든다.
13. 튀김소스를 종지에 담아낸다.
14. 가지튀김을 체에 밭쳐 기름기를 뺀다.
15. 채 썬 대파에 밀가루를 묻혀 기름에 튀긴다.
16. 그릇에 가지튀김&gt;스리라차 소고기찜&gt;파채튀김 순서대로 담는다.
17. 16에 소고기찜 국물을 듬뿍 담아 마무리한다.</v>
      </c>
    </row>
    <row r="763">
      <c r="A763" s="2" t="str">
        <f>recipe!C763
</f>
        <v>맛있스리라~</v>
      </c>
      <c r="B763" s="2" t="str">
        <f>IFERROR(__xludf.DUMMYFUNCTION("TRIM(
  REGEXEXTRACT(
    raw!A763,
    ""●\s*조리\s*방법([\s\S]*)""
  )
)
"),"1. 소고기채끝에 깊은 칼집을 넣어 고기를 넓게 편 뒤, 고기망치로 두드린다.
2. 소고기채끝에 갈릭솔트와 머스터드파우더를 뿌리고, 전분을 묻힌다.
3. 소고기채끝 위에 칵테일새우를 올린 뒤, 돌돌 만다.
4. 4에 밀가루를 묻힌다.
5. 달걀물에 우유와 스리라차소스를 넣고 섞는다.
6. 새우를 넣은 소고기에 스리라차달걀물&gt;밀가루를 순서대로 입힌 뒤, 기름에 튀기듯이 구워 프라이드 스테이크를 만든다.
7. 기름을 두른 팬에 채 썬 양파와 살라"&amp;"미를 넣고 볶는다.
8. 7에 버터와 밀가루를 넣고 볶다가 스리라차소스를 넣어 스리라차루를 만든다.
9. 스리라차루에 뜨거운 물을 넣고 조린다.
10. 스리라차루에 우유를 넣는다.
11. 10에 양송이버섯, 어니언파우더, 후추, 방울토마토를 넣고 볶아 스리라차 크림소스를 만든다.
12. 스리라차 크림소스에 소금을 더한다.
13. 오렌지에 칼집을 낸 뒤, 즙을 짜고 과육을 파낸다.
14. 칵테일 잔 입에 설탕을 묻힌 뒤, 얼음을 담는다.
1"&amp;"5. 칵테일 셰이커에 얼음, 오렌지즙&amp;과육, 유자음료, 스리라차소스, 설탕, 진을 넣고 흔든다.
16. 오렌지 스리라차 칵테일을 설탕이 묻은 잔에 담은 뒤, 레몬 슬라이스를 곁들인다.
17. 프라이드 스테이크를 굽던 팬에 버터와 스리라차소스를 넣고 조린다.
18. 접시에 스리라차크림소스를 담은 뒤, 프라이드 스테이크를 올린다.
19. 프라이드 스테이크 위에 잘게 썬 대파를 뿌려 마무리한다.")</f>
        <v>1. 소고기채끝에 깊은 칼집을 넣어 고기를 넓게 편 뒤, 고기망치로 두드린다.
2. 소고기채끝에 갈릭솔트와 머스터드파우더를 뿌리고, 전분을 묻힌다.
3. 소고기채끝 위에 칵테일새우를 올린 뒤, 돌돌 만다.
4. 4에 밀가루를 묻힌다.
5. 달걀물에 우유와 스리라차소스를 넣고 섞는다.
6. 새우를 넣은 소고기에 스리라차달걀물&gt;밀가루를 순서대로 입힌 뒤, 기름에 튀기듯이 구워 프라이드 스테이크를 만든다.
7. 기름을 두른 팬에 채 썬 양파와 살라미를 넣고 볶는다.
8. 7에 버터와 밀가루를 넣고 볶다가 스리라차소스를 넣어 스리라차루를 만든다.
9. 스리라차루에 뜨거운 물을 넣고 조린다.
10. 스리라차루에 우유를 넣는다.
11. 10에 양송이버섯, 어니언파우더, 후추, 방울토마토를 넣고 볶아 스리라차 크림소스를 만든다.
12. 스리라차 크림소스에 소금을 더한다.
13. 오렌지에 칼집을 낸 뒤, 즙을 짜고 과육을 파낸다.
14. 칵테일 잔 입에 설탕을 묻힌 뒤, 얼음을 담는다.
15. 칵테일 셰이커에 얼음, 오렌지즙&amp;과육, 유자음료, 스리라차소스, 설탕, 진을 넣고 흔든다.
16. 오렌지 스리라차 칵테일을 설탕이 묻은 잔에 담은 뒤, 레몬 슬라이스를 곁들인다.
17. 프라이드 스테이크를 굽던 팬에 버터와 스리라차소스를 넣고 조린다.
18. 접시에 스리라차크림소스를 담은 뒤, 프라이드 스테이크를 올린다.
19. 프라이드 스테이크 위에 잘게 썬 대파를 뿌려 마무리한다.</v>
      </c>
    </row>
    <row r="764">
      <c r="A764" s="2" t="str">
        <f>recipe!C764
</f>
        <v>요~으리의 고수</v>
      </c>
      <c r="B764" s="2" t="str">
        <f>IFERROR(__xludf.DUMMYFUNCTION("TRIM(
  REGEXEXTRACT(
    raw!A764,
    ""●\s*조리\s*방법([\s\S]*)""
  )
)
"),"1. 곤약면을 끓는 물에 삶은 뒤, 얼음물에 담가둔다.
2. 파스타면을 끓는 물에 삶는다.
3. 기름을 두른 팬에 잘게 썬 대파, 홍고추, 태국고추, 홍새우껍질을 넣고 볶은 뒤 홍새우껍질만 건져낸다.
4. 볶던 채소에 손질한 새우와 홍새우, 다진 돼지고기를 넣은 뒤, 소금, 고춧가루, 후추를 넣고 볶는다.
5. 굴소스, 피시소스, 설탕, 물을 섞어 소스를 만든다.
6. 차돌박이에 소스를 바른 뒤, 석쇠에 직화한다.
7. 석쇠에 굽던 차돌박이에"&amp;" 후추, 소금으로 간 한다.
8. 파스타면을 삶는 면수에 새우를 데친다.
9. 데친 새우를 잘게 썰어 오이냉국에 담가둔다.
10. 간장, 식초, 고춧가루, 설탕을 섞는다.
11. 10에 참기름을 더해 간장소스를 만든다.
12. 채 썬 양파, 단무지, 오이, 곤약면을 간장소스에 넣어 버무린 뒤 인스턴트 냉면육수, 잘게 썬 고수를 넣고 섞는다.
13. 볶던 재료에 숙주, 굴소스, 채 썬 양파, 피시소스, 팟타이소스, 깨를 넣는다.
14. 볶던 "&amp;"재료에 삶은 파스타면, 고춧가루를 넣고 볶아 팟타이를 만든다.
15. 곤약면 무침에 깨를 뿌린 뒤, 데친 새우를 넣고 버무린다.
16. 그릇에 곤약면 무침을 담은 뒤, 그릇을 얼음물 위에 올려 차게 만든다.
17. 팟타이를 그릇에 담은 뒤, 구운 차돌박이를 올린다.
18. 팟타이에 고수를 얹는다.
19. 팟타이에 레몬슬라이스를 곁들인다.
20. 곤약면 무침에 데친 새우와 오이냉국을 부어 마무리한다.")</f>
        <v>1. 곤약면을 끓는 물에 삶은 뒤, 얼음물에 담가둔다.
2. 파스타면을 끓는 물에 삶는다.
3. 기름을 두른 팬에 잘게 썬 대파, 홍고추, 태국고추, 홍새우껍질을 넣고 볶은 뒤 홍새우껍질만 건져낸다.
4. 볶던 채소에 손질한 새우와 홍새우, 다진 돼지고기를 넣은 뒤, 소금, 고춧가루, 후추를 넣고 볶는다.
5. 굴소스, 피시소스, 설탕, 물을 섞어 소스를 만든다.
6. 차돌박이에 소스를 바른 뒤, 석쇠에 직화한다.
7. 석쇠에 굽던 차돌박이에 후추, 소금으로 간 한다.
8. 파스타면을 삶는 면수에 새우를 데친다.
9. 데친 새우를 잘게 썰어 오이냉국에 담가둔다.
10. 간장, 식초, 고춧가루, 설탕을 섞는다.
11. 10에 참기름을 더해 간장소스를 만든다.
12. 채 썬 양파, 단무지, 오이, 곤약면을 간장소스에 넣어 버무린 뒤 인스턴트 냉면육수, 잘게 썬 고수를 넣고 섞는다.
13. 볶던 재료에 숙주, 굴소스, 채 썬 양파, 피시소스, 팟타이소스, 깨를 넣는다.
14. 볶던 재료에 삶은 파스타면, 고춧가루를 넣고 볶아 팟타이를 만든다.
15. 곤약면 무침에 깨를 뿌린 뒤, 데친 새우를 넣고 버무린다.
16. 그릇에 곤약면 무침을 담은 뒤, 그릇을 얼음물 위에 올려 차게 만든다.
17. 팟타이를 그릇에 담은 뒤, 구운 차돌박이를 올린다.
18. 팟타이에 고수를 얹는다.
19. 팟타이에 레몬슬라이스를 곁들인다.
20. 곤약면 무침에 데친 새우와 오이냉국을 부어 마무리한다.</v>
      </c>
    </row>
    <row r="765">
      <c r="A765" s="2" t="str">
        <f>recipe!C765
</f>
        <v>으리으리한 항아~으리!</v>
      </c>
      <c r="B765" s="2" t="str">
        <f>IFERROR(__xludf.DUMMYFUNCTION("TRIM(
  REGEXEXTRACT(
    raw!A765,
    ""●\s*조리\s*방법([\s\S]*)""
  )
)
"),"1. 소갈비에 촘촘하게 칼집을 낸 뒤, 고기망치로 두드려 부드럽게 만든다.
2. 손질한 소갈비에 전분을 묻혀 기름에 튀긴다.
3. 튀긴 갈비를 끓는 물에 넣은 뒤, 설탕, 전복을 넣는다.
4. 3에 다진 마늘, 대추청을 넣은 뒤, 양지육수를 넣고 끓여 갈비찜을 만든다.
5. 갈비찜에 누룽지, 쌍화탕, 소고기장조림을 넣는다.
6. 갈비찜에 청양고춧가루, 적당한 크기로 썬 알배추를 넣은 뒤, 뚜껑을 닫고 끓인다.
7. 소면을 끓는 물에 삶는다.
"&amp;"
8. 기름을 두른 팬에 저염명란젓, 청양고추를 굽는다.
9. 뱅어포를 기름에 튀긴다.
10. 밀가루, 소금, 물을 섞어 반죽을 만든다.
11. 반죽을 밀대로 넓게 편 뒤, 항아리 입구 크기에 맞게 자른다.
12. 항아리에 갈비찜을 담은 뒤, 반죽으로 항아리 입구를 덮는다.반죽에 달걀물을 바른 뒤,
항아리갈비찜을 오븐에 넣어 익힌다.
13. 삶은 소면을 찬물에 헹군 뒤, 그릇에 담는다.
14. 소면 위에 매운 냉면소스, 인스턴트 냉면육수, 잘"&amp;"게 썬 쪽파, 구운 저염명란젓,
달걀노른자장, 뱅어포튀김을 올려 명란비빔국수를 만든다.
15. 명란비빔국수에 잘게 썬 깻잎, 청양고추, 얼음을 올린다.
16. 항아리갈비찜을 오븐에서 꺼낸 뒤, 밀가루 반죽을 토치로 직화한다.")</f>
        <v>1. 소갈비에 촘촘하게 칼집을 낸 뒤, 고기망치로 두드려 부드럽게 만든다.
2. 손질한 소갈비에 전분을 묻혀 기름에 튀긴다.
3. 튀긴 갈비를 끓는 물에 넣은 뒤, 설탕, 전복을 넣는다.
4. 3에 다진 마늘, 대추청을 넣은 뒤, 양지육수를 넣고 끓여 갈비찜을 만든다.
5. 갈비찜에 누룽지, 쌍화탕, 소고기장조림을 넣는다.
6. 갈비찜에 청양고춧가루, 적당한 크기로 썬 알배추를 넣은 뒤, 뚜껑을 닫고 끓인다.
7. 소면을 끓는 물에 삶는다.
8. 기름을 두른 팬에 저염명란젓, 청양고추를 굽는다.
9. 뱅어포를 기름에 튀긴다.
10. 밀가루, 소금, 물을 섞어 반죽을 만든다.
11. 반죽을 밀대로 넓게 편 뒤, 항아리 입구 크기에 맞게 자른다.
12. 항아리에 갈비찜을 담은 뒤, 반죽으로 항아리 입구를 덮는다.반죽에 달걀물을 바른 뒤,
항아리갈비찜을 오븐에 넣어 익힌다.
13. 삶은 소면을 찬물에 헹군 뒤, 그릇에 담는다.
14. 소면 위에 매운 냉면소스, 인스턴트 냉면육수, 잘게 썬 쪽파, 구운 저염명란젓,
달걀노른자장, 뱅어포튀김을 올려 명란비빔국수를 만든다.
15. 명란비빔국수에 잘게 썬 깻잎, 청양고추, 얼음을 올린다.
16. 항아리갈비찜을 오븐에서 꺼낸 뒤, 밀가루 반죽을 토치로 직화한다.</v>
      </c>
    </row>
    <row r="766">
      <c r="A766" s="2" t="str">
        <f>recipe!C766
</f>
        <v>사나이 가는 길에 기죽지 마라♬</v>
      </c>
      <c r="B766" s="2" t="str">
        <f>IFERROR(__xludf.DUMMYFUNCTION("TRIM(
  REGEXEXTRACT(
    raw!A766,
    ""●\s*조리\s*방법([\s\S]*)""
  )
)
"),"1. 기름을 넉넉하게 두른 팬에 버터를 넣는다.
2. 버터를 녹인 기름에 으깬 마늘과 청양고추를 넣고 볶는다.
3. 대파 흰 부분을 칼등으로 으깬 뒤 적당한 크기로 썬다.
4. 볶던 채소에 대파, 태국고추, 청양고춧가루, 다진 생강, 중국고춧가루를 넣는다.
5. 볶던 재료에 식초, 쯔유, 간장으로 간 한다.
6. 볶던 재료에 된장을 넣는다.
7. 볶던 재료에 멸치와 뜨거운 물을 넣고 끓여 마라탕을 만든다.
8. 마라탕에 태국고추를 더해 끓인"&amp;"다.
9. 적당한 크기로 썬 삼겹살을 체에 밭친 뒤, 마라탕에 넣어 데친다.
10. 마라탕에 적당한 크기로 썬 토마토와 쌍화탕을 넣는다.
11. 마라탕에 월계수잎, 굴소스를 넣는다.
12. 마라탕에 적당한 크기로 썬 알배추, 양송이버섯을 넣는다.
13. 마라탕에 통후추를 넣는다.
14. 기름을 두른 팬에 잘게 썬 태국고추와 으깬 마늘, 굴소스, 중국고춧가루를 넣고 볶아 고추기름을 낸다.
15. 즉석밥을 전자레인지에 넣고 돌린다.
16. 감"&amp;"자를 채 썬 뒤, 물에 담가 전분기를 뺀다.
17. 채 썬 감자를 고추기름에 넣고 볶는다.
18. 감자채볶음에 식초, 쯔유를 넣는다.
19. 마라탕에 불린 쌀국수면, 청경채, 고수를 넣고 끓인다.
20. 마라탕을 그릇에 담는다.
21. 즉석밥을 그릇에 따로 담는다.
22. 감자채볶음을 그릇에 담아 마무리 한다.")</f>
        <v>1. 기름을 넉넉하게 두른 팬에 버터를 넣는다.
2. 버터를 녹인 기름에 으깬 마늘과 청양고추를 넣고 볶는다.
3. 대파 흰 부분을 칼등으로 으깬 뒤 적당한 크기로 썬다.
4. 볶던 채소에 대파, 태국고추, 청양고춧가루, 다진 생강, 중국고춧가루를 넣는다.
5. 볶던 재료에 식초, 쯔유, 간장으로 간 한다.
6. 볶던 재료에 된장을 넣는다.
7. 볶던 재료에 멸치와 뜨거운 물을 넣고 끓여 마라탕을 만든다.
8. 마라탕에 태국고추를 더해 끓인다.
9. 적당한 크기로 썬 삼겹살을 체에 밭친 뒤, 마라탕에 넣어 데친다.
10. 마라탕에 적당한 크기로 썬 토마토와 쌍화탕을 넣는다.
11. 마라탕에 월계수잎, 굴소스를 넣는다.
12. 마라탕에 적당한 크기로 썬 알배추, 양송이버섯을 넣는다.
13. 마라탕에 통후추를 넣는다.
14. 기름을 두른 팬에 잘게 썬 태국고추와 으깬 마늘, 굴소스, 중국고춧가루를 넣고 볶아 고추기름을 낸다.
15. 즉석밥을 전자레인지에 넣고 돌린다.
16. 감자를 채 썬 뒤, 물에 담가 전분기를 뺀다.
17. 채 썬 감자를 고추기름에 넣고 볶는다.
18. 감자채볶음에 식초, 쯔유를 넣는다.
19. 마라탕에 불린 쌀국수면, 청경채, 고수를 넣고 끓인다.
20. 마라탕을 그릇에 담는다.
21. 즉석밥을 그릇에 따로 담는다.
22. 감자채볶음을 그릇에 담아 마무리 한다.</v>
      </c>
    </row>
    <row r="767">
      <c r="A767" s="2" t="str">
        <f>recipe!C767
</f>
        <v>불짬뽕 드새우</v>
      </c>
      <c r="B767" s="2" t="str">
        <f>IFERROR(__xludf.DUMMYFUNCTION("TRIM(
  REGEXEXTRACT(
    raw!A767,
    ""●\s*조리\s*방법([\s\S]*)""
  )
)
"),"1. 전복을 끓는 물에 삶는다.
2. 믹서기에 홍고추, 청양고추, 태국고추, 청양고춧가루, 뜨거운 물을 넣고 간다.
3. 기름을 두른 팬에 차돌박이, 채 썬 양파와 대파를 넣고 볶다가 고추기름을 넣는다.
4. 3에 간 고추, 적당한 크기로 썬 알배추와 청경채, 홍새우, 숙주, 조갯살을 넣고 볶다가 간장, 굴소스로 간 한다.
5. 칼국수면을 끓는 물에 삶는다.
6. 손질한 새우를 끓는 물에 삶는다.
7. 삶은 전복은 껍데기를 떼어내고 살만 적당"&amp;"한 크기로 썬다.
8. 마른 팬에 삶은 전복살, 삶은 새우, 채 썬 양파를 넣어둔다.
9. 볶던 재료에 삶은 전복살을 넣고 함께 볶다가 양지육수, 다진 마늘,
굴소스, 후추, 소금, 맛술을 넣고 끓여 차돌박이짬뽕을 만든다.
10. 차돌박이짬뽕에 목이버섯을 넣는다.
11. 전복과 새우, 양파를 넣어둔 팬에 고추기름을 두르고 볶은 뒤, 잘게 썬 대파와 뜨거운 물,
케첩, 매운 냉면소스, 설탕, 청양고춧가루를 넣고 조려 칠리새우를 만든다.
12. 칠"&amp;"리새우에 잘게 썬 청양고추와 쪽파를 넣는다.
13. 그릇에 양상추를 올린 뒤, 칠리새우를 담는다.
14. 삶은 칼국수면을 찬물에 헹궈 그릇에 담은 뒤, 차돌박이짬뽕을 부어 낸다.")</f>
        <v>1. 전복을 끓는 물에 삶는다.
2. 믹서기에 홍고추, 청양고추, 태국고추, 청양고춧가루, 뜨거운 물을 넣고 간다.
3. 기름을 두른 팬에 차돌박이, 채 썬 양파와 대파를 넣고 볶다가 고추기름을 넣는다.
4. 3에 간 고추, 적당한 크기로 썬 알배추와 청경채, 홍새우, 숙주, 조갯살을 넣고 볶다가 간장, 굴소스로 간 한다.
5. 칼국수면을 끓는 물에 삶는다.
6. 손질한 새우를 끓는 물에 삶는다.
7. 삶은 전복은 껍데기를 떼어내고 살만 적당한 크기로 썬다.
8. 마른 팬에 삶은 전복살, 삶은 새우, 채 썬 양파를 넣어둔다.
9. 볶던 재료에 삶은 전복살을 넣고 함께 볶다가 양지육수, 다진 마늘,
굴소스, 후추, 소금, 맛술을 넣고 끓여 차돌박이짬뽕을 만든다.
10. 차돌박이짬뽕에 목이버섯을 넣는다.
11. 전복과 새우, 양파를 넣어둔 팬에 고추기름을 두르고 볶은 뒤, 잘게 썬 대파와 뜨거운 물,
케첩, 매운 냉면소스, 설탕, 청양고춧가루를 넣고 조려 칠리새우를 만든다.
12. 칠리새우에 잘게 썬 청양고추와 쪽파를 넣는다.
13. 그릇에 양상추를 올린 뒤, 칠리새우를 담는다.
14. 삶은 칼국수면을 찬물에 헹궈 그릇에 담은 뒤, 차돌박이짬뽕을 부어 낸다.</v>
      </c>
    </row>
    <row r="768">
      <c r="A768" s="2" t="str">
        <f>recipe!C768
</f>
        <v>원조 테리우스테이크</v>
      </c>
      <c r="B768" s="2" t="str">
        <f>IFERROR(__xludf.DUMMYFUNCTION("TRIM(
  REGEXEXTRACT(
    raw!A768,
    ""●\s*조리\s*방법([\s\S]*)""
  )
)
"),"1. 양파를 채 썬다.
2. 표고버섯, 베이컨을 적당한 크기로 썬다.
3. 기름을 두른 팬에 양파, 표고버섯을 볶는다.
4. 청양고추를 석쇠에 올려 직화한다.
5. 적당한 크기로 썬 소고기등심, 베이컨을 핸드블렌더에 넣고 간다.
6. 적당한 크기로 썬 빵을 우유에 적신 뒤, 간 고기와 섞는다.
7. 6에 홀그레인머스터드, 우스터소스, 카옌페퍼, 달걀노른자, 밀가루를 넣고 섞은 뒤 동그랗게 뭉쳐 패티를 만든다.
8. 기름을 두른 팬에 패티를 "&amp;"굽는다.
9. 액상치킨스톡을 뜨거운 물에 풀어 치킨육수를 만든다.
10. 볶던 양파, 표고버섯에 토마토소스, 버터, 치킨육수를 넣고 끓여 그레이비소스를 만든다.
11. 굽던 패티에 그레이비소스를 부어 조린다.
12. 석쇠에 구운 청양고추를 잘게 썬 뒤, 마스카포네치즈, 후추와 함께 섞어 치즈소스를 만든다.
13. 나라즈케에 치즈소스를 올린다.
14. 접시에 치즈소스를 올린 나라즈케를 담은 뒤, 올리브오일, 후추를 뿌린다.
15. 이탈리안파슬"&amp;"리를 잘게 다진다.
16. 접시에 찹스테이크를 담은 뒤, 이탈리안파슬리, 선드라이드토마토를 올려 완성한다.")</f>
        <v>1. 양파를 채 썬다.
2. 표고버섯, 베이컨을 적당한 크기로 썬다.
3. 기름을 두른 팬에 양파, 표고버섯을 볶는다.
4. 청양고추를 석쇠에 올려 직화한다.
5. 적당한 크기로 썬 소고기등심, 베이컨을 핸드블렌더에 넣고 간다.
6. 적당한 크기로 썬 빵을 우유에 적신 뒤, 간 고기와 섞는다.
7. 6에 홀그레인머스터드, 우스터소스, 카옌페퍼, 달걀노른자, 밀가루를 넣고 섞은 뒤 동그랗게 뭉쳐 패티를 만든다.
8. 기름을 두른 팬에 패티를 굽는다.
9. 액상치킨스톡을 뜨거운 물에 풀어 치킨육수를 만든다.
10. 볶던 양파, 표고버섯에 토마토소스, 버터, 치킨육수를 넣고 끓여 그레이비소스를 만든다.
11. 굽던 패티에 그레이비소스를 부어 조린다.
12. 석쇠에 구운 청양고추를 잘게 썬 뒤, 마스카포네치즈, 후추와 함께 섞어 치즈소스를 만든다.
13. 나라즈케에 치즈소스를 올린다.
14. 접시에 치즈소스를 올린 나라즈케를 담은 뒤, 올리브오일, 후추를 뿌린다.
15. 이탈리안파슬리를 잘게 다진다.
16. 접시에 찹스테이크를 담은 뒤, 이탈리안파슬리, 선드라이드토마토를 올려 완성한다.</v>
      </c>
    </row>
    <row r="769">
      <c r="A769" s="2" t="str">
        <f>recipe!C769
</f>
        <v>다이어트는 잊그라</v>
      </c>
      <c r="B769" s="2" t="str">
        <f>IFERROR(__xludf.DUMMYFUNCTION("TRIM(
  REGEXEXTRACT(
    raw!A769,
    ""●\s*조리\s*방법([\s\S]*)""
  )
)
"),"1. 적당한 크기로 썬 소고기등심을 기름을 두른 팬에 넣고, 버터를 더해 볶는다.
2. 베이컨, 양배추를 적당한 크기로 썬다.
3. 베이컨을 볶는다.
4. 식초를 더한 끓는 물에 양배추를 넣고 데친다.
5. 볶던 소고기에 밀가루, 소금, 후추를 넣고 볶다가 페타치즈, 크림치즈를 넣는다.
6. 볶던 재료에 우유, 브로콜리, 후추를 넣고 끓인다.
7. 6를 그라탱 그릇에 담고 선드라이드토마토, 모차렐라치즈를 올린 뒤, 오븐에 넣고 굽는다.
8."&amp;" 볶은 베이컨을 건져 기름을 뺀다.
9. 데치던 양배추에 당근을 넣고 함께 데친 뒤, 건져내 얼음물에 담가둔다.
10. 믹서기에 홍고추, 마늘, 물을 넣고 간다.
11. 10에 고춧가루, 새우젓, 다진 생강즙, 소금, 다진 마늘을 넣어 김치양념을 만든다.
12. 김치양념에 데친 양배추와 당근을 넣고 버무린 뒤, 그릇에 담는다.
13. 양배추김치에 잘게 썬 청양고추를 올린다.
14. 오븐에서 꺼낸 그라탱 위에 잘게 썬 청양고추와 구운 베이컨, "&amp;"파르메지아노치즈를 갈아 올려 마무리한다.")</f>
        <v>1. 적당한 크기로 썬 소고기등심을 기름을 두른 팬에 넣고, 버터를 더해 볶는다.
2. 베이컨, 양배추를 적당한 크기로 썬다.
3. 베이컨을 볶는다.
4. 식초를 더한 끓는 물에 양배추를 넣고 데친다.
5. 볶던 소고기에 밀가루, 소금, 후추를 넣고 볶다가 페타치즈, 크림치즈를 넣는다.
6. 볶던 재료에 우유, 브로콜리, 후추를 넣고 끓인다.
7. 6를 그라탱 그릇에 담고 선드라이드토마토, 모차렐라치즈를 올린 뒤, 오븐에 넣고 굽는다.
8. 볶은 베이컨을 건져 기름을 뺀다.
9. 데치던 양배추에 당근을 넣고 함께 데친 뒤, 건져내 얼음물에 담가둔다.
10. 믹서기에 홍고추, 마늘, 물을 넣고 간다.
11. 10에 고춧가루, 새우젓, 다진 생강즙, 소금, 다진 마늘을 넣어 김치양념을 만든다.
12. 김치양념에 데친 양배추와 당근을 넣고 버무린 뒤, 그릇에 담는다.
13. 양배추김치에 잘게 썬 청양고추를 올린다.
14. 오븐에서 꺼낸 그라탱 위에 잘게 썬 청양고추와 구운 베이컨, 파르메지아노치즈를 갈아 올려 마무리한다.</v>
      </c>
    </row>
    <row r="770">
      <c r="A770" s="2" t="str">
        <f>recipe!C770
</f>
        <v>복덩이</v>
      </c>
      <c r="B770" s="2" t="str">
        <f>IFERROR(__xludf.DUMMYFUNCTION("TRIM(
  REGEXEXTRACT(
    raw!A770,
    ""●\s*조리\s*방법([\s\S]*)""
  )
)
"),"1. 전복을 끓는 물에 삶는다.
2. 오징어 몸통에 격자로 촘촘하게 칼집을 낸다.
3. 칼집을 낸 오징어와 새우를 끓는 물에 삶는다.
4. 병어의 양쪽에 깊게 칼집을 낸다.
5. 칼집을 낸 병어에 뜨거운 물을 부은 뒤, 맛술을 뿌린다.
6. 손질한 병어에 소금을 뿌린다.
7. 잘게 썬 대파를 병어 위에 올린 뒤, 찜기에 넣고 찐다.
8. 가지를 적당한 크기로 썬 뒤, 기름에 튀긴다.
9. 삶은 전복의 껍데기를 떼어내고 전복살에 칼집을 낸다"&amp;".
10. 칼집을 낸 전복에 달걀간장, 물, 맛술을 넣고 조린다.
11. 잘게 썬 양파, 파프리카, 대파, 으깬 마늘과 청양고추를 기름을 두른 팬에 넣은 뒤, 두반장을 넣고 볶는다.
12. 소고기등심을 핸드블렌더에 넣고 간다.
13. 볶던 채소에 간 소고기, 고춧가루를 넣고 함께 볶다가 뜨거운 물을 넣고 끓여 소스를 만든다.
14. 기름을 두른 팬에 달걀, 즉석밥을 넣고 볶는다.
15. 삶은 전복을 잘게 썬다.
16. 삶은 오징어와 새우를 "&amp;"잘게 썬다.
17. 잘게 썬 해산물을 달걀볶음밥에 넣고 볶는다.
18. 간장소스에 조린 전복을 적당한 크기로 썬다.
19. 적당한 크기로 썬 공심채를 팬에 볶는다.
20. 잘게 썬 대파와 공심채를 전복볶음밥에 넣고 후추로 간 한다.
21. 전복볶음밥을 그릇에 담는다.
22. 끓이던 소스에 튀긴 가지를 넣은 뒤, 전분물로 농도를 조절한다.
23. 소스를 접시에 담는다.
24. 전복볶음밥 위에 볶은 공심채와 조린 전복을 올린다.
25. 소스"&amp;" 위에 병어찜을 담아낸다.")</f>
        <v>1. 전복을 끓는 물에 삶는다.
2. 오징어 몸통에 격자로 촘촘하게 칼집을 낸다.
3. 칼집을 낸 오징어와 새우를 끓는 물에 삶는다.
4. 병어의 양쪽에 깊게 칼집을 낸다.
5. 칼집을 낸 병어에 뜨거운 물을 부은 뒤, 맛술을 뿌린다.
6. 손질한 병어에 소금을 뿌린다.
7. 잘게 썬 대파를 병어 위에 올린 뒤, 찜기에 넣고 찐다.
8. 가지를 적당한 크기로 썬 뒤, 기름에 튀긴다.
9. 삶은 전복의 껍데기를 떼어내고 전복살에 칼집을 낸다.
10. 칼집을 낸 전복에 달걀간장, 물, 맛술을 넣고 조린다.
11. 잘게 썬 양파, 파프리카, 대파, 으깬 마늘과 청양고추를 기름을 두른 팬에 넣은 뒤, 두반장을 넣고 볶는다.
12. 소고기등심을 핸드블렌더에 넣고 간다.
13. 볶던 채소에 간 소고기, 고춧가루를 넣고 함께 볶다가 뜨거운 물을 넣고 끓여 소스를 만든다.
14. 기름을 두른 팬에 달걀, 즉석밥을 넣고 볶는다.
15. 삶은 전복을 잘게 썬다.
16. 삶은 오징어와 새우를 잘게 썬다.
17. 잘게 썬 해산물을 달걀볶음밥에 넣고 볶는다.
18. 간장소스에 조린 전복을 적당한 크기로 썬다.
19. 적당한 크기로 썬 공심채를 팬에 볶는다.
20. 잘게 썬 대파와 공심채를 전복볶음밥에 넣고 후추로 간 한다.
21. 전복볶음밥을 그릇에 담는다.
22. 끓이던 소스에 튀긴 가지를 넣은 뒤, 전분물로 농도를 조절한다.
23. 소스를 접시에 담는다.
24. 전복볶음밥 위에 볶은 공심채와 조린 전복을 올린다.
25. 소스 위에 병어찜을 담아낸다.</v>
      </c>
    </row>
    <row r="771">
      <c r="A771" s="2" t="str">
        <f>recipe!C771
</f>
        <v>한방탕</v>
      </c>
      <c r="B771" s="2" t="str">
        <f>IFERROR(__xludf.DUMMYFUNCTION("TRIM(
  REGEXEXTRACT(
    raw!A771,
    ""●\s*조리\s*방법([\s\S]*)""
  )
)
"),"1. 소금을 더한 끓는 물에 적당한 크기로 썬 미나리를 데친 뒤, 얼음물에 담가둔다.
2. 끓는 물에 채 썬 양파, 으깬 마늘, 적당한 크기로 썬 당근, 레몬 슬라이스, 화이트와인을 넣는다.
3. 바닷가재에 꼬치를 끼워 모양을 고정한 뒤, 채소를 끓이던 물에 넣고 데친다.
4. 데친 전복의 껍데기를 떼어내고 살에 칼집을 낸다.
5. 관자를 얇게 썬 뒤, 칼집을 낸다.
6. 칼집을 낸 관자, 전복을 끓는 물에 데친 뒤, 얼음물에 담가둔다.
7."&amp;" 데친 바닷가재를 얼음물에 담가둔다.
8. 마른 팬에 잣과 피스타치오를 볶는다.
9. 참외의 속을 파낸 뒤, 적당한 크기로 썬다.
10. 믹서기에 볶은 잣과 피스타치오, 참외, 우유, 유자청, 쯔유를 넣고 갈아 잣소스를 만든다.
11. 데친 미나리의 물기를 짜낸 뒤, 참기름과 깨를 넣고 버무려 그릇에 담는다.
12. 데친 바닷가재살을 먹기 좋은 크기로 썬 뒤, 그릇에 담는다.
13. 데친 전복, 관자에 쯔유, 유자청을 넣고 버무린 뒤, 그릇에"&amp;" 담는다.
14. 식초를 더한 끓는 물에 달걀을 넣어 수란을 만든다.
15. 소금을 더한 끓는 물에 라이스페이퍼를 데친 뒤, 얼음물에 담가둔다.
16. 라이스페이퍼에 참기름을 버무린 뒤, 그릇에 담는다.
17. 수란을 그릇에 담고 후추를 뿌린다.
18. 잣소스를 그릇에 따로 담아낸다.")</f>
        <v>1. 소금을 더한 끓는 물에 적당한 크기로 썬 미나리를 데친 뒤, 얼음물에 담가둔다.
2. 끓는 물에 채 썬 양파, 으깬 마늘, 적당한 크기로 썬 당근, 레몬 슬라이스, 화이트와인을 넣는다.
3. 바닷가재에 꼬치를 끼워 모양을 고정한 뒤, 채소를 끓이던 물에 넣고 데친다.
4. 데친 전복의 껍데기를 떼어내고 살에 칼집을 낸다.
5. 관자를 얇게 썬 뒤, 칼집을 낸다.
6. 칼집을 낸 관자, 전복을 끓는 물에 데친 뒤, 얼음물에 담가둔다.
7. 데친 바닷가재를 얼음물에 담가둔다.
8. 마른 팬에 잣과 피스타치오를 볶는다.
9. 참외의 속을 파낸 뒤, 적당한 크기로 썬다.
10. 믹서기에 볶은 잣과 피스타치오, 참외, 우유, 유자청, 쯔유를 넣고 갈아 잣소스를 만든다.
11. 데친 미나리의 물기를 짜낸 뒤, 참기름과 깨를 넣고 버무려 그릇에 담는다.
12. 데친 바닷가재살을 먹기 좋은 크기로 썬 뒤, 그릇에 담는다.
13. 데친 전복, 관자에 쯔유, 유자청을 넣고 버무린 뒤, 그릇에 담는다.
14. 식초를 더한 끓는 물에 달걀을 넣어 수란을 만든다.
15. 소금을 더한 끓는 물에 라이스페이퍼를 데친 뒤, 얼음물에 담가둔다.
16. 라이스페이퍼에 참기름을 버무린 뒤, 그릇에 담는다.
17. 수란을 그릇에 담고 후추를 뿌린다.
18. 잣소스를 그릇에 따로 담아낸다.</v>
      </c>
    </row>
    <row r="772">
      <c r="A772" s="2" t="str">
        <f>recipe!C772
</f>
        <v>낫토 먹고 crab! crab! crab! crab!</v>
      </c>
      <c r="B772" s="2" t="str">
        <f>IFERROR(__xludf.DUMMYFUNCTION("TRIM(
  REGEXEXTRACT(
    raw!A772,
    ""●\s*조리\s*방법([\s\S]*)""
  )
)
"),"1. 양파를 채 썬다.
2. 마늘은 얇게 편 썰고 청양고추, 홍고추는 잘게 썬다.
3. 볼에 간장, 식초, 설탕, 청주, 잘게 썬 채소를 넣어 간장소스를 만든다.
4. 대파를 채 썬다.
5. 마른 팬에 베이컨을 굽는다.
6. 살치살을 비닐로 덮고 고기망치로 두드려 얇게 편 뒤, 채 썬다.
7. 간장, 다진 마늘, 참기름을 섞어 불고기 양념을 만든 뒤 살치살과 파채에 넣고 버무린다.
8. 뚝배기에 불린 건표고버섯, 양념한 살치살과 파채를 넣고"&amp;" 끓여 파불고기를 만든다.
9. 믹서기에 메밀면을 부숴 넣고 간다.
10. 간 메밀면에 물을 넣어 반죽을 만든 뒤, 기름을 두른 팬에 넣고 부친다.
11. 낫토를 저어준다.
12. 잘게 썬 구운 베이컨과 김치를 낫토에 넣은 뒤 간장소스, 연겨자를 넣고 섞는다.
13. 냉동 간장게장을 밀대로 밀어 살만 발라낸다.
14. 즉석밥을 전자레인지에 넣고 돌린다.
15. 메밀전 위에 낫토김치베이컨을 넣은 뒤, 사각형 모양으로 접는다.
16. 접시 위"&amp;"에 메밀전병을 올린 뒤, 간장게장살과 달걀노른자를 올린다.
17. 16에 간장소스를 뿌린다.
18. 잘게 썬 대파를 메밀전병 위에 올린다.
19. 즉석밥을 따로 담아낸다.")</f>
        <v>1. 양파를 채 썬다.
2. 마늘은 얇게 편 썰고 청양고추, 홍고추는 잘게 썬다.
3. 볼에 간장, 식초, 설탕, 청주, 잘게 썬 채소를 넣어 간장소스를 만든다.
4. 대파를 채 썬다.
5. 마른 팬에 베이컨을 굽는다.
6. 살치살을 비닐로 덮고 고기망치로 두드려 얇게 편 뒤, 채 썬다.
7. 간장, 다진 마늘, 참기름을 섞어 불고기 양념을 만든 뒤 살치살과 파채에 넣고 버무린다.
8. 뚝배기에 불린 건표고버섯, 양념한 살치살과 파채를 넣고 끓여 파불고기를 만든다.
9. 믹서기에 메밀면을 부숴 넣고 간다.
10. 간 메밀면에 물을 넣어 반죽을 만든 뒤, 기름을 두른 팬에 넣고 부친다.
11. 낫토를 저어준다.
12. 잘게 썬 구운 베이컨과 김치를 낫토에 넣은 뒤 간장소스, 연겨자를 넣고 섞는다.
13. 냉동 간장게장을 밀대로 밀어 살만 발라낸다.
14. 즉석밥을 전자레인지에 넣고 돌린다.
15. 메밀전 위에 낫토김치베이컨을 넣은 뒤, 사각형 모양으로 접는다.
16. 접시 위에 메밀전병을 올린 뒤, 간장게장살과 달걀노른자를 올린다.
17. 16에 간장소스를 뿌린다.
18. 잘게 썬 대파를 메밀전병 위에 올린다.
19. 즉석밥을 따로 담아낸다.</v>
      </c>
    </row>
    <row r="773">
      <c r="A773" s="2" t="str">
        <f>recipe!C773
</f>
        <v>I'm so sorry 보말 love you♬</v>
      </c>
      <c r="B773" s="2" t="str">
        <f>IFERROR(__xludf.DUMMYFUNCTION("TRIM(
  REGEXEXTRACT(
    raw!A773,
    ""●\s*조리\s*방법([\s\S]*)""
  )
)
"),"1. 압력솥에 적당한 크기로 썬 당근을 깐 뒤 통삼겹살을 넣는다.
2. 1에 맥주, 커피가루를 넣은 뒤 뚜껑을 닫고 익힌다.
3. 대파를 채 썬다.
4. 파채를 맛술을 더한 얼음물에 담가둔다.
5. 끓는 물에 멸치육수팩을 넣어 멸치육수를 낸다.
6. 전복을 손질해 내장을 분리한다.
7. 팬에 들기름, 참기름, 밀가루를 넣어 볶은 뒤 전복내장, 보말을 넣어 함께 볶는다.
8. 7에 맛술을 넣는다.
9. 볶은 전복내장과 보말을 핸드블렌더에 넣"&amp;"고 간다.
10. 간 전복내장과 보말을 팬에 넣는다.
11. 볼에 멜젓소스, 고춧가루를 넣는다.
12. 11에 식초, 다진 마늘, 맛술, 파채를 넣고 섞어 멜젓파무침을 만든다.
13. 간 전복내장과 보말을 볶던 팬에 불린 건표고버섯과 물, 멸치육수를 넣는다.
14. 13에 간장, 액상조미료를 넣고 끓여 국물을 만든다.
15. 국물에 소금 간을 한 뒤, 삶은 소면을 넣고 끓인다.
16. 멸치육수팩을 건져낸 뒤, 전분물을 넣어 농도를 조절한다."&amp;"
17. 보말국수를 그릇에 담는다.
18. 압력솥에 익힌 돔베고기를 꺼내 적당한 크기로 썬다.
19. 돔베고기를 끓이던 보말국수에 넣고 한 번 더 익힌다.
20. 보말국수 위에 다진 청양고추, 돔베고기를 올린다.
21. 돔베고기 위에 멜젓파무침을 올려 완성한다.")</f>
        <v>1. 압력솥에 적당한 크기로 썬 당근을 깐 뒤 통삼겹살을 넣는다.
2. 1에 맥주, 커피가루를 넣은 뒤 뚜껑을 닫고 익힌다.
3. 대파를 채 썬다.
4. 파채를 맛술을 더한 얼음물에 담가둔다.
5. 끓는 물에 멸치육수팩을 넣어 멸치육수를 낸다.
6. 전복을 손질해 내장을 분리한다.
7. 팬에 들기름, 참기름, 밀가루를 넣어 볶은 뒤 전복내장, 보말을 넣어 함께 볶는다.
8. 7에 맛술을 넣는다.
9. 볶은 전복내장과 보말을 핸드블렌더에 넣고 간다.
10. 간 전복내장과 보말을 팬에 넣는다.
11. 볼에 멜젓소스, 고춧가루를 넣는다.
12. 11에 식초, 다진 마늘, 맛술, 파채를 넣고 섞어 멜젓파무침을 만든다.
13. 간 전복내장과 보말을 볶던 팬에 불린 건표고버섯과 물, 멸치육수를 넣는다.
14. 13에 간장, 액상조미료를 넣고 끓여 국물을 만든다.
15. 국물에 소금 간을 한 뒤, 삶은 소면을 넣고 끓인다.
16. 멸치육수팩을 건져낸 뒤, 전분물을 넣어 농도를 조절한다.
17. 보말국수를 그릇에 담는다.
18. 압력솥에 익힌 돔베고기를 꺼내 적당한 크기로 썬다.
19. 돔베고기를 끓이던 보말국수에 넣고 한 번 더 익힌다.
20. 보말국수 위에 다진 청양고추, 돔베고기를 올린다.
21. 돔베고기 위에 멜젓파무침을 올려 완성한다.</v>
      </c>
    </row>
    <row r="774">
      <c r="A774" s="2" t="str">
        <f>recipe!C774
</f>
        <v>I'm so sorry 보말 love you♬</v>
      </c>
      <c r="B774" s="2" t="str">
        <f>IFERROR(__xludf.DUMMYFUNCTION("TRIM(
  REGEXEXTRACT(
    raw!A774,
    ""●\s*조리\s*방법([\s\S]*)""
  )
)
"),"1. 압력솥에 적당한 크기로 썬 당근을 깐 뒤 통삼겹살을 넣는다.
2. 1에 맥주, 커피가루를 넣은 뒤 뚜껑을 닫고 익힌다.
3. 대파를 채 썬다.
4. 파채를 맛술을 더한 얼음물에 담가둔다.
5. 끓는 물에 멸치육수팩을 넣어 멸치육수를 낸다.
6. 전복을 손질해 내장을 분리한다.
7. 팬에 들기름, 참기름, 밀가루를 넣어 볶은 뒤 전복내장, 보말을 넣어 함께 볶는다.
8. 7에 맛술을 넣는다.
9. 볶은 전복내장과 보말을 핸드블렌더에 넣"&amp;"고 간다.
10. 간 전복내장과 보말을 팬에 넣는다.
11. 볼에 멜젓소스, 고춧가루를 넣는다.
12. 11에 식초, 다진 마늘, 맛술, 파채를 넣고 섞어 멜젓파무침을 만든다.
13. 간 전복내장과 보말을 볶던 팬에 불린 건표고버섯과 물, 멸치육수를 넣는다.
14. 13에 간장, 액상조미료를 넣고 끓여 국물을 만든다.
15. 국물에 소금 간을 한 뒤, 삶은 소면을 넣고 끓인다.
16. 멸치육수팩을 건져낸 뒤, 전분물을 넣어 농도를 조절한다."&amp;"
17. 보말국수를 그릇에 담는다.
18. 압력솥에 익힌 돔베고기를 꺼내 적당한 크기로 썬다.
19. 돔베고기를 끓이던 보말국수에 넣고 한 번 더 익힌다.
20. 보말국수 위에 다진 청양고추, 돔베고기를 올린다.
21. 돔베고기 위에 멜젓파무침을 올려 완성한다.")</f>
        <v>1. 압력솥에 적당한 크기로 썬 당근을 깐 뒤 통삼겹살을 넣는다.
2. 1에 맥주, 커피가루를 넣은 뒤 뚜껑을 닫고 익힌다.
3. 대파를 채 썬다.
4. 파채를 맛술을 더한 얼음물에 담가둔다.
5. 끓는 물에 멸치육수팩을 넣어 멸치육수를 낸다.
6. 전복을 손질해 내장을 분리한다.
7. 팬에 들기름, 참기름, 밀가루를 넣어 볶은 뒤 전복내장, 보말을 넣어 함께 볶는다.
8. 7에 맛술을 넣는다.
9. 볶은 전복내장과 보말을 핸드블렌더에 넣고 간다.
10. 간 전복내장과 보말을 팬에 넣는다.
11. 볼에 멜젓소스, 고춧가루를 넣는다.
12. 11에 식초, 다진 마늘, 맛술, 파채를 넣고 섞어 멜젓파무침을 만든다.
13. 간 전복내장과 보말을 볶던 팬에 불린 건표고버섯과 물, 멸치육수를 넣는다.
14. 13에 간장, 액상조미료를 넣고 끓여 국물을 만든다.
15. 국물에 소금 간을 한 뒤, 삶은 소면을 넣고 끓인다.
16. 멸치육수팩을 건져낸 뒤, 전분물을 넣어 농도를 조절한다.
17. 보말국수를 그릇에 담는다.
18. 압력솥에 익힌 돔베고기를 꺼내 적당한 크기로 썬다.
19. 돔베고기를 끓이던 보말국수에 넣고 한 번 더 익힌다.
20. 보말국수 위에 다진 청양고추, 돔베고기를 올린다.
21. 돔베고기 위에 멜젓파무침을 올려 완성한다.</v>
      </c>
    </row>
    <row r="775">
      <c r="A775" s="2" t="str">
        <f>recipe!C775
</f>
        <v>승리의 먹빵</v>
      </c>
      <c r="B775" s="2" t="str">
        <f>IFERROR(__xludf.DUMMYFUNCTION("TRIM(
  REGEXEXTRACT(
    raw!A775,
    ""●\s*조리\s*방법([\s\S]*)""
  )
)
"),"1. 식빵의 테두리를 잘라낸다.
2. 식빵 위에 블랙체리잼을 바른다.
3. 또 다른 식빵 위에 고체카레를 갈아 올린다.
4. 카레가루와 블랙체리잼 위에 파르메산 치즈가루를 뿌린 뒤, 식빵으로 덮는다.
5. 4를 밀대로 민 뒤, 버터를 두른 팬에 굽는다.
6. 인스턴트 제육불고기와 베이컨을 팬에 굽는다.
7. 대파 흰 부분에 잘게 칼집을 낸 뒤, 제육불고기에 넣고 볶는다.
8. 자두를 잘게 썬다.
9. 구운 베이컨, 베트남고추를 잘게 썬다."&amp;"
10. 자두, 베이컨, 베트남고추에 옐로우스리라차소스, 꿀유자청을 넣고 섞는다.
11. 10에 후추로 간한다.
12. 대파를 채 썬 뒤, 밀가루를 묻혀 기름에 튀긴다.
13. 구운 식빵을 먹기 좋은 크기로 자른다.
14. 블랙체리잼을 넣은 식빵 위에 살라미, 자두와 베이컨을 올린다.
15. 마른 팬에 살라미를 굽는다.
16. 블랙체리잼을 넣은 식빵 위에 구운 살라미&gt;자두와 베이컨&gt;구운 살리미 순서로 올린다.
17. 살라미 카나페를 도마 "&amp;"위에 플레이팅 한다.
18. 볶은 제육불고기를 석쇠에 올려 직화한다.
19. 파채튀김을 체에 밭쳐 기름을 뺀 뒤 소금으로 간한다.
20. 카레가루를 넣은 식빵 위에 제육불고기, 파채튀김을 올린 뒤 플레이팅 한다.
21. 잘게 썬 대파를 카나페 주변에 뿌려 마무리한다.")</f>
        <v>1. 식빵의 테두리를 잘라낸다.
2. 식빵 위에 블랙체리잼을 바른다.
3. 또 다른 식빵 위에 고체카레를 갈아 올린다.
4. 카레가루와 블랙체리잼 위에 파르메산 치즈가루를 뿌린 뒤, 식빵으로 덮는다.
5. 4를 밀대로 민 뒤, 버터를 두른 팬에 굽는다.
6. 인스턴트 제육불고기와 베이컨을 팬에 굽는다.
7. 대파 흰 부분에 잘게 칼집을 낸 뒤, 제육불고기에 넣고 볶는다.
8. 자두를 잘게 썬다.
9. 구운 베이컨, 베트남고추를 잘게 썬다.
10. 자두, 베이컨, 베트남고추에 옐로우스리라차소스, 꿀유자청을 넣고 섞는다.
11. 10에 후추로 간한다.
12. 대파를 채 썬 뒤, 밀가루를 묻혀 기름에 튀긴다.
13. 구운 식빵을 먹기 좋은 크기로 자른다.
14. 블랙체리잼을 넣은 식빵 위에 살라미, 자두와 베이컨을 올린다.
15. 마른 팬에 살라미를 굽는다.
16. 블랙체리잼을 넣은 식빵 위에 구운 살라미&gt;자두와 베이컨&gt;구운 살리미 순서로 올린다.
17. 살라미 카나페를 도마 위에 플레이팅 한다.
18. 볶은 제육불고기를 석쇠에 올려 직화한다.
19. 파채튀김을 체에 밭쳐 기름을 뺀 뒤 소금으로 간한다.
20. 카레가루를 넣은 식빵 위에 제육불고기, 파채튀김을 올린 뒤 플레이팅 한다.
21. 잘게 썬 대파를 카나페 주변에 뿌려 마무리한다.</v>
      </c>
    </row>
    <row r="776">
      <c r="A776" s="2" t="str">
        <f>recipe!C776
</f>
        <v>꼬막이 빛나는 밤</v>
      </c>
      <c r="B776" s="2" t="str">
        <f>IFERROR(__xludf.DUMMYFUNCTION("TRIM(
  REGEXEXTRACT(
    raw!A776,
    ""●\s*조리\s*방법([\s\S]*)""
  )
)
"),"1.적당한 크기로 썬 청양고추를 끓는 물에 넣은 뒤 생강즙, 청주, 레몬즙을 넣고 끓인다.
2. 1에 한쪽 껍데기만 제거한 꼬막을 넣어 데친다.
3. 팬에 물, 간장, 매실액을 넣은 뒤 삼겹살을 넣어 조린다.
4. 기름에 적당한 크기로 썬 대파와 고춧가루를 넣고 끓여 고추기름을 낸다.
5. 깍둑썰기한 두부를 기름에 넣고 튀긴다.
6. 대파와 청양고추를 잘게 다진다.
7. 볼에 고추냉이, 명란마요네즈, 매실액을 넣고 섞는다.
8. 7에 다진 "&amp;"청양고추를 넣고 섞는다.
9. 8에 간장을 넣고 섞어 명란마요소스를 만든다.
10. 다진 대파와 청양고추에 고추장, 고춧가루, 매실액, 물, 들기름, 간장을 넣고 섞어 꼬막무침 소스를 만든다.
11. 체에 내린 고추기름을 꼬막무침 소스에 넣고 섞는다.
12. 꼬막무침 소스에 식초, 레몬즙을 넣는다.
13. 데친 꼬막을 얼음물에 넣어 식힌다.
14. 끓는 물에 소면을 삶는다.
15. 튀긴 두부를 건져낸다.
16. 식힌 꼬막에 소스를 넣고 버"&amp;"무려 꼬막무침을 만든다.
17. 간장소스에 조린 삼겹살을 잘게 썬다.
18. 삶은 소면을 얼음물에 헹군 뒤 간장소스에 조린 삼겹살과 섞어준다.
19. 접시에 꼬막무침을 올린다.
20. 채 썬 오이를 소면과 삼겹살에 넣은 뒤, 들기름을 더한다.
21. 그릇에 명란마요소스를 담아낸다.
22. 접시에 두부튀김을 올린다.
23. 소면에 꼬막무침 소스를 넣어 버무린 뒤 접시에 올린다.")</f>
        <v>1.적당한 크기로 썬 청양고추를 끓는 물에 넣은 뒤 생강즙, 청주, 레몬즙을 넣고 끓인다.
2. 1에 한쪽 껍데기만 제거한 꼬막을 넣어 데친다.
3. 팬에 물, 간장, 매실액을 넣은 뒤 삼겹살을 넣어 조린다.
4. 기름에 적당한 크기로 썬 대파와 고춧가루를 넣고 끓여 고추기름을 낸다.
5. 깍둑썰기한 두부를 기름에 넣고 튀긴다.
6. 대파와 청양고추를 잘게 다진다.
7. 볼에 고추냉이, 명란마요네즈, 매실액을 넣고 섞는다.
8. 7에 다진 청양고추를 넣고 섞는다.
9. 8에 간장을 넣고 섞어 명란마요소스를 만든다.
10. 다진 대파와 청양고추에 고추장, 고춧가루, 매실액, 물, 들기름, 간장을 넣고 섞어 꼬막무침 소스를 만든다.
11. 체에 내린 고추기름을 꼬막무침 소스에 넣고 섞는다.
12. 꼬막무침 소스에 식초, 레몬즙을 넣는다.
13. 데친 꼬막을 얼음물에 넣어 식힌다.
14. 끓는 물에 소면을 삶는다.
15. 튀긴 두부를 건져낸다.
16. 식힌 꼬막에 소스를 넣고 버무려 꼬막무침을 만든다.
17. 간장소스에 조린 삼겹살을 잘게 썬다.
18. 삶은 소면을 얼음물에 헹군 뒤 간장소스에 조린 삼겹살과 섞어준다.
19. 접시에 꼬막무침을 올린다.
20. 채 썬 오이를 소면과 삼겹살에 넣은 뒤, 들기름을 더한다.
21. 그릇에 명란마요소스를 담아낸다.
22. 접시에 두부튀김을 올린다.
23. 소면에 꼬막무침 소스를 넣어 버무린 뒤 접시에 올린다.</v>
      </c>
    </row>
    <row r="777">
      <c r="A777" s="2" t="str">
        <f>recipe!C777
</f>
        <v>화사한 플레이트</v>
      </c>
      <c r="B777" s="2" t="str">
        <f>IFERROR(__xludf.DUMMYFUNCTION("TRIM(
  REGEXEXTRACT(
    raw!A777,
    ""●\s*조리\s*방법([\s\S]*)""
  )
)
"),"1. 애호박을 얇게 슬라이스 한다.
2. 애호박 위에 얇게 썬 베이컨을 올리고, 막장을 바른 뒤 돌돌 말아준다.
3. 애호박롤을 꼬치에 끼운 뒤, 모차렐라치즈를 올린다.
4. 모차렐라치즈를 올린 애호박롤을 오븐에 넣어 굽는다.
5. 냄비에 버터, 바지락을 넣은 뒤 화이트 와인, 소금, 후추로 간한다.
6. 볶던 바지락에 훈제 닭을 넣은 뒤 물을 붓고 끓여 육수를 낸다.
7. 잘게 썬 당근과 청양고추를 육수에 넣은 뒤 칼라만시, 전분물을 더해 "&amp;"바지락스튜를 만든다.
8. 강판을 이용해 채 썬 감자를 팬에 올려 부친다.
9. 기름을 두른 팬에 새우 머리, 새우 몸통을 올린 뒤 소금, 후추를 뿌려 굽는다.
10. 새우에 마늘, 버터를 넣고 굽는다.
11. 잘게 썬 양파와 홍고추를 구운 새우에 섞은 뒤, 레몬껍질을 갈아 넣는다.
12. 11에 칼라만시, 소금, 후추, 올리브오일, 얇게 썬 복숭아를 넣어 새우샐러드를 만든다.
13. 접시에 깻잎을 깐 뒤 슬라이스한 애호박을 동그랗게 말아 고"&amp;"정시킨다.
14. 새우샐러드를 애호박 안에 넣은 뒤 구운 새우 머리를 올린다.
15. 팬에 부친 감자에 간장을 발라준다.
16. 김부각 위에 크림치즈를 올린 뒤 깻잎장아찌로 감싸 깻잎치즈쌈을 만든다.
17. 부친 감자를 접시에 깔고, 깻잎치즈쌈을 올린다.
18. 그릇에 바지락스튜를 담은 뒤 잘게 썬 대파와 홍고추를 올린다.
19. 오븐에 구운 애호박치즈롤을 접시에 올린다.
20. 잘게 썬 홍고추와 꽃모양으로 썬 당근을 접시 위에 뿌린다.
"&amp;"21. 트러플오일을 뿌려 마무리한다.")</f>
        <v>1. 애호박을 얇게 슬라이스 한다.
2. 애호박 위에 얇게 썬 베이컨을 올리고, 막장을 바른 뒤 돌돌 말아준다.
3. 애호박롤을 꼬치에 끼운 뒤, 모차렐라치즈를 올린다.
4. 모차렐라치즈를 올린 애호박롤을 오븐에 넣어 굽는다.
5. 냄비에 버터, 바지락을 넣은 뒤 화이트 와인, 소금, 후추로 간한다.
6. 볶던 바지락에 훈제 닭을 넣은 뒤 물을 붓고 끓여 육수를 낸다.
7. 잘게 썬 당근과 청양고추를 육수에 넣은 뒤 칼라만시, 전분물을 더해 바지락스튜를 만든다.
8. 강판을 이용해 채 썬 감자를 팬에 올려 부친다.
9. 기름을 두른 팬에 새우 머리, 새우 몸통을 올린 뒤 소금, 후추를 뿌려 굽는다.
10. 새우에 마늘, 버터를 넣고 굽는다.
11. 잘게 썬 양파와 홍고추를 구운 새우에 섞은 뒤, 레몬껍질을 갈아 넣는다.
12. 11에 칼라만시, 소금, 후추, 올리브오일, 얇게 썬 복숭아를 넣어 새우샐러드를 만든다.
13. 접시에 깻잎을 깐 뒤 슬라이스한 애호박을 동그랗게 말아 고정시킨다.
14. 새우샐러드를 애호박 안에 넣은 뒤 구운 새우 머리를 올린다.
15. 팬에 부친 감자에 간장을 발라준다.
16. 김부각 위에 크림치즈를 올린 뒤 깻잎장아찌로 감싸 깻잎치즈쌈을 만든다.
17. 부친 감자를 접시에 깔고, 깻잎치즈쌈을 올린다.
18. 그릇에 바지락스튜를 담은 뒤 잘게 썬 대파와 홍고추를 올린다.
19. 오븐에 구운 애호박치즈롤을 접시에 올린다.
20. 잘게 썬 홍고추와 꽃모양으로 썬 당근을 접시 위에 뿌린다.
21. 트러플오일을 뿌려 마무리한다.</v>
      </c>
    </row>
    <row r="778">
      <c r="A778" s="2" t="str">
        <f>recipe!C778
</f>
        <v>화사한 플레이트</v>
      </c>
      <c r="B778" s="2" t="str">
        <f>IFERROR(__xludf.DUMMYFUNCTION("TRIM(
  REGEXEXTRACT(
    raw!A778,
    ""●\s*조리\s*방법([\s\S]*)""
  )
)
"),"1. 애호박을 얇게 슬라이스 한다.
2. 애호박 위에 얇게 썬 베이컨을 올리고, 막장을 바른 뒤 돌돌 말아준다.
3. 애호박롤을 꼬치에 끼운 뒤, 모차렐라치즈를 올린다.
4. 모차렐라치즈를 올린 애호박롤을 오븐에 넣어 굽는다.
5. 냄비에 버터, 바지락을 넣은 뒤 화이트 와인, 소금, 후추로 간한다.
6. 볶던 바지락에 훈제 닭을 넣은 뒤 물을 붓고 끓여 육수를 낸다.
7. 잘게 썬 당근과 청양고추를 육수에 넣은 뒤 칼라만시, 전분물을 더해 "&amp;"바지락스튜를 만든다.
8. 강판을 이용해 채 썬 감자를 팬에 올려 부친다.
9. 기름을 두른 팬에 새우 머리, 새우 몸통을 올린 뒤 소금, 후추를 뿌려 굽는다.
10. 새우에 마늘, 버터를 넣고 굽는다.
11. 잘게 썬 양파와 홍고추를 구운 새우에 섞은 뒤, 레몬껍질을 갈아 넣는다.
12. 11에 칼라만시, 소금, 후추, 올리브오일, 얇게 썬 복숭아를 넣어 새우샐러드를 만든다.
13. 접시에 깻잎을 깐 뒤 슬라이스한 애호박을 동그랗게 말아 고"&amp;"정시킨다.
14. 새우샐러드를 애호박 안에 넣은 뒤 구운 새우 머리를 올린다.
15. 팬에 부친 감자에 간장을 발라준다.
16. 김부각 위에 크림치즈를 올린 뒤 깻잎장아찌로 감싸 깻잎치즈쌈을 만든다.
17. 부친 감자를 접시에 깔고, 깻잎치즈쌈을 올린다.
18. 그릇에 바지락스튜를 담은 뒤 잘게 썬 대파와 홍고추를 올린다.
19. 오븐에 구운 애호박치즈롤을 접시에 올린다.
20. 잘게 썬 홍고추와 꽃모양으로 썬 당근을 접시 위에 뿌린다.
"&amp;"21. 트러플오일을 뿌려 마무리한다.")</f>
        <v>1. 애호박을 얇게 슬라이스 한다.
2. 애호박 위에 얇게 썬 베이컨을 올리고, 막장을 바른 뒤 돌돌 말아준다.
3. 애호박롤을 꼬치에 끼운 뒤, 모차렐라치즈를 올린다.
4. 모차렐라치즈를 올린 애호박롤을 오븐에 넣어 굽는다.
5. 냄비에 버터, 바지락을 넣은 뒤 화이트 와인, 소금, 후추로 간한다.
6. 볶던 바지락에 훈제 닭을 넣은 뒤 물을 붓고 끓여 육수를 낸다.
7. 잘게 썬 당근과 청양고추를 육수에 넣은 뒤 칼라만시, 전분물을 더해 바지락스튜를 만든다.
8. 강판을 이용해 채 썬 감자를 팬에 올려 부친다.
9. 기름을 두른 팬에 새우 머리, 새우 몸통을 올린 뒤 소금, 후추를 뿌려 굽는다.
10. 새우에 마늘, 버터를 넣고 굽는다.
11. 잘게 썬 양파와 홍고추를 구운 새우에 섞은 뒤, 레몬껍질을 갈아 넣는다.
12. 11에 칼라만시, 소금, 후추, 올리브오일, 얇게 썬 복숭아를 넣어 새우샐러드를 만든다.
13. 접시에 깻잎을 깐 뒤 슬라이스한 애호박을 동그랗게 말아 고정시킨다.
14. 새우샐러드를 애호박 안에 넣은 뒤 구운 새우 머리를 올린다.
15. 팬에 부친 감자에 간장을 발라준다.
16. 김부각 위에 크림치즈를 올린 뒤 깻잎장아찌로 감싸 깻잎치즈쌈을 만든다.
17. 부친 감자를 접시에 깔고, 깻잎치즈쌈을 올린다.
18. 그릇에 바지락스튜를 담은 뒤 잘게 썬 대파와 홍고추를 올린다.
19. 오븐에 구운 애호박치즈롤을 접시에 올린다.
20. 잘게 썬 홍고추와 꽃모양으로 썬 당근을 접시 위에 뿌린다.
21. 트러플오일을 뿌려 마무리한다.</v>
      </c>
    </row>
    <row r="779">
      <c r="A779" s="2" t="str">
        <f>recipe!C779
</f>
        <v>장어 is 뭔들</v>
      </c>
      <c r="B779" s="2" t="str">
        <f>IFERROR(__xludf.DUMMYFUNCTION("TRIM(
  REGEXEXTRACT(
    raw!A779,
    ""●\s*조리\s*방법([\s\S]*)""
  )
)
"),"1. 바지락을 체에 밭쳐 끓는 물에 데친다.
2. 적당한 크기로 썬 홍고추, 마늘, 대파, 장어, 김치만두소를 핸드블렌더에 넣고 간다.
3. 바지락을 데치던 물에 2를 넣고 끓인다.
4. 물에 씻은 김치와 적당한 크기로 썬 장어, 고춧가루를 넣어 장어탕을 만든다.
5. 즉석밥을 전자레인지에 데운다.
6. 냄비에 청주, 매실액, 맛술, 간장, 설탕을 넣고 끓여 데리야키소스를 만든다.
7. 양파, 통베이컨, 애호박, 장어, 김치를 잘게 썬 뒤 팬"&amp;"에 넣어 볶는다.
8. 볶던 장어와 채소에 즉석밥을 넣은 뒤 명란마요네즈를 뿌린다.
9. 김부각을 잘게 부숴 볶음밥에 넣고 소금, 후추로 간한다.
10. 석쇠에 장어를 올리고, 데리야키소스를 발라가며 굽는다.
11. 직화한 장어를 팬에 옮긴 뒤 데리야키소스를 넣어 조린다.
12. 장어탕에 맛술, 설탕, 청주를 넣고 계속해서 끓인다.
13. 장어볶음밥을 무쇠팬에 옮겨 담는다.
14. 장어볶음밥에 버터를 올린다.
15. 장어탕에 채 썬 깻잎,"&amp;" 막장을 넣는다.
16. 장어볶음밥에 채 썬 깻잎을 올린다.
17. 데리야키소스에 조린 장어를 먹기 좋은 크기로 썰어 접시에 올린 뒤 김부각을 함께 낸다.
18. 장어탕에 간장을 넣어 간을 맞춘다.
19. 장어탕을 뚝배기에 옮겨 담는다.")</f>
        <v>1. 바지락을 체에 밭쳐 끓는 물에 데친다.
2. 적당한 크기로 썬 홍고추, 마늘, 대파, 장어, 김치만두소를 핸드블렌더에 넣고 간다.
3. 바지락을 데치던 물에 2를 넣고 끓인다.
4. 물에 씻은 김치와 적당한 크기로 썬 장어, 고춧가루를 넣어 장어탕을 만든다.
5. 즉석밥을 전자레인지에 데운다.
6. 냄비에 청주, 매실액, 맛술, 간장, 설탕을 넣고 끓여 데리야키소스를 만든다.
7. 양파, 통베이컨, 애호박, 장어, 김치를 잘게 썬 뒤 팬에 넣어 볶는다.
8. 볶던 장어와 채소에 즉석밥을 넣은 뒤 명란마요네즈를 뿌린다.
9. 김부각을 잘게 부숴 볶음밥에 넣고 소금, 후추로 간한다.
10. 석쇠에 장어를 올리고, 데리야키소스를 발라가며 굽는다.
11. 직화한 장어를 팬에 옮긴 뒤 데리야키소스를 넣어 조린다.
12. 장어탕에 맛술, 설탕, 청주를 넣고 계속해서 끓인다.
13. 장어볶음밥을 무쇠팬에 옮겨 담는다.
14. 장어볶음밥에 버터를 올린다.
15. 장어탕에 채 썬 깻잎, 막장을 넣는다.
16. 장어볶음밥에 채 썬 깻잎을 올린다.
17. 데리야키소스에 조린 장어를 먹기 좋은 크기로 썰어 접시에 올린 뒤 김부각을 함께 낸다.
18. 장어탕에 간장을 넣어 간을 맞춘다.
19. 장어탕을 뚝배기에 옮겨 담는다.</v>
      </c>
    </row>
    <row r="780">
      <c r="A780" s="2" t="str">
        <f>recipe!C780
</f>
        <v>부시리 복치기</v>
      </c>
      <c r="B780" s="2" t="str">
        <f>IFERROR(__xludf.DUMMYFUNCTION("TRIM(
  REGEXEXTRACT(
    raw!A780,
    ""●\s*조리\s*방법([\s\S]*)""
  )
)
"),"1. 돼지 목살을 먹기 좋은 크기로 썬다.
2. 양파, 대파, 마늘을 잘게 썬 뒤 돼지 목살과 함께 볼에 담아둔다.
3. 손질한 부시리를 썰어 믹서기에 넣는다.
4. 3에 액상조미료, 청주, 달걀노른자를 넣고 간다.
5. 간 부시리에 전분을 넣는다.
6. 삶은 전복의 껍데기를 분리한 뒤, 잘게 썬다.
7. 전분을 섞은 간 부시리에 전복을 넣어 부시리패티 반죽을 만든다.
8. 7에 잘게 썬 파프리카를 넣는다.
9. 무늬오징어를 얇게 썰어 돼"&amp;"지 목살과 섞는다.
10. 9에 고추장, 식초, 청주, 맛술, 굴소스를 넣고 버무린다.
11. 양념에 버무린 돼지 목살과 무늬오징어를 팬에 넣고 볶아 두루치기를 만든다.
12. 두루치기에 잘게 썬 청양고추를 넣고 함께 볶는다.
13. 잘게 썬 양파, 굴소스, 액상조미료를 부시리패티 반죽에 넣는다.
14. 기름을 두른 팬에 부시리패티 반죽을 굽는다.
15. 잘게 썬 대파와 달걀을 팬에 넣는다.
16. 15에 즉석밥을 넣은 뒤, 잘게 썬 오징어"&amp;"젓갈을 넣는다.
17. 데친 무늬오징어를 잘게 썰어 볶음밥에 넣고 함께 볶는다.
18. 볶음밥에 굴소스를 넣고 볶는다.
19. 부시리 스테이크에 버터를 더해 구운 뒤 소금으로 간한다.
20. 접시에 오징어젓갈 볶음밥, 부시리 스테이크, 두루치기 순서로 담는다.")</f>
        <v>1. 돼지 목살을 먹기 좋은 크기로 썬다.
2. 양파, 대파, 마늘을 잘게 썬 뒤 돼지 목살과 함께 볼에 담아둔다.
3. 손질한 부시리를 썰어 믹서기에 넣는다.
4. 3에 액상조미료, 청주, 달걀노른자를 넣고 간다.
5. 간 부시리에 전분을 넣는다.
6. 삶은 전복의 껍데기를 분리한 뒤, 잘게 썬다.
7. 전분을 섞은 간 부시리에 전복을 넣어 부시리패티 반죽을 만든다.
8. 7에 잘게 썬 파프리카를 넣는다.
9. 무늬오징어를 얇게 썰어 돼지 목살과 섞는다.
10. 9에 고추장, 식초, 청주, 맛술, 굴소스를 넣고 버무린다.
11. 양념에 버무린 돼지 목살과 무늬오징어를 팬에 넣고 볶아 두루치기를 만든다.
12. 두루치기에 잘게 썬 청양고추를 넣고 함께 볶는다.
13. 잘게 썬 양파, 굴소스, 액상조미료를 부시리패티 반죽에 넣는다.
14. 기름을 두른 팬에 부시리패티 반죽을 굽는다.
15. 잘게 썬 대파와 달걀을 팬에 넣는다.
16. 15에 즉석밥을 넣은 뒤, 잘게 썬 오징어젓갈을 넣는다.
17. 데친 무늬오징어를 잘게 썰어 볶음밥에 넣고 함께 볶는다.
18. 볶음밥에 굴소스를 넣고 볶는다.
19. 부시리 스테이크에 버터를 더해 구운 뒤 소금으로 간한다.
20. 접시에 오징어젓갈 볶음밥, 부시리 스테이크, 두루치기 순서로 담는다.</v>
      </c>
    </row>
    <row r="781">
      <c r="A781" s="2" t="str">
        <f>recipe!C781
</f>
        <v>수박냉면</v>
      </c>
      <c r="B781" s="2" t="str">
        <f>IFERROR(__xludf.DUMMYFUNCTION("TRIM(
  REGEXEXTRACT(
    raw!A781,
    ""●\s*조리\s*방법([\s\S]*)""
  )
)
"),"1. 수박 속을 파낸 후 대파를 자른다.
2. 핸드블렌더에 대파를 넣고 간 뒤, 체에 밭쳐 얼음물에 담가둔다.
3. 핸드블렌더에 토마토를 넣고 간 뒤 볼에 담는다.
4. 수박 과육을 핸드블렌더에 넣고 간다.
5. 간 수박을 체에 밭쳐 즙만 받아낸다.
6. 소금을 넣은 끓는 물에 차돌박이를 데친다.
7. 돼지 뒷다리살과 부챗살을 썰어 함께 데친다.
8. 볼에 고춧가루, 간장, 된장, 식초를 넣고 섞는다.
9. 8에 간 토마토, 수박즙, 설탕"&amp;", 액상조미료, 얼음을 넣어 냉면육수를 만든다.
10. 냉면육수에 레몬즙을 넣는다.
11. 냉면육수에 간 대파와 다진 마늘을 넣는다.
12. 냉면육수에 굴소스를 넣고 섞는다.
13. 데친 고기를 체에 밭친다.
14. 데친 고기를 얼음물에 담가 놓는다.
15. 끓는 물에 냉면 면을 삶는다.
16. 오이를 채 썰고, 루콜라는 먹기 좋은 크기로 썬다.
17. 삶은 냉면 면을 체에 밭쳐 얼음물에 헹군다.
18. 과육을 파낸 수박 안에 냉면 면을"&amp;" 넣은 뒤 상추, 루콜라, 오이, 고기를 넣는다.
19. 냉면육수를 부어 마무리한다.")</f>
        <v>1. 수박 속을 파낸 후 대파를 자른다.
2. 핸드블렌더에 대파를 넣고 간 뒤, 체에 밭쳐 얼음물에 담가둔다.
3. 핸드블렌더에 토마토를 넣고 간 뒤 볼에 담는다.
4. 수박 과육을 핸드블렌더에 넣고 간다.
5. 간 수박을 체에 밭쳐 즙만 받아낸다.
6. 소금을 넣은 끓는 물에 차돌박이를 데친다.
7. 돼지 뒷다리살과 부챗살을 썰어 함께 데친다.
8. 볼에 고춧가루, 간장, 된장, 식초를 넣고 섞는다.
9. 8에 간 토마토, 수박즙, 설탕, 액상조미료, 얼음을 넣어 냉면육수를 만든다.
10. 냉면육수에 레몬즙을 넣는다.
11. 냉면육수에 간 대파와 다진 마늘을 넣는다.
12. 냉면육수에 굴소스를 넣고 섞는다.
13. 데친 고기를 체에 밭친다.
14. 데친 고기를 얼음물에 담가 놓는다.
15. 끓는 물에 냉면 면을 삶는다.
16. 오이를 채 썰고, 루콜라는 먹기 좋은 크기로 썬다.
17. 삶은 냉면 면을 체에 밭쳐 얼음물에 헹군다.
18. 과육을 파낸 수박 안에 냉면 면을 넣은 뒤 상추, 루콜라, 오이, 고기를 넣는다.
19. 냉면육수를 부어 마무리한다.</v>
      </c>
    </row>
    <row r="782">
      <c r="A782" s="2" t="str">
        <f>recipe!C782
</f>
        <v>Drop the fish</v>
      </c>
      <c r="B782" s="2" t="str">
        <f>IFERROR(__xludf.DUMMYFUNCTION("TRIM(
  REGEXEXTRACT(
    raw!A782,
    ""●\s*조리\s*방법([\s\S]*)""
  )
)
"),"1. 잘게 썬 양파를 팬에 넣은 뒤 화이트와인, 통후추, 버터를 넣고 졸여 화이트와인소스를 만든다.
2. 양파를 튀긴 뒤 발사믹글레이즈를 뿌린다.
3. 반으로 자른 파프리카를 석쇠에 올려 굽는다.
4. 토마토를 끓는 물에 데친 뒤 잘게 다진다.
5. 감자를 얇게 슬라이스한 뒤 끓는 물에 익힌다.
6. 팬에 익힌 감자, 생모차렐라 치즈, 물, 설탕을 넣고 끓인다.
7. 6에 버터와 레몬즙을 넣는다.
8. 핸드블렌더에 루콜라, 올리브오일, 소금"&amp;", 레몬즙을 넣고 갈아 루콜라퓌레를 만든다.
9. 감자와 생모차렐라 치즈에 루콜라퓌레를 넣고 후추로 간한다.
10. 붉바리를 손질해 몸통 살만 분리해낸다.
11. 가시를 발라낸 붉바리의 껍질을 벗겨낸다.
12. 붉바리 살에 칼집을 낸다.
13. 올리브오일을 두른 팬에 붉바리 살을 올린 뒤 후추로 간한다.
14. 붉바리 살을 얇게 포를 떠 접시에 올린다.
15. 석쇠에 구운 파프리카를 얇게 썬 뒤, 붉바리 회에 올린다.
16. 15 위에 루"&amp;"콜라퓌레, 다진 토마토, 레몬즙, 올리브오일, 후추, 소금을 뿌린다.
17. 16에 잘게 썬 루콜라를 올린 뒤 발사믹글레이즈를 뿌린다.
18. 루콜라퓌레를 넣고 익힌 감자와 생모차렐라 치즈를 접시에 올린다.
19. 발사믹글레이즈를 뿌린 튀긴 양파를 올린다.
20. 붉바리 스테이크를 올린다.
21. 붉바리 스테이크에 화이트와인소스를 뿌린다.
22. 붉바리 스테이크에 루콜라퓌레를 올려 마무리한다.")</f>
        <v>1. 잘게 썬 양파를 팬에 넣은 뒤 화이트와인, 통후추, 버터를 넣고 졸여 화이트와인소스를 만든다.
2. 양파를 튀긴 뒤 발사믹글레이즈를 뿌린다.
3. 반으로 자른 파프리카를 석쇠에 올려 굽는다.
4. 토마토를 끓는 물에 데친 뒤 잘게 다진다.
5. 감자를 얇게 슬라이스한 뒤 끓는 물에 익힌다.
6. 팬에 익힌 감자, 생모차렐라 치즈, 물, 설탕을 넣고 끓인다.
7. 6에 버터와 레몬즙을 넣는다.
8. 핸드블렌더에 루콜라, 올리브오일, 소금, 레몬즙을 넣고 갈아 루콜라퓌레를 만든다.
9. 감자와 생모차렐라 치즈에 루콜라퓌레를 넣고 후추로 간한다.
10. 붉바리를 손질해 몸통 살만 분리해낸다.
11. 가시를 발라낸 붉바리의 껍질을 벗겨낸다.
12. 붉바리 살에 칼집을 낸다.
13. 올리브오일을 두른 팬에 붉바리 살을 올린 뒤 후추로 간한다.
14. 붉바리 살을 얇게 포를 떠 접시에 올린다.
15. 석쇠에 구운 파프리카를 얇게 썬 뒤, 붉바리 회에 올린다.
16. 15 위에 루콜라퓌레, 다진 토마토, 레몬즙, 올리브오일, 후추, 소금을 뿌린다.
17. 16에 잘게 썬 루콜라를 올린 뒤 발사믹글레이즈를 뿌린다.
18. 루콜라퓌레를 넣고 익힌 감자와 생모차렐라 치즈를 접시에 올린다.
19. 발사믹글레이즈를 뿌린 튀긴 양파를 올린다.
20. 붉바리 스테이크를 올린다.
21. 붉바리 스테이크에 화이트와인소스를 뿌린다.
22. 붉바리 스테이크에 루콜라퓌레를 올려 마무리한다.</v>
      </c>
    </row>
    <row r="783">
      <c r="A783" s="2" t="str">
        <f>recipe!C783
</f>
        <v>Fish Fish Baby♬</v>
      </c>
      <c r="B783" s="2" t="str">
        <f>IFERROR(__xludf.DUMMYFUNCTION("TRIM(
  REGEXEXTRACT(
    raw!A783,
    ""●\s*조리\s*방법([\s\S]*)""
  )
)
"),"1. 전복을 체에 밭쳐 끓는 물에 데친다.
2. 붉바리를 손질해 반으로 가른다.
3. 붉바리의 반쪽을 냄비에 넣은 뒤 뜨거운 물을 부어 익힌다.
4. 3에 맛술, 청주, 설탕을 넣는다.
5. 붉바리에 간장을 넣은 뒤 쿠킹포일로 덮는다.
6. 아보카도의 껍질을 벗긴 뒤 버터를 두른 팬에 굽는다.
7. 적당한 크기로 썬 감자를 팬에 넣고 굽는다.8. 데친 전복을 찬물에 식힌다.
9. 전복과 버터에 구운 감자, 아보카도를 붉바리 간장조림에 넣고 "&amp;"함께 조린다.
10. 남은 붉바리의 반쪽을 손질해 몸통 살만 분리해낸다.
11. 붉바리 뼈에 튀김가루를 묻힌 뒤 체에 밭쳐 통째로 튀긴다.
12. 붉바리 살의 가시를 발라낸 뒤 먹기 좋은 크기로 썬다.
13. 튀김가루에 전분을 섞고 달걀물을 넣어 튀김옷을 만든다.
14. 붉바리 살에 튀김옷을 입힌 뒤 기름에 튀긴다.
15. 적당한 크기로 썬 홍고추와 통마늘, 식초를 핸드블렌더에 넣고 간다.
16. 15에 케첩, 설탕을 섞어 수제 스위트칠리소"&amp;"스를 만든다.
17. 튀긴 붉바리 뼈를 건져내 그릇에 담는다.
18. 잘게 썬 양파, 파프리카를 팬에 넣는다.
19. 18에 스위트칠리소스와 수제 스위트칠리소스를 넣은 뒤 붉바리 튀김을 넣고 섞는다.
20. 붉바리 뼈튀김 위에 스위트칠리소스에 버무린 붉바리 튀김과 루콜라를 올린다.
21. 붉바리 간장조림에 홍고추, 청양고추를 넣는다.
22. 껍질을 벗긴 붉바리 살을 적당한 크기로 썰어 접시에 담는다.
23. 붉바리 간장조림을 접시에 담아낸다"&amp;".")</f>
        <v>1. 전복을 체에 밭쳐 끓는 물에 데친다.
2. 붉바리를 손질해 반으로 가른다.
3. 붉바리의 반쪽을 냄비에 넣은 뒤 뜨거운 물을 부어 익힌다.
4. 3에 맛술, 청주, 설탕을 넣는다.
5. 붉바리에 간장을 넣은 뒤 쿠킹포일로 덮는다.
6. 아보카도의 껍질을 벗긴 뒤 버터를 두른 팬에 굽는다.
7. 적당한 크기로 썬 감자를 팬에 넣고 굽는다.8. 데친 전복을 찬물에 식힌다.
9. 전복과 버터에 구운 감자, 아보카도를 붉바리 간장조림에 넣고 함께 조린다.
10. 남은 붉바리의 반쪽을 손질해 몸통 살만 분리해낸다.
11. 붉바리 뼈에 튀김가루를 묻힌 뒤 체에 밭쳐 통째로 튀긴다.
12. 붉바리 살의 가시를 발라낸 뒤 먹기 좋은 크기로 썬다.
13. 튀김가루에 전분을 섞고 달걀물을 넣어 튀김옷을 만든다.
14. 붉바리 살에 튀김옷을 입힌 뒤 기름에 튀긴다.
15. 적당한 크기로 썬 홍고추와 통마늘, 식초를 핸드블렌더에 넣고 간다.
16. 15에 케첩, 설탕을 섞어 수제 스위트칠리소스를 만든다.
17. 튀긴 붉바리 뼈를 건져내 그릇에 담는다.
18. 잘게 썬 양파, 파프리카를 팬에 넣는다.
19. 18에 스위트칠리소스와 수제 스위트칠리소스를 넣은 뒤 붉바리 튀김을 넣고 섞는다.
20. 붉바리 뼈튀김 위에 스위트칠리소스에 버무린 붉바리 튀김과 루콜라를 올린다.
21. 붉바리 간장조림에 홍고추, 청양고추를 넣는다.
22. 껍질을 벗긴 붉바리 살을 적당한 크기로 썰어 접시에 담는다.
23. 붉바리 간장조림을 접시에 담아낸다.</v>
      </c>
    </row>
    <row r="784">
      <c r="A784" s="2" t="str">
        <f>recipe!C784
</f>
        <v>청실홍실</v>
      </c>
      <c r="B784" s="2" t="str">
        <f>IFERROR(__xludf.DUMMYFUNCTION("TRIM(
  REGEXEXTRACT(
    raw!A784,
    ""●\s*조리\s*방법([\s\S]*)""
  )
)
"),"1. 홍어 애를 랩으로 감싼다.
2. 랩으로 감싼 홍어 애를 김발에 놓고 돌돌 만 뒤 찜기에 넣는다.
3. 반으로 자른 홍어 날개의 껍질을 벗겨낸다.
4. 홍어 날개에 기름을 바른 뒤 석쇠에 올려 굽는다.
5. 당근, 오이를 얇게 슬라이스한 뒤 구운 홍어 날개 위에 올린다.
6. 당근과 오이를 올린 홍어 날개를 찜기에 넣어 익힌다.
7. 끓는 물에 다시마육수팩을 넣어 끓인다.
8. 달군 팬에 발사믹 식초를 넣어 졸인다.
9. 홍어껍질을 석"&amp;"쇠에 구운 뒤 얼음물에 담가둔다.
10. 팬에 밀가루를 넣은 뒤 다시마 육수, 된장을 넣고 끓인다.
11. 10에 핑크 플랑크톤, 설탕을 넣은 뒤 체에 거른다.
12. 11에 청국장, 잘게 썬 양송이버섯과 적양파를 넣고 끓여 청국장소스를 만든다.
13. 홍어 날개살을 얇게 포를 떠 접시에 담는다.
14. 적양파, 양배추를 얇게 채 썬다.
15. 코코넛식초, 오리엔탈드레싱을 섞어 채 썬 적양파와 양배추에 바른 뒤 접시에 담는다.
16. 구운 "&amp;"홍어 껍질을 얇게 썰어 올린다.
17. 찐 홍어 애를 적당한 크기로 썰어 올린다.
18. 핸드블렌더에 비트&amp;무 피클을 넣고 간 뒤 접시에 올린다.
19. 18에 졸인 발사믹식초를 뿌린다.
20. 접시에 청국장소스를 담는다.
21. 찜기에서 익힌 홍어 스테이크를 청국장소스 위에 올려낸다.")</f>
        <v>1. 홍어 애를 랩으로 감싼다.
2. 랩으로 감싼 홍어 애를 김발에 놓고 돌돌 만 뒤 찜기에 넣는다.
3. 반으로 자른 홍어 날개의 껍질을 벗겨낸다.
4. 홍어 날개에 기름을 바른 뒤 석쇠에 올려 굽는다.
5. 당근, 오이를 얇게 슬라이스한 뒤 구운 홍어 날개 위에 올린다.
6. 당근과 오이를 올린 홍어 날개를 찜기에 넣어 익힌다.
7. 끓는 물에 다시마육수팩을 넣어 끓인다.
8. 달군 팬에 발사믹 식초를 넣어 졸인다.
9. 홍어껍질을 석쇠에 구운 뒤 얼음물에 담가둔다.
10. 팬에 밀가루를 넣은 뒤 다시마 육수, 된장을 넣고 끓인다.
11. 10에 핑크 플랑크톤, 설탕을 넣은 뒤 체에 거른다.
12. 11에 청국장, 잘게 썬 양송이버섯과 적양파를 넣고 끓여 청국장소스를 만든다.
13. 홍어 날개살을 얇게 포를 떠 접시에 담는다.
14. 적양파, 양배추를 얇게 채 썬다.
15. 코코넛식초, 오리엔탈드레싱을 섞어 채 썬 적양파와 양배추에 바른 뒤 접시에 담는다.
16. 구운 홍어 껍질을 얇게 썰어 올린다.
17. 찐 홍어 애를 적당한 크기로 썰어 올린다.
18. 핸드블렌더에 비트&amp;무 피클을 넣고 간 뒤 접시에 올린다.
19. 18에 졸인 발사믹식초를 뿌린다.
20. 접시에 청국장소스를 담는다.
21. 찜기에서 익힌 홍어 스테이크를 청국장소스 위에 올려낸다.</v>
      </c>
    </row>
    <row r="785">
      <c r="A785" s="2" t="str">
        <f>recipe!C785
</f>
        <v>최애 홍파스타</v>
      </c>
      <c r="B785" s="2" t="str">
        <f>IFERROR(__xludf.DUMMYFUNCTION("TRIM(
  REGEXEXTRACT(
    raw!A785,
    ""●\s*조리\s*방법([\s\S]*)""
  )
)
"),"1. 홍어 애에 후추, 참기름을 넣고 버무린다.
2. 홍어 애에 밀가루를 묻힌 뒤 팬에 넣고 굽는다.
3. 홍어 애에 고추냉이마요네즈를 더해 굽는다.
4. 끓는 물에 으깬 마늘, 무, 파, 홍어 날개를 넣고 끓여 홍어 육수를 만든다.
5. 홍어 날개의 껍질을 벗겨낸다.
6. 껍질을 벗긴 홍어 날개를 홍어 육수에 넣은 뒤 된장을 풀어준다.
7. 육수에 데친 홍어 날개를 얼음물에 담가 식힌다.
8. 포크를 이용해 홍어 날개의 살만 발라낸다.
"&amp;"9. 살을 발라낸 홍어 날개뼈는 다시 홍어 육수에 넣는다.
10. 치킨스톡을 넣은 끓는 물에 파스타면을 넣고 삶는다.
11. 홍어 육수를 더해 파스타면을 삶는다.
12. 양파, 마늘, 아스파라거스를 손질한 뒤 팬에 넣는다.
13. 12에 블랙올리브, 그린올리브, 홍어 날개살을 넣고 볶는다.
14. 깻잎을 잘게 썬 뒤 팬에 넣고 함께 볶는다.
15. 홍어 날개살과 채소를 넣고 볶던 팬에 홍어 육수를 넣은 뒤 소금으로 간한다.
16. 15에 삶"&amp;"은 파스타면을 넣은 뒤 홍어 육수와 올리브 오일을 넣는다.
17. 사과를 얇게 채 썬다.
18. 구운 홍어 애를 적당한 크기로 썬다.
19. 홍어 파스타를 접시에 담아낸다.
20. 홍어 파스타 위에 구운 홍어 애, 채 썬 사과를 얹어 마무리한다.")</f>
        <v>1. 홍어 애에 후추, 참기름을 넣고 버무린다.
2. 홍어 애에 밀가루를 묻힌 뒤 팬에 넣고 굽는다.
3. 홍어 애에 고추냉이마요네즈를 더해 굽는다.
4. 끓는 물에 으깬 마늘, 무, 파, 홍어 날개를 넣고 끓여 홍어 육수를 만든다.
5. 홍어 날개의 껍질을 벗겨낸다.
6. 껍질을 벗긴 홍어 날개를 홍어 육수에 넣은 뒤 된장을 풀어준다.
7. 육수에 데친 홍어 날개를 얼음물에 담가 식힌다.
8. 포크를 이용해 홍어 날개의 살만 발라낸다.
9. 살을 발라낸 홍어 날개뼈는 다시 홍어 육수에 넣는다.
10. 치킨스톡을 넣은 끓는 물에 파스타면을 넣고 삶는다.
11. 홍어 육수를 더해 파스타면을 삶는다.
12. 양파, 마늘, 아스파라거스를 손질한 뒤 팬에 넣는다.
13. 12에 블랙올리브, 그린올리브, 홍어 날개살을 넣고 볶는다.
14. 깻잎을 잘게 썬 뒤 팬에 넣고 함께 볶는다.
15. 홍어 날개살과 채소를 넣고 볶던 팬에 홍어 육수를 넣은 뒤 소금으로 간한다.
16. 15에 삶은 파스타면을 넣은 뒤 홍어 육수와 올리브 오일을 넣는다.
17. 사과를 얇게 채 썬다.
18. 구운 홍어 애를 적당한 크기로 썬다.
19. 홍어 파스타를 접시에 담아낸다.
20. 홍어 파스타 위에 구운 홍어 애, 채 썬 사과를 얹어 마무리한다.</v>
      </c>
    </row>
    <row r="786">
      <c r="A786" s="2" t="str">
        <f>recipe!C786
</f>
        <v>안심하소</v>
      </c>
      <c r="B786" s="2" t="str">
        <f>IFERROR(__xludf.DUMMYFUNCTION("TRIM(
  REGEXEXTRACT(
    raw!A786,
    ""●\s*조리\s*방법([\s\S]*)""
  )
)
"),"1. 소 안심을 잘게 다진 뒤 물에 넣고 끓여 육수를 낸다.
2. 버터를 두른 팬에 잘게 썬 양파를 넣은 뒤 양송이버섯, 버터, 밀가루를 넣고 볶는다.
3. 2에 우유, 안심 육수를 넣어 끓인다.
4. 3을 믹서기에 넣고 갈아 버섯소스를 만든다.
5. 버섯소스를 체에 거른 뒤 팬에 올려 졸인다.
6. 끓는 물에 프로방스 허브를 넣는다.
7. 잘게 썬 당근과 양파를 6에 넣은 뒤 소금, 간장, 레드와인을 넣고 끓인다.
8. 허브, 채소, 레드"&amp;"와인을 넣고 끓인 물에 안심을 넣어 익힌다.
9. 적당한 크기로 썬 당근과 양파에 소금, 버터를 넣고 버무린다.
10. 적당한 크기로 썬 아스파라거스에 소금, 버터를 넣고 버무린다.
11. 소금, 버터에 버무린 채소들을 오븐에 넣고 굽는다.
12. 버섯소스를 접시에 담는다.
13. 오븐에 구운 양파, 당근, 아스파라거스를 버섯소스 위에 올린다.
14. 적당한 크기로 썬 안심을 버섯소스 위에 올린다.
15. 소금, 후추를 뿌려 마무리한다.")</f>
        <v>1. 소 안심을 잘게 다진 뒤 물에 넣고 끓여 육수를 낸다.
2. 버터를 두른 팬에 잘게 썬 양파를 넣은 뒤 양송이버섯, 버터, 밀가루를 넣고 볶는다.
3. 2에 우유, 안심 육수를 넣어 끓인다.
4. 3을 믹서기에 넣고 갈아 버섯소스를 만든다.
5. 버섯소스를 체에 거른 뒤 팬에 올려 졸인다.
6. 끓는 물에 프로방스 허브를 넣는다.
7. 잘게 썬 당근과 양파를 6에 넣은 뒤 소금, 간장, 레드와인을 넣고 끓인다.
8. 허브, 채소, 레드와인을 넣고 끓인 물에 안심을 넣어 익힌다.
9. 적당한 크기로 썬 당근과 양파에 소금, 버터를 넣고 버무린다.
10. 적당한 크기로 썬 아스파라거스에 소금, 버터를 넣고 버무린다.
11. 소금, 버터에 버무린 채소들을 오븐에 넣고 굽는다.
12. 버섯소스를 접시에 담는다.
13. 오븐에 구운 양파, 당근, 아스파라거스를 버섯소스 위에 올린다.
14. 적당한 크기로 썬 안심을 버섯소스 위에 올린다.
15. 소금, 후추를 뿌려 마무리한다.</v>
      </c>
    </row>
    <row r="787">
      <c r="A787" s="2" t="str">
        <f>recipe!C787
</f>
        <v>고급이양</v>
      </c>
      <c r="B787" s="2" t="str">
        <f>IFERROR(__xludf.DUMMYFUNCTION("TRIM(
  REGEXEXTRACT(
    raw!A787,
    ""●\s*조리\s*방법([\s\S]*)""
  )
)
"),"1. 양갈비를 고기망치로 두드린 뒤 갈릭솔트를 뿌려 밑간한다.
2. 밑간한 양갈비를 그릭 요거트에 재워둔다.
3. 팬에 올리브오일을 두른다.
4. 양갈비에 밀가루를 묻힌 뒤 올리브오일을 두른 팬에 튀기듯 굽는다.
5. 버터와 크림치즈를 섞어 동그랗게 만든 뒤 프로방스 허브를 묻혀 냉동실에 넣어둔다.
6. 그릴팬에 당근, 아스파라거스를 올린 뒤 올리브오일을 넣고 굽는다.
7. 팬에 설탕, 물을 넣은 뒤 석류농축액을 넣고 졸인다.
8. 7에 무"&amp;"화과를 넣어 캐러멜라이즈한다.
9. 8에 청주, 버터, 레몬, 레몬즙을 넣고 졸여 무화과소스를 만든다.
10. 구운 아스파라거스를 반으로 가른다.
11. 구운 아스파라거스와 당근에 후추, 올리브오일을 뿌린다.
12. 접시에 아스파라거스와 당근을 올린다.
13. 소스에 조린 무화과를 올린다.
14. 접시에 구운 양갈비와 무화과소스를 올린다.
15. 프로방스 허브를 묻힌 크림치즈볼, 멸치볶음을 꼬치에 끼운 뒤 양갈비에 꽂아낸다.")</f>
        <v>1. 양갈비를 고기망치로 두드린 뒤 갈릭솔트를 뿌려 밑간한다.
2. 밑간한 양갈비를 그릭 요거트에 재워둔다.
3. 팬에 올리브오일을 두른다.
4. 양갈비에 밀가루를 묻힌 뒤 올리브오일을 두른 팬에 튀기듯 굽는다.
5. 버터와 크림치즈를 섞어 동그랗게 만든 뒤 프로방스 허브를 묻혀 냉동실에 넣어둔다.
6. 그릴팬에 당근, 아스파라거스를 올린 뒤 올리브오일을 넣고 굽는다.
7. 팬에 설탕, 물을 넣은 뒤 석류농축액을 넣고 졸인다.
8. 7에 무화과를 넣어 캐러멜라이즈한다.
9. 8에 청주, 버터, 레몬, 레몬즙을 넣고 졸여 무화과소스를 만든다.
10. 구운 아스파라거스를 반으로 가른다.
11. 구운 아스파라거스와 당근에 후추, 올리브오일을 뿌린다.
12. 접시에 아스파라거스와 당근을 올린다.
13. 소스에 조린 무화과를 올린다.
14. 접시에 구운 양갈비와 무화과소스를 올린다.
15. 프로방스 허브를 묻힌 크림치즈볼, 멸치볶음을 꼬치에 끼운 뒤 양갈비에 꽂아낸다.</v>
      </c>
    </row>
    <row r="788">
      <c r="A788" s="2" t="str">
        <f>recipe!C788
</f>
        <v>육개장에 파 하나 놓고 가라</v>
      </c>
      <c r="B788" s="2" t="str">
        <f>IFERROR(__xludf.DUMMYFUNCTION("TRIM(
  REGEXEXTRACT(
    raw!A788,
    ""●\s*조리\s*방법([\s\S]*)""
  )
)
"),"1. 얇게 슬라이스한 무, 마늘을 사골육수에 넣는다.
2. 청양고추, 양파를 잘게 썰어 사골육수에 넣고 끓인다.
3. 2에 표고버섯, 말린 애호박을 넣고 끓인다.
4. 적당한 크기로 썬 대파와 쪽파를 볼에 담아둔다.
5. 집된장을 체에 밭쳐 끓는 물에 풀어준다.
6. 된장 푼 물에 대파와 쪽파를 데친다.
7. 소고기 등심을 얇게 썬다.
8. 믹서기에 고춧가루를 넣고 간다.
9. 팬에 참기름과 식용유를 넣고 섞은 뒤 곱게 간 고춧가루에 넣고"&amp;" 섞는다.
10. 9에 다진 마늘, 다진 생강, 표고버섯가루, 굴소스, 어간장, 소금을 넣고 섞어 양념을 만든다.
11. 길게 썬 두부를 기름을 두른 팬에 넣고 튀긴다.
12. 끓이던 육수에 양념을 넣고 끓여 파개장 국물을 만든다.
13. 된장 푼 물에 데친 대파와 쪽파를 양념과 섞어준다.
14. 얇게 썬 등심을 된장 푼 물에 데친 뒤 양념한 대파, 쪽파와 함께 버무린다.
15. 파개장 국물에 14를 넣고 끓인다.
16. 된장 푼 물에 달걀"&amp;"을 넣어 수란을 만든다.
17. 적당한 크기로 썬 낙지를 체에 밭쳐 된장 푼 물에 데친다.
18. 파개장에 참기름, 고춧가루, 물을 넣고 끓인다.
19. 데친 낙지를 체에 밭쳐 파개장에 넣어 익힌다.
20. 두부튀김의 기름기를 뺀 뒤 잘게 썬다.
21. 파개장을 그릇에 담는다.
22. 파개장에 수란, 참기름, 두부튀김을 넣어 마무리한다.")</f>
        <v>1. 얇게 슬라이스한 무, 마늘을 사골육수에 넣는다.
2. 청양고추, 양파를 잘게 썰어 사골육수에 넣고 끓인다.
3. 2에 표고버섯, 말린 애호박을 넣고 끓인다.
4. 적당한 크기로 썬 대파와 쪽파를 볼에 담아둔다.
5. 집된장을 체에 밭쳐 끓는 물에 풀어준다.
6. 된장 푼 물에 대파와 쪽파를 데친다.
7. 소고기 등심을 얇게 썬다.
8. 믹서기에 고춧가루를 넣고 간다.
9. 팬에 참기름과 식용유를 넣고 섞은 뒤 곱게 간 고춧가루에 넣고 섞는다.
10. 9에 다진 마늘, 다진 생강, 표고버섯가루, 굴소스, 어간장, 소금을 넣고 섞어 양념을 만든다.
11. 길게 썬 두부를 기름을 두른 팬에 넣고 튀긴다.
12. 끓이던 육수에 양념을 넣고 끓여 파개장 국물을 만든다.
13. 된장 푼 물에 데친 대파와 쪽파를 양념과 섞어준다.
14. 얇게 썬 등심을 된장 푼 물에 데친 뒤 양념한 대파, 쪽파와 함께 버무린다.
15. 파개장 국물에 14를 넣고 끓인다.
16. 된장 푼 물에 달걀을 넣어 수란을 만든다.
17. 적당한 크기로 썬 낙지를 체에 밭쳐 된장 푼 물에 데친다.
18. 파개장에 참기름, 고춧가루, 물을 넣고 끓인다.
19. 데친 낙지를 체에 밭쳐 파개장에 넣어 익힌다.
20. 두부튀김의 기름기를 뺀 뒤 잘게 썬다.
21. 파개장을 그릇에 담는다.
22. 파개장에 수란, 참기름, 두부튀김을 넣어 마무리한다.</v>
      </c>
    </row>
    <row r="789">
      <c r="A789" s="2" t="str">
        <f>recipe!C789
</f>
        <v>해장이나 잘하세요</v>
      </c>
      <c r="B789" s="2" t="str">
        <f>IFERROR(__xludf.DUMMYFUNCTION("TRIM(
  REGEXEXTRACT(
    raw!A789,
    ""●\s*조리\s*방법([\s\S]*)""
  )
)
"),"1. 두부를 전자레인지에 넣고 돌린다.
2. 대파의 흰 부분을 적당한 크기로 썬다.
3. 끓는 물에 전복을 데친다.
4. 팬에 북어포 불린 물을 넣은 뒤 삼겹살, 묵은지를 넣고 끓인다.
5. 4에 다진 마늘, 집된장을 넣고 끓인다.
6. 묵은지찜에 간 고춧가루를 넣는다.
7. 묵은지찜에 들기름을 넣는다.
8. 데친 전복을 찬물에 헹군다.
9. 사골육수에 북어포 불린 물을 넣고 끓여 백짬뽕 국물을 만든다.
10. 핸드블렌더에 삼겹살, 대파"&amp;", 굴소스, 달걀, 밀가루를 넣는다.
11. 전자레인지에 돌린 두부를 으깬 뒤 10에 넣고 함께 간다.
12. 데친 전복을 잘게 썰어 완자반죽에 넣는다.
13. 완자반죽을 적당한 크기로 떼어 백짬뽕 국물에 넣고 익힌다.
14. 새우를 끓는 물에 데친다.
15. 양파, 대파를 적당한 크기로 썬다.
16. 기름을 두른 팬에 대파, 삼겹살, 다진 마늘, 양파, 간장, 표고버섯을 넣고 볶는다.
17. 백짬뽕 국물에 청양고추, 다진 마늘을 넣고 끓인"&amp;"다.
18. 간장에 볶은 삼겹살과 채소를 국물에 넣어 함께 끓인다.
19. 백짬뽕에 후추, 소금, 굴소스, 맛술을 넣고 끓인다.
20. 데친 새우를 체에 밭쳐 백짬뽕에 넣어 익힌다.
21. 대파, 홍고추를 잘게 썬다.
22. 묵은지찜에 설탕, 간장을 넣는다.
23. 묵은지찜을 그릇에 담는다.
24. 묵은지찜에 들기름을 뿌린다.
25. 그릇에 백짬뽕을 담은 뒤 새우를 올린다.
26. 홍고추와 대파를 올려 마무리한다.")</f>
        <v>1. 두부를 전자레인지에 넣고 돌린다.
2. 대파의 흰 부분을 적당한 크기로 썬다.
3. 끓는 물에 전복을 데친다.
4. 팬에 북어포 불린 물을 넣은 뒤 삼겹살, 묵은지를 넣고 끓인다.
5. 4에 다진 마늘, 집된장을 넣고 끓인다.
6. 묵은지찜에 간 고춧가루를 넣는다.
7. 묵은지찜에 들기름을 넣는다.
8. 데친 전복을 찬물에 헹군다.
9. 사골육수에 북어포 불린 물을 넣고 끓여 백짬뽕 국물을 만든다.
10. 핸드블렌더에 삼겹살, 대파, 굴소스, 달걀, 밀가루를 넣는다.
11. 전자레인지에 돌린 두부를 으깬 뒤 10에 넣고 함께 간다.
12. 데친 전복을 잘게 썰어 완자반죽에 넣는다.
13. 완자반죽을 적당한 크기로 떼어 백짬뽕 국물에 넣고 익힌다.
14. 새우를 끓는 물에 데친다.
15. 양파, 대파를 적당한 크기로 썬다.
16. 기름을 두른 팬에 대파, 삼겹살, 다진 마늘, 양파, 간장, 표고버섯을 넣고 볶는다.
17. 백짬뽕 국물에 청양고추, 다진 마늘을 넣고 끓인다.
18. 간장에 볶은 삼겹살과 채소를 국물에 넣어 함께 끓인다.
19. 백짬뽕에 후추, 소금, 굴소스, 맛술을 넣고 끓인다.
20. 데친 새우를 체에 밭쳐 백짬뽕에 넣어 익힌다.
21. 대파, 홍고추를 잘게 썬다.
22. 묵은지찜에 설탕, 간장을 넣는다.
23. 묵은지찜을 그릇에 담는다.
24. 묵은지찜에 들기름을 뿌린다.
25. 그릇에 백짬뽕을 담은 뒤 새우를 올린다.
26. 홍고추와 대파를 올려 마무리한다.</v>
      </c>
    </row>
    <row r="790">
      <c r="A790" s="2" t="str">
        <f>recipe!C790
</f>
        <v>연가복</v>
      </c>
      <c r="B790" s="2" t="str">
        <f>IFERROR(__xludf.DUMMYFUNCTION("TRIM(
  REGEXEXTRACT(
    raw!A790,
    ""●\s*조리\s*방법([\s\S]*)""
  )
)
"),"1. 기름에 적당한 크기로 썬 대파, 고춧가루, 고추를 넣고 끓여 고추기름을 낸다.
2. 물에 청주, 맛술, 생강즙을 넣고 끓인다.
3. 전복, 새우, 낙지를 손질한 뒤 2의 물에 넣어 삶는다.
4. 볼에 적당한 크기로 썬 삼겹살, 소갈비양념, 밀가루, 달걀흰자를 넣고 버무린다.
5. 기름을 두른 팬에 4의 삼겹살과 은행을 튀기듯이 굽는다.
6. 삼겹살과 은행을 섞어 튀긴 뒤 삼겹살은 다른 팬에 옮기고, 은행은 체에 밭쳐 기름기를 뺀다.
7."&amp;" 튀긴 은행을 찬물에 헹궈 껍질을 벗긴다.
8. 고추기름을 체에 밭쳐 건더기를 걸러낸다.
9. 삶은 낙지, 전복을 먹기 좋은 크기로 썬다.
10. 애호박, 쪽파, 대파, 청양고추를 썬 뒤 전복, 새우, 낙지와 함께 볶는다.
11. 10에 느타리버섯, 물, 전분물을 넣고 볶다가 튀긴 삼겹살을 넣어 전가복을 만든다.
12. 달걀흰자로 머랭을 친다.
13. 전가복을 그릇에 담는다.
14. 반으로 자른 꽃게를 밀대로 밀어 게살만 발라낸다.
15."&amp;" 적당한 크기로 썬 대파, 게살을 기름을 두른 팬에 넣고 볶는다.
16. 볶던 게살에 맛술, 은행, 소금을 넣고 볶아 게살소스를 만든다.
17. 게살소스에 생강즙을 넣는다.
18. 게살소스에 전분물을 넣어 농도를 조절한다.
19. 게살소스에 머랭을 섞은 뒤 전가복 위에 올린다.
20. 고추기름을 뿌려 마무리한다.")</f>
        <v>1. 기름에 적당한 크기로 썬 대파, 고춧가루, 고추를 넣고 끓여 고추기름을 낸다.
2. 물에 청주, 맛술, 생강즙을 넣고 끓인다.
3. 전복, 새우, 낙지를 손질한 뒤 2의 물에 넣어 삶는다.
4. 볼에 적당한 크기로 썬 삼겹살, 소갈비양념, 밀가루, 달걀흰자를 넣고 버무린다.
5. 기름을 두른 팬에 4의 삼겹살과 은행을 튀기듯이 굽는다.
6. 삼겹살과 은행을 섞어 튀긴 뒤 삼겹살은 다른 팬에 옮기고, 은행은 체에 밭쳐 기름기를 뺀다.
7. 튀긴 은행을 찬물에 헹궈 껍질을 벗긴다.
8. 고추기름을 체에 밭쳐 건더기를 걸러낸다.
9. 삶은 낙지, 전복을 먹기 좋은 크기로 썬다.
10. 애호박, 쪽파, 대파, 청양고추를 썬 뒤 전복, 새우, 낙지와 함께 볶는다.
11. 10에 느타리버섯, 물, 전분물을 넣고 볶다가 튀긴 삼겹살을 넣어 전가복을 만든다.
12. 달걀흰자로 머랭을 친다.
13. 전가복을 그릇에 담는다.
14. 반으로 자른 꽃게를 밀대로 밀어 게살만 발라낸다.
15. 적당한 크기로 썬 대파, 게살을 기름을 두른 팬에 넣고 볶는다.
16. 볶던 게살에 맛술, 은행, 소금을 넣고 볶아 게살소스를 만든다.
17. 게살소스에 생강즙을 넣는다.
18. 게살소스에 전분물을 넣어 농도를 조절한다.
19. 게살소스에 머랭을 섞은 뒤 전가복 위에 올린다.
20. 고추기름을 뿌려 마무리한다.</v>
      </c>
    </row>
    <row r="791">
      <c r="A791" s="2" t="str">
        <f>recipe!C791
</f>
        <v>맛있어서 우럭?</v>
      </c>
      <c r="B791" s="2" t="str">
        <f>IFERROR(__xludf.DUMMYFUNCTION("TRIM(
  REGEXEXTRACT(
    raw!A791,
    ""●\s*조리\s*방법([\s\S]*)""
  )
)
"),"1. 쌀뜨물에 불린 말린 우럭의 머리를 잘라낸다.
2. 양파와 대파를 적당한 크기로 썬 뒤 우럭과 함께 달군 팬에 넣는다.
3. 2에 화이트와인을 넣고 불을 붙여 비린내를 제거한다.
4. 3을 체에 밭친 뒤 뜨거운 물을 붓는다.
5. 핸드블렌더에 마늘, 맛술, 간장을 넣고 간다.
6. 기름을 두른 팬에 5를 넣은 뒤 고춧가루, 달군 기름을 더해 마늘기름을 낸다.
7. 적당한 크기로 썬 대파, 양파를 마늘기름에 넣은 뒤 설탕, 불린 표고버섯물,"&amp;" 우럭을 넣어 조린다.
8. 7에 사과즙, 대파, 느타리버섯을 넣고 조린다.
9. 새우 등에 칼집을 내고, 낙지는 먹기 좋은 크기로 썬다.
10. 끓는 물에 청주를 넣은 뒤 새우, 낙지를 체에 밭쳐 데친다.
11. 데친 새우와 낙지를 우럭조림에 넣는다.
12. 두부를 반으로 자른 뒤 소금으로 간한다.
13. 두부에 밀가루를 묻힌 뒤 기름을 두른 팬에 굽는다.
14. 접시에 구운 두부를 올린 뒤 우럭해물조림을 올린다.
15. 홍고추, 청양고"&amp;"추, 깨를 뿌려 마무리한다.")</f>
        <v>1. 쌀뜨물에 불린 말린 우럭의 머리를 잘라낸다.
2. 양파와 대파를 적당한 크기로 썬 뒤 우럭과 함께 달군 팬에 넣는다.
3. 2에 화이트와인을 넣고 불을 붙여 비린내를 제거한다.
4. 3을 체에 밭친 뒤 뜨거운 물을 붓는다.
5. 핸드블렌더에 마늘, 맛술, 간장을 넣고 간다.
6. 기름을 두른 팬에 5를 넣은 뒤 고춧가루, 달군 기름을 더해 마늘기름을 낸다.
7. 적당한 크기로 썬 대파, 양파를 마늘기름에 넣은 뒤 설탕, 불린 표고버섯물, 우럭을 넣어 조린다.
8. 7에 사과즙, 대파, 느타리버섯을 넣고 조린다.
9. 새우 등에 칼집을 내고, 낙지는 먹기 좋은 크기로 썬다.
10. 끓는 물에 청주를 넣은 뒤 새우, 낙지를 체에 밭쳐 데친다.
11. 데친 새우와 낙지를 우럭조림에 넣는다.
12. 두부를 반으로 자른 뒤 소금으로 간한다.
13. 두부에 밀가루를 묻힌 뒤 기름을 두른 팬에 굽는다.
14. 접시에 구운 두부를 올린 뒤 우럭해물조림을 올린다.
15. 홍고추, 청양고추, 깨를 뿌려 마무리한다.</v>
      </c>
    </row>
    <row r="792">
      <c r="A792" s="2" t="str">
        <f>recipe!C792
</f>
        <v>쌍칼국수</v>
      </c>
      <c r="B792" s="2" t="str">
        <f>IFERROR(__xludf.DUMMYFUNCTION("TRIM(
  REGEXEXTRACT(
    raw!A792,
    ""●\s*조리\s*방법([\s\S]*)""
  )
)
"),"1. 냄비에 삼계탕 국물을 넣는다.
2. 삼계탕에 들어있던 닭의 살을 발라 넣는다.
3. 적당한 크기로 썬 옥수수를 육수에 넣어 함께 끓인다.
4. 육수에 베트남고추, 청양고추, 당근, 후추, 간장을 넣어 끓인다.
5. 끓는 물에 칼국수면을 넣어 삶는다.
6. 삶던 칼국수면에 식초를 넣어준다.
7. 적당한 크기로 썬 대파, 으깬 마늘, 청양고추를 팬에 태우듯이 굽는다.
8. 태운 채소에 육수를 부은 뒤 반복해서 체에 걸러 국물만 받아낸다.
"&amp;"
9. 삶은 칼국수면을 얼음물에 헹군다.
10. 적당한 크기로 썬 소 안심을 고기망치로 두드려 얇게 펴준다.
11. 얇게 편 소 안심을 국물에 넣는다.
12. 국물에 갈치속젓을 넣는다.
13. 양파를 얇게 슬라이스한 뒤 설탕, 식초에 버무려 양파절임을 만든다.
14. 구운 청양고추를 양파절임과 섞는다.
15. 접시에 양파절임, 고수를 함께 담는다.
16. 시저샐러드 드레싱, 깨, 땅콩버터를 섞어 땅콩소스를 만든다.
17. 스리라차소스, 굴"&amp;"비고추장, 식초를 섞어 매운 소스를 만든다.
18. 오븐에 데운 그릇을 꺼낸다.
19. 팬에 땅콩을 볶는다.
20. 얼음물에 넣어놨던 면을 국물에 넣고 함께 끓인다.
21. 삼계탕에 들어있던 닭의 살, 육수에 익힌 마늘, 대파를 국물에 넣는다.
22. 그릇에 면과 국물을 담고 볶은 땅콩을 올린다.
23. 국수에 잘게 썬 부추와 고수를 올려 마무리한다.")</f>
        <v>1. 냄비에 삼계탕 국물을 넣는다.
2. 삼계탕에 들어있던 닭의 살을 발라 넣는다.
3. 적당한 크기로 썬 옥수수를 육수에 넣어 함께 끓인다.
4. 육수에 베트남고추, 청양고추, 당근, 후추, 간장을 넣어 끓인다.
5. 끓는 물에 칼국수면을 넣어 삶는다.
6. 삶던 칼국수면에 식초를 넣어준다.
7. 적당한 크기로 썬 대파, 으깬 마늘, 청양고추를 팬에 태우듯이 굽는다.
8. 태운 채소에 육수를 부은 뒤 반복해서 체에 걸러 국물만 받아낸다.
9. 삶은 칼국수면을 얼음물에 헹군다.
10. 적당한 크기로 썬 소 안심을 고기망치로 두드려 얇게 펴준다.
11. 얇게 편 소 안심을 국물에 넣는다.
12. 국물에 갈치속젓을 넣는다.
13. 양파를 얇게 슬라이스한 뒤 설탕, 식초에 버무려 양파절임을 만든다.
14. 구운 청양고추를 양파절임과 섞는다.
15. 접시에 양파절임, 고수를 함께 담는다.
16. 시저샐러드 드레싱, 깨, 땅콩버터를 섞어 땅콩소스를 만든다.
17. 스리라차소스, 굴비고추장, 식초를 섞어 매운 소스를 만든다.
18. 오븐에 데운 그릇을 꺼낸다.
19. 팬에 땅콩을 볶는다.
20. 얼음물에 넣어놨던 면을 국물에 넣고 함께 끓인다.
21. 삼계탕에 들어있던 닭의 살, 육수에 익힌 마늘, 대파를 국물에 넣는다.
22. 그릇에 면과 국물을 담고 볶은 땅콩을 올린다.
23. 국수에 잘게 썬 부추와 고수를 올려 마무리한다.</v>
      </c>
    </row>
    <row r="793">
      <c r="A793" s="2" t="str">
        <f>recipe!C793
</f>
        <v>누들이닭</v>
      </c>
      <c r="B793" s="2" t="str">
        <f>IFERROR(__xludf.DUMMYFUNCTION("TRIM(
  REGEXEXTRACT(
    raw!A793,
    ""●\s*조리\s*방법([\s\S]*)""
  )
)
"),"1. 닭을 해체한 뒤 칼집을 낸다.
2. 끓는 물에 손질한 닭을 넣은 뒤 소금으로 간한다.
3. 밀가루에 달걀노른자, 소금, 물을 넣고 반죽한다.
4. 올리브오일을 두른 팬에 적당한 크기로 썬 당근, 양파, 대파, 느타리버섯을 넣고 굽는다.
5. 육수에 구운 채소, 다진 생강, 통후추를 넣는다.
6. 밀대로 민 면반죽을 여러 겹으로 접은 뒤 얇게 썬다.
7. 적당한 크기로 썬 양파를 그릴팬에 굽는다.
8. 닭 안심에 올리브오일, 후추, 소금"&amp;"으로 간한다.
9. 8에 간장을 넣는다.
10. 간한 닭 안심을 그릴팬에 굽는다.
11. 육수에 청양고추를 넣는다.
12. 구운 닭 안심과 육수에 익힌 당근을 건져내 접시에 담는다.
13. 끓는 물에 직접 뽑은 면을 삶는다.
14. 삶은 면을 얼음물에 헹군다.
15. 그릇에 면을 담는다.
16. 달걀물에 육수, 레몬즙을 넣고 섞은 뒤 국물에 넣는다.
17. 면이 담긴 그릇에 국물을 담은 뒤 구운 닭 안심, 고수, 홍고추, 잘게 썬 대파를"&amp;" 올려 마무리한다.")</f>
        <v>1. 닭을 해체한 뒤 칼집을 낸다.
2. 끓는 물에 손질한 닭을 넣은 뒤 소금으로 간한다.
3. 밀가루에 달걀노른자, 소금, 물을 넣고 반죽한다.
4. 올리브오일을 두른 팬에 적당한 크기로 썬 당근, 양파, 대파, 느타리버섯을 넣고 굽는다.
5. 육수에 구운 채소, 다진 생강, 통후추를 넣는다.
6. 밀대로 민 면반죽을 여러 겹으로 접은 뒤 얇게 썬다.
7. 적당한 크기로 썬 양파를 그릴팬에 굽는다.
8. 닭 안심에 올리브오일, 후추, 소금으로 간한다.
9. 8에 간장을 넣는다.
10. 간한 닭 안심을 그릴팬에 굽는다.
11. 육수에 청양고추를 넣는다.
12. 구운 닭 안심과 육수에 익힌 당근을 건져내 접시에 담는다.
13. 끓는 물에 직접 뽑은 면을 삶는다.
14. 삶은 면을 얼음물에 헹군다.
15. 그릇에 면을 담는다.
16. 달걀물에 육수, 레몬즙을 넣고 섞은 뒤 국물에 넣는다.
17. 면이 담긴 그릇에 국물을 담은 뒤 구운 닭 안심, 고수, 홍고추, 잘게 썬 대파를 올려 마무리한다.</v>
      </c>
    </row>
    <row r="794">
      <c r="A794" s="2" t="str">
        <f>recipe!C794
</f>
        <v>놀리지말라규♡</v>
      </c>
      <c r="B794" s="2" t="str">
        <f>IFERROR(__xludf.DUMMYFUNCTION("TRIM(
  REGEXEXTRACT(
    raw!A794,
    ""●\s*조리\s*방법([\s\S]*)""
  )
)
"),"1. 끓는 물에 설탕을 넣는다.
2. 밀가루에 물, 핫케이크 가루를 섞어 반죽한다.
3. 팬에 2의 반죽을 올려 굽는다.
4. 볼에 사과잼, 레몬즙, 휘핑크림을 넣고 섞는다.
5. 반죽의 덜 익은 면에 대파를 놓고 만다.
6. 모양을 잡은 뒤 대파를 빼고 접착된 부분이 잘 달라붙도록 구워준다.
7. 반죽을 하나 더 굽는다.
8. 핸드블렌더에 잣, 호두, 아몬드를 넣고 간 뒤 땅콩버터, 크림치즈, 설탕을 넣고 섞는다.
9. 8에 휘핑크림을 "&amp;"섞어 땅콩크림을 만든다.
10. 팬에 블루베리, 아로니아잼, 설탕을 넣고 졸여 블루베리소스를 만든다.
11. 구운 반죽을 기름에 튀긴다.
12. 나머지 구운 반죽을 동그랗게 말아 모양을 잡는다.
13. 설탕 시럽을 얼음물 위에 놓고 식힌다.
14. 설탕 시럽을 국자 위에 뿌리며 모양을 만든다.
15. 접시에 블루베리소스를 올린다.
16. 구운 반죽 속에 땅콩크림을 채운 뒤 접시에 올린다.
17. 사과잼을 섞은 크림을 올린다.
18. 굳힌"&amp;" 설탕 시럽을 국자에서 떼어낸 뒤 카놀리 위에 올려 마무리한다.")</f>
        <v>1. 끓는 물에 설탕을 넣는다.
2. 밀가루에 물, 핫케이크 가루를 섞어 반죽한다.
3. 팬에 2의 반죽을 올려 굽는다.
4. 볼에 사과잼, 레몬즙, 휘핑크림을 넣고 섞는다.
5. 반죽의 덜 익은 면에 대파를 놓고 만다.
6. 모양을 잡은 뒤 대파를 빼고 접착된 부분이 잘 달라붙도록 구워준다.
7. 반죽을 하나 더 굽는다.
8. 핸드블렌더에 잣, 호두, 아몬드를 넣고 간 뒤 땅콩버터, 크림치즈, 설탕을 넣고 섞는다.
9. 8에 휘핑크림을 섞어 땅콩크림을 만든다.
10. 팬에 블루베리, 아로니아잼, 설탕을 넣고 졸여 블루베리소스를 만든다.
11. 구운 반죽을 기름에 튀긴다.
12. 나머지 구운 반죽을 동그랗게 말아 모양을 잡는다.
13. 설탕 시럽을 얼음물 위에 놓고 식힌다.
14. 설탕 시럽을 국자 위에 뿌리며 모양을 만든다.
15. 접시에 블루베리소스를 올린다.
16. 구운 반죽 속에 땅콩크림을 채운 뒤 접시에 올린다.
17. 사과잼을 섞은 크림을 올린다.
18. 굳힌 설탕 시럽을 국자에서 떼어낸 뒤 카놀리 위에 올려 마무리한다.</v>
      </c>
    </row>
    <row r="795">
      <c r="A795" s="2" t="str">
        <f>recipe!C795
</f>
        <v>떠먹으라규♡</v>
      </c>
      <c r="B795" s="2" t="str">
        <f>IFERROR(__xludf.DUMMYFUNCTION("TRIM(
  REGEXEXTRACT(
    raw!A795,
    ""●\s*조리\s*방법([\s\S]*)""
  )
)
"),"1. 팬에 설탕과 물을 넣고 끓인다.
2. 얇게 썬 천도복숭아를 설탕물에 넣어 조린다.
3. 레몬즙에 설탕, 달걀을 넣고 섞어 레몬커드를 만든다.
4. 핸드블렌더에 밀가루와 버터를 갈아 비스킷 반죽을 만든 뒤 얇게 편다.
5. 핸드블렌더에 간 호두와 아몬드를 뜨거운 물에 데친 뒤 설탕에 버무린다.
6. 비스킷 반죽과 설탕에 버무린 견과류를 오븐에 넣어 굽는다.
7. 크림치즈에 설탕, 휘핑크림을 섞어 크림치즈무스를 만든다.
8. 크림치즈무스를"&amp;" 냉동실에 넣어둔다.
9. 설탕물에 조린 천도복숭아에 설탕을 뿌린 뒤 토치로 가열한다.
10. 9를 냉동실에 넣어둔다.
11. 중탕한 레몬커드를 얼음물 위에 놓고 식힌다.
12. 오븐에서 굽던 비스킷 반죽과 견과류를 섞은 뒤 팬에 올려 익힌다.
13. 전분에 물을 섞은 뒤 팬에 올려 굽는다.
14. 13에 레몬 껍질을 갈아 올려 레몬 튀일을 만든다.
15. 원형틀에 반죽과 함께 구운 견과류를 넣는다.
16. 레몬 커드를 접시에 올린다.
"&amp;"17. 냉동실에서 식힌 천도복숭아를 레몬 커드 위에 올린다.
18. 접시 위에 레몬 커드를 두른다.
19. 구운 견과류가 담긴 원형틀 안에 크림치즈무스를 담는다.
20. 천도복숭아 위에 구운 견과류를 올린 뒤 초콜릿을 갈아 올린다.
21. 원형틀을 제거한 뒤 레몬 튀일을 올린다.
22. 초콜릿을 갈아 올려 마무리한다.")</f>
        <v>1. 팬에 설탕과 물을 넣고 끓인다.
2. 얇게 썬 천도복숭아를 설탕물에 넣어 조린다.
3. 레몬즙에 설탕, 달걀을 넣고 섞어 레몬커드를 만든다.
4. 핸드블렌더에 밀가루와 버터를 갈아 비스킷 반죽을 만든 뒤 얇게 편다.
5. 핸드블렌더에 간 호두와 아몬드를 뜨거운 물에 데친 뒤 설탕에 버무린다.
6. 비스킷 반죽과 설탕에 버무린 견과류를 오븐에 넣어 굽는다.
7. 크림치즈에 설탕, 휘핑크림을 섞어 크림치즈무스를 만든다.
8. 크림치즈무스를 냉동실에 넣어둔다.
9. 설탕물에 조린 천도복숭아에 설탕을 뿌린 뒤 토치로 가열한다.
10. 9를 냉동실에 넣어둔다.
11. 중탕한 레몬커드를 얼음물 위에 놓고 식힌다.
12. 오븐에서 굽던 비스킷 반죽과 견과류를 섞은 뒤 팬에 올려 익힌다.
13. 전분에 물을 섞은 뒤 팬에 올려 굽는다.
14. 13에 레몬 껍질을 갈아 올려 레몬 튀일을 만든다.
15. 원형틀에 반죽과 함께 구운 견과류를 넣는다.
16. 레몬 커드를 접시에 올린다.
17. 냉동실에서 식힌 천도복숭아를 레몬 커드 위에 올린다.
18. 접시 위에 레몬 커드를 두른다.
19. 구운 견과류가 담긴 원형틀 안에 크림치즈무스를 담는다.
20. 천도복숭아 위에 구운 견과류를 올린 뒤 초콜릿을 갈아 올린다.
21. 원형틀을 제거한 뒤 레몬 튀일을 올린다.
22. 초콜릿을 갈아 올려 마무리한다.</v>
      </c>
    </row>
    <row r="796">
      <c r="A796" s="2" t="str">
        <f>recipe!C796
</f>
        <v>가지가지한다</v>
      </c>
      <c r="B796" s="2" t="str">
        <f>IFERROR(__xludf.DUMMYFUNCTION("TRIM(
  REGEXEXTRACT(
    raw!A796,
    ""●\s*조리\s*방법([\s\S]*)""
  )
)
"),"1. 끓는 물에 멸치육수팩을 넣어 멸치육수를 낸다.
2. 가지에 나무젓가락을 끼운 뒤 돌려가며 칼집을 낸다.
3. 칼집을 낸 가지를 길게 늘여 회오리 가지를 만든다.
4. 대파와 삼겹살을 적당한 크기로 썬 뒤 핸드블렌더에 넣는다.
5. 4에 다진 마늘, 다진 생강, 간장, 소금, 후추를 넣고 간다.
6. 간 삼겹살을 회오리 가지 사이사이에 넣어준다.
7. 회오리 가지에 전분을 묻힌 뒤 찜기에 넣고 찐다.
8. 대파를 잘게 썬다.
9. 팬에"&amp;" 기름을 넉넉하게 두른다.
10. 9에 잘게 썬 대파, 고춧가루, 간장, 멸치액젓, 다진 마늘, 맛술, 설탕을 넣어 소스를 만든다.
11. 끓는 물에 칼국수면을 넣어 삶는다.
12. 전분물을 만든 뒤 소스에 넣어 농도를 조절한다.
13. 삶은 칼국수면을 건져낸 뒤 얼음물에 헹군다.
14. 찐 회오리 가지에 소스를 끼얹는다.
15. 접시에 회오리 가지를 올린 뒤 소스를 붓고, 칼국수면을 함께 낸다.")</f>
        <v>1. 끓는 물에 멸치육수팩을 넣어 멸치육수를 낸다.
2. 가지에 나무젓가락을 끼운 뒤 돌려가며 칼집을 낸다.
3. 칼집을 낸 가지를 길게 늘여 회오리 가지를 만든다.
4. 대파와 삼겹살을 적당한 크기로 썬 뒤 핸드블렌더에 넣는다.
5. 4에 다진 마늘, 다진 생강, 간장, 소금, 후추를 넣고 간다.
6. 간 삼겹살을 회오리 가지 사이사이에 넣어준다.
7. 회오리 가지에 전분을 묻힌 뒤 찜기에 넣고 찐다.
8. 대파를 잘게 썬다.
9. 팬에 기름을 넉넉하게 두른다.
10. 9에 잘게 썬 대파, 고춧가루, 간장, 멸치액젓, 다진 마늘, 맛술, 설탕을 넣어 소스를 만든다.
11. 끓는 물에 칼국수면을 넣어 삶는다.
12. 전분물을 만든 뒤 소스에 넣어 농도를 조절한다.
13. 삶은 칼국수면을 건져낸 뒤 얼음물에 헹군다.
14. 찐 회오리 가지에 소스를 끼얹는다.
15. 접시에 회오리 가지를 올린 뒤 소스를 붓고, 칼국수면을 함께 낸다.</v>
      </c>
    </row>
    <row r="797">
      <c r="A797" s="2" t="str">
        <f>recipe!C797
</f>
        <v>순대 스마일~</v>
      </c>
      <c r="B797" s="2" t="str">
        <f>IFERROR(__xludf.DUMMYFUNCTION("TRIM(
  REGEXEXTRACT(
    raw!A797,
    ""●\s*조리\s*방법([\s\S]*)""
  )
)
"),"1. 끓는 기름에 칼국수면을 튀긴 뒤 건져낸다.
2. 핸드블렌더에 달걀흰자, 적당한 크기로 썬 햄을 넣고 간다.
3. 오징어에 전분을 묻힌다.
4. 3의 오징어 속에 달걀흰자와 함께 간 햄을 넣는다.
5. 인스턴트 주꾸미낙지볶음의 주꾸미를 잘게 썬다.
6. 주꾸미를 햄과 섞은 뒤 오징어 속에 넣는다.
7. 속을 채운 오징어를 나무꼬치를 이용해 고정시킨다.
8. 7과 오징어 다리를 찜기에 넣어 익힌다.
9. 기름을 두른 팬에 다진 마늘, 적"&amp;"당한 크기로 썬 양파와 삼겹살, 후추를 넣고 볶는다.
10. 9에 인스턴트 양송이수프를 넣어 카르보나라 소스를 만든다.
11. 카르보나라 소스에 소금, 잘게 썬 청양고추를 넣는다.
12. 카르보나라 소스를 볼에 옮긴 뒤 달걀노른자와 섞어 농도를 조절한다.
13. 팬에 인스턴트 주꾸미낙지볶음 양념, 물을 넣은 뒤 졸여 매운 소스를 만든다.
14. 사과를 얇게 슬라이스한 뒤 채 썬다.
15. 채 썬 사과에 식초, 설탕, 쌈무 국물, 채 썬 쌈무를"&amp;" 넣어 사과쌈무생채를 만든다.
16. 접시에 카르보나라 소스를 올린 뒤 매운 소스, 프라이드 어니언을 뿌린다.
17. 튀긴 칼국수면을 한 번 더 기름에 튀긴다.
18. 튀긴 칼국수면을 건져낸 뒤 물엿을 뿌린다.
19. 핸드블렌더에 쥐포 과자, 오징어맛 과자를 넣고 간다.
20. 물엿을 바른 튀긴 칼국수면에 간 과자를 묻혀 칼국수 과자를 만든다.
21. 칼국수 과자에 라면수프를 뿌린 뒤 버무린다.
22. 그릇에 칼국수 과자를 담는다.
23."&amp;" 찜기에서 오징어순대를 꺼낸 뒤 먹기 좋은 크기로 썬다.
24. 오징어순대, 찐 오징어 다리를 카르보나라 소스 위에 올린다.
25. 사과쌈무생채를 접시에 올려 마무리한다.")</f>
        <v>1. 끓는 기름에 칼국수면을 튀긴 뒤 건져낸다.
2. 핸드블렌더에 달걀흰자, 적당한 크기로 썬 햄을 넣고 간다.
3. 오징어에 전분을 묻힌다.
4. 3의 오징어 속에 달걀흰자와 함께 간 햄을 넣는다.
5. 인스턴트 주꾸미낙지볶음의 주꾸미를 잘게 썬다.
6. 주꾸미를 햄과 섞은 뒤 오징어 속에 넣는다.
7. 속을 채운 오징어를 나무꼬치를 이용해 고정시킨다.
8. 7과 오징어 다리를 찜기에 넣어 익힌다.
9. 기름을 두른 팬에 다진 마늘, 적당한 크기로 썬 양파와 삼겹살, 후추를 넣고 볶는다.
10. 9에 인스턴트 양송이수프를 넣어 카르보나라 소스를 만든다.
11. 카르보나라 소스에 소금, 잘게 썬 청양고추를 넣는다.
12. 카르보나라 소스를 볼에 옮긴 뒤 달걀노른자와 섞어 농도를 조절한다.
13. 팬에 인스턴트 주꾸미낙지볶음 양념, 물을 넣은 뒤 졸여 매운 소스를 만든다.
14. 사과를 얇게 슬라이스한 뒤 채 썬다.
15. 채 썬 사과에 식초, 설탕, 쌈무 국물, 채 썬 쌈무를 넣어 사과쌈무생채를 만든다.
16. 접시에 카르보나라 소스를 올린 뒤 매운 소스, 프라이드 어니언을 뿌린다.
17. 튀긴 칼국수면을 한 번 더 기름에 튀긴다.
18. 튀긴 칼국수면을 건져낸 뒤 물엿을 뿌린다.
19. 핸드블렌더에 쥐포 과자, 오징어맛 과자를 넣고 간다.
20. 물엿을 바른 튀긴 칼국수면에 간 과자를 묻혀 칼국수 과자를 만든다.
21. 칼국수 과자에 라면수프를 뿌린 뒤 버무린다.
22. 그릇에 칼국수 과자를 담는다.
23. 찜기에서 오징어순대를 꺼낸 뒤 먹기 좋은 크기로 썬다.
24. 오징어순대, 찐 오징어 다리를 카르보나라 소스 위에 올린다.
25. 사과쌈무생채를 접시에 올려 마무리한다.</v>
      </c>
    </row>
    <row r="798">
      <c r="A798" s="2" t="str">
        <f>recipe!C798
</f>
        <v>홍삼드삼</v>
      </c>
      <c r="B798" s="2" t="str">
        <f>IFERROR(__xludf.DUMMYFUNCTION("TRIM(
  REGEXEXTRACT(
    raw!A798,
    ""●\s*조리\s*방법([\s\S]*)""
  )
)
"),"1. 끓는 물에 홍삼 음료를 넣는다.
2. 홍삼 국물에 으깬 마늘, 소금을 넣고 끓인다.
3. 삼겹살에 칼집을 낸다.
4. 칼집을 낸 삼겹살을 홍삼 국물에 넣고 삶는다.
5. 껍질을 제거한 오징어 몸통을 넓게 펼친다.
6. 넓게 펼친 오징어에 칼집을 넣은 뒤 길게 자른다.
7. 오징어 몸통과 다리에 튀김가루를 묻힌 뒤 기름에 튀긴다.
8. 홍삼 국물에 삶은 삼겹살을 건져낸 뒤 튀김가루를 묻힌다.
9. 튀김가루를 묻힌 삼겹살을 기름에 튀긴다"&amp;".
10. 양파를 채 썬다.
11. 채 썬 양파를 찬물에 담근 뒤 소금을 뿌린다.
12. 쌈무를 채 썬 뒤 볼에 담아둔다.
13. 사과를 채 썬 뒤 채 썬 쌈무와 양파와 함께 섞는다.
14. 배즙, 홍삼 농축액, 파인애플식초, 소금, 설탕, 레몬즙을 섞어 홍삼 드레싱을 만든다.
15. 채 썬 사과와 쌈무, 양파에 홍삼 드레싱을 넣고 버무린 뒤 그릇에 담는다.
16. 홍고추, 청양고추, 대파, 마늘을 잘게 썬 뒤 올리브오일을 두른 팬에 넣고 "&amp;"볶는다.
17. 16에 홍삼 농축액, 고추장, 물, 설탕을 넣고 끓여 홍삼고추장 소스를 만든다.
18. 홍삼고추장 소스에 파인애플식초를 넣는다.
19. 오징어튀김과 삼겹살튀김을 건져낸다.
20. 홍삼고추장 소스에 참기름, 케첩을 넣는다.
21. 홍삼고추장 소스에 튀긴 오징어와 삼겹살을 넣고 버무린다.
22. 홍삼고추장 소스에 버무린 오삼튀김을 접시에 담는다.
23. 오삼튀김 위에 잘게 부순 견과류를 올려 마무리한다.")</f>
        <v>1. 끓는 물에 홍삼 음료를 넣는다.
2. 홍삼 국물에 으깬 마늘, 소금을 넣고 끓인다.
3. 삼겹살에 칼집을 낸다.
4. 칼집을 낸 삼겹살을 홍삼 국물에 넣고 삶는다.
5. 껍질을 제거한 오징어 몸통을 넓게 펼친다.
6. 넓게 펼친 오징어에 칼집을 넣은 뒤 길게 자른다.
7. 오징어 몸통과 다리에 튀김가루를 묻힌 뒤 기름에 튀긴다.
8. 홍삼 국물에 삶은 삼겹살을 건져낸 뒤 튀김가루를 묻힌다.
9. 튀김가루를 묻힌 삼겹살을 기름에 튀긴다.
10. 양파를 채 썬다.
11. 채 썬 양파를 찬물에 담근 뒤 소금을 뿌린다.
12. 쌈무를 채 썬 뒤 볼에 담아둔다.
13. 사과를 채 썬 뒤 채 썬 쌈무와 양파와 함께 섞는다.
14. 배즙, 홍삼 농축액, 파인애플식초, 소금, 설탕, 레몬즙을 섞어 홍삼 드레싱을 만든다.
15. 채 썬 사과와 쌈무, 양파에 홍삼 드레싱을 넣고 버무린 뒤 그릇에 담는다.
16. 홍고추, 청양고추, 대파, 마늘을 잘게 썬 뒤 올리브오일을 두른 팬에 넣고 볶는다.
17. 16에 홍삼 농축액, 고추장, 물, 설탕을 넣고 끓여 홍삼고추장 소스를 만든다.
18. 홍삼고추장 소스에 파인애플식초를 넣는다.
19. 오징어튀김과 삼겹살튀김을 건져낸다.
20. 홍삼고추장 소스에 참기름, 케첩을 넣는다.
21. 홍삼고추장 소스에 튀긴 오징어와 삼겹살을 넣고 버무린다.
22. 홍삼고추장 소스에 버무린 오삼튀김을 접시에 담는다.
23. 오삼튀김 위에 잘게 부순 견과류를 올려 마무리한다.</v>
      </c>
    </row>
    <row r="799">
      <c r="A799" s="2" t="str">
        <f>recipe!C799
</f>
        <v>홍카엘</v>
      </c>
      <c r="B799" s="2" t="str">
        <f>IFERROR(__xludf.DUMMYFUNCTION("TRIM(
  REGEXEXTRACT(
    raw!A799,
    ""●\s*조리\s*방법([\s\S]*)""
  )
)
"),"1. 냄비에 홍삼 음료를 넣고 끓인다.
2. 가지를 적당한 크기로 썬다.
3. 끓이던 홍삼 음료에 호박즙을 넣는다.
4. 3에 가지, 오징어 몸통을 넣고 데친다.
5. 오징어의 껍질을 제거한 뒤 올리브오일, 소금, 후추로 간한다.
6. 간한 오징어를 그릴팬에 굽는다.
7. 파프리카와 애호박을 적당한 크기로 썬 뒤 그릴팬에 굽는다.
8. 홍삼 국물에 데친 오징어와 가지를 건져낸다.
9. 홍삼 국물에 데친 오징어를 잘게 썬 뒤 전분을 섞은 밀"&amp;"가루를 묻힌다.
10. 홍삼 국물에 데친 가지에 전분을 섞은 밀가루를 묻힌다.
11. 오징어와 가지를 기름에 튀긴다.
12. 튀긴 오징어와 가지를 건져내 기름을 뺀다.
13. 식용유에 달걀, 소금, 레몬즙을 넣은 뒤 핸드블렌더로 섞어준다.
14. 그릴팬에 구운 오징어와 채소를 꺼낸다.
15. 마요네즈에 홍삼 농축액, 잘게 썬 마늘을 넣고 섞는다.
16. 15에 플레인 요거트를 넣어 홍삼요거트 소스를 만든다.
17. 홍삼요거트 소스에 잘게 "&amp;"썬 청양고추를 올린다.
18. 된장, 마요네즈, 홍삼 농축액, 플레인 요거트를 섞어 홍삼 된장 소스를 만든다.
19. 양파, 구운 파프리카와 애호박, 구운 오징어를 적당한 크기로 썰어 볼에 담는다.
20. 홍삼 농축액과 파인애플식초를 섞어 홍삼 드레싱을 만든 뒤 오징어 샐러드에 뿌려준다.
21. 얇게 썬 마늘을 오징어 샐러드에 넣고 버무린 뒤 소금과 후추로 간한다.
22. 오징어 샐러드를 접시에 담는다.
23. 오징어 샐러드에 오징어튀김과 가"&amp;"지튀김을 곁들여 마무리한다")</f>
        <v>1. 냄비에 홍삼 음료를 넣고 끓인다.
2. 가지를 적당한 크기로 썬다.
3. 끓이던 홍삼 음료에 호박즙을 넣는다.
4. 3에 가지, 오징어 몸통을 넣고 데친다.
5. 오징어의 껍질을 제거한 뒤 올리브오일, 소금, 후추로 간한다.
6. 간한 오징어를 그릴팬에 굽는다.
7. 파프리카와 애호박을 적당한 크기로 썬 뒤 그릴팬에 굽는다.
8. 홍삼 국물에 데친 오징어와 가지를 건져낸다.
9. 홍삼 국물에 데친 오징어를 잘게 썬 뒤 전분을 섞은 밀가루를 묻힌다.
10. 홍삼 국물에 데친 가지에 전분을 섞은 밀가루를 묻힌다.
11. 오징어와 가지를 기름에 튀긴다.
12. 튀긴 오징어와 가지를 건져내 기름을 뺀다.
13. 식용유에 달걀, 소금, 레몬즙을 넣은 뒤 핸드블렌더로 섞어준다.
14. 그릴팬에 구운 오징어와 채소를 꺼낸다.
15. 마요네즈에 홍삼 농축액, 잘게 썬 마늘을 넣고 섞는다.
16. 15에 플레인 요거트를 넣어 홍삼요거트 소스를 만든다.
17. 홍삼요거트 소스에 잘게 썬 청양고추를 올린다.
18. 된장, 마요네즈, 홍삼 농축액, 플레인 요거트를 섞어 홍삼 된장 소스를 만든다.
19. 양파, 구운 파프리카와 애호박, 구운 오징어를 적당한 크기로 썰어 볼에 담는다.
20. 홍삼 농축액과 파인애플식초를 섞어 홍삼 드레싱을 만든 뒤 오징어 샐러드에 뿌려준다.
21. 얇게 썬 마늘을 오징어 샐러드에 넣고 버무린 뒤 소금과 후추로 간한다.
22. 오징어 샐러드를 접시에 담는다.
23. 오징어 샐러드에 오징어튀김과 가지튀김을 곁들여 마무리한다</v>
      </c>
    </row>
    <row r="800">
      <c r="A800" s="2" t="str">
        <f>recipe!C800
</f>
        <v>팟타이 피플</v>
      </c>
      <c r="B800" s="2" t="str">
        <f>IFERROR(__xludf.DUMMYFUNCTION("TRIM(
  REGEXEXTRACT(
    raw!A800,
    ""●\s*조리\s*방법([\s\S]*)""
  )
)
"),"1. 밀가루에 물을 섞어 만두피 반죽을 만든다.
2. 밀가루에 뜨거운 물을 섞어 면 반죽을 만든다.
3. 면 반죽에 마른 행주를 덮어 숙성시킨다.
4. 갈치살을 발라낸 뒤 밀가루를 묻혀 굽는다.
5. 가래떡을 잘게 썬다.
6. 막을 제거한 명란젓에 가래떡, 모차렐라 치즈를 섞어 만두소를 만든다.
7. 만두피 반죽을 밀대로 밀어 만두피를 만든다.
8. 만두피에 만두소를 넣어 떡만두를 만든다.
9. 떡만두를 기름에 튀긴다.
10. 전복, 꼴"&amp;"뚜기를 끓는 물에 데친다.
11. 데친 전복의 껍데기를 떼어낸다.
12. 양파, 대파, 마늘을 잘게 썬 뒤 기름을 두른 팬에 볶는다.
13. 12에 새우, 데친 꼴뚜기를 넣고 볶는다.
14. 데친 전복을 적당한 크기로 썬 뒤 팬에 넣고 함께 볶는다.
15. 얇게 민 면 반죽을 접은 뒤 적당한 두께로 썬다.
16. 끓는 물에 면을 넣고 삶는다.
17. 볶던 채소와 해산물에 다마리 간장을 넣는다.
18. 볶던 재료에 스리라차 소스, 두반장을 "&amp;"넣는다.
19. 잘게 썬 청양고추와 대파를 팬에 넣는다.
20. 삶은 면을 건져 팬에 넣고 볶아 팟타이를 만든다.
21. 팟타이에 레몬즙을 넣고 볶는다.
22. 접시에 팟타이를 담는다.")</f>
        <v>1. 밀가루에 물을 섞어 만두피 반죽을 만든다.
2. 밀가루에 뜨거운 물을 섞어 면 반죽을 만든다.
3. 면 반죽에 마른 행주를 덮어 숙성시킨다.
4. 갈치살을 발라낸 뒤 밀가루를 묻혀 굽는다.
5. 가래떡을 잘게 썬다.
6. 막을 제거한 명란젓에 가래떡, 모차렐라 치즈를 섞어 만두소를 만든다.
7. 만두피 반죽을 밀대로 밀어 만두피를 만든다.
8. 만두피에 만두소를 넣어 떡만두를 만든다.
9. 떡만두를 기름에 튀긴다.
10. 전복, 꼴뚜기를 끓는 물에 데친다.
11. 데친 전복의 껍데기를 떼어낸다.
12. 양파, 대파, 마늘을 잘게 썬 뒤 기름을 두른 팬에 볶는다.
13. 12에 새우, 데친 꼴뚜기를 넣고 볶는다.
14. 데친 전복을 적당한 크기로 썬 뒤 팬에 넣고 함께 볶는다.
15. 얇게 민 면 반죽을 접은 뒤 적당한 두께로 썬다.
16. 끓는 물에 면을 넣고 삶는다.
17. 볶던 채소와 해산물에 다마리 간장을 넣는다.
18. 볶던 재료에 스리라차 소스, 두반장을 넣는다.
19. 잘게 썬 청양고추와 대파를 팬에 넣는다.
20. 삶은 면을 건져 팬에 넣고 볶아 팟타이를 만든다.
21. 팟타이에 레몬즙을 넣고 볶는다.
22. 접시에 팟타이를 담는다.</v>
      </c>
    </row>
    <row r="801">
      <c r="A801" s="2" t="str">
        <f>recipe!C801
</f>
        <v>샘나는 볶음면</v>
      </c>
      <c r="B801" s="2" t="str">
        <f>IFERROR(__xludf.DUMMYFUNCTION("TRIM(
  REGEXEXTRACT(
    raw!A801,
    ""●\s*조리\s*방법([\s\S]*)""
  )
)
"),"1. 핸드블렌더에 바나나칩을 넣고 간다.
2. 핸드블렌더에 밀가루, 버터, 설탕을 넣고 갈아 쿠키 반죽을 만든다.
3. 쿠키 반죽에 간 바나나칩을 섞은 뒤 종이포일에 올려 얇게 편다.
4. 쿠키 반죽을 오븐에 넣고 굽는다.
5. 얼음물 위에 올린 볼에 휘핑크림, 설탕을 넣고 섞어준다.
6. 밀가루에 물, 달걀을 섞어 튀김 반죽을 만든다.
7. 적당한 크기로 썬 양파, 대파, 아보카도에 튀김옷을 입힌 뒤 기름에 튀긴다.
8. 고수에 튀김옷을 "&amp;"입힌 뒤 기름에 튀긴다.
9. 살구&amp;아몬드 크림치즈에 휘핑한 크림을 넣고 섞는다.
10. 핸드블렌더에 손질한 아보카도를 넣고 간다.
11. 모양을 살린 아보카도 껍질에 그릭요거트, 잘게 썬 무화과를 넣는다.
12. 11에 살구&amp;아몬드 크림, 간 아보카도를 넣은 뒤 냉동실에 넣어둔다.
13. 끓는 물에 꽃게튀김을 넣어 육수를 낸다.
14. 대파, 마늘을 잘게 썬 뒤 기름을 두른 팬에 넣는다.
15. 14에 고춧가루, 다마리 간장, 설탕을 넣고"&amp;" 볶아 양념을 만든다.
16. 채끝살을 적당한 크기로 썬 뒤 밀가루를 묻힌다.
17. 볶던 양념에 밀가루를 묻힌 채끝살, 게 육수, 맛술을 넣고 끓인다.
18. 우동면을 끓는 물에 넣어 삶은 뒤 양념에 넣고 볶는다.
19. 볶음면을 접시에 담는다.
20. 볶음면 위에 채소튀김을 올린다.
21. 레몬을 썰어 접시에 올린다.
22. 얇게 썬 무화과를 쿠키 위에 올린 뒤 레몬 껍질을 갈아 올린다.
23. 토치로 무화과를 살짝 그을려 익힌다.
"&amp;"24. 유자후추, 올리브오일, 레몬즙을 섞어 소스를 만든 뒤 그릇에 담아낸다.
25. 냉동실에서 차게 만든 아보카도 디저트와 무화과 쿠키를 함께 낸다.")</f>
        <v>1. 핸드블렌더에 바나나칩을 넣고 간다.
2. 핸드블렌더에 밀가루, 버터, 설탕을 넣고 갈아 쿠키 반죽을 만든다.
3. 쿠키 반죽에 간 바나나칩을 섞은 뒤 종이포일에 올려 얇게 편다.
4. 쿠키 반죽을 오븐에 넣고 굽는다.
5. 얼음물 위에 올린 볼에 휘핑크림, 설탕을 넣고 섞어준다.
6. 밀가루에 물, 달걀을 섞어 튀김 반죽을 만든다.
7. 적당한 크기로 썬 양파, 대파, 아보카도에 튀김옷을 입힌 뒤 기름에 튀긴다.
8. 고수에 튀김옷을 입힌 뒤 기름에 튀긴다.
9. 살구&amp;아몬드 크림치즈에 휘핑한 크림을 넣고 섞는다.
10. 핸드블렌더에 손질한 아보카도를 넣고 간다.
11. 모양을 살린 아보카도 껍질에 그릭요거트, 잘게 썬 무화과를 넣는다.
12. 11에 살구&amp;아몬드 크림, 간 아보카도를 넣은 뒤 냉동실에 넣어둔다.
13. 끓는 물에 꽃게튀김을 넣어 육수를 낸다.
14. 대파, 마늘을 잘게 썬 뒤 기름을 두른 팬에 넣는다.
15. 14에 고춧가루, 다마리 간장, 설탕을 넣고 볶아 양념을 만든다.
16. 채끝살을 적당한 크기로 썬 뒤 밀가루를 묻힌다.
17. 볶던 양념에 밀가루를 묻힌 채끝살, 게 육수, 맛술을 넣고 끓인다.
18. 우동면을 끓는 물에 넣어 삶은 뒤 양념에 넣고 볶는다.
19. 볶음면을 접시에 담는다.
20. 볶음면 위에 채소튀김을 올린다.
21. 레몬을 썰어 접시에 올린다.
22. 얇게 썬 무화과를 쿠키 위에 올린 뒤 레몬 껍질을 갈아 올린다.
23. 토치로 무화과를 살짝 그을려 익힌다.
24. 유자후추, 올리브오일, 레몬즙을 섞어 소스를 만든 뒤 그릇에 담아낸다.
25. 냉동실에서 차게 만든 아보카도 디저트와 무화과 쿠키를 함께 낸다.</v>
      </c>
    </row>
    <row r="802">
      <c r="A802" s="2" t="str">
        <f>recipe!C802
</f>
        <v>찜의 정수</v>
      </c>
      <c r="B802" s="2" t="str">
        <f>IFERROR(__xludf.DUMMYFUNCTION("TRIM(
  REGEXEXTRACT(
    raw!A802,
    ""●\s*조리\s*방법([\s\S]*)""
  )
)
"),"1. 압력솥에 기름을 두른다.
2. 적당한 크기로 썬 베이컨을 소금으로 간한 뒤 압력솥에 넣는다.
3. 소고기 등심을 적당한 크기로 썬 뒤 소금으로 간한다.
4, 기름을 두른 팬에 등심을 넣은 뒤 후추를 뿌려 굽는다.
5. 4에 레드와인을 넣어 볶은 뒤 압력솥에 넣는다.
6. 잘게 썬 양파, 당근을 압력솥에 넣는다.
7. 베이크드 빈을 물에 씻은 뒤 압력솥에 넣는다.
8. 7에 잘게 부순 바나나칩, 사골육수, 돈가스 소스를 넣은 뒤 뚜껑을 "&amp;"닫고 찐다.
9. 연어를 적당한 크기로 썬다.
10. 핸드블렌더에 물, 소금, 설탕을 넣고 섞은 뒤 볼에 담는다.
11. 소금, 설탕을 섞은 물에 연어를 넣어 절인다.
12. 끓는 물에 불린 퀴노아를 넣은 뒤 뚜껑을 닫고 익힌다.
13. 볼에 잘게 썬 고수, 파슬리, 케이퍼 베리, 케이퍼를 넣는다.
14. 블랙올리브, 그린올리브를 돌려깎기한 뒤 잘게 다져 넣는다.
15. 14에 다마리 간장, 레몬청을 넣는다.
16. 15에 연겨자를 넣어 "&amp;"연어절임용 드레싱을 만든다.
17. 청고추, 홍고추를 토치로 직화해 껍질을 태운다.
18. 껍질을 벗긴 홍고추와 청고추의 씨를 제거한 뒤 잘게 다진다.
19. 드레싱에 잘게 다진 고추, 올리브오일, 레몬즙, 후추를 넣는다.
20. 잘게 썬 사과, 다진 양파를 드레싱에 넣고 섞는다.
21. 키친타월을 이용해 절인 연어의 물기를 뺀다.
22. 절인 연어를 접시에 올린다.
23. 절인 연어 위에 드레싱을 올린다.
24. 절인 연어에 올리브오일,"&amp;" 후추를 뿌려 낸다.
25. 익힌 퀴노아를 접시에 담는다.
26. 소고기찜에 버터를 넣고 섞는다.
27. 베이크드 빈을 소고기찜 양념에 묻힌 뒤 소고기찜에 넣는다.
28. 달군 접시에 소고기찜을 담아 마무리한다.")</f>
        <v>1. 압력솥에 기름을 두른다.
2. 적당한 크기로 썬 베이컨을 소금으로 간한 뒤 압력솥에 넣는다.
3. 소고기 등심을 적당한 크기로 썬 뒤 소금으로 간한다.
4, 기름을 두른 팬에 등심을 넣은 뒤 후추를 뿌려 굽는다.
5. 4에 레드와인을 넣어 볶은 뒤 압력솥에 넣는다.
6. 잘게 썬 양파, 당근을 압력솥에 넣는다.
7. 베이크드 빈을 물에 씻은 뒤 압력솥에 넣는다.
8. 7에 잘게 부순 바나나칩, 사골육수, 돈가스 소스를 넣은 뒤 뚜껑을 닫고 찐다.
9. 연어를 적당한 크기로 썬다.
10. 핸드블렌더에 물, 소금, 설탕을 넣고 섞은 뒤 볼에 담는다.
11. 소금, 설탕을 섞은 물에 연어를 넣어 절인다.
12. 끓는 물에 불린 퀴노아를 넣은 뒤 뚜껑을 닫고 익힌다.
13. 볼에 잘게 썬 고수, 파슬리, 케이퍼 베리, 케이퍼를 넣는다.
14. 블랙올리브, 그린올리브를 돌려깎기한 뒤 잘게 다져 넣는다.
15. 14에 다마리 간장, 레몬청을 넣는다.
16. 15에 연겨자를 넣어 연어절임용 드레싱을 만든다.
17. 청고추, 홍고추를 토치로 직화해 껍질을 태운다.
18. 껍질을 벗긴 홍고추와 청고추의 씨를 제거한 뒤 잘게 다진다.
19. 드레싱에 잘게 다진 고추, 올리브오일, 레몬즙, 후추를 넣는다.
20. 잘게 썬 사과, 다진 양파를 드레싱에 넣고 섞는다.
21. 키친타월을 이용해 절인 연어의 물기를 뺀다.
22. 절인 연어를 접시에 올린다.
23. 절인 연어 위에 드레싱을 올린다.
24. 절인 연어에 올리브오일, 후추를 뿌려 낸다.
25. 익힌 퀴노아를 접시에 담는다.
26. 소고기찜에 버터를 넣고 섞는다.
27. 베이크드 빈을 소고기찜 양념에 묻힌 뒤 소고기찜에 넣는다.
28. 달군 접시에 소고기찜을 담아 마무리한다.</v>
      </c>
    </row>
    <row r="803">
      <c r="A803" s="2" t="str">
        <f>recipe!C803
</f>
        <v>말이야~ 아보말이야♬</v>
      </c>
      <c r="B803" s="2" t="str">
        <f>IFERROR(__xludf.DUMMYFUNCTION("TRIM(
  REGEXEXTRACT(
    raw!A803,
    ""●\s*조리\s*방법([\s\S]*)""
  )
)
"),"1. 끓는 물에 방울토마토를 데친다.
2. 핸드블렌더에 얇게 썬 단호박, 아몬드 우유를 넣고 간다.
3. 아몬드 우유와 함께 간 단호박을 체에 밭쳐 곱게 거른다.
4. 3에 휘핑크림, 설탕을 넣고 끓여 단호박 소스를 만든다.
5. 데친 방울토마토의 껍질을 벗겨낸다.
6. 끓는 물에 전복을 데친다.
7. 채끝살을 얇게 썬다.
8. 채끝살을 고기망치로 두드려 넓게 편 뒤 연어를 올린다.
9. 데친 전복을 손질한 뒤 얇게 썬다.
10. 연어를"&amp;" 올린 채끝살에 전복을 넣고 돌돌 만 뒤 이쑤시개로 고정한다.
11. 기름을 두른 팬에 채끝말이를 굽는다.
12. 무화과를 반으로 썬 뒤 믹서기에 넣는다.
13. 12에 손질한 아보카도, 그릭요거트를 넣는다.
14. 13에 얼음을 넣고 갈아 스무디를 만든다.
15. 팬에 레드와인(1), 다마리 간장(1), 물(1), 맛술(1), 청주를 넣고 끓인다.
16. 15에 설탕을 넣고 끓여 간장 소스를 만든다.
17. 단호박 소스에 햄프시드를 넣고 "&amp;"끓인다.
18. 접시에 단호박 소스를 담은 뒤 방울토마토를 올린다.
19. 유리잔에 스무디&gt;그릭요거트&gt;스무디 순서로 담은 뒤 고수를 올린다.
20. 채끝말이를 간장 소스에 넣어 조린다.
21. 4등분한 무화과를 간장 소스에 넣어 함께 조린다.
22. 간장 소스에 조린 채끝말이의 이쑤시개를 제거한다.
23. 채끝말이를 반으로 썬 뒤 단호박 소스 위에 올린다.
24. 단호박 소스 위에 고수를 올린다.
25. 채끝말이에 간장 소스를 뿌린다.
"&amp;"26. 간장 소스에 조린 무화과를 올려 마무리한다.")</f>
        <v>1. 끓는 물에 방울토마토를 데친다.
2. 핸드블렌더에 얇게 썬 단호박, 아몬드 우유를 넣고 간다.
3. 아몬드 우유와 함께 간 단호박을 체에 밭쳐 곱게 거른다.
4. 3에 휘핑크림, 설탕을 넣고 끓여 단호박 소스를 만든다.
5. 데친 방울토마토의 껍질을 벗겨낸다.
6. 끓는 물에 전복을 데친다.
7. 채끝살을 얇게 썬다.
8. 채끝살을 고기망치로 두드려 넓게 편 뒤 연어를 올린다.
9. 데친 전복을 손질한 뒤 얇게 썬다.
10. 연어를 올린 채끝살에 전복을 넣고 돌돌 만 뒤 이쑤시개로 고정한다.
11. 기름을 두른 팬에 채끝말이를 굽는다.
12. 무화과를 반으로 썬 뒤 믹서기에 넣는다.
13. 12에 손질한 아보카도, 그릭요거트를 넣는다.
14. 13에 얼음을 넣고 갈아 스무디를 만든다.
15. 팬에 레드와인(1), 다마리 간장(1), 물(1), 맛술(1), 청주를 넣고 끓인다.
16. 15에 설탕을 넣고 끓여 간장 소스를 만든다.
17. 단호박 소스에 햄프시드를 넣고 끓인다.
18. 접시에 단호박 소스를 담은 뒤 방울토마토를 올린다.
19. 유리잔에 스무디&gt;그릭요거트&gt;스무디 순서로 담은 뒤 고수를 올린다.
20. 채끝말이를 간장 소스에 넣어 조린다.
21. 4등분한 무화과를 간장 소스에 넣어 함께 조린다.
22. 간장 소스에 조린 채끝말이의 이쑤시개를 제거한다.
23. 채끝말이를 반으로 썬 뒤 단호박 소스 위에 올린다.
24. 단호박 소스 위에 고수를 올린다.
25. 채끝말이에 간장 소스를 뿌린다.
26. 간장 소스에 조린 무화과를 올려 마무리한다.</v>
      </c>
    </row>
    <row r="804">
      <c r="A804" s="2" t="str">
        <f>recipe!C804
</f>
        <v>연장피</v>
      </c>
      <c r="B804" s="2" t="str">
        <f>IFERROR(__xludf.DUMMYFUNCTION("TRIM(
  REGEXEXTRACT(
    raw!A804,
    ""●\s*조리\s*방법([\s\S]*)""
  )
)
"),"1. 밀가루, 전분, 물을 섞어 피 반죽을 만든다.
2. 피 반죽을 접시에 얇게 펼친 뒤 물이 닿지 않게 찐다.
3. 달걀에 소금, 피 반죽을 섞은 뒤 팬에 얇게 펼쳐 굽는다.
4. 달걀지단을 여러 겹으로 접어둔다.
5. 메로의 살만 발라낸다.
6. 적당한 크기로 썬 소 등심에 전분, 달걀물을 묻힌 뒤 기름을 두른 팬에 튀기듯 볶는다.
7. 핸드블렌더에 메로, 밀가루, 달걀물을 넣고 간 뒤 전분을 더해 완자 반죽을 만든다.
8. 완자 반죽을"&amp;" 적당한 크기로 떼어 뜨거운 물에 익힌다.
9. 연겨자, 소금, 식초를 섞어 겨자 소스를 만든다.
10. 겨자 소스에 설탕을 넣는다.
11. 익힌 피를 찬물에 넣어 식힌다.
12. 식힌 피를 접시에서 떼어낸 뒤 적당한 크기로 썬다.
13. 양파, 당근, 대파를 잘게 썬 뒤 어간장을 넣어 볶는다.
14. 13에 볶은 등심, 돈가스 소스, 식초, 부추를 넣고 볶는다.
15. 채 썬 당근과 달걀지단, 고사리볶음, 고춧잎무침을 접시에 올린다.
1"&amp;"6. 채 썬 총각김치와 오이를 접시에 올린다.
17. 피에 참기름, 겨자 소스를 넣고 섞는다.
18. 볶은 등심과 채소를 접시에 올린다.
19. 메로 완자를 올린다.
20. 겨자 소스에 버무린 피를 올려 마무리한다.")</f>
        <v>1. 밀가루, 전분, 물을 섞어 피 반죽을 만든다.
2. 피 반죽을 접시에 얇게 펼친 뒤 물이 닿지 않게 찐다.
3. 달걀에 소금, 피 반죽을 섞은 뒤 팬에 얇게 펼쳐 굽는다.
4. 달걀지단을 여러 겹으로 접어둔다.
5. 메로의 살만 발라낸다.
6. 적당한 크기로 썬 소 등심에 전분, 달걀물을 묻힌 뒤 기름을 두른 팬에 튀기듯 볶는다.
7. 핸드블렌더에 메로, 밀가루, 달걀물을 넣고 간 뒤 전분을 더해 완자 반죽을 만든다.
8. 완자 반죽을 적당한 크기로 떼어 뜨거운 물에 익힌다.
9. 연겨자, 소금, 식초를 섞어 겨자 소스를 만든다.
10. 겨자 소스에 설탕을 넣는다.
11. 익힌 피를 찬물에 넣어 식힌다.
12. 식힌 피를 접시에서 떼어낸 뒤 적당한 크기로 썬다.
13. 양파, 당근, 대파를 잘게 썬 뒤 어간장을 넣어 볶는다.
14. 13에 볶은 등심, 돈가스 소스, 식초, 부추를 넣고 볶는다.
15. 채 썬 당근과 달걀지단, 고사리볶음, 고춧잎무침을 접시에 올린다.
16. 채 썬 총각김치와 오이를 접시에 올린다.
17. 피에 참기름, 겨자 소스를 넣고 섞는다.
18. 볶은 등심과 채소를 접시에 올린다.
19. 메로 완자를 올린다.
20. 겨자 소스에 버무린 피를 올려 마무리한다.</v>
      </c>
    </row>
    <row r="805">
      <c r="A805" s="2" t="str">
        <f>recipe!C805
</f>
        <v>사연장사 만만세♬</v>
      </c>
      <c r="B805" s="2" t="str">
        <f>IFERROR(__xludf.DUMMYFUNCTION("TRIM(
  REGEXEXTRACT(
    raw!A805,
    ""●\s*조리\s*방법([\s\S]*)""
  )
)
"),"1. 돼지 목살을 고기망치로 두드려 얇게 편다.
2. 소 등심을 적당한 크기로 썬 뒤 핸드블렌더로 간다.
3. 팬에 다진 마늘, 간 등심, 소금을 넣고 볶는다.
4. 핸드블렌더에 동그랑땡을 넣고 간 뒤 볶은 등심과 섞는다.
5. 4에 잘게 썬 도라지볶음, 전분, 잘게 썬 부추를 넣어 순대소를 만든다.
6. 얇게 편 목살에 전분을 묻힌다.
7. 6에 순대소를 얹은 뒤 돌돌 말아준다.
8. 김발을 이용해 순대의 모양을 다시 잡아준 뒤 찜기에 넣"&amp;"고 찐다.
9. 볶은 등심에 뜨거운 물을 부은 뒤 고추장, 설탕, 꿀마늘, 잘게 썬 청양고추를 넣어 약고추장 소스를 만든다.
10. 튀김가루를 묻힌 쑥떡을 적당한 크기로 썬다.
11. 밀대를 이용해 쑥떡을 얇게 편다.
12. 식혜에 팥빵의 팥을 넣고 끓여 팥 소스를 만든다.
13. 얇게 편 쑥떡에 빵을 올려 반으로 접은 뒤 밀대로 다시 밀어준다.
14. 빵을 넣은 쑥떡을 기름에 튀긴다.
15. 아바이순대에 나무꼬치를 꽂아 모양을 고정시킨다."&amp;"
16. 기름을 두른 팬에 아바이순대를 굽는다.
17. 컵모양 그릇에 팥 소스를 담는다.
18. 튀긴 쑥떡에 콩고물을 묻혀 쑥인절미 튀김을 만든다.
19. 접시에 팥 소스, 콩고물을 뿌린 쑥인절미 튀김을 올려 낸다.
20. 약고추장 소스에 설탕, 물엿, 깨를 넣는다.
21. 접시에 데운 닭죽을 올린 뒤 잘게 썬 매실장아찌를 올린다.
22. 구운 아바이순대를 적당한 크기로 썰어 닭죽 위에 올린다.
23. 접시에 약고추장 소스를 올린 뒤 참기"&amp;"름을 뿌린다.
24. 잘게 썬 부추를 올려 마무리한다.")</f>
        <v>1. 돼지 목살을 고기망치로 두드려 얇게 편다.
2. 소 등심을 적당한 크기로 썬 뒤 핸드블렌더로 간다.
3. 팬에 다진 마늘, 간 등심, 소금을 넣고 볶는다.
4. 핸드블렌더에 동그랑땡을 넣고 간 뒤 볶은 등심과 섞는다.
5. 4에 잘게 썬 도라지볶음, 전분, 잘게 썬 부추를 넣어 순대소를 만든다.
6. 얇게 편 목살에 전분을 묻힌다.
7. 6에 순대소를 얹은 뒤 돌돌 말아준다.
8. 김발을 이용해 순대의 모양을 다시 잡아준 뒤 찜기에 넣고 찐다.
9. 볶은 등심에 뜨거운 물을 부은 뒤 고추장, 설탕, 꿀마늘, 잘게 썬 청양고추를 넣어 약고추장 소스를 만든다.
10. 튀김가루를 묻힌 쑥떡을 적당한 크기로 썬다.
11. 밀대를 이용해 쑥떡을 얇게 편다.
12. 식혜에 팥빵의 팥을 넣고 끓여 팥 소스를 만든다.
13. 얇게 편 쑥떡에 빵을 올려 반으로 접은 뒤 밀대로 다시 밀어준다.
14. 빵을 넣은 쑥떡을 기름에 튀긴다.
15. 아바이순대에 나무꼬치를 꽂아 모양을 고정시킨다.
16. 기름을 두른 팬에 아바이순대를 굽는다.
17. 컵모양 그릇에 팥 소스를 담는다.
18. 튀긴 쑥떡에 콩고물을 묻혀 쑥인절미 튀김을 만든다.
19. 접시에 팥 소스, 콩고물을 뿌린 쑥인절미 튀김을 올려 낸다.
20. 약고추장 소스에 설탕, 물엿, 깨를 넣는다.
21. 접시에 데운 닭죽을 올린 뒤 잘게 썬 매실장아찌를 올린다.
22. 구운 아바이순대를 적당한 크기로 썰어 닭죽 위에 올린다.
23. 접시에 약고추장 소스를 올린 뒤 참기름을 뿌린다.
24. 잘게 썬 부추를 올려 마무리한다.</v>
      </c>
    </row>
    <row r="806">
      <c r="A806" s="2" t="str">
        <f>recipe!C806
</f>
        <v>김치 잘 먹는 예쁜 누나</v>
      </c>
      <c r="B806" s="2" t="str">
        <f>IFERROR(__xludf.DUMMYFUNCTION("TRIM(
  REGEXEXTRACT(
    raw!A806,
    ""●\s*조리\s*방법([\s\S]*)""
  )
)
"),"1. 적당한 크기로 썬 배추김치에 북어포 불린 물을 붓는다.
2. 1을 랩으로 싼 뒤 전자레인지에 돌린다.
3. 냄비에 불린 누룽지를 넣고 끓여 죽을 만든다.
4. 총각김치의 무청 부분을 잘게 썬 뒤 냄비에 넣고 함께 끓인다.
5. 옥돔을 손질한 뒤 기름을 두른 팬에 굽는다.
6. 옥돔에 청주를 부어 비린내를 날린다.
7. 무청을 넣고 끓이던 죽에 옥돔을 넣어 옥돔김치죽을 만든다.
8. 적당한 크기로 썬 삼겹살을 지퍼백에 넣은 뒤 고기망치로"&amp;" 두드린다.
9. 삼겹살에 후추, 간장, 생강즙, 청주를 더한 뒤 전분을 묻혀 기름에 튀긴다.
10. 적당한 크기로 썬 두부에 전분을 묻힌 뒤 기름에 튀긴다.
11. 당근, 청양고추, 양파를 잘게 썬다.
12. 기름을 두른 팬에 건홍고추, 잘게 썬 채소들을 넣고 볶는다.
13. 총각김치 국물과 오미자 진액을 섞는다.
14. 볶던 채소에 13의 국물을 넣는다.
15. 전자레인지에 익힌 배추김치, 전분물을 더해 탕수 소스를 만든다.
16. 옥"&amp;"돔김치죽에 북어포 불린 물, 달걀노른자, 간장, 참기름을 넣는다.
17. 옥돔김치죽을 그릇에 담은 뒤 깨와 김가루를 올려 마무리한다.
18. 탕수 소스에 튀긴 삼겹살과 두부를 넣고 버무린다.
19. 김치탕수육을 접시에 담아 낸다.")</f>
        <v>1. 적당한 크기로 썬 배추김치에 북어포 불린 물을 붓는다.
2. 1을 랩으로 싼 뒤 전자레인지에 돌린다.
3. 냄비에 불린 누룽지를 넣고 끓여 죽을 만든다.
4. 총각김치의 무청 부분을 잘게 썬 뒤 냄비에 넣고 함께 끓인다.
5. 옥돔을 손질한 뒤 기름을 두른 팬에 굽는다.
6. 옥돔에 청주를 부어 비린내를 날린다.
7. 무청을 넣고 끓이던 죽에 옥돔을 넣어 옥돔김치죽을 만든다.
8. 적당한 크기로 썬 삼겹살을 지퍼백에 넣은 뒤 고기망치로 두드린다.
9. 삼겹살에 후추, 간장, 생강즙, 청주를 더한 뒤 전분을 묻혀 기름에 튀긴다.
10. 적당한 크기로 썬 두부에 전분을 묻힌 뒤 기름에 튀긴다.
11. 당근, 청양고추, 양파를 잘게 썬다.
12. 기름을 두른 팬에 건홍고추, 잘게 썬 채소들을 넣고 볶는다.
13. 총각김치 국물과 오미자 진액을 섞는다.
14. 볶던 채소에 13의 국물을 넣는다.
15. 전자레인지에 익힌 배추김치, 전분물을 더해 탕수 소스를 만든다.
16. 옥돔김치죽에 북어포 불린 물, 달걀노른자, 간장, 참기름을 넣는다.
17. 옥돔김치죽을 그릇에 담은 뒤 깨와 김가루를 올려 마무리한다.
18. 탕수 소스에 튀긴 삼겹살과 두부를 넣고 버무린다.
19. 김치탕수육을 접시에 담아 낸다.</v>
      </c>
    </row>
    <row r="807">
      <c r="A807" s="2" t="str">
        <f>recipe!C807
</f>
        <v>맛있으면 김~치</v>
      </c>
      <c r="B807" s="2" t="str">
        <f>IFERROR(__xludf.DUMMYFUNCTION("TRIM(
  REGEXEXTRACT(
    raw!A807,
    ""●\s*조리\s*방법([\s\S]*)""
  )
)
"),"1. 올리브오일을 두른 팬에 소 등심을 올린 뒤 소금, 후추를 뿌려 굽는다.
2. 잘게 썬 양파와 베이컨, 청양고추를 볶은 뒤 즉석밥, 김칫국물, 소금, 간장을 넣는다.
3. 잘게 썬 고구마순김치를 팬에 넣고 함께 볶아 김치볶음밥을 만든다.
4. 김치볶음밥에 후추를 뿌린다.
5. 곶감을 잘게 썬다.
6. 김치볶음밥에 잘게 썬 곶감을 넣는다.
7. 넓게 편 배추김치 잎에 김치볶음밥을 올린다.
8. 구운 등심을 적당한 크기로 썬 뒤 김치볶음밥 "&amp;"위에 올린다.
9. 김치볶음밥과 구운 등심을 배추김치로 감싸 김치쌈을 만든다.
10. 배추김치를 적당한 크기로 썬다.
11. 냄비에 배추김치를 깐 뒤 김치쌈을 올린다.
12. 11에 레드와인을 붓는다.
13. 김치쌈 위에 접시를 올린 뒤 뚜껑을 닫고 익힌다.
14. 버터를 녹인 팬에 밀가루, 우유, 열무물김치 국물을 넣고 섞어준다.
15. 김치베샤멜 소스를 접시에 담는다.
16. 총각김치를 잘게 썬 뒤 김치베샤멜 소스 위에 올린다.
17"&amp;". 김치베샤멜 소스 위에 김치쌈을 올린 뒤 와인과 함께 끓인 김칫국물을 더한다.
18. 김치쌈 위에 부추를 올린다.
19. 김치쌈에 후추를 뿌려 마무리한다.")</f>
        <v>1. 올리브오일을 두른 팬에 소 등심을 올린 뒤 소금, 후추를 뿌려 굽는다.
2. 잘게 썬 양파와 베이컨, 청양고추를 볶은 뒤 즉석밥, 김칫국물, 소금, 간장을 넣는다.
3. 잘게 썬 고구마순김치를 팬에 넣고 함께 볶아 김치볶음밥을 만든다.
4. 김치볶음밥에 후추를 뿌린다.
5. 곶감을 잘게 썬다.
6. 김치볶음밥에 잘게 썬 곶감을 넣는다.
7. 넓게 편 배추김치 잎에 김치볶음밥을 올린다.
8. 구운 등심을 적당한 크기로 썬 뒤 김치볶음밥 위에 올린다.
9. 김치볶음밥과 구운 등심을 배추김치로 감싸 김치쌈을 만든다.
10. 배추김치를 적당한 크기로 썬다.
11. 냄비에 배추김치를 깐 뒤 김치쌈을 올린다.
12. 11에 레드와인을 붓는다.
13. 김치쌈 위에 접시를 올린 뒤 뚜껑을 닫고 익힌다.
14. 버터를 녹인 팬에 밀가루, 우유, 열무물김치 국물을 넣고 섞어준다.
15. 김치베샤멜 소스를 접시에 담는다.
16. 총각김치를 잘게 썬 뒤 김치베샤멜 소스 위에 올린다.
17. 김치베샤멜 소스 위에 김치쌈을 올린 뒤 와인과 함께 끓인 김칫국물을 더한다.
18. 김치쌈 위에 부추를 올린다.
19. 김치쌈에 후추를 뿌려 마무리한다.</v>
      </c>
    </row>
    <row r="808">
      <c r="A808" s="2" t="str">
        <f>recipe!C808
</f>
        <v>함박84</v>
      </c>
      <c r="B808" s="2" t="str">
        <f>IFERROR(__xludf.DUMMYFUNCTION("TRIM(
  REGEXEXTRACT(
    raw!A808,
    ""●\s*조리\s*방법([\s\S]*)""
  )
)
"),"1. 버터를 전자레인지에 넣어 녹인다.
2. 잘게 썬 양파를 팬에 올려 굽는다.
3. 기름을 두른 그릴팬에 통으로 썬 양파, 고추를 올리고 소금을 뿌려 굽는다.
4. 핸드블렌더에 볶은 양파, 프랑크소시지, 훈제 닭다리, 돼지목살, 삼겹살을 넣고 간다.
5. 패티 반죽에 소금, 후추, 간장을 넣는다.
6. 밀가루, 버터를 볶아 루를 만든 뒤 갈비탕 육수를 넣는다.
7. 6을 두 냄비로 나눈다.
8. 한 냄비에는 살사소스맛 과자, 한 냄비에는 "&amp;"간장치킨맛 과자를 넣고 끓인다.
9. 과자를 건져낸다.
10. 살사치즈 소스, 간장치킨 소스에 소금, 후추로 간한다.
11. 다진 마늘, 생강즙, 잘게 썬 마늘, 참기름, 간장, 레몬즙, 설탕, 올리브오일, 후추를 섞어 소스를 만든다.
12. 끓는 물에 달걀을 넣어 수란을 만든다.
13. 패티 반죽을 적당한 크기로 뭉친 뒤 팬에 굽는다.
14. 달걀노른자에 녹인 버터를 넣어주며 중탕한 뒤 레몬즙, 올리브오일, 소금, 후추를 넣고 섞어 홀랜다이"&amp;"즈 소스를 만든다.
15. 구운 고추를 적당한 크기로 썬 뒤 소스에 넣는다.
16. 접시에 구운 양파를 올린 뒤 살사치즈 소스를 얹는다.
17. 구운 고추를 넣은 소스를 올린다.
18. 함박 스테이크를 간장치킨 소스에 담근다.
19. 간장치킨 소스를 묻힌 함박 스테이크를 접시에 올린다.
20. 구운 고추를 넣은 소스를 한 번 더 뿌린다.
21. 함박스테이크 위에 수란을 올린 뒤 홀랜다이즈 소스를 올려 마무리한다.")</f>
        <v>1. 버터를 전자레인지에 넣어 녹인다.
2. 잘게 썬 양파를 팬에 올려 굽는다.
3. 기름을 두른 그릴팬에 통으로 썬 양파, 고추를 올리고 소금을 뿌려 굽는다.
4. 핸드블렌더에 볶은 양파, 프랑크소시지, 훈제 닭다리, 돼지목살, 삼겹살을 넣고 간다.
5. 패티 반죽에 소금, 후추, 간장을 넣는다.
6. 밀가루, 버터를 볶아 루를 만든 뒤 갈비탕 육수를 넣는다.
7. 6을 두 냄비로 나눈다.
8. 한 냄비에는 살사소스맛 과자, 한 냄비에는 간장치킨맛 과자를 넣고 끓인다.
9. 과자를 건져낸다.
10. 살사치즈 소스, 간장치킨 소스에 소금, 후추로 간한다.
11. 다진 마늘, 생강즙, 잘게 썬 마늘, 참기름, 간장, 레몬즙, 설탕, 올리브오일, 후추를 섞어 소스를 만든다.
12. 끓는 물에 달걀을 넣어 수란을 만든다.
13. 패티 반죽을 적당한 크기로 뭉친 뒤 팬에 굽는다.
14. 달걀노른자에 녹인 버터를 넣어주며 중탕한 뒤 레몬즙, 올리브오일, 소금, 후추를 넣고 섞어 홀랜다이즈 소스를 만든다.
15. 구운 고추를 적당한 크기로 썬 뒤 소스에 넣는다.
16. 접시에 구운 양파를 올린 뒤 살사치즈 소스를 얹는다.
17. 구운 고추를 넣은 소스를 올린다.
18. 함박 스테이크를 간장치킨 소스에 담근다.
19. 간장치킨 소스를 묻힌 함박 스테이크를 접시에 올린다.
20. 구운 고추를 넣은 소스를 한 번 더 뿌린다.
21. 함박스테이크 위에 수란을 올린 뒤 홀랜다이즈 소스를 올려 마무리한다.</v>
      </c>
    </row>
    <row r="809">
      <c r="A809" s="2" t="str">
        <f>recipe!C809
</f>
        <v>목살84</v>
      </c>
      <c r="B809" s="2" t="str">
        <f>IFERROR(__xludf.DUMMYFUNCTION("TRIM(
  REGEXEXTRACT(
    raw!A809,
    ""●\s*조리\s*방법([\s\S]*)""
  )
)
"),"1. 훈제 닭다리를 체에 밭쳐 끓는 물에 데친다.
2. 냄비에 콜라를 넣고 끓인다.
3. 콜라에 적당한 크기로 썬 돼지목살, 레드와인을 넣고 끓인다.
4. 데친 훈제 닭다리살을 찢어 에스프레소 잔에 넣는다.
5. 어묵탕 육수에 달걀물을 섞은 뒤 체에 곱게 거른다.
6. 어묵탕 육수를 섞은 달걀물을 에스프레소 잔에 담는다.
7. 찜기에 에스프레소 잔을 넣고 면포로 덮은 뒤 찐다.
8. 홍고추와 대파 흰 부분을 얇게 썬 뒤 찬물에 담가둔다.
"&amp;"9. 양파도 채 썬 뒤 찬물에 담가둔다.
10. 라면 면을 삶는다.
11. 막을 제거한 명란젓, 청양고추, 마요네즈, 간장을 섞어 명란마요 소스를 만든다.
12. 팬에 청주, 맛술, 설탕, 간장, 불닭 소스를 넣고 끓여 데리야키 소스를 만든다.
13. 콜라에 익힌 돼지목살에 밀가루를 묻힌다.
14. 팬에 밀가루를 묻힌 돼지목살을 올리고, 후추를 뿌려 굽는다.
15. 구운 돼지목살을 데리야키 소스에 넣고 조린다.
16. 대파, 마늘, 양파, "&amp;"청양고추를 잘게 썰어 데리야키 소스에 넣는다.
17. 삶은 라면을 얼음물에 헹군 뒤 명란마요 소스에 버무린다.
18. 17에 찬물에 담가뒀던 양파, 불닭 소스, 데리야키 소스를 넣고 섞는다.
19. 밀가루에 어묵탕 육수와 섞은 달걀물을 넣고 섞는다.
20. 19를 접시에 올린 뒤 토치로 직화한다.
21. 접시에 달걀찜을 올린 뒤 잘게 썬 홍고추, 청양고추를 올린다.
22. 접시에 명란마요 비빔면, 목살 스테이크를 올린다.
23. 어묵탕 육수"&amp;"에 전분물을 넣어 살짝 끓인 뒤 달걀찜 위에 뿌린다.
24. 찬물에 담가뒀던 대파 흰 부분을 목살 스테이크 위에 올려 마무리한다.")</f>
        <v>1. 훈제 닭다리를 체에 밭쳐 끓는 물에 데친다.
2. 냄비에 콜라를 넣고 끓인다.
3. 콜라에 적당한 크기로 썬 돼지목살, 레드와인을 넣고 끓인다.
4. 데친 훈제 닭다리살을 찢어 에스프레소 잔에 넣는다.
5. 어묵탕 육수에 달걀물을 섞은 뒤 체에 곱게 거른다.
6. 어묵탕 육수를 섞은 달걀물을 에스프레소 잔에 담는다.
7. 찜기에 에스프레소 잔을 넣고 면포로 덮은 뒤 찐다.
8. 홍고추와 대파 흰 부분을 얇게 썬 뒤 찬물에 담가둔다.
9. 양파도 채 썬 뒤 찬물에 담가둔다.
10. 라면 면을 삶는다.
11. 막을 제거한 명란젓, 청양고추, 마요네즈, 간장을 섞어 명란마요 소스를 만든다.
12. 팬에 청주, 맛술, 설탕, 간장, 불닭 소스를 넣고 끓여 데리야키 소스를 만든다.
13. 콜라에 익힌 돼지목살에 밀가루를 묻힌다.
14. 팬에 밀가루를 묻힌 돼지목살을 올리고, 후추를 뿌려 굽는다.
15. 구운 돼지목살을 데리야키 소스에 넣고 조린다.
16. 대파, 마늘, 양파, 청양고추를 잘게 썰어 데리야키 소스에 넣는다.
17. 삶은 라면을 얼음물에 헹군 뒤 명란마요 소스에 버무린다.
18. 17에 찬물에 담가뒀던 양파, 불닭 소스, 데리야키 소스를 넣고 섞는다.
19. 밀가루에 어묵탕 육수와 섞은 달걀물을 넣고 섞는다.
20. 19를 접시에 올린 뒤 토치로 직화한다.
21. 접시에 달걀찜을 올린 뒤 잘게 썬 홍고추, 청양고추를 올린다.
22. 접시에 명란마요 비빔면, 목살 스테이크를 올린다.
23. 어묵탕 육수에 전분물을 넣어 살짝 끓인 뒤 달걀찜 위에 뿌린다.
24. 찬물에 담가뒀던 대파 흰 부분을 목살 스테이크 위에 올려 마무리한다.</v>
      </c>
    </row>
    <row r="810">
      <c r="A810" s="2" t="str">
        <f>recipe!C810
</f>
        <v>덮밥왕</v>
      </c>
      <c r="B810" s="2" t="str">
        <f>IFERROR(__xludf.DUMMYFUNCTION("TRIM(
  REGEXEXTRACT(
    raw!A810,
    ""●\s*조리\s*방법([\s\S]*)""
  )
)
"),"1. 잘게 썬 돼지목살에 간장, 맛술, 전분, 밀가루를 넣고 버무린다.
2. 기름을 두른 팬에 1의 고기를 넣고 볶는다.
3. 팬에 잘게 썬 대파, 다진마늘, 고춧가루, 간장, 맛술을 넣고 볶는다.
4. 3에 편육, 잘게 썬 김치를 넣고 함께 볶는다.
5. 전자레인지에 즉석밥을 넣고 돌린다.
6. 팬에 볶던 재료에 뜨거운 물, 식초를 넣고 끓인다.
7. 들기름을 두른 냄비에 적당한 크기로 썬 명란, 대파를 넣고 볶는다.
8. 7에 뜨거운 물"&amp;"을 넣은 뒤 새우젓 양념을 넣는다.
9. 국물에 라면수프를 넣어 끓인다.
10. 국물에 소금을 넣어 간한다.
11. 대파를 잘게 썬 뒤 볼에 담는다.
12. 잘게 썬 대파를 맛술에 담가둔다.
13. 12에 간장, 고춧가루, 다진마늘, 소금, 식초, 물엿을 넣는다.
14. 13에 참기름을 넣어 양념장을 만든다.
15. 상추에 양념장을 넣고 버무려 상추겉절이를 만든다.
16. 전자레인지에서 즉석밥을 꺼낸 뒤, 버터를 넣어 녹인다.
17. 녹"&amp;"인 버터에 달걀, 밀가루를 넣고 섞어 달걀물을 만든다.
18. 가스 불을 끈 뒤 국물에 달걀물을 풀어 명란달걀국을 만든다.
19. 식판에 밥을 담고 덮밥소스를 올린다.
20. 명란달걀국을 국그릇에 담는다.
21. 상추겉절이를 식판에 담아 마무리한다.")</f>
        <v>1. 잘게 썬 돼지목살에 간장, 맛술, 전분, 밀가루를 넣고 버무린다.
2. 기름을 두른 팬에 1의 고기를 넣고 볶는다.
3. 팬에 잘게 썬 대파, 다진마늘, 고춧가루, 간장, 맛술을 넣고 볶는다.
4. 3에 편육, 잘게 썬 김치를 넣고 함께 볶는다.
5. 전자레인지에 즉석밥을 넣고 돌린다.
6. 팬에 볶던 재료에 뜨거운 물, 식초를 넣고 끓인다.
7. 들기름을 두른 냄비에 적당한 크기로 썬 명란, 대파를 넣고 볶는다.
8. 7에 뜨거운 물을 넣은 뒤 새우젓 양념을 넣는다.
9. 국물에 라면수프를 넣어 끓인다.
10. 국물에 소금을 넣어 간한다.
11. 대파를 잘게 썬 뒤 볼에 담는다.
12. 잘게 썬 대파를 맛술에 담가둔다.
13. 12에 간장, 고춧가루, 다진마늘, 소금, 식초, 물엿을 넣는다.
14. 13에 참기름을 넣어 양념장을 만든다.
15. 상추에 양념장을 넣고 버무려 상추겉절이를 만든다.
16. 전자레인지에서 즉석밥을 꺼낸 뒤, 버터를 넣어 녹인다.
17. 녹인 버터에 달걀, 밀가루를 넣고 섞어 달걀물을 만든다.
18. 가스 불을 끈 뒤 국물에 달걀물을 풀어 명란달걀국을 만든다.
19. 식판에 밥을 담고 덮밥소스를 올린다.
20. 명란달걀국을 국그릇에 담는다.
21. 상추겉절이를 식판에 담아 마무리한다.</v>
      </c>
    </row>
    <row r="811">
      <c r="A811" s="2" t="str">
        <f>recipe!C811
</f>
        <v>내가 이길 소야</v>
      </c>
      <c r="B811" s="2" t="str">
        <f>IFERROR(__xludf.DUMMYFUNCTION("TRIM(
  REGEXEXTRACT(
    raw!A811,
    ""●\s*조리\s*방법([\s\S]*)""
  )
)
"),"1. 적당한 크기로 썬 돼지목살에 된장, 고춧가루, 다진마늘, 맛술을 넣어 양념한다.
2. 들기름을 두른 냄비에 양념한 돼지목살을 넣고 볶는다.
3. 적당한 크기로 썬 대파를 냄비에 넣고 함께 볶는다.
4. 잘게 썬 고추와 마늘을 냄비에 넣은 뒤 갈비탕 육수를 부어 끓인다.
5. 얇게 썬 양파와 당근을 볼에 담은 뒤 파인애플맛 탄산음료를 넣는다.
6. 족발, 편육, 씨를 제거한 고추를 채 썬 뒤 5에 넣는다.
7. 맛술, 연겨자, 설탕, 식초"&amp;"를 섞은 뒤 냉채족발에 뿌린다.
8. 냉채족발에 간장을 넣는다.
9. 전자레인지에 즉석밥을 넣고 돌린다.
10. 들기름을 두른 팬에 달걀물을 붓는다.
11. 명란을 길쭉하게 썬 뒤 달걀 위에 올린다.
12. 반쯤 익은 달걀을 말아준 뒤, 달걀물을 더 부어 익힌다.
13. 달걀을 돌돌 말아 명란달걀말이를 만든다.
14. 프랑크소시지, 양파, 고추, 홍고추, 대파를 적당한 크기로 썬 뒤 팬에 넣는다.
15. 14에 고추장, 설탕, 케첩, 물엿"&amp;", 후추를 넣고 볶아 소시지야채볶음을 만든다.
16. 해장국에 상추를 찢어 넣는다.
17. 명란달걀말이를 썰어 식판에 담은 뒤 마요네즈, 케첩을 뿌린다.
18. 식판에 소시지야채볶음을 담는다.
19. 들기름을 두른 팬에 김치를 넣고 볶은 뒤 식판에 올린다.
20. 즉석밥, 냉채족발을 식판에 담는다.
21. 해장국을 담아 마무리한다.")</f>
        <v>1. 적당한 크기로 썬 돼지목살에 된장, 고춧가루, 다진마늘, 맛술을 넣어 양념한다.
2. 들기름을 두른 냄비에 양념한 돼지목살을 넣고 볶는다.
3. 적당한 크기로 썬 대파를 냄비에 넣고 함께 볶는다.
4. 잘게 썬 고추와 마늘을 냄비에 넣은 뒤 갈비탕 육수를 부어 끓인다.
5. 얇게 썬 양파와 당근을 볼에 담은 뒤 파인애플맛 탄산음료를 넣는다.
6. 족발, 편육, 씨를 제거한 고추를 채 썬 뒤 5에 넣는다.
7. 맛술, 연겨자, 설탕, 식초를 섞은 뒤 냉채족발에 뿌린다.
8. 냉채족발에 간장을 넣는다.
9. 전자레인지에 즉석밥을 넣고 돌린다.
10. 들기름을 두른 팬에 달걀물을 붓는다.
11. 명란을 길쭉하게 썬 뒤 달걀 위에 올린다.
12. 반쯤 익은 달걀을 말아준 뒤, 달걀물을 더 부어 익힌다.
13. 달걀을 돌돌 말아 명란달걀말이를 만든다.
14. 프랑크소시지, 양파, 고추, 홍고추, 대파를 적당한 크기로 썬 뒤 팬에 넣는다.
15. 14에 고추장, 설탕, 케첩, 물엿, 후추를 넣고 볶아 소시지야채볶음을 만든다.
16. 해장국에 상추를 찢어 넣는다.
17. 명란달걀말이를 썰어 식판에 담은 뒤 마요네즈, 케첩을 뿌린다.
18. 식판에 소시지야채볶음을 담는다.
19. 들기름을 두른 팬에 김치를 넣고 볶은 뒤 식판에 올린다.
20. 즉석밥, 냉채족발을 식판에 담는다.
21. 해장국을 담아 마무리한다.</v>
      </c>
    </row>
    <row r="812">
      <c r="A812" s="2" t="str">
        <f>recipe!C812
</f>
        <v>소바로우</v>
      </c>
      <c r="B812" s="2" t="str">
        <f>IFERROR(__xludf.DUMMYFUNCTION("TRIM(
  REGEXEXTRACT(
    raw!A812,
    ""●\s*조리\s*방법([\s\S]*)""
  )
)
"),"1. 전분에 물을 넣어 반죽한다.
2. 전분 반죽에 식용유를 넣는다.
3. 비엔나소시지를 으깬다.
4. 팬에 적당한 크기로 썬 양파를 넣고 볶는다.
5. 4에 사과잼, 식초, 물엿, 간장, 옥수수 통조림, 시나몬가루를 넣어 소스를 만든다.
6. 으깬 비엔나소시지에 전분 반죽을 묻힌다.
7. 전분 반죽을 묻힌 비엔나소시지를 기름에 튀긴다.
8. 튀긴 비엔나소시지를 건져낸다.
9. 비엔나소시지에 칼집을 넣어 오징어 모양을 만든다.
10. 튀"&amp;"긴 비엔나소시지를 한 번 더 기름에 튀긴다.
11. 오징어 모양의 비엔나소시지를 끓는 물에 데친다.
12. 튀긴 비엔나소시지를 건져낸 뒤 소스에 넣고 버무린다.
13. 데쳐낸 오징어 모양의 비엔나소시지에 나무꼬치를 꽂는다.
14. 접시에 소바로우를 담은 뒤 오징어 모양의 비엔나소시지 꼬치를 꽂아 낸다.")</f>
        <v>1. 전분에 물을 넣어 반죽한다.
2. 전분 반죽에 식용유를 넣는다.
3. 비엔나소시지를 으깬다.
4. 팬에 적당한 크기로 썬 양파를 넣고 볶는다.
5. 4에 사과잼, 식초, 물엿, 간장, 옥수수 통조림, 시나몬가루를 넣어 소스를 만든다.
6. 으깬 비엔나소시지에 전분 반죽을 묻힌다.
7. 전분 반죽을 묻힌 비엔나소시지를 기름에 튀긴다.
8. 튀긴 비엔나소시지를 건져낸다.
9. 비엔나소시지에 칼집을 넣어 오징어 모양을 만든다.
10. 튀긴 비엔나소시지를 한 번 더 기름에 튀긴다.
11. 오징어 모양의 비엔나소시지를 끓는 물에 데친다.
12. 튀긴 비엔나소시지를 건져낸 뒤 소스에 넣고 버무린다.
13. 데쳐낸 오징어 모양의 비엔나소시지에 나무꼬치를 꽂는다.
14. 접시에 소바로우를 담은 뒤 오징어 모양의 비엔나소시지 꼬치를 꽂아 낸다.</v>
      </c>
    </row>
    <row r="813">
      <c r="A813" s="2" t="str">
        <f>recipe!C813
</f>
        <v>해비한 소시지</v>
      </c>
      <c r="B813" s="2" t="str">
        <f>IFERROR(__xludf.DUMMYFUNCTION("TRIM(
  REGEXEXTRACT(
    raw!A813,
    ""●\s*조리\s*방법([\s\S]*)""
  )
)
"),"1. 끓는 물에 달걀을 삶는다.
2. 달걀의 흰자와 노른자를 분리한다.
3. 달걀흰자로 머랭을 친 뒤 냉장실에 넣어둔다.
4. 비엔나소시지에 칼집을 낸다.
5. 칼집을 낸 비엔나소시지에 해바라기씨와 치즈맛 육포를 넣는다.
6. 핸드블렌더에 모둠 견과류를 넣고 간다.
7. 달걀노른자에 간 견과류, 밀가루를 넣은 뒤 과일맛 탄산주를 섞어 튀김 반죽을 만든다.
8. 냉장실에서 차게 만든 머랭을 튀김 반죽에 넣고 섞는다.
9. 튀김 반죽을 묻힌 "&amp;"비엔나소시지를 기름에 튀긴다.
10. 오이지무침을 물에 씻은 뒤 잘게 썬다.
11. 삶은 달걀의 껍데기를 벗긴다.
12. 비엔나소시지 튀김을 건져낸 뒤 그릇에 담는다.
13. 비엔나소시지를 토끼 모양으로 만들어 곁들인다.
14. 잘게 썬 오이지무침에 마요네즈, 삶은 달걀노른자, 후추를 섞어 타르타르 소스를 만든다.
15. 삶은 달걀흰자를 잘게 썬 뒤 타르타르 소스에 올린다.
16. 비엔나소시지 튀김에 나무꼬치를 꽂아 마무리한다.")</f>
        <v>1. 끓는 물에 달걀을 삶는다.
2. 달걀의 흰자와 노른자를 분리한다.
3. 달걀흰자로 머랭을 친 뒤 냉장실에 넣어둔다.
4. 비엔나소시지에 칼집을 낸다.
5. 칼집을 낸 비엔나소시지에 해바라기씨와 치즈맛 육포를 넣는다.
6. 핸드블렌더에 모둠 견과류를 넣고 간다.
7. 달걀노른자에 간 견과류, 밀가루를 넣은 뒤 과일맛 탄산주를 섞어 튀김 반죽을 만든다.
8. 냉장실에서 차게 만든 머랭을 튀김 반죽에 넣고 섞는다.
9. 튀김 반죽을 묻힌 비엔나소시지를 기름에 튀긴다.
10. 오이지무침을 물에 씻은 뒤 잘게 썬다.
11. 삶은 달걀의 껍데기를 벗긴다.
12. 비엔나소시지 튀김을 건져낸 뒤 그릇에 담는다.
13. 비엔나소시지를 토끼 모양으로 만들어 곁들인다.
14. 잘게 썬 오이지무침에 마요네즈, 삶은 달걀노른자, 후추를 섞어 타르타르 소스를 만든다.
15. 삶은 달걀흰자를 잘게 썬 뒤 타르타르 소스에 올린다.
16. 비엔나소시지 튀김에 나무꼬치를 꽂아 마무리한다.</v>
      </c>
    </row>
    <row r="814">
      <c r="A814" s="2" t="str">
        <f>recipe!C814
</f>
        <v>등심은 맛있어♬</v>
      </c>
      <c r="B814" s="2" t="str">
        <f>IFERROR(__xludf.DUMMYFUNCTION("TRIM(
  REGEXEXTRACT(
    raw!A814,
    ""●\s*조리\s*방법([\s\S]*)""
  )
)
"),"1. 두부를 잘게 썬다.
2. 키친타월을 이용해 두부의 물기를 뺀 뒤 기름에 튀긴다.
3. 소 등심을 잘게 썬다.
4. 핸드블렌더에 인스턴트 떡갈비를 넣고 간 뒤 등심과 섞어준다.
5. 4에 후추, 간장, 전분, 달걀물, 홀그레인 머스터드를 넣고 치댄다.
6. 튀긴 두부를 건져낸 뒤 고기 반죽에 넣고 섞는다.
7. 고기 반죽을 뭉쳐 모양을 잡은 뒤 찜기에 넣고 찐다.
8. 버터를 두른 팬에 잘게 썬 양파, 밀가루를 볶아 루를 만든 뒤 옥수수"&amp;" 통조림 국물을 넣는다.
9. 8에 도가니탕 육수, 홀그레인 머스터드를 넣어 크림소스를 만든다.
10. 크림소스에 양파크림소스, 달걀물을 넣고 섞는다.
11. 크림소스에 소금을 넣어 간한다.
12. 크림소스에 전분물, 간 견과류를 넣는다.
13. 찐 사자두 스테이크를 전자레인지에 넣어 익힌다.
14. 접시에 사자두 스테이크를 올린다.
15. 사자두 스테이크를 토치로 직화한다.
16. 접시에 크림소스를 담는다.
17. 대파를 잘게 썬 뒤 "&amp;"사자두 스테이크 위에 올려 마무리한다.")</f>
        <v>1. 두부를 잘게 썬다.
2. 키친타월을 이용해 두부의 물기를 뺀 뒤 기름에 튀긴다.
3. 소 등심을 잘게 썬다.
4. 핸드블렌더에 인스턴트 떡갈비를 넣고 간 뒤 등심과 섞어준다.
5. 4에 후추, 간장, 전분, 달걀물, 홀그레인 머스터드를 넣고 치댄다.
6. 튀긴 두부를 건져낸 뒤 고기 반죽에 넣고 섞는다.
7. 고기 반죽을 뭉쳐 모양을 잡은 뒤 찜기에 넣고 찐다.
8. 버터를 두른 팬에 잘게 썬 양파, 밀가루를 볶아 루를 만든 뒤 옥수수 통조림 국물을 넣는다.
9. 8에 도가니탕 육수, 홀그레인 머스터드를 넣어 크림소스를 만든다.
10. 크림소스에 양파크림소스, 달걀물을 넣고 섞는다.
11. 크림소스에 소금을 넣어 간한다.
12. 크림소스에 전분물, 간 견과류를 넣는다.
13. 찐 사자두 스테이크를 전자레인지에 넣어 익힌다.
14. 접시에 사자두 스테이크를 올린다.
15. 사자두 스테이크를 토치로 직화한다.
16. 접시에 크림소스를 담는다.
17. 대파를 잘게 썬 뒤 사자두 스테이크 위에 올려 마무리한다.</v>
      </c>
    </row>
    <row r="815">
      <c r="A815" s="2" t="str">
        <f>recipe!C815
</f>
        <v>고로케까지 생각했어♬</v>
      </c>
      <c r="B815" s="2" t="str">
        <f>IFERROR(__xludf.DUMMYFUNCTION("TRIM(
  REGEXEXTRACT(
    raw!A815,
    ""●\s*조리\s*방법([\s\S]*)""
  )
)
"),"1. 소 등심, 당근, 양파를 적당한 크기로 썬 뒤 핸드블렌더에 넣고 간다.
2. 기름을 두른 팬에 간 등심을 넣고 볶는다.
3. 2에 맛술, 간장을 넣고 볶는다.
4. 소 등심에 밀가루를 묻힌 뒤 버터를 두른 팬에 넣는다.
5. 4에 양파, 적당한 크기로 썬 당근을 넣고 볶는다.
6. 건더기를 거른 인스턴트 카레를 팬에 넣는다.
7. 적당한 크기로 썬 사과를 카레에 넣는다.
8. 밀가루에 물, 얼음을 넣고 반죽한 뒤 기름에 흩뿌리듯 튀긴다"&amp;".
9. 튀긴 덴카스를 건져 기름기를 뺀다.
10. 전자레인지에 돌린 냉동 군고구마의 껍질을 벗긴다.
11. 옥수수 통조림, 참치 통조림, 마요네즈를 섞어 참치마요소를 만든다.
12. 껍질을 벗긴 군고구마에 소고기 볶음을 넣는다.
13. 전자레인지에 즉석밥을 돌린다.
14. 군고구마를 치대 모양을 잡은 뒤 참치마요소를 넣고 감싸 참치마요 고로케를 만든다.
15. 소고기 볶음을 넣은 군고구마를 동그랗게 뭉쳐 소고기 고로케를 만든다.
16. "&amp;"참치마요 고로케, 소고기 고로케에 튀김가루 &gt; 밀가루 반죽 &gt; 덴카스를 묻힌다.
17. 튀김옷을 입힌 고로케를 기름에 튀긴다.
18. 카레에 망고&amp;요거트맛 초콜릿을 넣는다.
19. 카레에 버터를 넣는다.
20. 그릇에 밥, 카레를 담는다.
21. 튀긴 참치마요 고로케와 소고기 고로케를 건져낸 뒤 그릇에 담는다.
22. 비닐팩에 모둠 견과류와 볶은 캐슈넛을 넣고 망치로 부순 뒤 접시에 뿌려낸다.")</f>
        <v>1. 소 등심, 당근, 양파를 적당한 크기로 썬 뒤 핸드블렌더에 넣고 간다.
2. 기름을 두른 팬에 간 등심을 넣고 볶는다.
3. 2에 맛술, 간장을 넣고 볶는다.
4. 소 등심에 밀가루를 묻힌 뒤 버터를 두른 팬에 넣는다.
5. 4에 양파, 적당한 크기로 썬 당근을 넣고 볶는다.
6. 건더기를 거른 인스턴트 카레를 팬에 넣는다.
7. 적당한 크기로 썬 사과를 카레에 넣는다.
8. 밀가루에 물, 얼음을 넣고 반죽한 뒤 기름에 흩뿌리듯 튀긴다.
9. 튀긴 덴카스를 건져 기름기를 뺀다.
10. 전자레인지에 돌린 냉동 군고구마의 껍질을 벗긴다.
11. 옥수수 통조림, 참치 통조림, 마요네즈를 섞어 참치마요소를 만든다.
12. 껍질을 벗긴 군고구마에 소고기 볶음을 넣는다.
13. 전자레인지에 즉석밥을 돌린다.
14. 군고구마를 치대 모양을 잡은 뒤 참치마요소를 넣고 감싸 참치마요 고로케를 만든다.
15. 소고기 볶음을 넣은 군고구마를 동그랗게 뭉쳐 소고기 고로케를 만든다.
16. 참치마요 고로케, 소고기 고로케에 튀김가루 &gt; 밀가루 반죽 &gt; 덴카스를 묻힌다.
17. 튀김옷을 입힌 고로케를 기름에 튀긴다.
18. 카레에 망고&amp;요거트맛 초콜릿을 넣는다.
19. 카레에 버터를 넣는다.
20. 그릇에 밥, 카레를 담는다.
21. 튀긴 참치마요 고로케와 소고기 고로케를 건져낸 뒤 그릇에 담는다.
22. 비닐팩에 모둠 견과류와 볶은 캐슈넛을 넣고 망치로 부순 뒤 접시에 뿌려낸다.</v>
      </c>
    </row>
    <row r="816">
      <c r="A816" s="2" t="str">
        <f>recipe!C816
</f>
        <v>오골계이득</v>
      </c>
      <c r="B816" s="2" t="str">
        <f>IFERROR(__xludf.DUMMYFUNCTION("TRIM(
  REGEXEXTRACT(
    raw!A816,
    ""●\s*조리\s*방법([\s\S]*)""
  )
)
"),"1. 끓는 물에 반으로 자른 알배추, 소금을 넣고 데친다.
2. 오골계를 해체한다.
3. 오골계의 뼈를 발골해 살만 발라낸다.
4. 오골계살을 고기망치로 두드린다.
5. 오골계살에 튀김가루를 묻힌 뒤 기름에 튀긴다.
6. 데친 알배추, 튀긴 오골계살을 얼음물에 담가 식힌다.
7. 튀긴 오골계살을 잘게 썬다.
8. 튀긴 오골계살에 팽이버섯을 넣고 으깨듯이 버무린다.
9. 팽이버섯에 버무린 오골계살에 참기름, 소금으로 간한다.
10. 데친 "&amp;"알배추에 9를 올린 뒤 동그랗게 감싼다.
11. 10을 찜기에 넣고 찐다.
12. 잘게 썬 애호박, 양파, 홍고추, 고추, 블랙트러플 절임을 팬에 넣고 볶는다.
13. 12에 막걸리를 넣고 볶는다.
14. 13에 된장, 잘게 썬 팽이버섯, 물, 설탕, 참기름을 넣고 볶아 된장 양념을 만든다.
15. 라이스페이퍼를 뜨거운 물에 넣어 불린다.
16. 명란젓을 기름에 굽는다.
17. 불린 라이스페이퍼에 튀김가루를 묻힌 뒤 작은 그릇 위에 올린다."&amp;"
18. 17에 오골계 초란을 담은 뒤 복주머니 모양으로 감싼다.
19. 오골계 초란을 감싼 라이스페이퍼를 기름에 튀긴다.
20. 구운 명란젓, 잘게 썬 청귤청을 접시에 올린다.
21. 오골계 초란 튀김을 접시에 올린다.
22. 오골계 초란의 노른자, 간장게장 국물, 설탕을 섞어 초란 튀김에 곁들인 뒤 그린스리라차 소스를 더한다.
23. 된장 양념을 뚝배기에 담은 뒤 채 썬 알배추를 올린다.
24. 알배추오골계찜을 된장 양념 위에 올린다.
"&amp;"
25. 알배추오골계찜에 참기름을 뿌린 뒤 뚜껑을 닫아 마무리한다.")</f>
        <v>1. 끓는 물에 반으로 자른 알배추, 소금을 넣고 데친다.
2. 오골계를 해체한다.
3. 오골계의 뼈를 발골해 살만 발라낸다.
4. 오골계살을 고기망치로 두드린다.
5. 오골계살에 튀김가루를 묻힌 뒤 기름에 튀긴다.
6. 데친 알배추, 튀긴 오골계살을 얼음물에 담가 식힌다.
7. 튀긴 오골계살을 잘게 썬다.
8. 튀긴 오골계살에 팽이버섯을 넣고 으깨듯이 버무린다.
9. 팽이버섯에 버무린 오골계살에 참기름, 소금으로 간한다.
10. 데친 알배추에 9를 올린 뒤 동그랗게 감싼다.
11. 10을 찜기에 넣고 찐다.
12. 잘게 썬 애호박, 양파, 홍고추, 고추, 블랙트러플 절임을 팬에 넣고 볶는다.
13. 12에 막걸리를 넣고 볶는다.
14. 13에 된장, 잘게 썬 팽이버섯, 물, 설탕, 참기름을 넣고 볶아 된장 양념을 만든다.
15. 라이스페이퍼를 뜨거운 물에 넣어 불린다.
16. 명란젓을 기름에 굽는다.
17. 불린 라이스페이퍼에 튀김가루를 묻힌 뒤 작은 그릇 위에 올린다.
18. 17에 오골계 초란을 담은 뒤 복주머니 모양으로 감싼다.
19. 오골계 초란을 감싼 라이스페이퍼를 기름에 튀긴다.
20. 구운 명란젓, 잘게 썬 청귤청을 접시에 올린다.
21. 오골계 초란 튀김을 접시에 올린다.
22. 오골계 초란의 노른자, 간장게장 국물, 설탕을 섞어 초란 튀김에 곁들인 뒤 그린스리라차 소스를 더한다.
23. 된장 양념을 뚝배기에 담은 뒤 채 썬 알배추를 올린다.
24. 알배추오골계찜을 된장 양념 위에 올린다.
25. 알배추오골계찜에 참기름을 뿌린 뒤 뚜껑을 닫아 마무리한다.</v>
      </c>
    </row>
    <row r="817">
      <c r="A817" s="2" t="str">
        <f>recipe!C817
</f>
        <v>오골계 국밥</v>
      </c>
      <c r="B817" s="2" t="str">
        <f>IFERROR(__xludf.DUMMYFUNCTION("TRIM(
  REGEXEXTRACT(
    raw!A817,
    ""●\s*조리\s*방법([\s\S]*)""
  )
)
"),"1. 오골계를 손질한다.
2. 소금을 넣은 끓는 물에 오골계를 넣어 삶는다.
3. 소금을 넣은 끓는 물에 알배추를 넣고 데친다.
4. 적당한 크기로 썬 양파, 대파를 압력솥에 넣는다.
5. 전복을 압력솥에 넣는다.
6. 데친 알배추를 찬물에 담가둔다.
7. 양파, 대파를 잘게 썬다.
8. 된장에 물, 설탕을 넣고 섞는다.
9. 양파, 대파로 낸 파기름에 된장 양념을 넣고 볶아준다.
10. 즉석밥을 전자레인지에 돌린다.
11. 데친 알배"&amp;"추를 잘게 찢는다.
12. 대파, 청양고추, 홍고추를 얇게 썬다.
13. 잘게 찢은 알배추에 파기름에 볶은 된장 양념을 넣고 버무린다.
14. 13에 대파, 청양고추, 홍고추를 넣어 배추된장무침을 만든다.
15. 조림 간장, 잘게 썬 대파, 마늘, 설탕, 고춧가루를 섞어 양념간장을 만든다.
16. 전자레인지에 돌린 즉석밥을 그릇에 담는다.
17. 삶은 오골계의 살을 발라내 뚝배기에 담는다.
18. 뚝배기에 오골계를 삶은 국물을 붓는다.
1"&amp;"9. 양념간장을 그릇에 담아낸다.")</f>
        <v>1. 오골계를 손질한다.
2. 소금을 넣은 끓는 물에 오골계를 넣어 삶는다.
3. 소금을 넣은 끓는 물에 알배추를 넣고 데친다.
4. 적당한 크기로 썬 양파, 대파를 압력솥에 넣는다.
5. 전복을 압력솥에 넣는다.
6. 데친 알배추를 찬물에 담가둔다.
7. 양파, 대파를 잘게 썬다.
8. 된장에 물, 설탕을 넣고 섞는다.
9. 양파, 대파로 낸 파기름에 된장 양념을 넣고 볶아준다.
10. 즉석밥을 전자레인지에 돌린다.
11. 데친 알배추를 잘게 찢는다.
12. 대파, 청양고추, 홍고추를 얇게 썬다.
13. 잘게 찢은 알배추에 파기름에 볶은 된장 양념을 넣고 버무린다.
14. 13에 대파, 청양고추, 홍고추를 넣어 배추된장무침을 만든다.
15. 조림 간장, 잘게 썬 대파, 마늘, 설탕, 고춧가루를 섞어 양념간장을 만든다.
16. 전자레인지에 돌린 즉석밥을 그릇에 담는다.
17. 삶은 오골계의 살을 발라내 뚝배기에 담는다.
18. 뚝배기에 오골계를 삶은 국물을 붓는다.
19. 양념간장을 그릇에 담아낸다.</v>
      </c>
    </row>
    <row r="818">
      <c r="A818" s="2" t="str">
        <f>recipe!C818
</f>
        <v>바비큐 Baby~♬</v>
      </c>
      <c r="B818" s="2" t="str">
        <f>IFERROR(__xludf.DUMMYFUNCTION("TRIM(
  REGEXEXTRACT(
    raw!A818,
    ""●\s*조리\s*방법([\s\S]*)""
  )
)
"),"1. 통삼겹살을 반으로 자른 뒤 끓는 물에 넣는다.
2. 1에 설탕을 넣어 삶는다.
3. 삶은 통삼겹살을 찜기에 넣고, 소금으로 간한 뒤 찐다.
4. 통삼겹살을 잘게 썬 뒤 전분을 묻힌다.
5. 기름을 두른 팬에 전분을 묻힌 삼겹살을 넣고 튀기듯 볶는다.
6. 대파, 홍고추, 고추, 양파를 얇게 썬다.
7. 으깬 마늘과 채소들을 팬에 넣고 소금으로 간한다.
8. 전분을 묻힌 팽이버섯을 팬에 넣은 뒤 돼지기름을 넣는다.
9. 8에 다진 생강"&amp;", 간장, 볶은 삼겹살, 돼지고기 육수를 넣고 볶는다.
10. 소금을 넣은 끓는 물에 브로콜리를 데친다.
11. 적당한 크기로 썬 데친 브로콜리, 고춧가루를 팬에 넣고 볶는다.
12. 핸드블렌더에 마늘을 넣고 간다.
13. 볼에 발사믹 식초, 굴소스를 넣는다.
14. 13에 그린스리라차 소스, 간 마늘, 간장, 케첩을 섞어 바비큐 소스를 만든다.
15. 찐 통삼겹살을 그릴팬에 올린 뒤 바비큐 소스를 바른다.
16. 중화풍 삼겹살 볶음을 접시"&amp;"에 담는다.
17. 그릴팬에 굽던 통삼겹살을 토치로 직화한다.
18. 대파를 썰어 석쇠 위에 올린다.
19. 토치로 나무젓가락에 불을 붙인 뒤 대파 위에 통삼겹살을 올린다.
20. 19에 뚜껑을 덮어 훈연한다.
21. 훈연한 통삼겹살 바비큐를 쇠꼬치에 꽂은 뒤 접시에 올린다.
22. 구운 대파, 레몬을 올려 마무리한다.")</f>
        <v>1. 통삼겹살을 반으로 자른 뒤 끓는 물에 넣는다.
2. 1에 설탕을 넣어 삶는다.
3. 삶은 통삼겹살을 찜기에 넣고, 소금으로 간한 뒤 찐다.
4. 통삼겹살을 잘게 썬 뒤 전분을 묻힌다.
5. 기름을 두른 팬에 전분을 묻힌 삼겹살을 넣고 튀기듯 볶는다.
6. 대파, 홍고추, 고추, 양파를 얇게 썬다.
7. 으깬 마늘과 채소들을 팬에 넣고 소금으로 간한다.
8. 전분을 묻힌 팽이버섯을 팬에 넣은 뒤 돼지기름을 넣는다.
9. 8에 다진 생강, 간장, 볶은 삼겹살, 돼지고기 육수를 넣고 볶는다.
10. 소금을 넣은 끓는 물에 브로콜리를 데친다.
11. 적당한 크기로 썬 데친 브로콜리, 고춧가루를 팬에 넣고 볶는다.
12. 핸드블렌더에 마늘을 넣고 간다.
13. 볼에 발사믹 식초, 굴소스를 넣는다.
14. 13에 그린스리라차 소스, 간 마늘, 간장, 케첩을 섞어 바비큐 소스를 만든다.
15. 찐 통삼겹살을 그릴팬에 올린 뒤 바비큐 소스를 바른다.
16. 중화풍 삼겹살 볶음을 접시에 담는다.
17. 그릴팬에 굽던 통삼겹살을 토치로 직화한다.
18. 대파를 썰어 석쇠 위에 올린다.
19. 토치로 나무젓가락에 불을 붙인 뒤 대파 위에 통삼겹살을 올린다.
20. 19에 뚜껑을 덮어 훈연한다.
21. 훈연한 통삼겹살 바비큐를 쇠꼬치에 꽂은 뒤 접시에 올린다.
22. 구운 대파, 레몬을 올려 마무리한다.</v>
      </c>
    </row>
    <row r="819">
      <c r="A819" s="2" t="str">
        <f>recipe!C819
</f>
        <v>이 돼지의 끝을 잡고♬</v>
      </c>
      <c r="B819" s="2" t="str">
        <f>IFERROR(__xludf.DUMMYFUNCTION("TRIM(
  REGEXEXTRACT(
    raw!A819,
    ""●\s*조리\s*방법([\s\S]*)""
  )
)
"),"1. 돼지 앞다리살의 비계를 분리한 뒤 적당한 크기로 썬다.
2. 올리브오일을 두른 팬에 비계를 구워 돼지기름을 낸다.
3. 비계를 분리한 돼지 앞다리살을 고기망치로 두드린다.
4. 돼지 앞다리살에 촘촘하게 칼집을 넣는다.
5. 손질한 돼지 앞다리살에 후추를 뿌린다.
6. 참기름, 된장, 다진 마늘, 다진 생강, 국간장, 매실청, 맛술, 물엿을 섞어 소스를 만든다.
7. 돼지 앞다리살을 소스에 재워둔다.
8. 양파, 마늘, 고추를 잘게 썬 "&amp;"뒤 팬에 넣고 볶는다.
9. 대파를 잘게 썬 뒤 팬에 넣고 볶는다.
10. 볶던 채소에 돼지기름을 넣고 함께 볶는다.
11. 종이포일에 돼지기름을 바른 뒤 팬에 올린다.
12. 11에 양념한 돼지 앞다리살을 올려 굽는다.
13. 돼지기름에 볶은 채소를 볼에 담는다.
14. 달걀물로 스크램블을 만든 뒤 볶은 채소와 섞어둔다.
15. 팬에 즉석밥, 막을 제거한 명란젓을 넣고 볶는다.
16. 돼지기름에 볶은 채소, 스크램블을 팬에 넣고 함께 볶"&amp;"는다.
17. 16에 낙지젓, 잘게 썬 부추, 참기름을 넣어 젓갈 볶음밥을 만든다.
18. 종이포일을 제거한 뒤 맥적을 팬에 올려 다시 굽는다.
19. 맥적을 석쇠에 올린 뒤 직화한다.
20. 채 썬 대파, 양파를 얼음물에 담가둔다.
21. 그린스리라차 소스, 양파 드레싱, 레몬즙을 섞는다.
22. 21에 얼음물에 담가뒀던 대파와 양파, 식초를 넣어 파무침을 만든다.
23. 젓갈볶음밥을 그릇에 담아 접시에 올린다.
24. 적당한 크기로 썬"&amp;" 맥적을 파무침 위에 올린다.
25. 잘게 썬 대파를 맥적 위에 올린다.
26. 젓갈볶음밥에 깨를 뿌려 마무리한다.")</f>
        <v>1. 돼지 앞다리살의 비계를 분리한 뒤 적당한 크기로 썬다.
2. 올리브오일을 두른 팬에 비계를 구워 돼지기름을 낸다.
3. 비계를 분리한 돼지 앞다리살을 고기망치로 두드린다.
4. 돼지 앞다리살에 촘촘하게 칼집을 넣는다.
5. 손질한 돼지 앞다리살에 후추를 뿌린다.
6. 참기름, 된장, 다진 마늘, 다진 생강, 국간장, 매실청, 맛술, 물엿을 섞어 소스를 만든다.
7. 돼지 앞다리살을 소스에 재워둔다.
8. 양파, 마늘, 고추를 잘게 썬 뒤 팬에 넣고 볶는다.
9. 대파를 잘게 썬 뒤 팬에 넣고 볶는다.
10. 볶던 채소에 돼지기름을 넣고 함께 볶는다.
11. 종이포일에 돼지기름을 바른 뒤 팬에 올린다.
12. 11에 양념한 돼지 앞다리살을 올려 굽는다.
13. 돼지기름에 볶은 채소를 볼에 담는다.
14. 달걀물로 스크램블을 만든 뒤 볶은 채소와 섞어둔다.
15. 팬에 즉석밥, 막을 제거한 명란젓을 넣고 볶는다.
16. 돼지기름에 볶은 채소, 스크램블을 팬에 넣고 함께 볶는다.
17. 16에 낙지젓, 잘게 썬 부추, 참기름을 넣어 젓갈 볶음밥을 만든다.
18. 종이포일을 제거한 뒤 맥적을 팬에 올려 다시 굽는다.
19. 맥적을 석쇠에 올린 뒤 직화한다.
20. 채 썬 대파, 양파를 얼음물에 담가둔다.
21. 그린스리라차 소스, 양파 드레싱, 레몬즙을 섞는다.
22. 21에 얼음물에 담가뒀던 대파와 양파, 식초를 넣어 파무침을 만든다.
23. 젓갈볶음밥을 그릇에 담아 접시에 올린다.
24. 적당한 크기로 썬 맥적을 파무침 위에 올린다.
25. 잘게 썬 대파를 맥적 위에 올린다.
26. 젓갈볶음밥에 깨를 뿌려 마무리한다.</v>
      </c>
    </row>
    <row r="820">
      <c r="A820" s="2" t="str">
        <f>recipe!C820
</f>
        <v>꽃게찜 했다♬</v>
      </c>
      <c r="B820" s="2" t="str">
        <f>IFERROR(__xludf.DUMMYFUNCTION("TRIM(
  REGEXEXTRACT(
    raw!A820,
    ""●\s*조리\s*방법([\s\S]*)""
  )
)
"),"1. 끓는 물에 꽃게, 전복을 삶는다.
2. 달걀흰자로 머랭을 친다.
3. 버터와 밀가루를 볶아 루를 만든 뒤 우유를 넣어 크림소스를 만든다.
4. 적당한 크기로 썬 양파를 크림소스에 넣는다.
5. 꽃게알을 발라낸 뒤 꽃게 등딱지를 씻는다.
6. 적당한 크기로 썬 표고버섯, 양송이버섯을 볶은 뒤 크림소스에 넣고 끓인다.
7. 크림소스에 굴소스, 후추, 소금, 파르메산 치즈가루를 넣는다.
8. 7에 뜨거운 물, 굴을 넣어 굴크림수프를 만든다."&amp;"
9. 굴크림수프에 베트남고추를 넣는다.
10. 굴크림수프에 굴소스, 트러플소스를 넣고 끓인다.
11. 삶은 꽃게를 밀대로 밀어 게살을 발라낸다.
12. 삶은 전복을 잘게 썬다.
13. 게살, 전복, 머랭을 섞은 뒤 꽃게 등딱지에 넣는다.
14. 13을 찜기에 넣어 찐다.
15. 팬에 해물육수, 트러플소스, 굴소스, 간장, 맛술, 전분물을 넣고 섞어 소스를 만든다.
16. 접시에 머랭을 올린 뒤 꽃게 등딱지를 올려 플레이팅한다.
17. "&amp;"그릇에 굴크림수프를 담는다.
18. 잘게 썬 토마토, 고수를 굴크림수프 위에 올린다.
19. 접시에 꽃게찜을 올린 뒤 소스를 끼얹는다.
20. 꽃게찜 위에 날치알을 올린다.
21. 꽃게찜 위에 트러플소스, 고수를 올려 마무리한다")</f>
        <v>1. 끓는 물에 꽃게, 전복을 삶는다.
2. 달걀흰자로 머랭을 친다.
3. 버터와 밀가루를 볶아 루를 만든 뒤 우유를 넣어 크림소스를 만든다.
4. 적당한 크기로 썬 양파를 크림소스에 넣는다.
5. 꽃게알을 발라낸 뒤 꽃게 등딱지를 씻는다.
6. 적당한 크기로 썬 표고버섯, 양송이버섯을 볶은 뒤 크림소스에 넣고 끓인다.
7. 크림소스에 굴소스, 후추, 소금, 파르메산 치즈가루를 넣는다.
8. 7에 뜨거운 물, 굴을 넣어 굴크림수프를 만든다.
9. 굴크림수프에 베트남고추를 넣는다.
10. 굴크림수프에 굴소스, 트러플소스를 넣고 끓인다.
11. 삶은 꽃게를 밀대로 밀어 게살을 발라낸다.
12. 삶은 전복을 잘게 썬다.
13. 게살, 전복, 머랭을 섞은 뒤 꽃게 등딱지에 넣는다.
14. 13을 찜기에 넣어 찐다.
15. 팬에 해물육수, 트러플소스, 굴소스, 간장, 맛술, 전분물을 넣고 섞어 소스를 만든다.
16. 접시에 머랭을 올린 뒤 꽃게 등딱지를 올려 플레이팅한다.
17. 그릇에 굴크림수프를 담는다.
18. 잘게 썬 토마토, 고수를 굴크림수프 위에 올린다.
19. 접시에 꽃게찜을 올린 뒤 소스를 끼얹는다.
20. 꽃게찜 위에 날치알을 올린다.
21. 꽃게찜 위에 트러플소스, 고수를 올려 마무리한다</v>
      </c>
    </row>
    <row r="821">
      <c r="A821" s="2" t="str">
        <f>recipe!C821
</f>
        <v>씨푸드파이터</v>
      </c>
      <c r="B821" s="2" t="str">
        <f>IFERROR(__xludf.DUMMYFUNCTION("TRIM(
  REGEXEXTRACT(
    raw!A821,
    ""●\s*조리\s*방법([\s\S]*)""
  )
)
"),"1. 맥주에 낙지, 굴, 전복을 넣고 삶는다.
2. 볼에 달걀, 소금, 밀가루를 넣은 뒤 거품기로 섞는다.
3. 2에 우유를 넣고 섞어 반죽을 만든다.
4. 반죽에 매생이를 넣고 간다.
5. 팬에 버터를 두른 뒤 매생이 반죽을 부쳐 매생이 크레페를 만든다.
6. 잘게 썬 애호박을 볶는다.
7. 데친 해산물을 찬물에 식힌다.
8. 전복, 굴, 낙지, 토마토를 잘게 썬다.
9. 8에 볶은 애호박을 섞어준다.
10. 얇게 슬라이스한 사과를 원"&amp;"형틀로 찍어낸 뒤 잘게 썬다.
11. 잘게 썬 사과, 해산물, 채소에 후추, 올리브오일, 레몬즙을 넣어 해산물 샐러드를 만든다.
12. 잘게 썬 고수를 해산물 샐러드에 넣는다.
13. 잘게 썬 양파를 해산물 샐러드에 넣는다.
14. 유자청에 올리브오일, 잘게 썬 청양고추를 넣는다.
15. 14에 후추, 잘게 썬 마늘을 섞어 유자소스를 만든다.
16. 접시에 샐러드 채소를 올린다.
17. 유자소스를 담은 전복 껍데기를 접시에 올린 뒤 석류알을"&amp;" 곁들인다.
18. 매생이 크레페 위에 해산물 샐러드를 올린 뒤 복주머니 모양으로 감싼다.
19. 링모양의 사과를 이용해 복주머니 모양을 고정시킨다.
20. 매생이 크레페를 접시에 올린다.
21. 석류즙에 낙지, 올리브오일을 넣고 섞은 뒤 접시에 올린다.
22. 볶은 애호박을 올리고 벌화분을 뿌려 낸다.")</f>
        <v>1. 맥주에 낙지, 굴, 전복을 넣고 삶는다.
2. 볼에 달걀, 소금, 밀가루를 넣은 뒤 거품기로 섞는다.
3. 2에 우유를 넣고 섞어 반죽을 만든다.
4. 반죽에 매생이를 넣고 간다.
5. 팬에 버터를 두른 뒤 매생이 반죽을 부쳐 매생이 크레페를 만든다.
6. 잘게 썬 애호박을 볶는다.
7. 데친 해산물을 찬물에 식힌다.
8. 전복, 굴, 낙지, 토마토를 잘게 썬다.
9. 8에 볶은 애호박을 섞어준다.
10. 얇게 슬라이스한 사과를 원형틀로 찍어낸 뒤 잘게 썬다.
11. 잘게 썬 사과, 해산물, 채소에 후추, 올리브오일, 레몬즙을 넣어 해산물 샐러드를 만든다.
12. 잘게 썬 고수를 해산물 샐러드에 넣는다.
13. 잘게 썬 양파를 해산물 샐러드에 넣는다.
14. 유자청에 올리브오일, 잘게 썬 청양고추를 넣는다.
15. 14에 후추, 잘게 썬 마늘을 섞어 유자소스를 만든다.
16. 접시에 샐러드 채소를 올린다.
17. 유자소스를 담은 전복 껍데기를 접시에 올린 뒤 석류알을 곁들인다.
18. 매생이 크레페 위에 해산물 샐러드를 올린 뒤 복주머니 모양으로 감싼다.
19. 링모양의 사과를 이용해 복주머니 모양을 고정시킨다.
20. 매생이 크레페를 접시에 올린다.
21. 석류즙에 낙지, 올리브오일을 넣고 섞은 뒤 접시에 올린다.
22. 볶은 애호박을 올리고 벌화분을 뿌려 낸다.</v>
      </c>
    </row>
    <row r="822">
      <c r="A822" s="2" t="str">
        <f>recipe!C822
</f>
        <v>고수의 고수</v>
      </c>
      <c r="B822" s="2" t="str">
        <f>IFERROR(__xludf.DUMMYFUNCTION("TRIM(
  REGEXEXTRACT(
    raw!A822,
    ""●\s*조리\s*방법([\s\S]*)""
  )
)
"),"1. 감자를 잘게 썬 뒤 끓는 물에 삶는다.
2. 느타리버섯을 석쇠에 구운 뒤 소금으로 간한다.
3. 잘게 썬 마늘, 양송이버섯, 표고버섯을 팬에 넣은 뒤 후추, 소금으로 간한다.
4. 3에 트러플소스를 넣고 볶는다.
5. 석류의 즙을 짜낸다.
6. 석류즙에 올리브오일을 섞어 석류드레싱을 만든다.
7. 달걀노른자를 분리한 뒤 쌀겨가루를 묻힌다.
8. 쌀겨가루를 묻힌 달걀노른자를 기름에 튀긴다.
9. 삶은 감자를 건져낸다.
10. 핸드블렌"&amp;"더에 간 레몬껍질, 잘게 썬 마늘, 올리브오일, 레몬즙, 바질페스토, 고수를 넣고 갈아 고수페스토를 만든다.
11. 삶은 감자에 고수페스토를 섞는다.
12. 얇게 썬 살치살에 밀가루를 묻힌다.
13. 올리브오일을 두른 팬에 밀가루를 묻힌 살치살을 굽는다.
14. 얇게 썬 양송이버섯을 팬에 넣은 뒤 올리브오일, 소금, 후추, 식초를 넣고 볶는다.
15. 볶던 살치살에 소금으로 간한다.
16. 볶은 살치살을 고수페스토, 감자와 섞는다.
17. "&amp;"튀긴 달걀노른자를 건져낸다.
18. 접시에 버섯샐러드를 담는다.
19. 레몬즙, 올리브오일, 설탕을 섞어 만든 드레싱을 고수에 묻힌 뒤 버섯샐러드 위에 올린다.
20. 버섯샐러드 위에 튀긴 달걀노른자, 얇게 썬 망고를 올린다.
21. 석쇠에 구운 느타리버섯을 버섯샐러드에 올린다.
22. 접시에 원형틀을 올린 뒤 고수페스토에 버무린 감자와 살치살을 넣는다.
23. 석쇠에 고수를 올려 굽는다.
24. 석쇠에 구운 고수를 원형틀 안에 넣는다.
"&amp;"25. 볶은 양송이버섯을 올린다.
26. 석류드레싱을 접시에 올린 뒤 원형틀을 제거한다.")</f>
        <v>1. 감자를 잘게 썬 뒤 끓는 물에 삶는다.
2. 느타리버섯을 석쇠에 구운 뒤 소금으로 간한다.
3. 잘게 썬 마늘, 양송이버섯, 표고버섯을 팬에 넣은 뒤 후추, 소금으로 간한다.
4. 3에 트러플소스를 넣고 볶는다.
5. 석류의 즙을 짜낸다.
6. 석류즙에 올리브오일을 섞어 석류드레싱을 만든다.
7. 달걀노른자를 분리한 뒤 쌀겨가루를 묻힌다.
8. 쌀겨가루를 묻힌 달걀노른자를 기름에 튀긴다.
9. 삶은 감자를 건져낸다.
10. 핸드블렌더에 간 레몬껍질, 잘게 썬 마늘, 올리브오일, 레몬즙, 바질페스토, 고수를 넣고 갈아 고수페스토를 만든다.
11. 삶은 감자에 고수페스토를 섞는다.
12. 얇게 썬 살치살에 밀가루를 묻힌다.
13. 올리브오일을 두른 팬에 밀가루를 묻힌 살치살을 굽는다.
14. 얇게 썬 양송이버섯을 팬에 넣은 뒤 올리브오일, 소금, 후추, 식초를 넣고 볶는다.
15. 볶던 살치살에 소금으로 간한다.
16. 볶은 살치살을 고수페스토, 감자와 섞는다.
17. 튀긴 달걀노른자를 건져낸다.
18. 접시에 버섯샐러드를 담는다.
19. 레몬즙, 올리브오일, 설탕을 섞어 만든 드레싱을 고수에 묻힌 뒤 버섯샐러드 위에 올린다.
20. 버섯샐러드 위에 튀긴 달걀노른자, 얇게 썬 망고를 올린다.
21. 석쇠에 구운 느타리버섯을 버섯샐러드에 올린다.
22. 접시에 원형틀을 올린 뒤 고수페스토에 버무린 감자와 살치살을 넣는다.
23. 석쇠에 고수를 올려 굽는다.
24. 석쇠에 구운 고수를 원형틀 안에 넣는다.
25. 볶은 양송이버섯을 올린다.
26. 석류드레싱을 접시에 올린 뒤 원형틀을 제거한다.</v>
      </c>
    </row>
    <row r="823">
      <c r="A823" s="2" t="str">
        <f>recipe!C823
</f>
        <v>고수테이크</v>
      </c>
      <c r="B823" s="2" t="str">
        <f>IFERROR(__xludf.DUMMYFUNCTION("TRIM(
  REGEXEXTRACT(
    raw!A823,
    ""●\s*조리\s*방법([\s\S]*)""
  )
)
"),"1. 끓는 물에 대패삼겹살을 데친다.
2. 데친 대패삼겹살에 전분, 후추를 묻힌다.
3. 살치살을 고기망치로 두드린 뒤 소금, 후추로 간한다.
4. 살치살에 전분을 묻힌 대패삼겹살, 고수를 올린 뒤 돌돌 만다.
5. 조리용 실로 묶어 모양을 고정시킨다.
6. 반으로 썬 양송이버섯, 고수스테이크에 올리브오일을 뿌린다.
7. 반으로 썬 토마토의 속을 파낸다.
8. 잘게 썬 닭가슴살 소시지를 토마토 안에 넣은 뒤 슬라이스 치즈를 올린다.
9. "&amp;"8에 바질페스토를 올린다.
10. 고수스테이크, 양송이버섯, 속을 채운 토마토를 오븐에 넣어 굽는다.
11. 버터를 두른 팬에 잘게 썬 양파를 넣고 볶는다.
12. 강판에 간 석류를 11에 넣고 함께 볶는다.
13. 12에 와인을 넣고 끓여 석류와인소스를 만든다.
14. 잘게 썬 대파와 양파를 볶다가 버터, 우유를 넣고 끓여 크림소스를 만든다.
15. 크림소스에 밀가루를 넣고 섞어준다.
16. 소금을 넣은 끓는 물에 고수를 데친 후, 얼음물"&amp;"에 담가 식힌다.
17. 냉이를 믹서기에 넣고 간다.
18. 간 냉이에 고수를 더해 함께 간다.
19. 간 고수와 냉이를 냄비에 넣은 뒤 뜨거운 물을 붓고 끓여 고수소스를 만든다.
20. 고수소스를 핸드블렌더로 갈아 거품을 낸다.
21. 간 고수와 냉이에 크림소스를 더한 뒤 핸드블렌더로 갈아 고수크림소스를 만든다.
22. 접시에 고수크림소스, 석류와인소스, 바질페스토를 올린다.
23. 손질한 망고를 핸드블렌더에 넣고 간 뒤 접시에 올린다.
"&amp;"
24. 오븐에 구운 고수스테이크, 양송이버섯, 토마토에 소금, 후추로 간한다.
25. 구운 양송이버섯, 고수스테이크를 접시에 올린다.
26. 거품을 낸 고수소스를 올린다.
27. 속을 채운 토마토를 접시에 올려 마무리한다.")</f>
        <v>1. 끓는 물에 대패삼겹살을 데친다.
2. 데친 대패삼겹살에 전분, 후추를 묻힌다.
3. 살치살을 고기망치로 두드린 뒤 소금, 후추로 간한다.
4. 살치살에 전분을 묻힌 대패삼겹살, 고수를 올린 뒤 돌돌 만다.
5. 조리용 실로 묶어 모양을 고정시킨다.
6. 반으로 썬 양송이버섯, 고수스테이크에 올리브오일을 뿌린다.
7. 반으로 썬 토마토의 속을 파낸다.
8. 잘게 썬 닭가슴살 소시지를 토마토 안에 넣은 뒤 슬라이스 치즈를 올린다.
9. 8에 바질페스토를 올린다.
10. 고수스테이크, 양송이버섯, 속을 채운 토마토를 오븐에 넣어 굽는다.
11. 버터를 두른 팬에 잘게 썬 양파를 넣고 볶는다.
12. 강판에 간 석류를 11에 넣고 함께 볶는다.
13. 12에 와인을 넣고 끓여 석류와인소스를 만든다.
14. 잘게 썬 대파와 양파를 볶다가 버터, 우유를 넣고 끓여 크림소스를 만든다.
15. 크림소스에 밀가루를 넣고 섞어준다.
16. 소금을 넣은 끓는 물에 고수를 데친 후, 얼음물에 담가 식힌다.
17. 냉이를 믹서기에 넣고 간다.
18. 간 냉이에 고수를 더해 함께 간다.
19. 간 고수와 냉이를 냄비에 넣은 뒤 뜨거운 물을 붓고 끓여 고수소스를 만든다.
20. 고수소스를 핸드블렌더로 갈아 거품을 낸다.
21. 간 고수와 냉이에 크림소스를 더한 뒤 핸드블렌더로 갈아 고수크림소스를 만든다.
22. 접시에 고수크림소스, 석류와인소스, 바질페스토를 올린다.
23. 손질한 망고를 핸드블렌더에 넣고 간 뒤 접시에 올린다.
24. 오븐에 구운 고수스테이크, 양송이버섯, 토마토에 소금, 후추로 간한다.
25. 구운 양송이버섯, 고수스테이크를 접시에 올린다.
26. 거품을 낸 고수소스를 올린다.
27. 속을 채운 토마토를 접시에 올려 마무리한다.</v>
      </c>
    </row>
    <row r="824">
      <c r="A824" s="2" t="str">
        <f>recipe!C824
</f>
        <v>소울 담아 구워 드림</v>
      </c>
      <c r="B824" s="2" t="str">
        <f>IFERROR(__xludf.DUMMYFUNCTION("TRIM(
  REGEXEXTRACT(
    raw!A824,
    ""●\s*조리\s*방법([\s\S]*)""
  )
)
"),"1. 핸드블렌더에 쌀을 갈아 쌀가루를 만든다.
2. 등갈비를 굴소스에 버무린 뒤 쌀가루를 묻힌다.
3. 찜기에 알배추, 등갈비를 넣고 찐다.
4. 갈치의 살만 발라낸다.
5. 종이포일에 기름을 바른 뒤 갈치살을 올린다.
6. 갈치살을 오븐에 넣어 굽는다.
7. 끓는 물에 닭다리살을 넣고 익힌다.
8. 파프리카와 마늘종을 잘게 다진다.
9. 파프리카, 마늘종, 굴소스, 물, 설탕, 쯔유, 레몬청, 간장을 섞어 소스를 만든다.
10. 소스에"&amp;" 레몬즙을 넣는다.
11. 익힌 닭다리살을 얇게 썬다.
12. 대파, 고추, 애호박, 표고버섯, 양파를 잘게 썬다.
13. 마늘을 으깬다.
14. 기름을 두른 팬에 손질한 채소, 고춧가루, 간장을 넣고 볶는다.
15. 14에 닭다리살을 넣고 함께 볶는다.
16. 15에 설탕, 당근, 고추장, 굴소스, 들기름을 넣는다.
17. 오븐에 구운 갈치살을 토치로 직화한다.
18. 알배추찜을 적당한 크기로 썬다.
19. 닭볶음을 그릇에 담은 뒤 알"&amp;"배추찜과 함께 접시에 올린다.
20. 등갈비찜을 알배추찜 위에 올린다.
21. 갈치살을 알배추찜에 올린 뒤 소스를 뿌려 마무리한다.")</f>
        <v>1. 핸드블렌더에 쌀을 갈아 쌀가루를 만든다.
2. 등갈비를 굴소스에 버무린 뒤 쌀가루를 묻힌다.
3. 찜기에 알배추, 등갈비를 넣고 찐다.
4. 갈치의 살만 발라낸다.
5. 종이포일에 기름을 바른 뒤 갈치살을 올린다.
6. 갈치살을 오븐에 넣어 굽는다.
7. 끓는 물에 닭다리살을 넣고 익힌다.
8. 파프리카와 마늘종을 잘게 다진다.
9. 파프리카, 마늘종, 굴소스, 물, 설탕, 쯔유, 레몬청, 간장을 섞어 소스를 만든다.
10. 소스에 레몬즙을 넣는다.
11. 익힌 닭다리살을 얇게 썬다.
12. 대파, 고추, 애호박, 표고버섯, 양파를 잘게 썬다.
13. 마늘을 으깬다.
14. 기름을 두른 팬에 손질한 채소, 고춧가루, 간장을 넣고 볶는다.
15. 14에 닭다리살을 넣고 함께 볶는다.
16. 15에 설탕, 당근, 고추장, 굴소스, 들기름을 넣는다.
17. 오븐에 구운 갈치살을 토치로 직화한다.
18. 알배추찜을 적당한 크기로 썬다.
19. 닭볶음을 그릇에 담은 뒤 알배추찜과 함께 접시에 올린다.
20. 등갈비찜을 알배추찜 위에 올린다.
21. 갈치살을 알배추찜에 올린 뒤 소스를 뿌려 마무리한다.</v>
      </c>
    </row>
    <row r="825">
      <c r="A825" s="2" t="str">
        <f>recipe!C825
</f>
        <v>별난 스테이크</v>
      </c>
      <c r="B825" s="2" t="str">
        <f>IFERROR(__xludf.DUMMYFUNCTION("TRIM(
  REGEXEXTRACT(
    raw!A825,
    ""●\s*조리\s*방법([\s\S]*)""
  )
)
"),"1. 끓는 물에 말린 국화, 마늘, 대파를 넣고 끓인다. 2. 1에 레몬, 간장, 물엿을 넣는다.
3. 적당한 크기로 썬 연어를 2에 넣고 데친다.
4. 적당한 크기로 썬 소고기 안심에 소금, 후추로 간한다.
5. 올리브오일을 두른 팬에 양송이버섯, 소고기 안심을 굽는다.
6. 시금치와 양파를 적당한 크기로 썬다.
7. 잘게 다진 새우와 양파를 팬에 넣는다.
8. 잘게 썬 마늘, 시금치를 팬에 넣고 함께 볶는다.
9. 8에 로제소스를 넣고 "&amp;"볶는다.
10. 아보카도를 손질한 뒤 얇게 썬다.
11. 화이트와인을 두른 팬에 아보카도를 굽는다.
12. 아보카도에 바비큐소스를 발라 굽는다.
13. 잘게 썬 아보카도에 소금, 레몬즙, 올리브오일을 뿌린다.
14. 로제시금치볶음을 원형틀에 넣는다.
15. 남은 로제시금치볶음에 베트남고추, 올리브오일을 넣고 볶는다.
16. 레몬즙에 버무린 아보카도, 바비큐소스를 바른 구운 아보카도,
매운 로제시금치볶음을 원형틀에 넣는다.
17. 연어스테이"&amp;"크를 로제시금치볶음 위에 올린다.
18. 적당한 크기로 썬 안심스테이크와 양송이버섯을 아보카도 위에 올린다.
19. 잘게 썬 대파와 레몬껍질을 뿌려낸다.")</f>
        <v>1. 끓는 물에 말린 국화, 마늘, 대파를 넣고 끓인다. 2. 1에 레몬, 간장, 물엿을 넣는다.
3. 적당한 크기로 썬 연어를 2에 넣고 데친다.
4. 적당한 크기로 썬 소고기 안심에 소금, 후추로 간한다.
5. 올리브오일을 두른 팬에 양송이버섯, 소고기 안심을 굽는다.
6. 시금치와 양파를 적당한 크기로 썬다.
7. 잘게 다진 새우와 양파를 팬에 넣는다.
8. 잘게 썬 마늘, 시금치를 팬에 넣고 함께 볶는다.
9. 8에 로제소스를 넣고 볶는다.
10. 아보카도를 손질한 뒤 얇게 썬다.
11. 화이트와인을 두른 팬에 아보카도를 굽는다.
12. 아보카도에 바비큐소스를 발라 굽는다.
13. 잘게 썬 아보카도에 소금, 레몬즙, 올리브오일을 뿌린다.
14. 로제시금치볶음을 원형틀에 넣는다.
15. 남은 로제시금치볶음에 베트남고추, 올리브오일을 넣고 볶는다.
16. 레몬즙에 버무린 아보카도, 바비큐소스를 바른 구운 아보카도,
매운 로제시금치볶음을 원형틀에 넣는다.
17. 연어스테이크를 로제시금치볶음 위에 올린다.
18. 적당한 크기로 썬 안심스테이크와 양송이버섯을 아보카도 위에 올린다.
19. 잘게 썬 대파와 레몬껍질을 뿌려낸다.</v>
      </c>
    </row>
    <row r="826">
      <c r="A826" s="2" t="str">
        <f>recipe!C826
</f>
        <v>하얀 닭발이라고~ 까만 닭발이라고♬</v>
      </c>
      <c r="B826" s="2" t="str">
        <f>IFERROR(__xludf.DUMMYFUNCTION("TRIM(
  REGEXEXTRACT(
    raw!A826,
    ""●\s*조리\s*방법([\s\S]*)""
  )
)
"),"1. 소금을 넣은 끓는 물에 치킨스톡과 닭발을 넣고 삶는다.
2. 소금을 넣은 끓는 물에 콩나물을 삶는다.
3. 압력솥에 물, 마늘, 맛술, 청주, 간장, 소금, 생강즙을 넣는다.
4. 삶은 닭발을 압력솥에 넣어 익힌다.
5. 삶은 콩나물을 건져낸다.
6. 삶은 닭발에 전분을 묻힌다.
7. 기름을 두른 팬에 전분을 묻힌 닭발을 넣고 볶는다.
8. 마늘종을 적당한 크기로 썬 뒤 닭발과 함께 볶는다.
9. 8에 콜라, 굴소스, 간장, 베트남고"&amp;"추를 넣고 조린다.
10. 닭발조림에 맛술을 넣는다.
11. 들깻가루, 고춧가루, 매실청, 간장, 꿀, 참기름을 섞어 양념장을 만든다.
12. 접시에 닭발조림을 담는다.
13. 압력솥에 익힌 마늘을 양념장에 넣은 뒤 콩나물 위에 얹는다.
14. 남은 양념장을 종지에 따로 담아낸다.
15. 닭발수육을 콩나물 위에 올린다.")</f>
        <v>1. 소금을 넣은 끓는 물에 치킨스톡과 닭발을 넣고 삶는다.
2. 소금을 넣은 끓는 물에 콩나물을 삶는다.
3. 압력솥에 물, 마늘, 맛술, 청주, 간장, 소금, 생강즙을 넣는다.
4. 삶은 닭발을 압력솥에 넣어 익힌다.
5. 삶은 콩나물을 건져낸다.
6. 삶은 닭발에 전분을 묻힌다.
7. 기름을 두른 팬에 전분을 묻힌 닭발을 넣고 볶는다.
8. 마늘종을 적당한 크기로 썬 뒤 닭발과 함께 볶는다.
9. 8에 콜라, 굴소스, 간장, 베트남고추를 넣고 조린다.
10. 닭발조림에 맛술을 넣는다.
11. 들깻가루, 고춧가루, 매실청, 간장, 꿀, 참기름을 섞어 양념장을 만든다.
12. 접시에 닭발조림을 담는다.
13. 압력솥에 익힌 마늘을 양념장에 넣은 뒤 콩나물 위에 얹는다.
14. 남은 양념장을 종지에 따로 담아낸다.
15. 닭발수육을 콩나물 위에 올린다.</v>
      </c>
    </row>
    <row r="827">
      <c r="A827" s="2" t="str">
        <f>recipe!C827
</f>
        <v>닭발라드</v>
      </c>
      <c r="B827" s="2" t="str">
        <f>IFERROR(__xludf.DUMMYFUNCTION("TRIM(
  REGEXEXTRACT(
    raw!A827,
    ""●\s*조리\s*방법([\s\S]*)""
  )
)
"),"1. 닭발에 칼집을 낸다.
2. 끓는 물에 닭발, 간장, 다진 생강을 넣고 삶는다.
3. 적당한 크기로 썬 대파, 으깬 마늘, 고춧가루에 뜨거운 기름을 부어 고추기름을 낸다.
4. 마늘을 으깬 뒤 잘게 다진다.
5. 마늘종, 대파, 홍고추, 청양고추를 잘게 썬다.
6. 만가닥버섯, 표고버섯, 양파를 잘게 썬다.
7. 고추기름을 체에 밭쳐 건더기를 걸러낸다.
8. 고추기름을 두른 팬에 손질한 채소들을 넣고 볶는다.
9. 라조장, 굴소스, 간"&amp;"장, 설탕을 섞어 소스를 만든 뒤 팬에 넣고 함께 볶는다.
10. 튀김가루, 물을 섞어 튀김옷을 만든다.
11. 데친 닭발에 튀김옷을 입힌 뒤 기름에 튀긴다.
12. 튀긴 닭발을 건져낸 뒤 라조장에 볶은 채소와 함께 볶는다.
13. 닭발튀김에 들기름을 뿌린다.
14. 닭발튀김을 접시에 담아 마무리한다.")</f>
        <v>1. 닭발에 칼집을 낸다.
2. 끓는 물에 닭발, 간장, 다진 생강을 넣고 삶는다.
3. 적당한 크기로 썬 대파, 으깬 마늘, 고춧가루에 뜨거운 기름을 부어 고추기름을 낸다.
4. 마늘을 으깬 뒤 잘게 다진다.
5. 마늘종, 대파, 홍고추, 청양고추를 잘게 썬다.
6. 만가닥버섯, 표고버섯, 양파를 잘게 썬다.
7. 고추기름을 체에 밭쳐 건더기를 걸러낸다.
8. 고추기름을 두른 팬에 손질한 채소들을 넣고 볶는다.
9. 라조장, 굴소스, 간장, 설탕을 섞어 소스를 만든 뒤 팬에 넣고 함께 볶는다.
10. 튀김가루, 물을 섞어 튀김옷을 만든다.
11. 데친 닭발에 튀김옷을 입힌 뒤 기름에 튀긴다.
12. 튀긴 닭발을 건져낸 뒤 라조장에 볶은 채소와 함께 볶는다.
13. 닭발튀김에 들기름을 뿌린다.
14. 닭발튀김을 접시에 담아 마무리한다.</v>
      </c>
    </row>
    <row r="828">
      <c r="A828" s="2" t="str">
        <f>recipe!C828
</f>
        <v>양갈비~ Save Us♬</v>
      </c>
      <c r="B828" s="2" t="str">
        <f>IFERROR(__xludf.DUMMYFUNCTION("TRIM(
  REGEXEXTRACT(
    raw!A828,
    ""●\s*조리\s*방법([\s\S]*)""
  )
)
"),"1. 끓는 물에 레드와인, 다진 마늘, 양파를 넣고 끓인다.
2. 손질한 양갈비에 귀리우유, 다진 마늘, 미숫가루를 넣고 버무린다.
3. 2에 소금, 후추, 끓인 레드와인을 넣어 재워둔다.
4. 낙지를 고기망치로 두드린 뒤 데리야키소스, 찜닭소스로 양념한다.
5. 양념한 낙지를 그릴팬에 굽는다.
6. 재워둔 고기에 밀가루를 묻혀 그릴팬에 올린 뒤 올리브오일을 뿌려 굽는다.
7. 대파를 잘게 썬다.
8. 낙지를 고기망치로 두드린 뒤 잘게 다지"&amp;"고, 자숙새우는 꼬리를 떼어낸다.
9. 팬에 대파, 다진 낙지, 자숙새우, 즉석밥을 넣고 볶는다.
10. 잘게 다진 매생이를 팬에 넣은 뒤 굴소스, 다진 마늘을 넣고 함께 볶는다.
11. 접시에 초콜릿시럽, 굴소스, 허니머스터드 소스를 뿌린다.
12. 접시에 복분자퓌레를 올린다.
13, 토마토에 칼집을 넣은 뒤 끓는 물에 데친다.
14. 데친 토마토를 얼음물에 넣어 식힌 뒤 껍질을 벗긴다.
15. 토마토를 반으로 갈라 모양을 낸다.
16."&amp;" 접시에 원형틀을 올린 뒤 매생이낙지 볶음밥을 넣는다.
17. 원형틀을 제거한 뒤 토마토를 올린다.
18. 구운 양갈비에 후추를 뿌린 뒤 허니머스터드 소스, 얇게 썬 대파를 올린다.
19. 구운 양갈비와 낙지를 접시에 올린다.
20. 팬에 잘게 썬 양파, 올리브오일, 복분자원액, 버터를 넣고 졸여 복분자 소스를 만든다.
21. 접시에 복분자 소스를 올린다.")</f>
        <v>1. 끓는 물에 레드와인, 다진 마늘, 양파를 넣고 끓인다.
2. 손질한 양갈비에 귀리우유, 다진 마늘, 미숫가루를 넣고 버무린다.
3. 2에 소금, 후추, 끓인 레드와인을 넣어 재워둔다.
4. 낙지를 고기망치로 두드린 뒤 데리야키소스, 찜닭소스로 양념한다.
5. 양념한 낙지를 그릴팬에 굽는다.
6. 재워둔 고기에 밀가루를 묻혀 그릴팬에 올린 뒤 올리브오일을 뿌려 굽는다.
7. 대파를 잘게 썬다.
8. 낙지를 고기망치로 두드린 뒤 잘게 다지고, 자숙새우는 꼬리를 떼어낸다.
9. 팬에 대파, 다진 낙지, 자숙새우, 즉석밥을 넣고 볶는다.
10. 잘게 다진 매생이를 팬에 넣은 뒤 굴소스, 다진 마늘을 넣고 함께 볶는다.
11. 접시에 초콜릿시럽, 굴소스, 허니머스터드 소스를 뿌린다.
12. 접시에 복분자퓌레를 올린다.
13, 토마토에 칼집을 넣은 뒤 끓는 물에 데친다.
14. 데친 토마토를 얼음물에 넣어 식힌 뒤 껍질을 벗긴다.
15. 토마토를 반으로 갈라 모양을 낸다.
16. 접시에 원형틀을 올린 뒤 매생이낙지 볶음밥을 넣는다.
17. 원형틀을 제거한 뒤 토마토를 올린다.
18. 구운 양갈비에 후추를 뿌린 뒤 허니머스터드 소스, 얇게 썬 대파를 올린다.
19. 구운 양갈비와 낙지를 접시에 올린다.
20. 팬에 잘게 썬 양파, 올리브오일, 복분자원액, 버터를 넣고 졸여 복분자 소스를 만든다.
21. 접시에 복분자 소스를 올린다.</v>
      </c>
    </row>
    <row r="829">
      <c r="A829" s="2" t="str">
        <f>recipe!C829
</f>
        <v>황도 스피릿</v>
      </c>
      <c r="B829" s="2" t="str">
        <f>IFERROR(__xludf.DUMMYFUNCTION("TRIM(
  REGEXEXTRACT(
    raw!A829,
    ""●\s*조리\s*방법([\s\S]*)""
  )
)
"),"1. 쌀식빵을 적당한 크기로 썬 뒤 기름에 튀긴다.
2. 끓는 물에 통조림 황도 국물, 블루베리, 설탕, 레몬즙을 넣어 블루베리 소스를 만든다.
3. 황도 국물에 복분자퓌레를 섞은 뒤 팬에 넣고 졸인다.
4. 블루베리 소스, 복분자퓌레를 얼음물 위에 놓고 식힌다.
5. 핸드블렌더에 황도, 코코넛시럽을 넣고 간다.
6. 5에 황도 국물을 더한 뒤 체로 거른다.
7. 6에 전분물을 넣고 졸여 황도시럽을 만든다.
8. 접시 가운데에 그릇을 뒤집어"&amp;" 놓은 뒤 황도시럽을 뿌린다.
9. 접시에 초콜릿시럽을 뿌린다.
10. 핸드블렌더에 장미꽃잼, 양상추, 배도라지즙을 넣고 간 뒤 전분물, 설탕을 넣고 졸인다.
11. 양상추를 섞은 장미꽃잼을 접시 위에 올린다.
12. 기름에 튀긴 쌀식빵을 원형틀로 찍어낸다.
13. 쌀식빵을 블루베리소스에 묻힌 뒤 원형틀 안에 넣는다.
14. 13에 휘핑크림&gt;황도&gt;휘핑크림&gt;블루베리 소스를 묻힌 쌀식빵 순으로 넣는다.
15. 14에 휘핑크림을 올린 뒤 얇게 편"&amp;"다.
16. 접시에 복분자퓌레를 뿌린다.
17. 복분자원액에 버무린 딸기와 블루베리를 케이크 위에 올린다.
18. 그릇을 제거한 뒤 황도 케이크를 올린다.
19. 레몬 껍질을 갈아 올려 마무리한다.")</f>
        <v>1. 쌀식빵을 적당한 크기로 썬 뒤 기름에 튀긴다.
2. 끓는 물에 통조림 황도 국물, 블루베리, 설탕, 레몬즙을 넣어 블루베리 소스를 만든다.
3. 황도 국물에 복분자퓌레를 섞은 뒤 팬에 넣고 졸인다.
4. 블루베리 소스, 복분자퓌레를 얼음물 위에 놓고 식힌다.
5. 핸드블렌더에 황도, 코코넛시럽을 넣고 간다.
6. 5에 황도 국물을 더한 뒤 체로 거른다.
7. 6에 전분물을 넣고 졸여 황도시럽을 만든다.
8. 접시 가운데에 그릇을 뒤집어 놓은 뒤 황도시럽을 뿌린다.
9. 접시에 초콜릿시럽을 뿌린다.
10. 핸드블렌더에 장미꽃잼, 양상추, 배도라지즙을 넣고 간 뒤 전분물, 설탕을 넣고 졸인다.
11. 양상추를 섞은 장미꽃잼을 접시 위에 올린다.
12. 기름에 튀긴 쌀식빵을 원형틀로 찍어낸다.
13. 쌀식빵을 블루베리소스에 묻힌 뒤 원형틀 안에 넣는다.
14. 13에 휘핑크림&gt;황도&gt;휘핑크림&gt;블루베리 소스를 묻힌 쌀식빵 순으로 넣는다.
15. 14에 휘핑크림을 올린 뒤 얇게 편다.
16. 접시에 복분자퓌레를 뿌린다.
17. 복분자원액에 버무린 딸기와 블루베리를 케이크 위에 올린다.
18. 그릇을 제거한 뒤 황도 케이크를 올린다.
19. 레몬 껍질을 갈아 올려 마무리한다.</v>
      </c>
    </row>
    <row r="830">
      <c r="A830" s="2" t="str">
        <f>recipe!C830
</f>
        <v>고샌 끝에 낙이 온다</v>
      </c>
      <c r="B830" s="2" t="str">
        <f>IFERROR(__xludf.DUMMYFUNCTION("TRIM(
  REGEXEXTRACT(
    raw!A830,
    ""●\s*조리\s*방법([\s\S]*)""
  )
)
"),"1. 끓는 물에 레몬즙을 넣은 뒤 레몬과 낙지를 넣어 데친다.
2. 데친 낙지를 얼음물에 담가둔다.
3. 양파를 잘게 썬 뒤 볼에 담는다.
4. 적당한 크기로 썬 낙지를 양파와 섞는다.
5. 4에 식초, 유자조청, 고춧가루, 참기름, 후추를 넣는다.
6. 5에 토마토, 통조림 황도, 사과를 넣어 낙지초절임을 만든다.
7. 고등어를 손질한 뒤 얇게 썬다.
8. 고등어를 토치로 직화한다.
9. 핸드블렌더에 직화한 고등어, 자숙새우, 올리브오일"&amp;", 소금, 달걀흰자를 넣고 간다.
10. 고등어패티 반죽에 소금, 후추, 레몬즙을 넣는다.
11. 원형틀에 고등어패티 반죽을 넣어 구운 뒤 원형틀을 제거한다.
12. 그릴팬에 적당한 크기로 썬 양파를 올린 뒤 올리브오일, 소금, 후추를 뿌려 굽는다.
13. 적당한 크기로 썬 대파를 함께 올린 뒤 데리야키소스를 발라가며 굽는다.
14. 팬에 적당한 크기로 썬 대파, 마늘, 청양고추, 고춧가루를 넣고 볶는다.
15. 적당한 크기로 썬 낙지를 팬에"&amp;" 넣은 뒤 물엿, 굴소스를 넣는다.
16. 접시에 구운 대파를 올린다.
17. 구운 대파 위에 낙지볶음을 올린다.
18. 그릴팬에 쌀식빵을 굽는다.
19. 데리야키소스에 마요네즈를 섞는다.
20. 구운 쌀식빵 위에 고등어 패티를 올린다.
21. 고등어 패티에 데리야키소스를 바른 뒤 토마토를 올리고, 후추를 뿌린다.
22. 고등어 샌드위치를 접시에 올린 뒤 깨, 레몬즙을 뿌린다.
23. 고등어 샌드위치에 구운 양파를 올린다.
24. 낙지초"&amp;"절임을 접시에 담는다.")</f>
        <v>1. 끓는 물에 레몬즙을 넣은 뒤 레몬과 낙지를 넣어 데친다.
2. 데친 낙지를 얼음물에 담가둔다.
3. 양파를 잘게 썬 뒤 볼에 담는다.
4. 적당한 크기로 썬 낙지를 양파와 섞는다.
5. 4에 식초, 유자조청, 고춧가루, 참기름, 후추를 넣는다.
6. 5에 토마토, 통조림 황도, 사과를 넣어 낙지초절임을 만든다.
7. 고등어를 손질한 뒤 얇게 썬다.
8. 고등어를 토치로 직화한다.
9. 핸드블렌더에 직화한 고등어, 자숙새우, 올리브오일, 소금, 달걀흰자를 넣고 간다.
10. 고등어패티 반죽에 소금, 후추, 레몬즙을 넣는다.
11. 원형틀에 고등어패티 반죽을 넣어 구운 뒤 원형틀을 제거한다.
12. 그릴팬에 적당한 크기로 썬 양파를 올린 뒤 올리브오일, 소금, 후추를 뿌려 굽는다.
13. 적당한 크기로 썬 대파를 함께 올린 뒤 데리야키소스를 발라가며 굽는다.
14. 팬에 적당한 크기로 썬 대파, 마늘, 청양고추, 고춧가루를 넣고 볶는다.
15. 적당한 크기로 썬 낙지를 팬에 넣은 뒤 물엿, 굴소스를 넣는다.
16. 접시에 구운 대파를 올린다.
17. 구운 대파 위에 낙지볶음을 올린다.
18. 그릴팬에 쌀식빵을 굽는다.
19. 데리야키소스에 마요네즈를 섞는다.
20. 구운 쌀식빵 위에 고등어 패티를 올린다.
21. 고등어 패티에 데리야키소스를 바른 뒤 토마토를 올리고, 후추를 뿌린다.
22. 고등어 샌드위치를 접시에 올린 뒤 깨, 레몬즙을 뿌린다.
23. 고등어 샌드위치에 구운 양파를 올린다.
24. 낙지초절임을 접시에 담는다.</v>
      </c>
    </row>
    <row r="831">
      <c r="A831" s="2" t="str">
        <f>recipe!C831
</f>
        <v>내가 이길 거고등</v>
      </c>
      <c r="B831" s="2" t="str">
        <f>IFERROR(__xludf.DUMMYFUNCTION("TRIM(
  REGEXEXTRACT(
    raw!A831,
    ""●\s*조리\s*방법([\s\S]*)""
  )
)
"),"1. 끓는 물에 소금을 넣은 뒤 달걀, 낙지, 자숙새우, 통조림 골뱅이를 삶는다.
2. 팬에 복분자즙, 설탕, 청주, 맛술, 간장을 넣고 졸여 데리야키 소스를 만든다.
3. 고등어를 손질한 뒤 잔가시를 제거한다.
4. 포를 뜬 고등어에 소금, 후추로 간한다.
5. 고등어에 밀가루를 묻힌다.
6. 핸드블렌더에 쌀식빵을 넣고 갈아 쌀빵가루를 만든다.
7. 밀가루를 묻힌 고등어에 달걀물을 입힌 뒤 쌀빵가루를 묻힌다.
8. 쌀빵가루를 묻힌 고등어를"&amp;" 기름에 튀긴다.
9. 핸드블렌더에 통조림 황도를 넣고 간다.
10. 간 황도에 올리브오일, 식초, 소금, 설탕을 넣어 황도 드레싱을 만든다.
11. 적당한 크기로 썬 사과와 양파, 간 황도, 레몬즙, 마요네즈를 갈아 황도마요네즈 소스를 만든다.
12. 삶은 낙지, 자숙새우, 통조림 골뱅이를 얼음물에 넣어 식힌다.
13. 식힌 해산물을 적당한 크기로 썬 뒤 황도 드레싱에 넣는다.
14. 토마토를 얇게 썬다.
15. 랩 위에 얇게 썬 토마토를"&amp;" 올린다.
16. 토마토 위에 황도 드레싱에 버무린 해산물을 올린 뒤 돌돌 말아준다.
17. 적당한 크기로 썬 쌀식빵을 그릴팬에 굽는다.
18. 적당한 크기로 썬 양파를 그릴팬에 굽는다.
19. 구운 쌀식빵에 데리야키 소스를 바른 뒤 구운 양파, 양상추를 올린다.
20. 고등어 튀김을 반으로 썬 뒤 쌀식빵 위에 올린다.
21. 20에 황도마요네즈 소스, 쌀식빵을 올려 샌드위치를 만든다.
22. 고등어 샌드위치를 썰어 접시에 올린다.
23."&amp;" 접시에 해산물 샐러드를 올린다.
24. 해산물 샐러드에 황도 드레싱과 복분자퓌레를 뿌린다.
25. 삶은 달걀을 으깬 뒤 해산물 샐러드 위에 뿌려 낸다.")</f>
        <v>1. 끓는 물에 소금을 넣은 뒤 달걀, 낙지, 자숙새우, 통조림 골뱅이를 삶는다.
2. 팬에 복분자즙, 설탕, 청주, 맛술, 간장을 넣고 졸여 데리야키 소스를 만든다.
3. 고등어를 손질한 뒤 잔가시를 제거한다.
4. 포를 뜬 고등어에 소금, 후추로 간한다.
5. 고등어에 밀가루를 묻힌다.
6. 핸드블렌더에 쌀식빵을 넣고 갈아 쌀빵가루를 만든다.
7. 밀가루를 묻힌 고등어에 달걀물을 입힌 뒤 쌀빵가루를 묻힌다.
8. 쌀빵가루를 묻힌 고등어를 기름에 튀긴다.
9. 핸드블렌더에 통조림 황도를 넣고 간다.
10. 간 황도에 올리브오일, 식초, 소금, 설탕을 넣어 황도 드레싱을 만든다.
11. 적당한 크기로 썬 사과와 양파, 간 황도, 레몬즙, 마요네즈를 갈아 황도마요네즈 소스를 만든다.
12. 삶은 낙지, 자숙새우, 통조림 골뱅이를 얼음물에 넣어 식힌다.
13. 식힌 해산물을 적당한 크기로 썬 뒤 황도 드레싱에 넣는다.
14. 토마토를 얇게 썬다.
15. 랩 위에 얇게 썬 토마토를 올린다.
16. 토마토 위에 황도 드레싱에 버무린 해산물을 올린 뒤 돌돌 말아준다.
17. 적당한 크기로 썬 쌀식빵을 그릴팬에 굽는다.
18. 적당한 크기로 썬 양파를 그릴팬에 굽는다.
19. 구운 쌀식빵에 데리야키 소스를 바른 뒤 구운 양파, 양상추를 올린다.
20. 고등어 튀김을 반으로 썬 뒤 쌀식빵 위에 올린다.
21. 20에 황도마요네즈 소스, 쌀식빵을 올려 샌드위치를 만든다.
22. 고등어 샌드위치를 썰어 접시에 올린다.
23. 접시에 해산물 샐러드를 올린다.
24. 해산물 샐러드에 황도 드레싱과 복분자퓌레를 뿌린다.
25. 삶은 달걀을 으깬 뒤 해산물 샐러드 위에 뿌려 낸다.</v>
      </c>
    </row>
    <row r="832">
      <c r="A832" s="2" t="str">
        <f>recipe!C832
</f>
        <v>파짱쫀</v>
      </c>
      <c r="B832" s="2" t="str">
        <f>IFERROR(__xludf.DUMMYFUNCTION("TRIM(
  REGEXEXTRACT(
    raw!A832,
    ""●\s*조리\s*방법([\s\S]*)""
  )
)
"),"1. 대파를 잘게 썬다.
2. 대파를 채 썬다.
3. 손질한 대파를 찬물에 담가둔다.
4. 끓는 기름에 대파, 고춧가루를 넣어 고추기름을 만든다.
5. 삶은 돼지껍질을 튀긴다.
6. 끓는 물에 불고기용 소고기를 넣고 데친다.
7. 찬물에 담가뒀던 잘게 썬 대파에 비빔간장, 굴소스, 쯔유, 들기름을 넣고 섞는다.
8. 불린 라이스페이퍼에 양념한 대파를 넣고 감싸 파만두를 만든다.
9. 파만두에 전분을 묻힌다.
10. 달걀흰자를 거품기로 풀"&amp;"어준다.
11. 전분을 묻힌 파만두에 달걀흰자를 묻힌 뒤 다시 전분을 묻힌다.
12. 기름을 두른 팬에 파만두를 넣고 뚜껑을 닫아 지진다.
13. 파만두를 지지던 팬에 물을 소량 넣고 뚜껑을 닫아 익힌다.
14. 비빔간장, 까나리액젓, 모과청, 식초, 레몬즙, 고추기름을 섞어 소스를 만든다.
15. 라이스페이퍼를 자른다.
16. 찬물에 담가뒀던 파채의 물기를 뺀 뒤 라이스페이퍼와 섞는다.
17. 얇게 썬 돼지껍질과 소스를 16에 넣는다.
"&amp;"18. 데친 소고기를 17에 넣고 섞어 반짱쫀을 만든다.
19. 반짱쫀에 파만두를 올린 뒤 소스를 뿌린다.")</f>
        <v>1. 대파를 잘게 썬다.
2. 대파를 채 썬다.
3. 손질한 대파를 찬물에 담가둔다.
4. 끓는 기름에 대파, 고춧가루를 넣어 고추기름을 만든다.
5. 삶은 돼지껍질을 튀긴다.
6. 끓는 물에 불고기용 소고기를 넣고 데친다.
7. 찬물에 담가뒀던 잘게 썬 대파에 비빔간장, 굴소스, 쯔유, 들기름을 넣고 섞는다.
8. 불린 라이스페이퍼에 양념한 대파를 넣고 감싸 파만두를 만든다.
9. 파만두에 전분을 묻힌다.
10. 달걀흰자를 거품기로 풀어준다.
11. 전분을 묻힌 파만두에 달걀흰자를 묻힌 뒤 다시 전분을 묻힌다.
12. 기름을 두른 팬에 파만두를 넣고 뚜껑을 닫아 지진다.
13. 파만두를 지지던 팬에 물을 소량 넣고 뚜껑을 닫아 익힌다.
14. 비빔간장, 까나리액젓, 모과청, 식초, 레몬즙, 고추기름을 섞어 소스를 만든다.
15. 라이스페이퍼를 자른다.
16. 찬물에 담가뒀던 파채의 물기를 뺀 뒤 라이스페이퍼와 섞는다.
17. 얇게 썬 돼지껍질과 소스를 16에 넣는다.
18. 데친 소고기를 17에 넣고 섞어 반짱쫀을 만든다.
19. 반짱쫀에 파만두를 올린 뒤 소스를 뿌린다.</v>
      </c>
    </row>
    <row r="833">
      <c r="A833" s="2" t="str">
        <f>recipe!C833
</f>
        <v>대파 Two</v>
      </c>
      <c r="B833" s="2" t="str">
        <f>IFERROR(__xludf.DUMMYFUNCTION("TRIM(
  REGEXEXTRACT(
    raw!A833,
    ""●\s*조리\s*방법([\s\S]*)""
  )
)
"),"1. 북어대가리, 건새우, 밴댕이(디포리), 국물용 멸치를 팬에 넣는다.
2. 끓는 물에 통후추, 멸치육수, 파뿌리를 넣는다.
3. 북어대가리, 건새우, 밴댕이(디포리), 국물용 멸치에 맛술을 넣어 볶은 뒤 육수에 넣는다.
4. 적당한 크기로 썬 대파의 반을 가른 뒤 끓는 물에 데친다.
5. 대파에 얇게 썬 소고기 등심, 소금을 넣고 함께 데친다.
6. 대파를 채 썬다.
7. 삼치살을 손질한다.
8. 삼치살과 관자는 적당한 크기로 썰고, 자"&amp;"숙새우는 물에 헹군다.
9. 삼치살, 관자, 자숙새우를 믹서기에 넣는다.
10. 9에 전분, 달걀, 소금, 후추를 넣은 뒤 갈아 어묵면 반죽을 만든다.
11. 어묵면 반죽을 지퍼백에 넣은 뒤 모서리를 자른다.
12. 반죽을 짜서 뽑은 어묵면을 육수에 넣어 익힌다.
13. 파채를 육수에 살짝 데친 뒤 어묵면과 함께 꺼낸다.
14. 된장, 마늘장아찌 국물, 다진마늘, 매실청, 고춧가루, 참기름을 섞어 양념을 만든다.
15. 데친 등심과 대파에 "&amp;"양념을 버무려 소고기 파무침을 만든다.
16. 육수에 국간장, 까나리액젓, 쯔유, 잘게 썬 청양고추를 넣는다.
17. 데친 파채와 어묵면을 그릇에 담는다.
18. 삶은 전복을 얇게 썬 뒤 육수에 한 번 더 익힌다.
19. 어묵면 위에 삶은 문어, 삶은 전복을 올린다.
20. 육수를 그릇에 담고, 잘게 썬 대파를 올린다.")</f>
        <v>1. 북어대가리, 건새우, 밴댕이(디포리), 국물용 멸치를 팬에 넣는다.
2. 끓는 물에 통후추, 멸치육수, 파뿌리를 넣는다.
3. 북어대가리, 건새우, 밴댕이(디포리), 국물용 멸치에 맛술을 넣어 볶은 뒤 육수에 넣는다.
4. 적당한 크기로 썬 대파의 반을 가른 뒤 끓는 물에 데친다.
5. 대파에 얇게 썬 소고기 등심, 소금을 넣고 함께 데친다.
6. 대파를 채 썬다.
7. 삼치살을 손질한다.
8. 삼치살과 관자는 적당한 크기로 썰고, 자숙새우는 물에 헹군다.
9. 삼치살, 관자, 자숙새우를 믹서기에 넣는다.
10. 9에 전분, 달걀, 소금, 후추를 넣은 뒤 갈아 어묵면 반죽을 만든다.
11. 어묵면 반죽을 지퍼백에 넣은 뒤 모서리를 자른다.
12. 반죽을 짜서 뽑은 어묵면을 육수에 넣어 익힌다.
13. 파채를 육수에 살짝 데친 뒤 어묵면과 함께 꺼낸다.
14. 된장, 마늘장아찌 국물, 다진마늘, 매실청, 고춧가루, 참기름을 섞어 양념을 만든다.
15. 데친 등심과 대파에 양념을 버무려 소고기 파무침을 만든다.
16. 육수에 국간장, 까나리액젓, 쯔유, 잘게 썬 청양고추를 넣는다.
17. 데친 파채와 어묵면을 그릇에 담는다.
18. 삶은 전복을 얇게 썬 뒤 육수에 한 번 더 익힌다.
19. 어묵면 위에 삶은 문어, 삶은 전복을 올린다.
20. 육수를 그릇에 담고, 잘게 썬 대파를 올린다.</v>
      </c>
    </row>
    <row r="834">
      <c r="A834" s="2" t="str">
        <f>recipe!C834
</f>
        <v>오~ 김치 코리아♬</v>
      </c>
      <c r="B834" s="2" t="str">
        <f>IFERROR(__xludf.DUMMYFUNCTION("TRIM(
  REGEXEXTRACT(
    raw!A834,
    ""●\s*조리\s*방법([\s\S]*)""
  )
)
"),"1. 멸치육수에 건새우, 밴댕이(디포리), 북어대가리, 대파, 맛술, 생강즙을 넣고 끓인다.
2. 김치 이파리를 물에 씻은 뒤 물기를 짜낸다.
3. 끓는 물에 전복, 주꾸미를 데친다.
4. 믹서기에 소고기 등심, 자숙새우, 관자, 주꾸미, 전분, 굴소스를 넣고 갈아 완자반죽을 만든다.
5. 관자, 삶은 문어, 데친 전복을 얇게 썬 뒤 완자반죽과 섞는다.
6. 데친 주꾸미를 잘게 썰어 완자반죽에 넣는다.
7. 김치 이파리에 완자반죽을 올린 뒤 "&amp;"돌돌 말아 김치쌈을 만든다.
8. 김치쌈을 찜기에 넣고 찐다.
9. 육수를 체에 밭쳐 국물만 받아낸다.
10. 잘게 썬 청양고추를 국물에 넣는다.
11. 불고기용 소고기에 전분을 묻힌 뒤 국물에 넣는다.
12. 완자반죽을 뭉친 뒤 국물에 넣는다.
13. 잘게 썬 전복, 주꾸미를 국물에 넣는다.
14. 잘게 썬 대파를 볼에 담은 뒤 쯔유, 청양고추를 넣는다.
15. 14에 고춧가루, 설탕, 맛술, 참기름을 넣어 양념장을 만든다.
16. 국"&amp;"물에 전분물을 넣어 농도를 조절한다.
17. 찐 김치쌈을 데운 뚝배기에 담는다.
18. 끓인 탕을 뚝배기에 담은 뒤 고수를 올린다.")</f>
        <v>1. 멸치육수에 건새우, 밴댕이(디포리), 북어대가리, 대파, 맛술, 생강즙을 넣고 끓인다.
2. 김치 이파리를 물에 씻은 뒤 물기를 짜낸다.
3. 끓는 물에 전복, 주꾸미를 데친다.
4. 믹서기에 소고기 등심, 자숙새우, 관자, 주꾸미, 전분, 굴소스를 넣고 갈아 완자반죽을 만든다.
5. 관자, 삶은 문어, 데친 전복을 얇게 썬 뒤 완자반죽과 섞는다.
6. 데친 주꾸미를 잘게 썰어 완자반죽에 넣는다.
7. 김치 이파리에 완자반죽을 올린 뒤 돌돌 말아 김치쌈을 만든다.
8. 김치쌈을 찜기에 넣고 찐다.
9. 육수를 체에 밭쳐 국물만 받아낸다.
10. 잘게 썬 청양고추를 국물에 넣는다.
11. 불고기용 소고기에 전분을 묻힌 뒤 국물에 넣는다.
12. 완자반죽을 뭉친 뒤 국물에 넣는다.
13. 잘게 썬 전복, 주꾸미를 국물에 넣는다.
14. 잘게 썬 대파를 볼에 담은 뒤 쯔유, 청양고추를 넣는다.
15. 14에 고춧가루, 설탕, 맛술, 참기름을 넣어 양념장을 만든다.
16. 국물에 전분물을 넣어 농도를 조절한다.
17. 찐 김치쌈을 데운 뚝배기에 담는다.
18. 끓인 탕을 뚝배기에 담은 뒤 고수를 올린다.</v>
      </c>
    </row>
    <row r="835">
      <c r="A835" s="2" t="str">
        <f>recipe!C835
</f>
        <v>나 백숙 할래♬</v>
      </c>
      <c r="B835" s="2" t="str">
        <f>IFERROR(__xludf.DUMMYFUNCTION("TRIM(
  REGEXEXTRACT(
    raw!A835,
    ""●\s*조리\s*방법([\s\S]*)""
  )
)
"),"1. 불린 누룽지에 홍삼진액을 섞은 뒤 압력솥에 넣는다.
2. 압력솥에 버터를 넣는다.
3. 전복을 체에 밭쳐 끓는 물에 데친다.
4. 소고기 등심을 잘게 썬다.
5. 등심에 간장, 참기름, 잘게 썬 양파, 대파를 섞은 뒤 압력솥에 넣는다.
6. 압력솥에 자숙새우를 넣는다.
7. 데친 전복, 관자를 얇게 썬다.
8. 삶은 문어 위에 지퍼백을 올린 뒤 고기망치로 두드린다.
9. 문어, 전복, 관자를 압력솥에 넣는다.
10. 멸치육수를 압력"&amp;"솥에 넣는다.
11. 주꾸미를 고기망치로 두드린 뒤 압력솥에 넣는다.
12. 압력솥의 뚜껑을 닫고 익힌다.
13. 잘게 썬 대파, 양파, 고수를 얼음물에 담가둔다.
14. 간장에 현미식초, 식초를 넣는다.
15. 14에 설탕을 넣은 뒤 핸드블렌더로 섞어 고수무침 소스를 만든다.
16. 마늘, 홍고추를 잘게 썬다.
17. 잘게 썬 청양고추, 홍고추, 마늘을 소스에 넣는다.
18. 소스에 참기름을 넣는다.
19. 소스에 고춧가루, 통깨, 연"&amp;"겨자를 넣고 섞는다.
20. 얼음물에 담가뒀던 대파, 양파를 접시에 담은 뒤 소스를 올린다.
21. 소스에 버무린 고수를 올린다.
22. 누룽지백숙을 그릇에 담는다.
23. 배추김치를 접시에 따로 담아낸다.")</f>
        <v>1. 불린 누룽지에 홍삼진액을 섞은 뒤 압력솥에 넣는다.
2. 압력솥에 버터를 넣는다.
3. 전복을 체에 밭쳐 끓는 물에 데친다.
4. 소고기 등심을 잘게 썬다.
5. 등심에 간장, 참기름, 잘게 썬 양파, 대파를 섞은 뒤 압력솥에 넣는다.
6. 압력솥에 자숙새우를 넣는다.
7. 데친 전복, 관자를 얇게 썬다.
8. 삶은 문어 위에 지퍼백을 올린 뒤 고기망치로 두드린다.
9. 문어, 전복, 관자를 압력솥에 넣는다.
10. 멸치육수를 압력솥에 넣는다.
11. 주꾸미를 고기망치로 두드린 뒤 압력솥에 넣는다.
12. 압력솥의 뚜껑을 닫고 익힌다.
13. 잘게 썬 대파, 양파, 고수를 얼음물에 담가둔다.
14. 간장에 현미식초, 식초를 넣는다.
15. 14에 설탕을 넣은 뒤 핸드블렌더로 섞어 고수무침 소스를 만든다.
16. 마늘, 홍고추를 잘게 썬다.
17. 잘게 썬 청양고추, 홍고추, 마늘을 소스에 넣는다.
18. 소스에 참기름을 넣는다.
19. 소스에 고춧가루, 통깨, 연겨자를 넣고 섞는다.
20. 얼음물에 담가뒀던 대파, 양파를 접시에 담은 뒤 소스를 올린다.
21. 소스에 버무린 고수를 올린다.
22. 누룽지백숙을 그릇에 담는다.
23. 배추김치를 접시에 따로 담아낸다.</v>
      </c>
    </row>
    <row r="836">
      <c r="A836" s="2" t="str">
        <f>recipe!C836
</f>
        <v>맵다고 가지 마라</v>
      </c>
      <c r="B836" s="2" t="str">
        <f>IFERROR(__xludf.DUMMYFUNCTION("TRIM(
  REGEXEXTRACT(
    raw!A836,
    ""●\s*조리\s*방법([\s\S]*)""
  )
)
"),"1. 적당한 크기로 썬 대파와 생강을 끓는 기름에 넣는다.
2. 1에 고춧가루를 넣고 끓여 고추기름을 낸다.
3. 믹서기에 적당한 크기로 썬 삼겹살, 자숙새우, 다진생강, 맛술, 전분, 달걀, 쯔유를 넣고 간다.
4. 가지를 편으로 썬다.
5. 전분, 식용유, 물을 섞어 튀김 반죽을 만든다.
6. 간 삼겹살과 새우를 가지 사이에 넣어 가지샌드를 만든다.
7. 가지샌드에 튀김 반죽을 입힌다.
8. 잘게 썬 양파와 대파, 채 썬 생강을 물에 담"&amp;"가둔다.
9. 대패삼겹살에 전분, 달걀물을 넣고 버무린다.
10. 기름을 두른 팬에 대패삼겹살을 넣고 튀기듯이 볶는다.
11. 알배추, 애호박, 표고버섯, 양송이버섯을 잘게 썬 뒤 팬에 넣고 함께 볶는다.
12. 11에 XO소스, 굴소스, 쯔유를 넣는다.
13. 적당한 크기로 썬 매운 김치를 팬에 넣고 볶는다.
14. 팬에 고추기름을 두른 뒤 간 태국고추, 마라탕소스를 넣는다.
15. 14에 물을 넣고 끓여 마라탕소스를 만든다.
16. 마"&amp;"라탕소스에 XO소스를 넣는다.
17. 가지샌드를 기름에 튀긴다.
18. 애호박을 잘게 썬다.
19. 팬에 물기를 뺀 양파와 대파, 애호박, 간 삼겹살과 새우, 춘장, 굴소스를 넣고 볶는다.
20. 잘게 썬 양파와 표고버섯을 팬에 넣고 함께 볶는다.
21. 20에 전분을 넣고 볶아 짜장소스를 만든다.
22. 마라탕소스에 쯔유, 설탕을 넣고 끓인다.
23. 22에 불린 중국당면을 넣는다.
24. 마라탕소스에 물을 넣고 끓인다.
25. 식초,"&amp;" 설탕, 소금을 섞어 생강채 소스를 만든다.
26. 파채를 접시에 올린 뒤 짜장소스를 담는다.
27. 짜장소스 위에 가지샌드튀김을 올린 뒤 그린올리브를 올린다.
28. 볶은 재료들을 그릇에 담고, 중국당면이 든 마라탕을 붓는다.
29. 생강채 소스에 생강채를 넣어 따로 담아낸다.")</f>
        <v>1. 적당한 크기로 썬 대파와 생강을 끓는 기름에 넣는다.
2. 1에 고춧가루를 넣고 끓여 고추기름을 낸다.
3. 믹서기에 적당한 크기로 썬 삼겹살, 자숙새우, 다진생강, 맛술, 전분, 달걀, 쯔유를 넣고 간다.
4. 가지를 편으로 썬다.
5. 전분, 식용유, 물을 섞어 튀김 반죽을 만든다.
6. 간 삼겹살과 새우를 가지 사이에 넣어 가지샌드를 만든다.
7. 가지샌드에 튀김 반죽을 입힌다.
8. 잘게 썬 양파와 대파, 채 썬 생강을 물에 담가둔다.
9. 대패삼겹살에 전분, 달걀물을 넣고 버무린다.
10. 기름을 두른 팬에 대패삼겹살을 넣고 튀기듯이 볶는다.
11. 알배추, 애호박, 표고버섯, 양송이버섯을 잘게 썬 뒤 팬에 넣고 함께 볶는다.
12. 11에 XO소스, 굴소스, 쯔유를 넣는다.
13. 적당한 크기로 썬 매운 김치를 팬에 넣고 볶는다.
14. 팬에 고추기름을 두른 뒤 간 태국고추, 마라탕소스를 넣는다.
15. 14에 물을 넣고 끓여 마라탕소스를 만든다.
16. 마라탕소스에 XO소스를 넣는다.
17. 가지샌드를 기름에 튀긴다.
18. 애호박을 잘게 썬다.
19. 팬에 물기를 뺀 양파와 대파, 애호박, 간 삼겹살과 새우, 춘장, 굴소스를 넣고 볶는다.
20. 잘게 썬 양파와 표고버섯을 팬에 넣고 함께 볶는다.
21. 20에 전분을 넣고 볶아 짜장소스를 만든다.
22. 마라탕소스에 쯔유, 설탕을 넣고 끓인다.
23. 22에 불린 중국당면을 넣는다.
24. 마라탕소스에 물을 넣고 끓인다.
25. 식초, 설탕, 소금을 섞어 생강채 소스를 만든다.
26. 파채를 접시에 올린 뒤 짜장소스를 담는다.
27. 짜장소스 위에 가지샌드튀김을 올린 뒤 그린올리브를 올린다.
28. 볶은 재료들을 그릇에 담고, 중국당면이 든 마라탕을 붓는다.
29. 생강채 소스에 생강채를 넣어 따로 담아낸다.</v>
      </c>
    </row>
    <row r="837">
      <c r="A837" s="2" t="str">
        <f>recipe!C837
</f>
        <v>보헤미안 앤초비</v>
      </c>
      <c r="B837" s="2" t="str">
        <f>IFERROR(__xludf.DUMMYFUNCTION("TRIM(
  REGEXEXTRACT(
    raw!A837,
    ""●\s*조리\s*방법([\s\S]*)""
  )
)
"),"1. 올리브오일을 두른 팬에 다진 소고기, 양파를 넣는다.
2. 얇게 썬 표고버섯을 1에 넣은 뒤 뜨거운 물을 부어 끓인다.
3. 적당한 크기로 썬 안심을 고기망치로 두드려 넓게 편다.
4. 핸드블렌더에 마늘, 올리브오일을 넣고 간다.
5. 올리브오일을 두른 냄비에 간 마늘, 허브양념새우를 넣는다.
6. 얇게 썬 안심에 밀가루를 묻힌 뒤 냄비에 넣는다.
7. 6에 똠얌꿍소스, 잘게 부순 태국고추를 넣은 뒤 육수를 넣는다.
8. 똠얌꿍에 후추"&amp;", 얇게 썬 표고버섯을 넣고 끓인다.
9. 넓게 편 안심을 석쇠에 올린 뒤 바비큐소스를 바른다.
10. 9에 올리브오일, 후추, 소금을 뿌린다.
11. 안심 위에 생강채를 올린다.
12. 양념한 안심에 올리브오일을 뿌려가며 직화한다.
13. 손질한 브로콜리를 끓는 물에 데친 뒤 찬물에 식힌다.
14. 마늘은 편으로 썰고, 태국고추는 잘게 다진다.
15. 올리브오일을 두른 팬에 마늘, 태국고추, 앤초비를 넣고 볶는다.
16. 15에 육수를 "&amp;"넣고 끓여 앤초비소스를 만든다.
17. 잘게 썬 그린올리브를 앤초비소스에 넣는다.
18. 똠얌꿍에 똠얌꿍소스, 허브양념새우를 넣고 끓인다.
19. 채 썬 배를 그릇에 따로 담아낸다.
20. 올리브오일을 두른 팬에 간 마늘, 앤초비, 태국고추, 브로콜리, 후추를 넣고 볶는다.
21. 끓는 물에 파스타면을 넣고 삶는다.
22. 삶은 파스타면을 앤초비소스에 넣고 볶는다.
23. 똠얌꿍을 그릇에 담은 뒤 앤초비 파스타를 올린다.
24. 구운 안심"&amp;"을 접시에 올린 뒤 앤초비&amp;브로콜리 볶음, 고수, 중국고춧가루를 올린다.
25. 똠얌꿍에 고수를 올린다.")</f>
        <v>1. 올리브오일을 두른 팬에 다진 소고기, 양파를 넣는다.
2. 얇게 썬 표고버섯을 1에 넣은 뒤 뜨거운 물을 부어 끓인다.
3. 적당한 크기로 썬 안심을 고기망치로 두드려 넓게 편다.
4. 핸드블렌더에 마늘, 올리브오일을 넣고 간다.
5. 올리브오일을 두른 냄비에 간 마늘, 허브양념새우를 넣는다.
6. 얇게 썬 안심에 밀가루를 묻힌 뒤 냄비에 넣는다.
7. 6에 똠얌꿍소스, 잘게 부순 태국고추를 넣은 뒤 육수를 넣는다.
8. 똠얌꿍에 후추, 얇게 썬 표고버섯을 넣고 끓인다.
9. 넓게 편 안심을 석쇠에 올린 뒤 바비큐소스를 바른다.
10. 9에 올리브오일, 후추, 소금을 뿌린다.
11. 안심 위에 생강채를 올린다.
12. 양념한 안심에 올리브오일을 뿌려가며 직화한다.
13. 손질한 브로콜리를 끓는 물에 데친 뒤 찬물에 식힌다.
14. 마늘은 편으로 썰고, 태국고추는 잘게 다진다.
15. 올리브오일을 두른 팬에 마늘, 태국고추, 앤초비를 넣고 볶는다.
16. 15에 육수를 넣고 끓여 앤초비소스를 만든다.
17. 잘게 썬 그린올리브를 앤초비소스에 넣는다.
18. 똠얌꿍에 똠얌꿍소스, 허브양념새우를 넣고 끓인다.
19. 채 썬 배를 그릇에 따로 담아낸다.
20. 올리브오일을 두른 팬에 간 마늘, 앤초비, 태국고추, 브로콜리, 후추를 넣고 볶는다.
21. 끓는 물에 파스타면을 넣고 삶는다.
22. 삶은 파스타면을 앤초비소스에 넣고 볶는다.
23. 똠얌꿍을 그릇에 담은 뒤 앤초비 파스타를 올린다.
24. 구운 안심을 접시에 올린 뒤 앤초비&amp;브로콜리 볶음, 고수, 중국고춧가루를 올린다.
25. 똠얌꿍에 고수를 올린다.</v>
      </c>
    </row>
    <row r="838">
      <c r="A838" s="2" t="str">
        <f>recipe!C838
</f>
        <v>생강나는 장어</v>
      </c>
      <c r="B838" s="2" t="str">
        <f>IFERROR(__xludf.DUMMYFUNCTION("TRIM(
  REGEXEXTRACT(
    raw!A838,
    ""●\s*조리\s*방법([\s\S]*)""
  )
)
"),"1. 기름을 두른 팬에 다진 생강, 중국고춧가루, 청양고춧가루를 넣는다.
2. 잘게 썬 대파를 1에 넣는다.
3. 2에 간장, 맛술, 쯔유, 굴소스, 설탕, 식초, 마라소스, 베트남고추소스를 넣는다.
4. 생강을 채 썬다.
5. 채 썬 생강을 물에 담가둔다.
6. 장어에 칼집을 낸다.
7. 칼집을 낸 장어에 전분을 묻힌다.
8. 전분을 묻힌 장어를 기름에 튀긴다.
9. 반으로 자른 알배추를 찜기에 넣고 찐다.
10. 기름에 튀긴 장어를 "&amp;"꺼낸다.
11. 간장, 쯔유, 설탕, 식초, 물을 섞어 초간장을 만든다.
12. 고수를 잘게 썬다.
13. 장어튀김을 한 번 더 튀긴다.
14. 알배추찜 소스에 하바네로 핫소스를 넣는다.
15. 접시에 찐 알배추를 담은 뒤 매운 소스를 올린다.
16. 잘게 썬 고수 위에 장어튀김을 올린다.
17. 생강채 위에 초간장을 뿌린다.")</f>
        <v>1. 기름을 두른 팬에 다진 생강, 중국고춧가루, 청양고춧가루를 넣는다.
2. 잘게 썬 대파를 1에 넣는다.
3. 2에 간장, 맛술, 쯔유, 굴소스, 설탕, 식초, 마라소스, 베트남고추소스를 넣는다.
4. 생강을 채 썬다.
5. 채 썬 생강을 물에 담가둔다.
6. 장어에 칼집을 낸다.
7. 칼집을 낸 장어에 전분을 묻힌다.
8. 전분을 묻힌 장어를 기름에 튀긴다.
9. 반으로 자른 알배추를 찜기에 넣고 찐다.
10. 기름에 튀긴 장어를 꺼낸다.
11. 간장, 쯔유, 설탕, 식초, 물을 섞어 초간장을 만든다.
12. 고수를 잘게 썬다.
13. 장어튀김을 한 번 더 튀긴다.
14. 알배추찜 소스에 하바네로 핫소스를 넣는다.
15. 접시에 찐 알배추를 담은 뒤 매운 소스를 올린다.
16. 잘게 썬 고수 위에 장어튀김을 올린다.
17. 생강채 위에 초간장을 뿌린다.</v>
      </c>
    </row>
    <row r="839">
      <c r="A839" s="2" t="str">
        <f>recipe!C839
</f>
        <v>매워도 안심하으~리</v>
      </c>
      <c r="B839" s="2" t="str">
        <f>IFERROR(__xludf.DUMMYFUNCTION("TRIM(
  REGEXEXTRACT(
    raw!A839,
    ""●\s*조리\s*방법([\s\S]*)""
  )
)
"),"1. 잘게 썬 대파, 태국고추를 기름에 넣는다.
2. 소 안심에 소금, 후추로 간한다.
3. 태국고추, 대파를 넣은 기름에 안심을 넣어 익힌다.
4. 3에 고추기름을 넣는다.
5. 청양고추, 홍고추에 칼집을 낸 뒤, 전분을 묻힌다.
6. 전분을 묻힌 고추를 찜기에 넣고 찐다.
7. 감자, 생강을 채 썬 뒤 물에 담가둔다.
8. 기름을 두른 팬에 잘게 썬 대파를 볶는다.
9. 핸드블렌더에 표고버섯, 양파, 홍고추, 청양고추, 대파를 넣고 간"&amp;"다.
10. 9를 팬에 넣고 대파와 함께 볶는다.
11. 10에 XO소스를 넣는다.
12. 11에 마라소스를 넣어 스테이크소스를 만든다.
13. 기름에 익힌 안심을 꺼낸다.
14. 태국고추를 잘게 부순 뒤 기름에 볶는다.
15. 14에 앤초비, 우렁이를 넣고 볶는다.
16. 15에 그린올리브, 뜨거운 물을 넣는다.
17. 16에 잘게 썬 청양고추, 토마토, 굴을 넣고 끓여 앤초비올리브 소스를 만든다.
18. 채 썬 감자와 생강에 전분을 "&amp;"넣고 버무린다.
19. 허브양념새우에 18을 묻혀 튀긴다.
20. 안심에 중국고춧가루를 뿌린 뒤 그릴팬에 굽는다.
21. 믹서기에 플레인요거트, 요구르트, 파인애플, 사과를 넣고 갈아 과일주스를 만든다.
22. 접시에 안심스테이크를 담은 뒤, 매운 소스를 올린다.
23. 찐 고추를 안심스테이크 위에 올린다.
24. 유리잔에 과일주스를 담아낸다.
25. 그릇에 앤초비올리브 소스를 담는다.
26. 25에 생강새우튀김을 올린다.
27. 생강새"&amp;"우튀김 위에 고수를 올린다.")</f>
        <v>1. 잘게 썬 대파, 태국고추를 기름에 넣는다.
2. 소 안심에 소금, 후추로 간한다.
3. 태국고추, 대파를 넣은 기름에 안심을 넣어 익힌다.
4. 3에 고추기름을 넣는다.
5. 청양고추, 홍고추에 칼집을 낸 뒤, 전분을 묻힌다.
6. 전분을 묻힌 고추를 찜기에 넣고 찐다.
7. 감자, 생강을 채 썬 뒤 물에 담가둔다.
8. 기름을 두른 팬에 잘게 썬 대파를 볶는다.
9. 핸드블렌더에 표고버섯, 양파, 홍고추, 청양고추, 대파를 넣고 간다.
10. 9를 팬에 넣고 대파와 함께 볶는다.
11. 10에 XO소스를 넣는다.
12. 11에 마라소스를 넣어 스테이크소스를 만든다.
13. 기름에 익힌 안심을 꺼낸다.
14. 태국고추를 잘게 부순 뒤 기름에 볶는다.
15. 14에 앤초비, 우렁이를 넣고 볶는다.
16. 15에 그린올리브, 뜨거운 물을 넣는다.
17. 16에 잘게 썬 청양고추, 토마토, 굴을 넣고 끓여 앤초비올리브 소스를 만든다.
18. 채 썬 감자와 생강에 전분을 넣고 버무린다.
19. 허브양념새우에 18을 묻혀 튀긴다.
20. 안심에 중국고춧가루를 뿌린 뒤 그릴팬에 굽는다.
21. 믹서기에 플레인요거트, 요구르트, 파인애플, 사과를 넣고 갈아 과일주스를 만든다.
22. 접시에 안심스테이크를 담은 뒤, 매운 소스를 올린다.
23. 찐 고추를 안심스테이크 위에 올린다.
24. 유리잔에 과일주스를 담아낸다.
25. 그릇에 앤초비올리브 소스를 담는다.
26. 25에 생강새우튀김을 올린다.
27. 생강새우튀김 위에 고수를 올린다.</v>
      </c>
    </row>
    <row r="840">
      <c r="A840" s="2" t="str">
        <f>recipe!C840
</f>
        <v>참치 먹고 싶은 사람? 하이!</v>
      </c>
      <c r="B840" s="2" t="str">
        <f>IFERROR(__xludf.DUMMYFUNCTION("TRIM(
  REGEXEXTRACT(
    raw!A840,
    ""●\s*조리\s*방법([\s\S]*)""
  )
)
"),"1. 알배추, 양송이버섯, 팽이버섯, 대파, 양배추를 적당한 크기로 썬 뒤 끓는 물에 데친다.
2. 찜기에 나무젓가락을 넣고 토치로 태운 뒤 참치를 올린다.
3. 2에 가쓰오부시를 넣고 뚜껑을 닫아 참치를 훈연한다.
4. 끓는 물에 채소육수팩, 미소를 넣고 끓인다.
5. 강판에 양파를 간다.
6. 석쇠에 올린 명란젓을 토치로 직화한다.
7. 얇게 썬 아보카도를 석쇠에 올린 뒤 토치로 직화한다.
8. 소 앞다릿살에 전분과 달걀물을 버무린다.
"&amp;"
9. 8의 앞다릿살을 기름에 튀기듯이 볶은 뒤 체에 밭쳐 기름을 뺀다.
10. 기름을 두른 팬에 적당한 크기로 썬 대파와 다진 생강을 볶는다.
11. 10에 앞다릿살을 익힌 기름, 데친 채소, 불고기소스, 맛술, 앞다릿살, 간장, 전분물을 넣어 볶는다.
12. 유자폰즈소스에 레몬즙, 설탕을 넣어 타다키소스를 만든다.
13. 끓는 기름에 대파, 고춧가루를 넣어 고추기름을 만든다.
14. 타다키소스에 고추기름, 간 양파를 넣는다.
15. 훈연한"&amp;" 참치를 토치로 직화한 뒤 얼음물에 넣는다.
16. 끓는 물에 우동면을 삶는다.
17. 기름을 두른 팬에 다진 마늘, 시금치, 소금, 오코노미야키 소스를 넣고 볶은 뒤 접시에 담는다.
18. 얼음물에 담가뒀던 참치를 적당한 크기로 썬다.
19. 참치 사이사이에 직화한 아보카도를 넣는다.
20. 아보카도를 넣은 참치 타다키를 시금치 위에 올린다.
21. 삶은 우동면을 얼음물&gt;끓는 물에 차례로 담근 뒤 그릇에 담는다.
22. 우동면 위에 볶은 "&amp;"채소와 앞다릿살을 올린다.
22. 22에 미소국물을 붓는다.
23. 참치 타다키에 소스를 끼얹는다.
24. 잘게 썬 대파를 참치 타다키 위에 올린다.
25. 직화한 명란젓을 적당한 크기로 썬 뒤 미소탕면 위에 올려 낸다.")</f>
        <v>1. 알배추, 양송이버섯, 팽이버섯, 대파, 양배추를 적당한 크기로 썬 뒤 끓는 물에 데친다.
2. 찜기에 나무젓가락을 넣고 토치로 태운 뒤 참치를 올린다.
3. 2에 가쓰오부시를 넣고 뚜껑을 닫아 참치를 훈연한다.
4. 끓는 물에 채소육수팩, 미소를 넣고 끓인다.
5. 강판에 양파를 간다.
6. 석쇠에 올린 명란젓을 토치로 직화한다.
7. 얇게 썬 아보카도를 석쇠에 올린 뒤 토치로 직화한다.
8. 소 앞다릿살에 전분과 달걀물을 버무린다.
9. 8의 앞다릿살을 기름에 튀기듯이 볶은 뒤 체에 밭쳐 기름을 뺀다.
10. 기름을 두른 팬에 적당한 크기로 썬 대파와 다진 생강을 볶는다.
11. 10에 앞다릿살을 익힌 기름, 데친 채소, 불고기소스, 맛술, 앞다릿살, 간장, 전분물을 넣어 볶는다.
12. 유자폰즈소스에 레몬즙, 설탕을 넣어 타다키소스를 만든다.
13. 끓는 기름에 대파, 고춧가루를 넣어 고추기름을 만든다.
14. 타다키소스에 고추기름, 간 양파를 넣는다.
15. 훈연한 참치를 토치로 직화한 뒤 얼음물에 넣는다.
16. 끓는 물에 우동면을 삶는다.
17. 기름을 두른 팬에 다진 마늘, 시금치, 소금, 오코노미야키 소스를 넣고 볶은 뒤 접시에 담는다.
18. 얼음물에 담가뒀던 참치를 적당한 크기로 썬다.
19. 참치 사이사이에 직화한 아보카도를 넣는다.
20. 아보카도를 넣은 참치 타다키를 시금치 위에 올린다.
21. 삶은 우동면을 얼음물&gt;끓는 물에 차례로 담근 뒤 그릇에 담는다.
22. 우동면 위에 볶은 채소와 앞다릿살을 올린다.
22. 22에 미소국물을 붓는다.
23. 참치 타다키에 소스를 끼얹는다.
24. 잘게 썬 대파를 참치 타다키 위에 올린다.
25. 직화한 명란젓을 적당한 크기로 썬 뒤 미소탕면 위에 올려 낸다.</v>
      </c>
    </row>
    <row r="841">
      <c r="A841" s="2" t="str">
        <f>recipe!C841
</f>
        <v>추풍낙엽</v>
      </c>
      <c r="B841" s="2" t="str">
        <f>IFERROR(__xludf.DUMMYFUNCTION("TRIM(
  REGEXEXTRACT(
    raw!A841,
    ""●\s*조리\s*방법([\s\S]*)""
  )
)
"),"1. 끓는 물에 식초, 설탕, 소금을 넣는다.
2. 알배추를 반으로 썬 뒤 1에 넣어 데친다.
3. 데친 알배추를 얼음물에 식힌 뒤 물기를 제거하고, 적당한 크기로 썬다.
4. 파인애플의 껍질을 제거하고, 대파는 얇게 채 썬다.
5. 소 앞다릿살을 적당한 크기로 썬 뒤 유자폰즈소스, 간장, 달걀흰자, 전분을 넣고 버무린다.
6. 데운 물에 앞다릿살을 넣고 약불에 서서히 익힌 뒤 건져낸다.
7. 적당한 크기로 썬 토마토, 식초, 설탕, 파인애플"&amp;"을 핸드블렌더에 넣고 간다.
8. 7에 간장, 유자폰즈소스, 쯔유를 넣어 토마토소스를 만든다.
9. 끓는 기름에 적당한 크기로 썬 대파, 고춧가루, 다진 마늘을 넣어 고추기름을 만든다.
10. 토마토소스에 고추기름을 넣고 간다.
11. 끓는 물에 우동면을 삶는다.
12. 삶은 우동면을 얼음물에 식힌 뒤 그릇에 담고, 데친 알배추를 올린다.
13. 12에 토마토소스를 붓는다.
14. 잘게 썬 대파, 유자폰즈소스, 꿀, 식초, 간장, 다진마늘을"&amp;" 섞어 양념간장을 만든다.
15. 앞다릿살에 팽이버섯, 파채를 올린 뒤 양념간장을 올린다.
16. 15에 뜨거운 기름을 끼얹어 낸다.")</f>
        <v>1. 끓는 물에 식초, 설탕, 소금을 넣는다.
2. 알배추를 반으로 썬 뒤 1에 넣어 데친다.
3. 데친 알배추를 얼음물에 식힌 뒤 물기를 제거하고, 적당한 크기로 썬다.
4. 파인애플의 껍질을 제거하고, 대파는 얇게 채 썬다.
5. 소 앞다릿살을 적당한 크기로 썬 뒤 유자폰즈소스, 간장, 달걀흰자, 전분을 넣고 버무린다.
6. 데운 물에 앞다릿살을 넣고 약불에 서서히 익힌 뒤 건져낸다.
7. 적당한 크기로 썬 토마토, 식초, 설탕, 파인애플을 핸드블렌더에 넣고 간다.
8. 7에 간장, 유자폰즈소스, 쯔유를 넣어 토마토소스를 만든다.
9. 끓는 기름에 적당한 크기로 썬 대파, 고춧가루, 다진 마늘을 넣어 고추기름을 만든다.
10. 토마토소스에 고추기름을 넣고 간다.
11. 끓는 물에 우동면을 삶는다.
12. 삶은 우동면을 얼음물에 식힌 뒤 그릇에 담고, 데친 알배추를 올린다.
13. 12에 토마토소스를 붓는다.
14. 잘게 썬 대파, 유자폰즈소스, 꿀, 식초, 간장, 다진마늘을 섞어 양념간장을 만든다.
15. 앞다릿살에 팽이버섯, 파채를 올린 뒤 양념간장을 올린다.
16. 15에 뜨거운 기름을 끼얹어 낸다.</v>
      </c>
    </row>
    <row r="842">
      <c r="A842" s="2" t="str">
        <f>recipe!C842
</f>
        <v>가슴속에 차오르는 연~어♬</v>
      </c>
      <c r="B842" s="2" t="str">
        <f>IFERROR(__xludf.DUMMYFUNCTION("TRIM(
  REGEXEXTRACT(
    raw!A842,
    ""●\s*조리\s*방법([\s\S]*)""
  )
)
"),"1. 마늘과 올리브오일을 핸드블렌더에 간 뒤 올리브오일을 두른 팬에 넣는다.
2. 1에 적당한 크기로 썬 양송이버섯, 소금, 올리브오일을 넣고 볶는다.
3. 2에 후추를 넣는다.
4. 양송이버섯에 버터를 넣어 볶은 뒤 볼에 담는다.
5. 올리브오일을 두른 팬에 얇게 썬 파프리카, 소금, 후추를 넣고 볶은 뒤 4의 볼에 담는다.
6. 연어에 올리브오일, 소금, 후추로 간한 뒤 올리브오일을 두른 팬에 굽는다.
7. 고구마를 얇게 썬 뒤 기름에 튀"&amp;"긴다.
8. 적당한 크기로 썬 애호박과 양파, 시금치를 기름에 튀긴다.
9. 튀긴 고구마, 애호박, 양파에 소금으로 간한 뒤 튀긴 시금치를 함께 담는다.
10. 아보카도와 바나나를 체에 밭쳐 으깬다.
11. 10에 레몬즙, 마요네즈, 꿀, 다진 마늘을 넣는다.
12. 11에 설탕을 넣어 아보카도소스를 만든다.
13. 잘게 썬 양파에 토마토파스타 소스를 넣고 볶는다.
14. 13에 볶은 양송이버섯과 파프리카를 넣는다.
15. 14에 파르메산"&amp;" 치즈를 갈아 넣어 토마토소스를 만든다.
16. 파인애플의 껍질을 제거한 뒤 얇게 썬다.
17. 팬에 잣을 볶은 뒤 종이포일을 덮어 잘게 부순다.
18. 알프레도파스타 소스에 간 마늘을 넣고 졸여 크림소스를 만든다.
19. 밀가루를 묻힌 닭가슴살에 소금, 후추로 간한 뒤 올리브오일을 두른 팬에 굽는다.
20. 구운 닭가슴살을 토마토소스에 넣는다.
21. 접시에 튀긴 양파를 올린다.
22. 21에 아보카도소스, 구운 연어, 잘게 부순 잣, 크"&amp;"림소스를 올린 뒤 발사믹크림을 뿌린다.
23. 튀긴 시금치를 접시에 올린다.
24. 접시에 토마토소스를 올린 뒤 튀긴 애호박과 고구마를 올린다.
25. 24에 간 파르메산 치즈&gt;파인애플&gt;토마토소스&gt;간 파르메산 치즈 순서로 올린다.
26. 접시에 닭가슴살과 토마토소스를 올린다.
27. 파르메산 치즈를 갈아 올려 마무리한다.")</f>
        <v>1. 마늘과 올리브오일을 핸드블렌더에 간 뒤 올리브오일을 두른 팬에 넣는다.
2. 1에 적당한 크기로 썬 양송이버섯, 소금, 올리브오일을 넣고 볶는다.
3. 2에 후추를 넣는다.
4. 양송이버섯에 버터를 넣어 볶은 뒤 볼에 담는다.
5. 올리브오일을 두른 팬에 얇게 썬 파프리카, 소금, 후추를 넣고 볶은 뒤 4의 볼에 담는다.
6. 연어에 올리브오일, 소금, 후추로 간한 뒤 올리브오일을 두른 팬에 굽는다.
7. 고구마를 얇게 썬 뒤 기름에 튀긴다.
8. 적당한 크기로 썬 애호박과 양파, 시금치를 기름에 튀긴다.
9. 튀긴 고구마, 애호박, 양파에 소금으로 간한 뒤 튀긴 시금치를 함께 담는다.
10. 아보카도와 바나나를 체에 밭쳐 으깬다.
11. 10에 레몬즙, 마요네즈, 꿀, 다진 마늘을 넣는다.
12. 11에 설탕을 넣어 아보카도소스를 만든다.
13. 잘게 썬 양파에 토마토파스타 소스를 넣고 볶는다.
14. 13에 볶은 양송이버섯과 파프리카를 넣는다.
15. 14에 파르메산 치즈를 갈아 넣어 토마토소스를 만든다.
16. 파인애플의 껍질을 제거한 뒤 얇게 썬다.
17. 팬에 잣을 볶은 뒤 종이포일을 덮어 잘게 부순다.
18. 알프레도파스타 소스에 간 마늘을 넣고 졸여 크림소스를 만든다.
19. 밀가루를 묻힌 닭가슴살에 소금, 후추로 간한 뒤 올리브오일을 두른 팬에 굽는다.
20. 구운 닭가슴살을 토마토소스에 넣는다.
21. 접시에 튀긴 양파를 올린다.
22. 21에 아보카도소스, 구운 연어, 잘게 부순 잣, 크림소스를 올린 뒤 발사믹크림을 뿌린다.
23. 튀긴 시금치를 접시에 올린다.
24. 접시에 토마토소스를 올린 뒤 튀긴 애호박과 고구마를 올린다.
25. 24에 간 파르메산 치즈&gt;파인애플&gt;토마토소스&gt;간 파르메산 치즈 순서로 올린다.
26. 접시에 닭가슴살과 토마토소스를 올린다.
27. 파르메산 치즈를 갈아 올려 마무리한다.</v>
      </c>
    </row>
    <row r="843">
      <c r="A843" s="2" t="str">
        <f>recipe!C843
</f>
        <v>베이징닭</v>
      </c>
      <c r="B843" s="2" t="str">
        <f>IFERROR(__xludf.DUMMYFUNCTION("TRIM(
  REGEXEXTRACT(
    raw!A843,
    ""●\s*조리\s*방법([\s\S]*)""
  )
)
"),"1. 끓는 물에 간장, 스키야키 소스, 설탕을 넣는다.
2. 1에 뜨거운 물을 넣는다.
3. 2에 마늘, 생강, 셀러리, 채소육수팩, 데미글라스 소스, 참깨드레싱을 넣는다.
4. 생닭을 손질한다.
5. 전분물을 만든 뒤 손질한 닭에 골고루 발라준다.
6. 닭 몸통에 길게 만 쿠킹포일을 넣은 뒤 끝을 묶어준다.
7. 전분물을 묻힌 닭을 기름에 튀긴다.
8. 튀긴 닭을 기름에 반복해서 넣었다가 뺀다.
9. 튀긴 닭을 간장 국물에 넣어 익힌다."&amp;"
10. 채 썬 대파를 찬물에 담가둔다.
11. 당근, 셀러리, 파프리카, 알배추를 얇게 채 썬 뒤 접시에 담는다.
12. 팬에 잣, 미소, 오코노미야키 소스, 물, 설탕을 넣어 볶는다.
13. 12를 핸드블렌더에 갈아 잣소스를 만든다.
14. 찬물에 담가뒀던 파채에 맛술, 식초, 설탕, 간장, 고춧가루를 넣어 파무침을 만든다.
15. 잣을 핸드블렌더에 넣고 간 뒤 파무침에 넣는다.
16. 접시에 파무침을 올린 뒤 간 잣, 참기름을 뿌린다."&amp;"
17. 밀대로 식빵을 얇게 민다.
18. 얇게 민 식빵을 원형틀로 찍어낸다.
19. 찍어낸 식빵을 밀대로 한 번 더 민다.
20. 체에 가쓰오부시를 넣은 뒤 직화한다.
21. 냄비에 직화한 가쓰오부시와 화이트와인을 넣는다.
22. 21에 콤부차를 넣고 끓여 사케를 만든다.
23. 팬에 얇게 민 식빵을 굽는다.
24. 구운 식빵을 나무 찜기에 담아낸다.
25. 간장 국물에 익힌 닭을 꺼내 설탕을 묻힌다.
26. 설탕을 묻힌 닭을 기름에"&amp;" 한 번 더 튀긴다.
27. 튀긴 닭의 쿠킹포일을 제거한 뒤 접시에 올린다.
28. 체를 이용해 가쓰오부시를 걸러낸 뒤 사케만 병에 담아낸다.")</f>
        <v>1. 끓는 물에 간장, 스키야키 소스, 설탕을 넣는다.
2. 1에 뜨거운 물을 넣는다.
3. 2에 마늘, 생강, 셀러리, 채소육수팩, 데미글라스 소스, 참깨드레싱을 넣는다.
4. 생닭을 손질한다.
5. 전분물을 만든 뒤 손질한 닭에 골고루 발라준다.
6. 닭 몸통에 길게 만 쿠킹포일을 넣은 뒤 끝을 묶어준다.
7. 전분물을 묻힌 닭을 기름에 튀긴다.
8. 튀긴 닭을 기름에 반복해서 넣었다가 뺀다.
9. 튀긴 닭을 간장 국물에 넣어 익힌다.
10. 채 썬 대파를 찬물에 담가둔다.
11. 당근, 셀러리, 파프리카, 알배추를 얇게 채 썬 뒤 접시에 담는다.
12. 팬에 잣, 미소, 오코노미야키 소스, 물, 설탕을 넣어 볶는다.
13. 12를 핸드블렌더에 갈아 잣소스를 만든다.
14. 찬물에 담가뒀던 파채에 맛술, 식초, 설탕, 간장, 고춧가루를 넣어 파무침을 만든다.
15. 잣을 핸드블렌더에 넣고 간 뒤 파무침에 넣는다.
16. 접시에 파무침을 올린 뒤 간 잣, 참기름을 뿌린다.
17. 밀대로 식빵을 얇게 민다.
18. 얇게 민 식빵을 원형틀로 찍어낸다.
19. 찍어낸 식빵을 밀대로 한 번 더 민다.
20. 체에 가쓰오부시를 넣은 뒤 직화한다.
21. 냄비에 직화한 가쓰오부시와 화이트와인을 넣는다.
22. 21에 콤부차를 넣고 끓여 사케를 만든다.
23. 팬에 얇게 민 식빵을 굽는다.
24. 구운 식빵을 나무 찜기에 담아낸다.
25. 간장 국물에 익힌 닭을 꺼내 설탕을 묻힌다.
26. 설탕을 묻힌 닭을 기름에 한 번 더 튀긴다.
27. 튀긴 닭의 쿠킹포일을 제거한 뒤 접시에 올린다.
28. 체를 이용해 가쓰오부시를 걸러낸 뒤 사케만 병에 담아낸다.</v>
      </c>
    </row>
    <row r="844">
      <c r="A844" s="2" t="str">
        <f>recipe!C844
</f>
        <v>나의 사랑 나의 김치</v>
      </c>
      <c r="B844" s="2" t="str">
        <f>IFERROR(__xludf.DUMMYFUNCTION("TRIM(
  REGEXEXTRACT(
    raw!A844,
    ""●\s*조리\s*방법([\s\S]*)""
  )
)
"),"1. 불린 쌀을 돌솥에 넣은 뒤 물을 넣는다.
2. 돌솥의 뚜껑을 덮고 익힌다.
3. 총각김치를 씻은 뒤 적당한 크기로 썬다.
4. 들기름을 두른 팬에 총각김치, 인스턴트 곰탕을 넣고 끓인다.
5. 두부를 으깬 뒤 콩가루와 섞어준다.
6. 5를 국물에 넣은 뒤 맛간장을 넣어 비지찌개를 만든다.
7. 불린 무말랭이와 표고버섯을 잘게 썬다.
8. 밥 위에 불린 무말랭이, 표고버섯, 들기름을 넣고 익힌다.
9. 팬에 멸치육수를 넣은 뒤 배추김치"&amp;"를 넣는다.
10. 반으로 가른 꽃게 몸통을 팬에 넣는다.
11. 10에 콩나물, 국물용 조미료, 고춧가루, 배추김치국물, 설탕, 고추장을 넣는다.
12. 불린 황태를 적당한 크기로 자른 뒤 전분을 묻힌다.
13. 찜기에 콩나물과 전분을 묻힌 황태를 넣고 찐다.
14. 찐 황태를 꺼내 전분&gt;달걀흰자&gt;전분 순서로 묻힌 뒤, 다시 찜기에 넣고 찐다.
15. 찐 콩나물을 볼에 담은 뒤 들기름, 으깬 깨를 넣고 버무린다.
16. 김치찜에 청양고추,"&amp;" 맛간장, 다진 마늘을 넣는다.
17. 김치찜에 찐 황태, 전분물을 넣는다.
18. 황태김치찜을 접시에 담는다.
19. 깨와 들기름에 버무린 콩나물을 올려 마무리한다.")</f>
        <v>1. 불린 쌀을 돌솥에 넣은 뒤 물을 넣는다.
2. 돌솥의 뚜껑을 덮고 익힌다.
3. 총각김치를 씻은 뒤 적당한 크기로 썬다.
4. 들기름을 두른 팬에 총각김치, 인스턴트 곰탕을 넣고 끓인다.
5. 두부를 으깬 뒤 콩가루와 섞어준다.
6. 5를 국물에 넣은 뒤 맛간장을 넣어 비지찌개를 만든다.
7. 불린 무말랭이와 표고버섯을 잘게 썬다.
8. 밥 위에 불린 무말랭이, 표고버섯, 들기름을 넣고 익힌다.
9. 팬에 멸치육수를 넣은 뒤 배추김치를 넣는다.
10. 반으로 가른 꽃게 몸통을 팬에 넣는다.
11. 10에 콩나물, 국물용 조미료, 고춧가루, 배추김치국물, 설탕, 고추장을 넣는다.
12. 불린 황태를 적당한 크기로 자른 뒤 전분을 묻힌다.
13. 찜기에 콩나물과 전분을 묻힌 황태를 넣고 찐다.
14. 찐 황태를 꺼내 전분&gt;달걀흰자&gt;전분 순서로 묻힌 뒤, 다시 찜기에 넣고 찐다.
15. 찐 콩나물을 볼에 담은 뒤 들기름, 으깬 깨를 넣고 버무린다.
16. 김치찜에 청양고추, 맛간장, 다진 마늘을 넣는다.
17. 김치찜에 찐 황태, 전분물을 넣는다.
18. 황태김치찜을 접시에 담는다.
19. 깨와 들기름에 버무린 콩나물을 올려 마무리한다.</v>
      </c>
    </row>
    <row r="845">
      <c r="A845" s="2" t="str">
        <f>recipe!C845
</f>
        <v>랄라라♬ 김치라고</v>
      </c>
      <c r="B845" s="2" t="str">
        <f>IFERROR(__xludf.DUMMYFUNCTION("TRIM(
  REGEXEXTRACT(
    raw!A845,
    ""●\s*조리\s*방법([\s\S]*)""
  )
)
"),"1. 불린 쌀을 뚝배기에 넣는다.
2. 팬에 들기름을 두른 뒤 콩나물을 넣고 볶는다.
3. 불린 쌀에 물, 볶은 콩나물을 넣는다.
4. 팬에 잘게 썬 삼겹살, 들기름, 적당한 크기로 썬 배추김치를 넣고 볶는다.
5. 뚝배기에 4를 넣은 뒤 뚜껑을 덮고 익힌다.
6. 삼겹살은 어슷 썰고, 총각김치는 얇게 썬다.
7. 팬에 삼겹살, 총각김치를 넣고 볶은 뒤 멸치육수를 넣어 끓인다.
8. 표고버섯, 대파, 느타리버섯, 청양고추를 얇게 썬다.
9"&amp;". 국물에 대파, 표고버섯, 미소, 느타리버섯을 넣어 돈지루를 만든다.
10. 씻은 배추김치와 청양고추를 돈지루에 넣는다.
11. 잘게 썬 배추김치에 참기름, 잘게 썬 쪽파, 깨를 넣고 섞는다.
12. 11에 낫토를 넣어 섞는다.
13. 끓는 물에 두부를 데친다.
14. 데친 두부의 윗면을 동그랗게 파낸 뒤 접시에 올린다.
15. 끓는 물에 낙지를 데친다.
16. 데친 낙지를 잘게 썰어 솥밥에 넣는다.
17. 두부에 김치 낫토, 달걀노른자"&amp;"를 올린다.
18. 다마리 간장에 고춧가루, 설탕, 잘게 썬 대파를 넣어 양념장을 만든다.
19. 돈지루를 그릇에 담은 뒤 쪽파를 올린다.")</f>
        <v>1. 불린 쌀을 뚝배기에 넣는다.
2. 팬에 들기름을 두른 뒤 콩나물을 넣고 볶는다.
3. 불린 쌀에 물, 볶은 콩나물을 넣는다.
4. 팬에 잘게 썬 삼겹살, 들기름, 적당한 크기로 썬 배추김치를 넣고 볶는다.
5. 뚝배기에 4를 넣은 뒤 뚜껑을 덮고 익힌다.
6. 삼겹살은 어슷 썰고, 총각김치는 얇게 썬다.
7. 팬에 삼겹살, 총각김치를 넣고 볶은 뒤 멸치육수를 넣어 끓인다.
8. 표고버섯, 대파, 느타리버섯, 청양고추를 얇게 썬다.
9. 국물에 대파, 표고버섯, 미소, 느타리버섯을 넣어 돈지루를 만든다.
10. 씻은 배추김치와 청양고추를 돈지루에 넣는다.
11. 잘게 썬 배추김치에 참기름, 잘게 썬 쪽파, 깨를 넣고 섞는다.
12. 11에 낫토를 넣어 섞는다.
13. 끓는 물에 두부를 데친다.
14. 데친 두부의 윗면을 동그랗게 파낸 뒤 접시에 올린다.
15. 끓는 물에 낙지를 데친다.
16. 데친 낙지를 잘게 썰어 솥밥에 넣는다.
17. 두부에 김치 낫토, 달걀노른자를 올린다.
18. 다마리 간장에 고춧가루, 설탕, 잘게 썬 대파를 넣어 양념장을 만든다.
19. 돈지루를 그릇에 담은 뒤 쪽파를 올린다.</v>
      </c>
    </row>
    <row r="846">
      <c r="A846" s="2" t="str">
        <f>recipe!C846
</f>
        <v>투면스</v>
      </c>
      <c r="B846" s="2" t="str">
        <f>IFERROR(__xludf.DUMMYFUNCTION("TRIM(
  REGEXEXTRACT(
    raw!A846,
    ""●\s*조리\s*방법([\s\S]*)""
  )
)
"),"1. 핸드블렌더에 밀가루, 전분, 참치액을 넣는다.
2. 1에 식용유, 물을 넣고 갈아 면 반죽을 만든다.
3. 삼겹살을 잘게 썰어 팬에 넣는다.
4. 새우의 머리와 껍질을 떼어낸다.
5. 잘게 썬 삼겹살에 들기름, 새우 머리와 껍질, 꽃게 다리, 참치액을 넣고 볶는다.
6. 팬에 대파, 식용유, 다진 마늘, 고춧가루, 들기름, 느타리버섯, 표고버섯, 물을 넣고 끓여 얼큰한 국물을 만든다.
7. 5의 팬에 물을 부어 육수를 낸다.
8. 6의"&amp;" 국물에 콩나물을 넣는다.
9. 육수에 국물용 조미료를 넣는다.
10. 밀가루 위에 면 반죽을 올린 뒤 밀대로 넓게 민다.
11. 면 반죽을 여러 겹으로 접는다.
12. 접은 면 반죽의 두께를 다르게 썰어, 얇은 면과 굵은 면을 만든다.
13. 건더기를 걸러낸 육수에 얇은 면을 삶는다.
14. 굵은 면은 끓는 물에 넣어 삶는다.
15. 국물에 굴소스와 새우살을 넣는다.
16. 육수를 체에 밭쳐 얇은 면과 육수를 분리한다.
17. 면을 삶"&amp;"았던 육수를 국물에 넣는다.
18. 얼음물에 식힌 얇은 면의 물기를 뺀 뒤 그릇에 담는다.
19. 깻잎을 잘게 썬다.
20. 얇은 면 위에 깻잎을 올리고, 들기름을 두른다.
21. 국물을 뚝배기에 담는다.
22. 익힌 굵은 면을 그릇에 따로 담아낸다.")</f>
        <v>1. 핸드블렌더에 밀가루, 전분, 참치액을 넣는다.
2. 1에 식용유, 물을 넣고 갈아 면 반죽을 만든다.
3. 삼겹살을 잘게 썰어 팬에 넣는다.
4. 새우의 머리와 껍질을 떼어낸다.
5. 잘게 썬 삼겹살에 들기름, 새우 머리와 껍질, 꽃게 다리, 참치액을 넣고 볶는다.
6. 팬에 대파, 식용유, 다진 마늘, 고춧가루, 들기름, 느타리버섯, 표고버섯, 물을 넣고 끓여 얼큰한 국물을 만든다.
7. 5의 팬에 물을 부어 육수를 낸다.
8. 6의 국물에 콩나물을 넣는다.
9. 육수에 국물용 조미료를 넣는다.
10. 밀가루 위에 면 반죽을 올린 뒤 밀대로 넓게 민다.
11. 면 반죽을 여러 겹으로 접는다.
12. 접은 면 반죽의 두께를 다르게 썰어, 얇은 면과 굵은 면을 만든다.
13. 건더기를 걸러낸 육수에 얇은 면을 삶는다.
14. 굵은 면은 끓는 물에 넣어 삶는다.
15. 국물에 굴소스와 새우살을 넣는다.
16. 육수를 체에 밭쳐 얇은 면과 육수를 분리한다.
17. 면을 삶았던 육수를 국물에 넣는다.
18. 얼음물에 식힌 얇은 면의 물기를 뺀 뒤 그릇에 담는다.
19. 깻잎을 잘게 썬다.
20. 얇은 면 위에 깻잎을 올리고, 들기름을 두른다.
21. 국물을 뚝배기에 담는다.
22. 익힌 굵은 면을 그릇에 따로 담아낸다.</v>
      </c>
    </row>
    <row r="847">
      <c r="A847" s="2" t="str">
        <f>recipe!C847
</f>
        <v>레이면킹</v>
      </c>
      <c r="B847" s="2" t="str">
        <f>IFERROR(__xludf.DUMMYFUNCTION("TRIM(
  REGEXEXTRACT(
    raw!A847,
    ""●\s*조리\s*방법([\s\S]*)""
  )
)
"),"1. 불린 황태에 밀가루를 묻힌 뒤 토치로 직화한다.
2. 끓는 물에 직화한 황태, 맛술, 인스턴트 멸치다시마 육수, 멸치육수를 넣는다.
3. 2에 대파, 표고버섯, 국물용 조미료, 청양고추를 넣어 육수를 만든다.
4. 매생이를 적당한 크기로 썬 뒤 믹서기에 넣는다.
5. 4에 밀가루, 소금, 뜨거운 물을 넣고 갈아 매생이면 반죽을 만든다.
6. 매생이면 반죽을 밀가루와 함께 치댄다.
7. 매생이면 반죽을 볼로 덮어 숙성시킨다.
8. 잘게 "&amp;"썬 청양고추, 고춧가루, 쪽파, 다마리 간장, 들기름, 맛간장, 깨를 섞어 양념장을 만든다.
9. 끓는 물에 식초, 소금, 잘게 썬 양파, 멸치액젓을 넣고 끓인다.
10. 9를 체에 밭쳐 양파만 건져낸다.
11. 양파와 쪽파를 육수에 데친 뒤 얼음물에 식힌다.
12. 핸드블렌더에 즉석밥, 멸치액젓, 고춧가루, 무, 사과, 다진 생강, 다진 마늘을 넣고 갈아 양념을 만든다.
13. 얼음물에 식힌 양파와 쪽파를 양념에 버무려 양파김치를 만든다.
"&amp;"14. 밀가루 위에 매생이면 반죽을 올린 뒤 밀대로 넓게 민다.
15. 매생이면 반죽을 여러 겹으로 접은 뒤 썰어 면을 만든다.
16. 육수의 건더기를 건져낸 뒤 맛간장을 넣는다.
17. 육수에 매생이면을 넣고 삶는다.
18. 매생이면과 육수를 그릇에 담아낸다.
19. 육수에 익힌 표고버섯을 잘게 썰어 매생이면 위에 올린다.")</f>
        <v>1. 불린 황태에 밀가루를 묻힌 뒤 토치로 직화한다.
2. 끓는 물에 직화한 황태, 맛술, 인스턴트 멸치다시마 육수, 멸치육수를 넣는다.
3. 2에 대파, 표고버섯, 국물용 조미료, 청양고추를 넣어 육수를 만든다.
4. 매생이를 적당한 크기로 썬 뒤 믹서기에 넣는다.
5. 4에 밀가루, 소금, 뜨거운 물을 넣고 갈아 매생이면 반죽을 만든다.
6. 매생이면 반죽을 밀가루와 함께 치댄다.
7. 매생이면 반죽을 볼로 덮어 숙성시킨다.
8. 잘게 썬 청양고추, 고춧가루, 쪽파, 다마리 간장, 들기름, 맛간장, 깨를 섞어 양념장을 만든다.
9. 끓는 물에 식초, 소금, 잘게 썬 양파, 멸치액젓을 넣고 끓인다.
10. 9를 체에 밭쳐 양파만 건져낸다.
11. 양파와 쪽파를 육수에 데친 뒤 얼음물에 식힌다.
12. 핸드블렌더에 즉석밥, 멸치액젓, 고춧가루, 무, 사과, 다진 생강, 다진 마늘을 넣고 갈아 양념을 만든다.
13. 얼음물에 식힌 양파와 쪽파를 양념에 버무려 양파김치를 만든다.
14. 밀가루 위에 매생이면 반죽을 올린 뒤 밀대로 넓게 민다.
15. 매생이면 반죽을 여러 겹으로 접은 뒤 썰어 면을 만든다.
16. 육수의 건더기를 건져낸 뒤 맛간장을 넣는다.
17. 육수에 매생이면을 넣고 삶는다.
18. 매생이면과 육수를 그릇에 담아낸다.
19. 육수에 익힌 표고버섯을 잘게 썰어 매생이면 위에 올린다.</v>
      </c>
    </row>
    <row r="848">
      <c r="A848" s="2" t="str">
        <f>recipe!C848
</f>
        <v>해선만복</v>
      </c>
      <c r="B848" s="2" t="str">
        <f>IFERROR(__xludf.DUMMYFUNCTION("TRIM(
  REGEXEXTRACT(
    raw!A848,
    ""●\s*조리\s*방법([\s\S]*)""
  )
)
"),"1. 관자의 딱딱한 부분을 제거한 뒤 반으로 갈라 칼집을 낸다.
2. 새우를 핸드블렌더에 넣고 간다.
3. 잘게 다진 대파와 양파, 간새우, 게살을 섞는다.
4. 3에 전분, 소금, 달걀물을 넣고 섞어 소를 만든다.
5. 밀가루를 묻힌 관자 사이에 소를 채워 넣는다.
6. 기름을 넉넉히 두른 팬에 된장을 넣고 튀긴다.
7. 칼집을 낸 전복을 잘게 썬다.
8. 오징어에 촘촘하게 칼집을 낸다.
9. 오징어, 삶은 문어, 주꾸미, 브로콜리, 파"&amp;"프리카를 잘게 썬 뒤 끓는 물에 데친다.
10. 전분에 물, 달걀물을 넣는다.
11. 10에 식용유를 넣어 튀김반죽을 만든 뒤 관자에 뿌린다.
12. 튀김옷을 입힌 관자를 기름에 튀긴다.
13. 튀긴 된장을 볼에 담는다.
14. 팬에 잘게 썬 대파, 된장을 튀긴 기름, 마늘, 그린빈, 마파소스, 설탕을 넣고 볶는다.
15. 접시에 그린빈볶음을 담는다.
16. 청양고추, 대파, 송이버섯을 잘게 썬 뒤 팬에 넣는다.
17. 16에 데친 해산물"&amp;"과 채소, 간장을 넣고 볶는다.
18. 튀긴 된장에 오디즙을 섞어 소스를 만든다.
19. 해산물채소볶음에 된장소스를 넣어 볶는다.
20. 튀긴 관자를 팬에 넣은 뒤 라임청을 넣고 볶는다.
21. 튀긴 관자와 해산물채소볶음을 접시에 담은 뒤 잣을 뿌린다.")</f>
        <v>1. 관자의 딱딱한 부분을 제거한 뒤 반으로 갈라 칼집을 낸다.
2. 새우를 핸드블렌더에 넣고 간다.
3. 잘게 다진 대파와 양파, 간새우, 게살을 섞는다.
4. 3에 전분, 소금, 달걀물을 넣고 섞어 소를 만든다.
5. 밀가루를 묻힌 관자 사이에 소를 채워 넣는다.
6. 기름을 넉넉히 두른 팬에 된장을 넣고 튀긴다.
7. 칼집을 낸 전복을 잘게 썬다.
8. 오징어에 촘촘하게 칼집을 낸다.
9. 오징어, 삶은 문어, 주꾸미, 브로콜리, 파프리카를 잘게 썬 뒤 끓는 물에 데친다.
10. 전분에 물, 달걀물을 넣는다.
11. 10에 식용유를 넣어 튀김반죽을 만든 뒤 관자에 뿌린다.
12. 튀김옷을 입힌 관자를 기름에 튀긴다.
13. 튀긴 된장을 볼에 담는다.
14. 팬에 잘게 썬 대파, 된장을 튀긴 기름, 마늘, 그린빈, 마파소스, 설탕을 넣고 볶는다.
15. 접시에 그린빈볶음을 담는다.
16. 청양고추, 대파, 송이버섯을 잘게 썬 뒤 팬에 넣는다.
17. 16에 데친 해산물과 채소, 간장을 넣고 볶는다.
18. 튀긴 된장에 오디즙을 섞어 소스를 만든다.
19. 해산물채소볶음에 된장소스를 넣어 볶는다.
20. 튀긴 관자를 팬에 넣은 뒤 라임청을 넣고 볶는다.
21. 튀긴 관자와 해산물채소볶음을 접시에 담은 뒤 잣을 뿌린다.</v>
      </c>
    </row>
    <row r="849">
      <c r="A849" s="2" t="str">
        <f>recipe!C849
</f>
        <v>저 빠다에 누워♬</v>
      </c>
      <c r="B849" s="2" t="str">
        <f>IFERROR(__xludf.DUMMYFUNCTION("TRIM(
  REGEXEXTRACT(
    raw!A849,
    ""●\s*조리\s*방법([\s\S]*)""
  )
)
"),"1. 관자에 촘촘하게 칼집을 낸다.
2. 전복, 오징어에 촘촘하게 칼집을 낸다.
3. 삶은 문어 다리를 고기망치로 두드린다.
4. 삶은 문어 다리를 잘게 썬다.
5. 대파를 잘게 썬 뒤 기름을 두른 팬에 넣어 파기름을 낸다.
6. 5에 달걀을 넣어 볶는다.
7. 6에 게살, 버터, 즉석밥, 소금, 쌀국수볶음소소를 넣어 볶음밥을 만든다.
8. 셀러리, 홍고추, 미니 파프리카, 꽈리고추를 잘게 썬다.
9. 기름을 두른 팬에 손질한 채소를 넣은"&amp;" 뒤 소금으로 간한다.
10. 손질한 해산물에 뜨거운 물을 부어 데친다.
11. 볶던 채소에 데친 해산물을 넣는다.
12. 팬에 삼발 올렉, 스리라차소스, 다진마늘, 간장을 넣고 볶아 칠리소스를 만든다.
13. 먹기 좋은 크기로 썬 파인애플을 볶음밥에 넣고 볶는다.
14. 볶음밥, 해산물볶음, 칠리소스에 후추를 뿌린다.
15. 볶음밥을 접시에 담는다.
16. 칠리소스에 설탕, 버터, 전분물을 넣어 졸인다.
17. 칠리소스에 참기름을 넣는다"&amp;".
18. 고수를 잘게 썬 뒤 칠리소스에 넣는다.
19. 해산물볶음에 칠리소스를 넣은 뒤 설탕, 버터를 넣고 섞는다.
20. 해산물볶음을 접시에 담는다.
21. 해산물볶음에 고수, 칠리소스를 올려 낸다.")</f>
        <v>1. 관자에 촘촘하게 칼집을 낸다.
2. 전복, 오징어에 촘촘하게 칼집을 낸다.
3. 삶은 문어 다리를 고기망치로 두드린다.
4. 삶은 문어 다리를 잘게 썬다.
5. 대파를 잘게 썬 뒤 기름을 두른 팬에 넣어 파기름을 낸다.
6. 5에 달걀을 넣어 볶는다.
7. 6에 게살, 버터, 즉석밥, 소금, 쌀국수볶음소소를 넣어 볶음밥을 만든다.
8. 셀러리, 홍고추, 미니 파프리카, 꽈리고추를 잘게 썬다.
9. 기름을 두른 팬에 손질한 채소를 넣은 뒤 소금으로 간한다.
10. 손질한 해산물에 뜨거운 물을 부어 데친다.
11. 볶던 채소에 데친 해산물을 넣는다.
12. 팬에 삼발 올렉, 스리라차소스, 다진마늘, 간장을 넣고 볶아 칠리소스를 만든다.
13. 먹기 좋은 크기로 썬 파인애플을 볶음밥에 넣고 볶는다.
14. 볶음밥, 해산물볶음, 칠리소스에 후추를 뿌린다.
15. 볶음밥을 접시에 담는다.
16. 칠리소스에 설탕, 버터, 전분물을 넣어 졸인다.
17. 칠리소스에 참기름을 넣는다.
18. 고수를 잘게 썬 뒤 칠리소스에 넣는다.
19. 해산물볶음에 칠리소스를 넣은 뒤 설탕, 버터를 넣고 섞는다.
20. 해산물볶음을 접시에 담는다.
21. 해산물볶음에 고수, 칠리소스를 올려 낸다.</v>
      </c>
    </row>
    <row r="850">
      <c r="A850" s="2" t="str">
        <f>recipe!C850
</f>
        <v>날아라 슈퍼푸드</v>
      </c>
      <c r="B850" s="2" t="str">
        <f>IFERROR(__xludf.DUMMYFUNCTION("TRIM(
  REGEXEXTRACT(
    raw!A850,
    ""●\s*조리\s*방법([\s\S]*)""
  )
)
"),"1. 토란을 얇게 썬 뒤 끓는 물에 넣어 삶는다.
2. 올리브오일을 두른 냄비에 다진 소고기, 마늘, 토란 삶은 물을 넣고 끓여 육수를 낸다.
3. 올리브오일에 마늘, 파슬리, 얇게 썬 토마토를 넣는다.
4. 3에 소금, 설탕으로 간한 뒤 랩을 씌운 접시 위에 올린다.
5. 4를 전자레인지에 넣고 돌린다.
6. 파프리카를 적당한 크기로 썬 뒤 그릴팬에 굽는다.
7. 파프리카에 올리브오일, 소금을 뿌려 굽는다.
8. 핸드블렌더에 밀가루, 강황"&amp;"물, 강황가루를 넣는다.
9. 8을 갈아 반죽을 만든 뒤 손으로 치댄다.
10. 소 안심을 적당한 크기로 썬 뒤 팬에 넣는다.
11. 10에 올리브오일, 밀가루, 파프리카가루, 소금, 후추를 넣고 볶는다.
12. 잘게 썬 양파와 구운 파프리카를 팬에 넣고 함께 볶는다.
13. 재료를 볶던 팬에 토란 삶은 물을 넣는다.
14. 13에 육수를 넣는다.
15. 14에 토마토홀을 넣어 토마토소스를 만든다.
16. 반죽을 밀대로 얇게 민다.
17"&amp;". 얇게 민 반죽을 사각형 모양으로 자른 뒤 끓는 물에 넣어 삶는다.
18. 마늘을 으깬 뒤 올리브오일을 두른 팬에 넣어 볶는다.
19. 얇게 썬 케일을 팬에 넣고 함께 볶는다.
20. 볶은 케일에 소금, 후추로 간한 뒤 볼에 담아둔다.
21. 볶은 케일에 리코타 치즈를 넣고 섞는다.
22. 전자레인지에 돌린 토마토를 21과 섞어준다.
23. 삶은 토란을 체에 밭쳐 으깬 뒤 22에 넣어 소를 만든다.
24. 삶은 반죽을 찬물에 헹군다.
2"&amp;"5. 반으로 자른 반죽에 소를 올린 뒤 돌돌 말아 카넬로니를 만든다.
26. 닭가슴살을 넓게 펼친 뒤 고기망치로 두드린다.
27. 올리브오일을 두른 팬에 닭가슴살을 넣은 뒤 소금, 후추, 바질을 뿌려 굽는다.
28. 토마토소스에 리코타 치즈를 넣는다.
29. 접시에 토마토소스를 담은 뒤 카넬로니를 올린다.
30. 카넬로니에 생모차렐라 치즈를 올린 뒤 토치로 직화한다.
31. 구운 닭가슴살을 접시에 올린다.
32. 올리브오일을 두른 팬에 송이"&amp;"버섯을 넣은 뒤 소금을 뿌려 굽는다.
33. 케일을 얇게 채 썬 뒤 볼에 담는다.
34. 케일에 토마토, 채 썬 사과를 넣는다.
35. 아로니아가루, 유자드레싱, 올리브오일을 섞어 아로니아 드레싱을 만든 뒤
볼에 넣고 섞어 샐러드를 만든다.
36. 구운 닭가슴살 위에 샐러드를 올린다.
37. 샐러드에 구운 송이버섯을 올린다.
38. 샐러드 위에 아로니아 드레싱을 뿌린다.
39. 샐러드와 카넬로니에 레몬즙을 뿌려 마무리한다.")</f>
        <v>1. 토란을 얇게 썬 뒤 끓는 물에 넣어 삶는다.
2. 올리브오일을 두른 냄비에 다진 소고기, 마늘, 토란 삶은 물을 넣고 끓여 육수를 낸다.
3. 올리브오일에 마늘, 파슬리, 얇게 썬 토마토를 넣는다.
4. 3에 소금, 설탕으로 간한 뒤 랩을 씌운 접시 위에 올린다.
5. 4를 전자레인지에 넣고 돌린다.
6. 파프리카를 적당한 크기로 썬 뒤 그릴팬에 굽는다.
7. 파프리카에 올리브오일, 소금을 뿌려 굽는다.
8. 핸드블렌더에 밀가루, 강황물, 강황가루를 넣는다.
9. 8을 갈아 반죽을 만든 뒤 손으로 치댄다.
10. 소 안심을 적당한 크기로 썬 뒤 팬에 넣는다.
11. 10에 올리브오일, 밀가루, 파프리카가루, 소금, 후추를 넣고 볶는다.
12. 잘게 썬 양파와 구운 파프리카를 팬에 넣고 함께 볶는다.
13. 재료를 볶던 팬에 토란 삶은 물을 넣는다.
14. 13에 육수를 넣는다.
15. 14에 토마토홀을 넣어 토마토소스를 만든다.
16. 반죽을 밀대로 얇게 민다.
17. 얇게 민 반죽을 사각형 모양으로 자른 뒤 끓는 물에 넣어 삶는다.
18. 마늘을 으깬 뒤 올리브오일을 두른 팬에 넣어 볶는다.
19. 얇게 썬 케일을 팬에 넣고 함께 볶는다.
20. 볶은 케일에 소금, 후추로 간한 뒤 볼에 담아둔다.
21. 볶은 케일에 리코타 치즈를 넣고 섞는다.
22. 전자레인지에 돌린 토마토를 21과 섞어준다.
23. 삶은 토란을 체에 밭쳐 으깬 뒤 22에 넣어 소를 만든다.
24. 삶은 반죽을 찬물에 헹군다.
25. 반으로 자른 반죽에 소를 올린 뒤 돌돌 말아 카넬로니를 만든다.
26. 닭가슴살을 넓게 펼친 뒤 고기망치로 두드린다.
27. 올리브오일을 두른 팬에 닭가슴살을 넣은 뒤 소금, 후추, 바질을 뿌려 굽는다.
28. 토마토소스에 리코타 치즈를 넣는다.
29. 접시에 토마토소스를 담은 뒤 카넬로니를 올린다.
30. 카넬로니에 생모차렐라 치즈를 올린 뒤 토치로 직화한다.
31. 구운 닭가슴살을 접시에 올린다.
32. 올리브오일을 두른 팬에 송이버섯을 넣은 뒤 소금을 뿌려 굽는다.
33. 케일을 얇게 채 썬 뒤 볼에 담는다.
34. 케일에 토마토, 채 썬 사과를 넣는다.
35. 아로니아가루, 유자드레싱, 올리브오일을 섞어 아로니아 드레싱을 만든 뒤
볼에 넣고 섞어 샐러드를 만든다.
36. 구운 닭가슴살 위에 샐러드를 올린다.
37. 샐러드에 구운 송이버섯을 올린다.
38. 샐러드 위에 아로니아 드레싱을 뿌린다.
39. 샐러드와 카넬로니에 레몬즙을 뿌려 마무리한다.</v>
      </c>
    </row>
    <row r="851">
      <c r="A851" s="2" t="str">
        <f>recipe!C851
</f>
        <v>강황장군</v>
      </c>
      <c r="B851" s="2" t="str">
        <f>IFERROR(__xludf.DUMMYFUNCTION("TRIM(
  REGEXEXTRACT(
    raw!A851,
    ""●\s*조리\s*방법([\s\S]*)""
  )
)
"),"1. 올리브오일을 두른 팬에 잘게 썬 양파를 볶는다.
2. 당근을 잘게 썬 뒤 팬에 넣는다.
3. 셀러리를 잘게 썬 뒤 팬에 넣어 함께 볶는다.
4. 3에 얇게 썬 고추, 토마토홀을 넣어 토마토소스를 만든다.
5. 올리브오일을 두른 팬에 양파, 송이버섯을 넣고 볶는다.
6. 5에 간 양갈비, 소금, 후추, 마파소스를 넣어 만두소를 만든다.
7. 밀가루에 달걀, 강황가루, 물을 섞어 반죽을 만든다.
8. 반죽에 밀가루를 뿌려가며 치댄다.
9"&amp;". 토마토소스에 소금을 넣는다.
10. 토마토소스에 후추를 넣는다.
11. 반죽을 밀대로 얇게 민다.
12. 얇게 민 반죽을 원형틀로 찍어 만두피를 만든다.
13. 만두피에 만두소를 넣어 만두를 빚는다.
14. 끓는 물에 만두를 넣은 뒤 소금을 넣고 삶는다.
15. 얇게 썬 마늘을 토마토소스에 넣는다.
16. 토마토소스에 소금을 넣어 간한다.
17. 토마토소스에 토마토페이스트, 마파소스, 후추, 간장을 넣는다.
18. 토마토소스에 잘게 "&amp;"썬 이탈리안 파슬리와 토마토를 넣는다.
19. 그릇에 토마토소스를 담는다.
20. 토마토소스 위에 삶은 만두, 이탈리안 파슬리를 올린다.")</f>
        <v>1. 올리브오일을 두른 팬에 잘게 썬 양파를 볶는다.
2. 당근을 잘게 썬 뒤 팬에 넣는다.
3. 셀러리를 잘게 썬 뒤 팬에 넣어 함께 볶는다.
4. 3에 얇게 썬 고추, 토마토홀을 넣어 토마토소스를 만든다.
5. 올리브오일을 두른 팬에 양파, 송이버섯을 넣고 볶는다.
6. 5에 간 양갈비, 소금, 후추, 마파소스를 넣어 만두소를 만든다.
7. 밀가루에 달걀, 강황가루, 물을 섞어 반죽을 만든다.
8. 반죽에 밀가루를 뿌려가며 치댄다.
9. 토마토소스에 소금을 넣는다.
10. 토마토소스에 후추를 넣는다.
11. 반죽을 밀대로 얇게 민다.
12. 얇게 민 반죽을 원형틀로 찍어 만두피를 만든다.
13. 만두피에 만두소를 넣어 만두를 빚는다.
14. 끓는 물에 만두를 넣은 뒤 소금을 넣고 삶는다.
15. 얇게 썬 마늘을 토마토소스에 넣는다.
16. 토마토소스에 소금을 넣어 간한다.
17. 토마토소스에 토마토페이스트, 마파소스, 후추, 간장을 넣는다.
18. 토마토소스에 잘게 썬 이탈리안 파슬리와 토마토를 넣는다.
19. 그릇에 토마토소스를 담는다.
20. 토마토소스 위에 삶은 만두, 이탈리안 파슬리를 올린다.</v>
      </c>
    </row>
    <row r="852">
      <c r="A852" s="2" t="str">
        <f>recipe!C852
</f>
        <v>복믈렛</v>
      </c>
      <c r="B852" s="2" t="str">
        <f>IFERROR(__xludf.DUMMYFUNCTION("TRIM(
  REGEXEXTRACT(
    raw!A852,
    ""●\s*조리\s*방법([\s\S]*)""
  )
)
"),"1. 양파, 대파, 마늘을 잘게 썬다.
2. 만두는 만두소만 분리하고, 불고기는 잘게 썬다.
3. 떡볶이의 떡과 소시지를 잘게 썬다.
4. 기름을 두른 팬에 손질한 채소를 넣는다.
5. 4에 잘게 썬 떡과 소시지, 만두소, 불고기, 고추장, 간장, 설탕을 넣고 볶는다.
6. 감자를 채 썬 뒤 소금, 설탕, 전분을 넣고 버무린다.
7. 기름을 두른 2개의 팬에 감자를 올려 굽는다.
8. 감자전을 굽던 기름을 또 다른 감자전에 부어가며 굽는다."&amp;"
9. 감자전 위에 달걀을 올린 뒤 오븐에 넣어 굽는다.
10. 감자전 위에 하바티 치즈를 올린다.
11. 10 위에 볶은 재료들을 올린 뒤 하바티 치즈를 다시 올린다.
12. 오븐에 구운 감자전을 11 위에 올린 뒤 모차렐라 치즈로 덮어준다.
13. 뚜껑용으로 덮은 팬을 토치로 가열한다.
14. 모차렐라 치즈를 토치로 직화한다.
15. 하몽, 단무지를 잘게 썬 뒤 오믈렛 위에 뿌린다.")</f>
        <v>1. 양파, 대파, 마늘을 잘게 썬다.
2. 만두는 만두소만 분리하고, 불고기는 잘게 썬다.
3. 떡볶이의 떡과 소시지를 잘게 썬다.
4. 기름을 두른 팬에 손질한 채소를 넣는다.
5. 4에 잘게 썬 떡과 소시지, 만두소, 불고기, 고추장, 간장, 설탕을 넣고 볶는다.
6. 감자를 채 썬 뒤 소금, 설탕, 전분을 넣고 버무린다.
7. 기름을 두른 2개의 팬에 감자를 올려 굽는다.
8. 감자전을 굽던 기름을 또 다른 감자전에 부어가며 굽는다.
9. 감자전 위에 달걀을 올린 뒤 오븐에 넣어 굽는다.
10. 감자전 위에 하바티 치즈를 올린다.
11. 10 위에 볶은 재료들을 올린 뒤 하바티 치즈를 다시 올린다.
12. 오븐에 구운 감자전을 11 위에 올린 뒤 모차렐라 치즈로 덮어준다.
13. 뚜껑용으로 덮은 팬을 토치로 가열한다.
14. 모차렐라 치즈를 토치로 직화한다.
15. 하몽, 단무지를 잘게 썬 뒤 오믈렛 위에 뿌린다.</v>
      </c>
    </row>
    <row r="853">
      <c r="A853" s="2" t="str">
        <f>recipe!C853
</f>
        <v>감~자봤쌈</v>
      </c>
      <c r="B853" s="2" t="str">
        <f>IFERROR(__xludf.DUMMYFUNCTION("TRIM(
  REGEXEXTRACT(
    raw!A853,
    ""●\s*조리\s*방법([\s\S]*)""
  )
)
"),"1. 할루미 치즈를 그릴팬에 굽는다.
2. 셀러리장아찌 국물에 간장, 설탕을 넣고 끓인다.
3. 구운 할루미 치즈를 먹기 좋은 크기로 썬다.
4. 셀러리장아찌를 잘게 다진 뒤 할루미 치즈 위에 올린다.
5. 끓인 장아찌 국물을 얼음 위에 올려 식힌다.
6. 적당한 크기로 썬 감자, 찐 옥수수를 믹서기에 넣는다.
7. 6에 물을 넣고 간다.
8. 7에 밀가루, 소금을 넣고 섞어 감자전 반죽을 만든다.
9. 기름을 두른 팬에 감자전 반죽을 올"&amp;"려 굽는다.
10. 접시에 감자전을 올린다.
11. 양파, 찐 옥수수, 대파, 홍고추를 잘게 썬 뒤 팬에 넣고 볶는다.
12. 11에 설탕, 쌈장, 맛술을 넣고 볶는다.
13. 12에 마스카르포네 치즈를 넣고 섞어 쌈장마스카르포네를 만든다.
14. 감자전 위에 쌈장마스카르포네를 올린다.
15. 감자전에 하몽을 올린 뒤 후추를 뿌린다.
16. 기름에 파스타면을 넣고 튀겨 그리시니를 만든다.
17. 그리시니에 물엿과 고추장을 바른다.
18."&amp;" 핸드블렌더에 육포를 넣어 곱게 간다.
19. 그리시니에 간 육포, 설탕을 뿌린 뒤 유리컵에 담는다.
20. 구운 할루미 치즈 위에 장아찌 국물을 붓는다.
21. 감자전 위에 올리브오일을 뿌린다.")</f>
        <v>1. 할루미 치즈를 그릴팬에 굽는다.
2. 셀러리장아찌 국물에 간장, 설탕을 넣고 끓인다.
3. 구운 할루미 치즈를 먹기 좋은 크기로 썬다.
4. 셀러리장아찌를 잘게 다진 뒤 할루미 치즈 위에 올린다.
5. 끓인 장아찌 국물을 얼음 위에 올려 식힌다.
6. 적당한 크기로 썬 감자, 찐 옥수수를 믹서기에 넣는다.
7. 6에 물을 넣고 간다.
8. 7에 밀가루, 소금을 넣고 섞어 감자전 반죽을 만든다.
9. 기름을 두른 팬에 감자전 반죽을 올려 굽는다.
10. 접시에 감자전을 올린다.
11. 양파, 찐 옥수수, 대파, 홍고추를 잘게 썬 뒤 팬에 넣고 볶는다.
12. 11에 설탕, 쌈장, 맛술을 넣고 볶는다.
13. 12에 마스카르포네 치즈를 넣고 섞어 쌈장마스카르포네를 만든다.
14. 감자전 위에 쌈장마스카르포네를 올린다.
15. 감자전에 하몽을 올린 뒤 후추를 뿌린다.
16. 기름에 파스타면을 넣고 튀겨 그리시니를 만든다.
17. 그리시니에 물엿과 고추장을 바른다.
18. 핸드블렌더에 육포를 넣어 곱게 간다.
19. 그리시니에 간 육포, 설탕을 뿌린 뒤 유리컵에 담는다.
20. 구운 할루미 치즈 위에 장아찌 국물을 붓는다.
21. 감자전 위에 올리브오일을 뿌린다.</v>
      </c>
    </row>
    <row r="854">
      <c r="A854" s="2" t="str">
        <f>recipe!C854
</f>
        <v>담비 내릴 두부</v>
      </c>
      <c r="B854" s="2" t="str">
        <f>IFERROR(__xludf.DUMMYFUNCTION("TRIM(
  REGEXEXTRACT(
    raw!A854,
    ""●\s*조리\s*방법([\s\S]*)""
  )
)
"),"1. 적당한 크기로 썬 두부를 전분에 묻힌 뒤 기름에 튀긴다.
2. 팬에 발사믹 식초, 설탕을 넣어 졸인다.
3. 기름을 두른 냄비에 당근, 양파를 넣고 볶은 뒤 뜨거운 물을 부어 채소 육수를 만든다.
4. 마늘을 잘게 썬 뒤 올리브오일을 두른 팬에 넣고 볶는다.
5. 잘게 썬 살라미를 팬에 넣고 함께 볶는다.
6. 5에 채소 육수를 넣은 뒤 살사소스, 케첩을 넣는다.
7. 튀긴 두부를 팬에 넣고 함께 볶는다.
8. 고다 치즈를 잘게 썬 뒤"&amp;" 두부뇨키에 넣어 볶는다.
9. 셀러리장아찌를 잘게 다진다.
10. 다진 셀러리장아찌에 마요네즈, 시저드레싱, 레몬즙, 올리브오일을 섞어 소스를 만든다.
11. 채 썬 감자에 두부를 으깨어 넣는다.
12. 11에 전분을 섞은 뒤 기름을 두른 팬에 올려 굽는다.
13. 두부감자전 사이에 하바티 치즈를 넣어 익힌다.
14. 원형틀에 두부뇨키를 넣고, 소스를 올린다.
15. 원형틀로 찍어낸 모차렐라 치즈를 두부뇨키 위에 올린다.
16. 모차렐라"&amp;" 치즈를 토치로 직화한다.
17. 적당한 크기로 썬 두부감자전을 접시에 올린다.
18. 얇게 썬 양파, 사과를 볼에 담은 뒤 올리브오일, 발사믹 식초를 넣어 섞는다.
19. 사과샐러드를 두부감자전 위에 올린다.
20. 졸인 발사믹 소스를 뿌려 완성한다.")</f>
        <v>1. 적당한 크기로 썬 두부를 전분에 묻힌 뒤 기름에 튀긴다.
2. 팬에 발사믹 식초, 설탕을 넣어 졸인다.
3. 기름을 두른 냄비에 당근, 양파를 넣고 볶은 뒤 뜨거운 물을 부어 채소 육수를 만든다.
4. 마늘을 잘게 썬 뒤 올리브오일을 두른 팬에 넣고 볶는다.
5. 잘게 썬 살라미를 팬에 넣고 함께 볶는다.
6. 5에 채소 육수를 넣은 뒤 살사소스, 케첩을 넣는다.
7. 튀긴 두부를 팬에 넣고 함께 볶는다.
8. 고다 치즈를 잘게 썬 뒤 두부뇨키에 넣어 볶는다.
9. 셀러리장아찌를 잘게 다진다.
10. 다진 셀러리장아찌에 마요네즈, 시저드레싱, 레몬즙, 올리브오일을 섞어 소스를 만든다.
11. 채 썬 감자에 두부를 으깨어 넣는다.
12. 11에 전분을 섞은 뒤 기름을 두른 팬에 올려 굽는다.
13. 두부감자전 사이에 하바티 치즈를 넣어 익힌다.
14. 원형틀에 두부뇨키를 넣고, 소스를 올린다.
15. 원형틀로 찍어낸 모차렐라 치즈를 두부뇨키 위에 올린다.
16. 모차렐라 치즈를 토치로 직화한다.
17. 적당한 크기로 썬 두부감자전을 접시에 올린다.
18. 얇게 썬 양파, 사과를 볼에 담은 뒤 올리브오일, 발사믹 식초를 넣어 섞는다.
19. 사과샐러드를 두부감자전 위에 올린다.
20. 졸인 발사믹 소스를 뿌려 완성한다.</v>
      </c>
    </row>
    <row r="855">
      <c r="A855" s="2" t="str">
        <f>recipe!C855
</f>
        <v>두부퀸</v>
      </c>
      <c r="B855" s="2" t="str">
        <f>IFERROR(__xludf.DUMMYFUNCTION("TRIM(
  REGEXEXTRACT(
    raw!A855,
    ""●\s*조리\s*방법([\s\S]*)""
  )
)
"),"1. 두부를 적당한 크기로 썬 뒤 반은 전분에 묻힌다.
2. 나머지 두부를 기름에 튀긴다.
3. 으깬 두부를 믹서기에 넣는다.
4. 으깬 두부에 올리브오일을 조금씩 넣어가며 함께 간다.
5. 간 두부에 냉동 딸기를 넣는다.
6. 5에 마스카르포네 치즈, 꿀을 넣고 갈아 두부무스를 만든다.
7. 유리잔에 냉동 블루베리&gt;두부무스&gt;튀밥&gt;두부무스 순으로 담는다.
8. 아몬드, 오렌지맛 사탕을 으깬 뒤 두부무스 위에 올린다.
9. 두부무스를 얼음 "&amp;"위에 올려 차갑게 만든다.
10. 전분을 묻히지 않고 튀긴 두부를 건져낸다.
11. 전분을 묻힌 두부를 기름에 튀긴다.
12. 기름을 두른 팬에 잘게 썬 양파를 넣고 볶는다.
13. 살라미를 잘게 썬 뒤 팬에 넣어 함께 볶는다.
14. 13에 찐 옥수수를 넣는다.
15. 14에 페페론치노, 설탕, 케첩을 넣는다.
16. 얇게 썬 고추, 홍고추를 팬에 넣고 볶는다.
17. 16에 후추, 물을 넣고 끓여 소스를 만든다.
18. 전분을 묻혀 "&amp;"튀긴 두부와 그냥 튀긴 두부를 한 번 더 기름에 튀긴다.
19. 소스에 레몬즙을 뿌린다.
20. 소스에 전분물을 넣어 농도를 조절한다.
21. 튀긴 두부를 접시에 담은 뒤 소스를 붓는다.
22. 21에 레몬껍질, 후추, 잘게 썬 대파를 올린다.
23. 두부무스에 설탕을 뿌린 뒤 토치로 직화한다.
24. 두부무스에 튀밥을 올린다.
25. 두부무스에 레몬껍질을 갈아 올린다.")</f>
        <v>1. 두부를 적당한 크기로 썬 뒤 반은 전분에 묻힌다.
2. 나머지 두부를 기름에 튀긴다.
3. 으깬 두부를 믹서기에 넣는다.
4. 으깬 두부에 올리브오일을 조금씩 넣어가며 함께 간다.
5. 간 두부에 냉동 딸기를 넣는다.
6. 5에 마스카르포네 치즈, 꿀을 넣고 갈아 두부무스를 만든다.
7. 유리잔에 냉동 블루베리&gt;두부무스&gt;튀밥&gt;두부무스 순으로 담는다.
8. 아몬드, 오렌지맛 사탕을 으깬 뒤 두부무스 위에 올린다.
9. 두부무스를 얼음 위에 올려 차갑게 만든다.
10. 전분을 묻히지 않고 튀긴 두부를 건져낸다.
11. 전분을 묻힌 두부를 기름에 튀긴다.
12. 기름을 두른 팬에 잘게 썬 양파를 넣고 볶는다.
13. 살라미를 잘게 썬 뒤 팬에 넣어 함께 볶는다.
14. 13에 찐 옥수수를 넣는다.
15. 14에 페페론치노, 설탕, 케첩을 넣는다.
16. 얇게 썬 고추, 홍고추를 팬에 넣고 볶는다.
17. 16에 후추, 물을 넣고 끓여 소스를 만든다.
18. 전분을 묻혀 튀긴 두부와 그냥 튀긴 두부를 한 번 더 기름에 튀긴다.
19. 소스에 레몬즙을 뿌린다.
20. 소스에 전분물을 넣어 농도를 조절한다.
21. 튀긴 두부를 접시에 담은 뒤 소스를 붓는다.
22. 21에 레몬껍질, 후추, 잘게 썬 대파를 올린다.
23. 두부무스에 설탕을 뿌린 뒤 토치로 직화한다.
24. 두부무스에 튀밥을 올린다.
25. 두부무스에 레몬껍질을 갈아 올린다.</v>
      </c>
    </row>
    <row r="856">
      <c r="A856" s="2" t="str">
        <f>recipe!C856
</f>
        <v>인사이덕</v>
      </c>
      <c r="B856" s="2" t="str">
        <f>IFERROR(__xludf.DUMMYFUNCTION("TRIM(
  REGEXEXTRACT(
    raw!A856,
    ""●\s*조리\s*방법([\s\S]*)""
  )
)
"),"1. 끓는 물에 식초를 넣는다.
2. 국자를 이용해 1에 달걀을 넣는다.
3. 팬에 인스턴트 곰탕을 넣고 끓인다.
4. 3에 삶은 쥐눈이콩&amp;팥을 넣는다.
5. 곰탕 육수에 자몽청, 레몬청을 넣는다.
6. 곶감을 잘게 썰어 5에 넣는다.
7. 맛술과 청주를 섞어 팬에 넣는다.
8. 7에 낙지오징어볶음소스, 간장을 넣어 조림 소스를 만든다.
9. 오리고기에 전분을 바른다.
10. 오리고기에 자색 찐고구마 올려 말아준다.
11. 10에 전분을 묻힌 뒤, 올리"&amp;"브오일을 두른 팬에 굽는다.
12. 11에 청주를 넣어 불향을 입힌 뒤 뚜껑을 덮는다.
13. 생강을 팬에 넣는다.
14. 13의 팬에 조림 소스를 넣어 조린다.
15. 오리고기 조림에 데친 브로콜리를 넣는다.
16. 전자레인지에 즉석밥을 돌린다.
17. 달걀이 든 냄비를 불에서 내려 익힌다.
18. 생강을 편으로 얇게 썬다.
19. 편으로 썬 생강을 가늘게 채 썬다.
20. 채 썬 생강을 물에 담가 전분기를 뺀다.
21. 탄산수와 튀김가루를 섞어 반죽"&amp;"을 만든 뒤, 김에 묻힌다.
22. 반죽을 묻힌 김을 기름에 튀겨 김 튀김을 만든다.
23. 오리고기 조림을 접시에 담는다.
24. 김 튀김, 채 썬 생강을 오리고기 조림과 함께 담는다.
25. 삶은 달걀의 껍데기를 제거한 뒤, 24에 올린다.")</f>
        <v>1. 끓는 물에 식초를 넣는다.
2. 국자를 이용해 1에 달걀을 넣는다.
3. 팬에 인스턴트 곰탕을 넣고 끓인다.
4. 3에 삶은 쥐눈이콩&amp;팥을 넣는다.
5. 곰탕 육수에 자몽청, 레몬청을 넣는다.
6. 곶감을 잘게 썰어 5에 넣는다.
7. 맛술과 청주를 섞어 팬에 넣는다.
8. 7에 낙지오징어볶음소스, 간장을 넣어 조림 소스를 만든다.
9. 오리고기에 전분을 바른다.
10. 오리고기에 자색 찐고구마 올려 말아준다.
11. 10에 전분을 묻힌 뒤, 올리브오일을 두른 팬에 굽는다.
12. 11에 청주를 넣어 불향을 입힌 뒤 뚜껑을 덮는다.
13. 생강을 팬에 넣는다.
14. 13의 팬에 조림 소스를 넣어 조린다.
15. 오리고기 조림에 데친 브로콜리를 넣는다.
16. 전자레인지에 즉석밥을 돌린다.
17. 달걀이 든 냄비를 불에서 내려 익힌다.
18. 생강을 편으로 얇게 썬다.
19. 편으로 썬 생강을 가늘게 채 썬다.
20. 채 썬 생강을 물에 담가 전분기를 뺀다.
21. 탄산수와 튀김가루를 섞어 반죽을 만든 뒤, 김에 묻힌다.
22. 반죽을 묻힌 김을 기름에 튀겨 김 튀김을 만든다.
23. 오리고기 조림을 접시에 담는다.
24. 김 튀김, 채 썬 생강을 오리고기 조림과 함께 담는다.
25. 삶은 달걀의 껍데기를 제거한 뒤, 24에 올린다.</v>
      </c>
    </row>
    <row r="857">
      <c r="A857" s="2" t="str">
        <f>recipe!C857
</f>
        <v>광이 나는 함박♬</v>
      </c>
      <c r="B857" s="2" t="str">
        <f>IFERROR(__xludf.DUMMYFUNCTION("TRIM(
  REGEXEXTRACT(
    raw!A857,
    ""●\s*조리\s*방법([\s\S]*)""
  )
)
"),"1. 끓는 물에 설탕을 넣어 시럽을 만든다.
2. 핸드블렌더에 오리고기, 달걀, 전분, 소갈비양념, 다진 마늘을 넣고 갈아 패티 반죽을 만든다.
3. 패티 반죽에 잘게 썬 대파, 전분을 넣어 뭉친다.
4. 뭉친 패티 반죽을 팬에 굽는다.
5. 4에 청주를 넣고 뚜껑을 덮어 익힌다.
6. 대파, 양파, 당근을 채 썰고 밀가루를 넣어 채소튀김 반죽을 만든다.
7. 오리고기를 잘게 썬 뒤, 채소튀김 반죽에 넣는다.
8. 체를 이용해 채소튀김 반죽의 모양을 잡"&amp;"은 뒤, 기름에 튀긴다.
9. 팬에 다진 마늘, 고춧가루, 스위트 칠리소스, 케첩, 설탕, 물, 고추장, 물엿을 넣는다.
10. 9에 땅콩버터맛 아이스크림을 넣어 매운 양념치킨맛 소스를 만든다.
11. 체에서 채소튀김을 떼어내 튀긴다.
12. 접시에 함박 스테이크와 매운 양념치킨맛 소스를 담는다.
13. 채소튀김을 건져낸다.
14. 믹서기에 감자칩을 넣고 간 뒤 채소튀김 위에 뿌린다.
16. 달걀을 기름에 튀긴다.
17. 함박 스테이크에 채소튀김을 덮은"&amp;" 뒤, 튀긴 달걀을 올린다.
18. 17에 설탕 시럽을 뿌린다.
19. 18에 간 감자칩을 뿌린다.
20. 튀긴 달걀을 토치로 직화한다.")</f>
        <v>1. 끓는 물에 설탕을 넣어 시럽을 만든다.
2. 핸드블렌더에 오리고기, 달걀, 전분, 소갈비양념, 다진 마늘을 넣고 갈아 패티 반죽을 만든다.
3. 패티 반죽에 잘게 썬 대파, 전분을 넣어 뭉친다.
4. 뭉친 패티 반죽을 팬에 굽는다.
5. 4에 청주를 넣고 뚜껑을 덮어 익힌다.
6. 대파, 양파, 당근을 채 썰고 밀가루를 넣어 채소튀김 반죽을 만든다.
7. 오리고기를 잘게 썬 뒤, 채소튀김 반죽에 넣는다.
8. 체를 이용해 채소튀김 반죽의 모양을 잡은 뒤, 기름에 튀긴다.
9. 팬에 다진 마늘, 고춧가루, 스위트 칠리소스, 케첩, 설탕, 물, 고추장, 물엿을 넣는다.
10. 9에 땅콩버터맛 아이스크림을 넣어 매운 양념치킨맛 소스를 만든다.
11. 체에서 채소튀김을 떼어내 튀긴다.
12. 접시에 함박 스테이크와 매운 양념치킨맛 소스를 담는다.
13. 채소튀김을 건져낸다.
14. 믹서기에 감자칩을 넣고 간 뒤 채소튀김 위에 뿌린다.
16. 달걀을 기름에 튀긴다.
17. 함박 스테이크에 채소튀김을 덮은 뒤, 튀긴 달걀을 올린다.
18. 17에 설탕 시럽을 뿌린다.
19. 18에 간 감자칩을 뿌린다.
20. 튀긴 달걀을 토치로 직화한다.</v>
      </c>
    </row>
    <row r="858">
      <c r="A858" s="2" t="str">
        <f>recipe!C858
</f>
        <v>마늘 어찌하오리</v>
      </c>
      <c r="B858" s="2" t="str">
        <f>IFERROR(__xludf.DUMMYFUNCTION("TRIM(
  REGEXEXTRACT(
    raw!A858,
    ""●\s*조리\s*방법([\s\S]*)""
  )
)
"),"1. 마늘과 생강을 지퍼백에 넣고 고기망치로 두드려 으깬 뒤, 끓는 물에 넣는다.
2. 냄비에 인스턴트 곰탕, 된장을 넣고 끓인다.
3. 오리고기를 지퍼백에 넣은 뒤, 고기망치로 두드린다.
4. 오리고기를 체에 밭쳐 마늘과 생강을 넣은 물에 데친다.
5. 데친 오리고기를 된장 푼 곰탕에 넣는다.
6. 믹서기에 들깻가루, 미숫가루, 뜨거운 물을 넣고 간다.
7. 6을 체에 곱게 거른 뒤, 된장 푼 곰탕에 넣어 들깨 오리탕을 만든다.
8. 마늘을 지퍼백에 "&amp;"넣고 고기망치로 두드려 으깬다.
9. 으깬 마늘을 볼에 담은 뒤, 식초를 넣는다.
10. 9의 마늘을 지퍼백에 넣어 고기망치로 두드린다.
11. 핸드블렌더로 설탕, 물, 식초, 간장을 섞은 뒤, 으깬 마늘에 넣어 마늘 소스를 만든다.
12. 양배추를 잘게 썬 뒤, 얼음물에 담가둔다.
13. 청양고추, 홍고추를 잘게 썬 뒤 양배추와 섞는다.
14. 13을 접시에 올린 뒤, 마늘 소스를 담아 양배추마늘 무침을 만든다.
15. 들깨 오리탕에 고춧가루, 마늘,"&amp;" 청양고추를 넣는다.
16. 접시에 초장, 볶은 들깻가루, 들기름, 다진 마늘을 넣어 초장 소스를 만든다.
17. 적당한 크기로 썬 양상추를 들깨 오리탕에 넣고 뚜껑을 덮어 끓인다.")</f>
        <v>1. 마늘과 생강을 지퍼백에 넣고 고기망치로 두드려 으깬 뒤, 끓는 물에 넣는다.
2. 냄비에 인스턴트 곰탕, 된장을 넣고 끓인다.
3. 오리고기를 지퍼백에 넣은 뒤, 고기망치로 두드린다.
4. 오리고기를 체에 밭쳐 마늘과 생강을 넣은 물에 데친다.
5. 데친 오리고기를 된장 푼 곰탕에 넣는다.
6. 믹서기에 들깻가루, 미숫가루, 뜨거운 물을 넣고 간다.
7. 6을 체에 곱게 거른 뒤, 된장 푼 곰탕에 넣어 들깨 오리탕을 만든다.
8. 마늘을 지퍼백에 넣고 고기망치로 두드려 으깬다.
9. 으깬 마늘을 볼에 담은 뒤, 식초를 넣는다.
10. 9의 마늘을 지퍼백에 넣어 고기망치로 두드린다.
11. 핸드블렌더로 설탕, 물, 식초, 간장을 섞은 뒤, 으깬 마늘에 넣어 마늘 소스를 만든다.
12. 양배추를 잘게 썬 뒤, 얼음물에 담가둔다.
13. 청양고추, 홍고추를 잘게 썬 뒤 양배추와 섞는다.
14. 13을 접시에 올린 뒤, 마늘 소스를 담아 양배추마늘 무침을 만든다.
15. 들깨 오리탕에 고춧가루, 마늘, 청양고추를 넣는다.
16. 접시에 초장, 볶은 들깻가루, 들기름, 다진 마늘을 넣어 초장 소스를 만든다.
17. 적당한 크기로 썬 양상추를 들깨 오리탕에 넣고 뚜껑을 덮어 끓인다.</v>
      </c>
    </row>
    <row r="859">
      <c r="A859" s="2" t="str">
        <f>recipe!C859
</f>
        <v>너마늘 위한 목살</v>
      </c>
      <c r="B859" s="2" t="str">
        <f>IFERROR(__xludf.DUMMYFUNCTION("TRIM(
  REGEXEXTRACT(
    raw!A859,
    ""●\s*조리\s*방법([\s\S]*)""
  )
)
"),"1. 끓는 기름에 대파, 고춧가루를 넣어 고추기름을 만든다.
2. 채칼을 이용해 양배추를 채 썬다.
3. 돼지목살을 지퍼백에 넣은 뒤 고기망치로 두드린다.
4. 돼지목살을 적당한 크기로 썬 뒤, 한라봉청을 넣고 버무린다.
5. 4의 돼지목살에 간장, 맛술, 후추, 찹쌀가루를 넣고 버무린다.
6. 5의 돼지목살을 기름에 튀긴다.
7. 마늘을 지퍼백에 넣고 고기망치로 두드려 으깬다.
8. 으깬 마늘을 끓는 물에 30초간 삶는다.
9. 으깬 마늘을 체에 밭쳐"&amp;" 걸러낸 뒤, 얼음물에 담가둔다.
10. 맛술, 으깬 마늘, 간장, 고춧가루, 한라봉청을 넣고 섞는다.
11. 핸드블렌더에 고추기름을 넣고 간 뒤, 10에 넣고 섞어 마늘 소스를 만든다.
12. 튀긴 목살을 체에 밭쳐 건져낸다.
13. 접시에 양배추, 목살 튀김을 올린다.
14. 13에 마늘 소스를 담아 마무리한다.")</f>
        <v>1. 끓는 기름에 대파, 고춧가루를 넣어 고추기름을 만든다.
2. 채칼을 이용해 양배추를 채 썬다.
3. 돼지목살을 지퍼백에 넣은 뒤 고기망치로 두드린다.
4. 돼지목살을 적당한 크기로 썬 뒤, 한라봉청을 넣고 버무린다.
5. 4의 돼지목살에 간장, 맛술, 후추, 찹쌀가루를 넣고 버무린다.
6. 5의 돼지목살을 기름에 튀긴다.
7. 마늘을 지퍼백에 넣고 고기망치로 두드려 으깬다.
8. 으깬 마늘을 끓는 물에 30초간 삶는다.
9. 으깬 마늘을 체에 밭쳐 걸러낸 뒤, 얼음물에 담가둔다.
10. 맛술, 으깬 마늘, 간장, 고춧가루, 한라봉청을 넣고 섞는다.
11. 핸드블렌더에 고추기름을 넣고 간 뒤, 10에 넣고 섞어 마늘 소스를 만든다.
12. 튀긴 목살을 체에 밭쳐 건져낸다.
13. 접시에 양배추, 목살 튀김을 올린다.
14. 13에 마늘 소스를 담아 마무리한다.</v>
      </c>
    </row>
    <row r="860">
      <c r="A860" s="2" t="str">
        <f>recipe!C860
</f>
        <v>집밥 먹고 치열~업♬</v>
      </c>
      <c r="B860" s="2" t="str">
        <f>IFERROR(__xludf.DUMMYFUNCTION("TRIM(
  REGEXEXTRACT(
    raw!A860,
    ""●\s*조리\s*방법([\s\S]*)""
  )
)
"),"1. 끓는 물에 식초, 소금을 넣은 뒤, 체에 밭친 달걀을 넣어 삶는다.
2. 돌솥에 불린 쌀을 넣어 밥을 짓는다.
3. 소 안심을 적당한 크기로 썬다.
4. 끓는 물에 소 안심, 마늘, 맛술, 청주, 불린 건표고버섯, 전복, 간장을 넣는다.
5. 4에 설탕, 청양고추를 넣고 끓여 소고기 장조림을 만든다.
6. 솥밥의 불을 약하게 한 후, 뚜껑을 덮어 뜸을 들인다.
7. 돼지 목살을 적당한 크기로 썬다.
8. 팬에 돼지 목살, 배추김치, 끓는 물을 넣고"&amp;" 끓인다.
9. 8에 다진 마늘을 넣는다.
10. 9에 후추를 넣는다.
11. 10에 잘게 썬 대파, 청양고추를 넣어 갱시기를 만든다.
12. 불린 반건조 오징어의 몸통에 칼집을 낸 뒤, 적당한 크기로 썬다.
13. 적당한 크기로 썬 반건조 오징어를 끓는 물에 데친 후, 찬물에 헹군다.
14. 13의 반건조 오징어에 떡볶이 양념장, 고춧가루, 간장, 설탕, 고추장을 넣는다.
15. 잘게 썬 대파, 청양고추, 당근을 14에 넣는다.
16. 15에 참기름을"&amp;" 넣어 무친 뒤, 깨를 뿌려 오징어무침을 만든다.
17. 삶은 달걀을 건진 후, 껍데기를 벗긴다.
18. 갱시기에 라면수프를 넣는다.
19. 갱시기에 잘게 썬 대파를 넣는다.
20. 갱시기에 라면 면을 넣고 끓인다.
21. 삶은 달걀을 소고기 장조림에 넣고 끓인다.
22. 갱시기를 그릇에 담아낸다.
23. 소고기 장조림을 그릇에 담아낸다.")</f>
        <v>1. 끓는 물에 식초, 소금을 넣은 뒤, 체에 밭친 달걀을 넣어 삶는다.
2. 돌솥에 불린 쌀을 넣어 밥을 짓는다.
3. 소 안심을 적당한 크기로 썬다.
4. 끓는 물에 소 안심, 마늘, 맛술, 청주, 불린 건표고버섯, 전복, 간장을 넣는다.
5. 4에 설탕, 청양고추를 넣고 끓여 소고기 장조림을 만든다.
6. 솥밥의 불을 약하게 한 후, 뚜껑을 덮어 뜸을 들인다.
7. 돼지 목살을 적당한 크기로 썬다.
8. 팬에 돼지 목살, 배추김치, 끓는 물을 넣고 끓인다.
9. 8에 다진 마늘을 넣는다.
10. 9에 후추를 넣는다.
11. 10에 잘게 썬 대파, 청양고추를 넣어 갱시기를 만든다.
12. 불린 반건조 오징어의 몸통에 칼집을 낸 뒤, 적당한 크기로 썬다.
13. 적당한 크기로 썬 반건조 오징어를 끓는 물에 데친 후, 찬물에 헹군다.
14. 13의 반건조 오징어에 떡볶이 양념장, 고춧가루, 간장, 설탕, 고추장을 넣는다.
15. 잘게 썬 대파, 청양고추, 당근을 14에 넣는다.
16. 15에 참기름을 넣어 무친 뒤, 깨를 뿌려 오징어무침을 만든다.
17. 삶은 달걀을 건진 후, 껍데기를 벗긴다.
18. 갱시기에 라면수프를 넣는다.
19. 갱시기에 잘게 썬 대파를 넣는다.
20. 갱시기에 라면 면을 넣고 끓인다.
21. 삶은 달걀을 소고기 장조림에 넣고 끓인다.
22. 갱시기를 그릇에 담아낸다.
23. 소고기 장조림을 그릇에 담아낸다.</v>
      </c>
    </row>
    <row r="861">
      <c r="A861" s="2" t="str">
        <f>recipe!C861
</f>
        <v>닭개장 먹고 치열스</v>
      </c>
      <c r="B861" s="2" t="str">
        <f>IFERROR(__xludf.DUMMYFUNCTION("TRIM(
  REGEXEXTRACT(
    raw!A861,
    ""●\s*조리\s*방법([\s\S]*)""
  )
)
"),"1. 냄비에 불린 쌀을 넣어 밥을 짓는다.
2. 인스턴트 삼계탕에 들어있는 닭의 살을 발라낸다.
3. 핸드블렌더에 닭의 살과 밥, 삼계탕 국물을 넣고 간다.
4. 채칼을 이용해 양파를 슬라이스 해 얼음물에 담가둔다.
5. 가위로 청양고추를 잘게 자른다.
6. 가위로 대파를 적당한 크기로 자른다.
7. 냄비밥에 끓는 물을 더 넣는다.
8. 냄비밥에 기름을 넣는다.
9. 팬에 청양고추, 대파, 고춧가루, 간장, 으깬 마늘, 삼계탕 국물, 간 닭의 살과 밥을"&amp;" 넣는다.
10. 불린 건표고버섯을 적당한 크기로 썬 뒤, 9에 넣어 닭개장을 만든다.
11. 믹서기에 마늘장아찌를 넣고 간다.
12. 찬물에 담가둔 양파를 체로 건져낸 뒤, 간 마늘장아찌를 넣는다.
13. 12에 명이나물 무침을 잘라 넣는다.
14. 13에 간장, 맛술, 고춧가루를 넣어 명이나물 양파 무침을 만든다.
15. 닭개장에 고춧가루를 넣는다.
16. 볼에 달걀을 푼 뒤, 잘게 찢은 게맛살을 넣는다.
17. 기름을 두른 팬에 16의 달걀물을 부"&amp;"어 휘젓는다.
18. 종이호일에 17의 달걀을 올려 말아준 후, 종이호일 끝을 묶어준다.
19. 닭개장을 그릇에 담아낸다.
20. 종이호일을 뺀 달걀말이를 접시에 담아낸다.
21. 달걀말이에 케첩을 뿌려 마무리한다.")</f>
        <v>1. 냄비에 불린 쌀을 넣어 밥을 짓는다.
2. 인스턴트 삼계탕에 들어있는 닭의 살을 발라낸다.
3. 핸드블렌더에 닭의 살과 밥, 삼계탕 국물을 넣고 간다.
4. 채칼을 이용해 양파를 슬라이스 해 얼음물에 담가둔다.
5. 가위로 청양고추를 잘게 자른다.
6. 가위로 대파를 적당한 크기로 자른다.
7. 냄비밥에 끓는 물을 더 넣는다.
8. 냄비밥에 기름을 넣는다.
9. 팬에 청양고추, 대파, 고춧가루, 간장, 으깬 마늘, 삼계탕 국물, 간 닭의 살과 밥을 넣는다.
10. 불린 건표고버섯을 적당한 크기로 썬 뒤, 9에 넣어 닭개장을 만든다.
11. 믹서기에 마늘장아찌를 넣고 간다.
12. 찬물에 담가둔 양파를 체로 건져낸 뒤, 간 마늘장아찌를 넣는다.
13. 12에 명이나물 무침을 잘라 넣는다.
14. 13에 간장, 맛술, 고춧가루를 넣어 명이나물 양파 무침을 만든다.
15. 닭개장에 고춧가루를 넣는다.
16. 볼에 달걀을 푼 뒤, 잘게 찢은 게맛살을 넣는다.
17. 기름을 두른 팬에 16의 달걀물을 부어 휘젓는다.
18. 종이호일에 17의 달걀을 올려 말아준 후, 종이호일 끝을 묶어준다.
19. 닭개장을 그릇에 담아낸다.
20. 종이호일을 뺀 달걀말이를 접시에 담아낸다.
21. 달걀말이에 케첩을 뿌려 마무리한다.</v>
      </c>
    </row>
    <row r="862">
      <c r="A862" s="2" t="str">
        <f>recipe!C862
</f>
        <v>스테이크 맛있소</v>
      </c>
      <c r="B862" s="2" t="str">
        <f>IFERROR(__xludf.DUMMYFUNCTION("TRIM(
  REGEXEXTRACT(
    raw!A862,
    ""●\s*조리\s*방법([\s\S]*)""
  )
)
"),"1. 볼에 콜라, 레몬즙, 간장, 설탕, 다진 마늘, 다진 생강, 후추를 넣는다.
2. 1의 양념에 소 등심을 담가둔다.
3. 양파를 잘게 썬다.
4. 채칼로 당근을 얇게 슬라이스한 뒤 소금, 올리브오일을 넣고 섞는다.
5. 4의 당근을 그릴팬에 굽는다.
6. 잘게 썬 양파, 청양고추, 불린 건표고버섯을 팬에 넣은 뒤, 버터, 위스키를 넣고 볶는다.
7. 6에 밀가루, 야채주스, 곰탕 국물을 넣는다.
8. 7에 소금, 후추를 넣는다.
9. 8에 콜라를 "&amp;"넣어 소스를 만든다.
10. 핸드블렌더에 건표고버섯을 넣고 갈아 표고버섯 가루를 만든다.
11. 양념에 재운 소 등심에 올리브오일을 묻혀 그릴팬에 굽는다.
12. 찜기에 포고버섯 가루를 넣은 뒤, 구운 소 등심을 올려 훈연한다.
13. 접시에 구운 당근을 접어 올린다.
14. 훈연한 소 등심을 구운 당근 위에 올린 뒤, 구운 당근과 소 등심을 반복해서 쌓는다.
15. 대파를 잘게 썬다.
16. 당근과 소 등심을 쌓은 접시에 소스를 올린다.
17. 16에"&amp;" 잘게 썬 대파를 뿌려 마무리한다.")</f>
        <v>1. 볼에 콜라, 레몬즙, 간장, 설탕, 다진 마늘, 다진 생강, 후추를 넣는다.
2. 1의 양념에 소 등심을 담가둔다.
3. 양파를 잘게 썬다.
4. 채칼로 당근을 얇게 슬라이스한 뒤 소금, 올리브오일을 넣고 섞는다.
5. 4의 당근을 그릴팬에 굽는다.
6. 잘게 썬 양파, 청양고추, 불린 건표고버섯을 팬에 넣은 뒤, 버터, 위스키를 넣고 볶는다.
7. 6에 밀가루, 야채주스, 곰탕 국물을 넣는다.
8. 7에 소금, 후추를 넣는다.
9. 8에 콜라를 넣어 소스를 만든다.
10. 핸드블렌더에 건표고버섯을 넣고 갈아 표고버섯 가루를 만든다.
11. 양념에 재운 소 등심에 올리브오일을 묻혀 그릴팬에 굽는다.
12. 찜기에 포고버섯 가루를 넣은 뒤, 구운 소 등심을 올려 훈연한다.
13. 접시에 구운 당근을 접어 올린다.
14. 훈연한 소 등심을 구운 당근 위에 올린 뒤, 구운 당근과 소 등심을 반복해서 쌓는다.
15. 대파를 잘게 썬다.
16. 당근과 소 등심을 쌓은 접시에 소스를 올린다.
17. 16에 잘게 썬 대파를 뿌려 마무리한다.</v>
      </c>
    </row>
    <row r="863">
      <c r="A863" s="2" t="str">
        <f>recipe!C863
</f>
        <v>소고기, 바로 이 맛 아닙니까!</v>
      </c>
      <c r="B863" s="2" t="str">
        <f>IFERROR(__xludf.DUMMYFUNCTION("TRIM(
  REGEXEXTRACT(
    raw!A863,
    ""●\s*조리\s*방법([\s\S]*)""
  )
)
"),"1. 소 안심에 칼집을 잘게 낸다.
2. 1에 명이나물 무침 국물을 넣는다.
3. 핸드블렌더에 돼지 목살, 소 안심, 전복 삼계탕 속 닭의 살, 후추, 소금, 전분, 달걀흰자를 넣고 갈아 고기반죽을 만든다.
4. 전복과 불린 건표고버섯을 잘게 썰어 고기반죽과 함께 치댄다.
5. 칼집을 낸 소 안심에 전분을 묻힌 뒤, 고기반죽&gt;잘게 썬 명이나물 순서로 올린다.
6. 5를 말아서 나무꼬치를 이용해 고정시킨다.
7. 6을 기름에 튀겨 소고기 튀김을 만든다.
"&amp;"8. 그릴팬에 대파를 굽는다.
9. 으깬 마늘, 잘게 썬 청양고추, 양파, 대파, 고추장, 게맛살, 케첩, 한방 배숙, 전복 삼계탕 국물을 넣고 끓여 소스를 만든다.
10. 체를 이용해 소고기 튀김을 건져낸다.
11. 기름에 소고기 튀김을 넣어 한 번 더 튀긴다.
12. 소고기 튀김을 건져낸다.
13. 소스에 명이나물 무침 국물을 넣는다.
14. 13에 레몬즙, 한방배숙, 물엿, 전분물을 넣는다.
15. 대파를 잘게 썬다.
16. 구운 대파를 적당한 크"&amp;"기로 썬 뒤, 접시에 올린다.
17. 16에 소스를 끼얹는다.
18. 17에 소고기 튀김을 올린다,
19. 18에 소스를 올린다.
20. 19에 잘게 썬 대파를 올려 마무리한다.")</f>
        <v>1. 소 안심에 칼집을 잘게 낸다.
2. 1에 명이나물 무침 국물을 넣는다.
3. 핸드블렌더에 돼지 목살, 소 안심, 전복 삼계탕 속 닭의 살, 후추, 소금, 전분, 달걀흰자를 넣고 갈아 고기반죽을 만든다.
4. 전복과 불린 건표고버섯을 잘게 썰어 고기반죽과 함께 치댄다.
5. 칼집을 낸 소 안심에 전분을 묻힌 뒤, 고기반죽&gt;잘게 썬 명이나물 순서로 올린다.
6. 5를 말아서 나무꼬치를 이용해 고정시킨다.
7. 6을 기름에 튀겨 소고기 튀김을 만든다.
8. 그릴팬에 대파를 굽는다.
9. 으깬 마늘, 잘게 썬 청양고추, 양파, 대파, 고추장, 게맛살, 케첩, 한방 배숙, 전복 삼계탕 국물을 넣고 끓여 소스를 만든다.
10. 체를 이용해 소고기 튀김을 건져낸다.
11. 기름에 소고기 튀김을 넣어 한 번 더 튀긴다.
12. 소고기 튀김을 건져낸다.
13. 소스에 명이나물 무침 국물을 넣는다.
14. 13에 레몬즙, 한방배숙, 물엿, 전분물을 넣는다.
15. 대파를 잘게 썬다.
16. 구운 대파를 적당한 크기로 썬 뒤, 접시에 올린다.
17. 16에 소스를 끼얹는다.
18. 17에 소고기 튀김을 올린다,
19. 18에 소스를 올린다.
20. 19에 잘게 썬 대파를 올려 마무리한다.</v>
      </c>
    </row>
    <row r="864">
      <c r="A864" s="2" t="str">
        <f>recipe!C864
</f>
        <v>오늘의 하이라이트닭</v>
      </c>
      <c r="B864" s="2" t="str">
        <f>IFERROR(__xludf.DUMMYFUNCTION("TRIM(
  REGEXEXTRACT(
    raw!A864,
    ""●\s*조리\s*방법([\s\S]*)""
  )
)
"),"1. 끓는 물에 멸치육수팩, 치킨스톡을 넣고 끓인다.
2. 달걀노른자를 따로 분리한 뒤 잘 섞어준다.
3. 양념닭불고기를 맥주에 헹군다.
4. 닭불고기를 올리브오일에 버무린 뒤 석쇠에 올려 굽는다.
5. 4를 토치로 직화한다.
6. 직화한 닭불고기를 전분에 버무린다.
7. 스트링치즈를 적당한 크기로 썬다.
8. 전분을 묻힌 닭불고기 안에 스트링치즈를 넣은 뒤 동그랗게 뭉친다.
9. 동그랗게 뭉친 닭불고기에 달걀노른자를 묻힌 뒤 기름에 튀긴다.
10. 오"&amp;"렌지의 즙을 짜낸다.
11. 강판에 양파를 간 뒤 팬에 담는다.
12. 간 양파에 벚꽃와인을 섞어 끓인다.
13. 12에 맛술, 간장을 넣고 끓여 간장소스를 만든다.
14. 얼음 위에 올려 차게 만든 오렌지즙에 레몬즙을 섞는다.
15. 14에 간장소스를 넣어 오렌지폰즈소스를 만든다.
16. 적당한 크기로 썬 감자, 당근을 기름에 튀긴다.
17. 방울토마토를 기름에 튀긴 뒤 건져내 얼음에 식힌다.
18. 튀긴 방울토마토의 껍질을 벗긴다.
19. 팬에 벚꽃"&amp;"와인, 맛술, 껍질을 벗긴 방울토마토를 넣고 끓인다.
20. 19에 육수를 넣어 끓인다.
21. 20에 치킨스톡, 간장, 대파를 넣고 끓인다.
22. 그릇에 오렌지폰즈소스를 담은 뒤 잘게 썬 고추를 올린다.
23. 나베그릇에 튀긴 닭완자를 담는다.
24. 끓이던 소스에 전분물을 넣어 농도를 조절한 뒤 튀긴 감자, 당근을 넣는다.
25. 나베그릇에 소스를 담는다.")</f>
        <v>1. 끓는 물에 멸치육수팩, 치킨스톡을 넣고 끓인다.
2. 달걀노른자를 따로 분리한 뒤 잘 섞어준다.
3. 양념닭불고기를 맥주에 헹군다.
4. 닭불고기를 올리브오일에 버무린 뒤 석쇠에 올려 굽는다.
5. 4를 토치로 직화한다.
6. 직화한 닭불고기를 전분에 버무린다.
7. 스트링치즈를 적당한 크기로 썬다.
8. 전분을 묻힌 닭불고기 안에 스트링치즈를 넣은 뒤 동그랗게 뭉친다.
9. 동그랗게 뭉친 닭불고기에 달걀노른자를 묻힌 뒤 기름에 튀긴다.
10. 오렌지의 즙을 짜낸다.
11. 강판에 양파를 간 뒤 팬에 담는다.
12. 간 양파에 벚꽃와인을 섞어 끓인다.
13. 12에 맛술, 간장을 넣고 끓여 간장소스를 만든다.
14. 얼음 위에 올려 차게 만든 오렌지즙에 레몬즙을 섞는다.
15. 14에 간장소스를 넣어 오렌지폰즈소스를 만든다.
16. 적당한 크기로 썬 감자, 당근을 기름에 튀긴다.
17. 방울토마토를 기름에 튀긴 뒤 건져내 얼음에 식힌다.
18. 튀긴 방울토마토의 껍질을 벗긴다.
19. 팬에 벚꽃와인, 맛술, 껍질을 벗긴 방울토마토를 넣고 끓인다.
20. 19에 육수를 넣어 끓인다.
21. 20에 치킨스톡, 간장, 대파를 넣고 끓인다.
22. 그릇에 오렌지폰즈소스를 담은 뒤 잘게 썬 고추를 올린다.
23. 나베그릇에 튀긴 닭완자를 담는다.
24. 끓이던 소스에 전분물을 넣어 농도를 조절한 뒤 튀긴 감자, 당근을 넣는다.
25. 나베그릇에 소스를 담는다.</v>
      </c>
    </row>
    <row r="865">
      <c r="A865" s="2" t="str">
        <f>recipe!C865
</f>
        <v>유씨네 닭갈비</v>
      </c>
      <c r="B865" s="2" t="str">
        <f>IFERROR(__xludf.DUMMYFUNCTION("TRIM(
  REGEXEXTRACT(
    raw!A865,
    ""●\s*조리\s*방법([\s\S]*)""
  )
)
"),"1. 생닭을 손질한 뒤 밀가루를 묻힌다.
2. 밀가루를 묻힌 닭을 기름에 튀긴다.
3. 석쇠 사이에 대파를 넣어 굽는다.
4. 튀긴 닭에 후추를 뿌린다.
5. 절구에 보이차 분말을 넣는다.
6. 5에 올리브오일, 파슬리, 다진마늘, 청양고추를 넣고 으깬다.
7. 6에 튀긴 닭을 넣고 버무린 뒤 석쇠에 올린다.
8. 7을 구운 대파 위에 올려 훈연한다.
9. 채 썬 양파, 불린 표고버섯 슬라이스를 팬에 넣어 볶는다.
10. 핫바의 겉부분을 잘게 썬 뒤 팬"&amp;"에 넣어 함께 볶는다.
11. 10에 인스턴트 삼계탕, 간장을 넣고 볶아 닭갈비 소스를 만든다.
12. 비빔라면의 면을 삶은 뒤 얼음물에 헹군다.
13. 믹서기에 동치미 국물, 고추장, 방울토마토를 넣고 간다.
14. 13에 칼라만시, 설탕, 식초, 칠리소스를 넣고 한 번 더 간다.
15. 매운맛 닭가슴살 스테이크를 얇게 썬다.
16. 동치미무, 오이는 얇게 썰고 방울토마토는 반으로 썬다.
17. 차게 식힌 면에 참기름을 넣은 뒤 접시에 담는다.
18."&amp;" 막국수양념에 연겨자를 넣은 뒤 면 위에 붓는다.
19. 18에 동치미무, 오이, 매운맛 닭가슴살 스테이크, 방울토마토를 올린다.
20. 닭갈비 소스에 구운 닭을 올려 마무리한다.")</f>
        <v>1. 생닭을 손질한 뒤 밀가루를 묻힌다.
2. 밀가루를 묻힌 닭을 기름에 튀긴다.
3. 석쇠 사이에 대파를 넣어 굽는다.
4. 튀긴 닭에 후추를 뿌린다.
5. 절구에 보이차 분말을 넣는다.
6. 5에 올리브오일, 파슬리, 다진마늘, 청양고추를 넣고 으깬다.
7. 6에 튀긴 닭을 넣고 버무린 뒤 석쇠에 올린다.
8. 7을 구운 대파 위에 올려 훈연한다.
9. 채 썬 양파, 불린 표고버섯 슬라이스를 팬에 넣어 볶는다.
10. 핫바의 겉부분을 잘게 썬 뒤 팬에 넣어 함께 볶는다.
11. 10에 인스턴트 삼계탕, 간장을 넣고 볶아 닭갈비 소스를 만든다.
12. 비빔라면의 면을 삶은 뒤 얼음물에 헹군다.
13. 믹서기에 동치미 국물, 고추장, 방울토마토를 넣고 간다.
14. 13에 칼라만시, 설탕, 식초, 칠리소스를 넣고 한 번 더 간다.
15. 매운맛 닭가슴살 스테이크를 얇게 썬다.
16. 동치미무, 오이는 얇게 썰고 방울토마토는 반으로 썬다.
17. 차게 식힌 면에 참기름을 넣은 뒤 접시에 담는다.
18. 막국수양념에 연겨자를 넣은 뒤 면 위에 붓는다.
19. 18에 동치미무, 오이, 매운맛 닭가슴살 스테이크, 방울토마토를 올린다.
20. 닭갈비 소스에 구운 닭을 올려 마무리한다.</v>
      </c>
    </row>
    <row r="866">
      <c r="A866" s="2" t="str">
        <f>recipe!C866
</f>
        <v>맛스타</v>
      </c>
      <c r="B866" s="2" t="str">
        <f>IFERROR(__xludf.DUMMYFUNCTION("TRIM(
  REGEXEXTRACT(
    raw!A866,
    ""●\s*조리\s*방법([\s\S]*)""
  )
)
"),"1. 지퍼백에 소등심을 넣은 뒤 고기망치로 두드려 넓게 편다.
2. 양파와 양송이버섯을 얇게 썬 뒤 기름을 두른 팬에 넣고 볶는다.
3. 2에 소금, 후추, 불린 표고버섯 슬라이스를 넣고 볶는다.
4. 마늘을 으깬 뒤 끓는 기름에 넣는다.
5. 4에 고춧가루를 넣어 고추기름을 낸다.
6. 넓게 편 등심에 버섯볶음을 올린다.
7. 6에 잘게 썬 연근조림을 올리고 소금, 후추로 간한 뒤 돌돌 만다.
8. 기름을 두른 팬에 소고기롤을 굽는다.
9. 고추, 홍"&amp;"고추, 청양고추를 먹기 좋은 크기로 썬다.
10. 고추기름을 두른 팬에 얇게 썬 양파, 고추를 넣고 볶는다.
11. 핸드블렌더에 식초, 간장, 맛술, 설탕, 카야잼을 넣는다.
12. 11에 치킨스톡, 불린 표고버섯물, 올리브오일, 참기름을 넣고 갈아 소스를 만든다.
13. 볶던 양파와 고추에 소스를 넣어 볶는다.
14. 두릅장아찌를 팬에 넣고 함께 볶는다.
15. 대파를 얇게 채 썬다.
16. 파채를 얼음물에 담가둔다.
17. 소고기롤을 먹기 좋은 크기"&amp;"로 썬다.
18. 달군 철판에 레드와인을 넣은 뒤 토치로 가열한다.
19. 소스에 볶은 양파, 고추, 두릅장아찌를 철판에 담는다.
20. 19에 소고기롤을 올린다.
21. 소스에 마늘, 카야잼을 넣는다.
22. 21을 간 뒤 연겨자를 넣고 다시 갈아 파채소스를 만든다.
23. 소고기롤에 고추기름을 끼얹는다.
24. 23에 파채와 파채소스를 올린다.
25. 파채 위에 뜨거운 기름을 끼얹어 낸다.")</f>
        <v>1. 지퍼백에 소등심을 넣은 뒤 고기망치로 두드려 넓게 편다.
2. 양파와 양송이버섯을 얇게 썬 뒤 기름을 두른 팬에 넣고 볶는다.
3. 2에 소금, 후추, 불린 표고버섯 슬라이스를 넣고 볶는다.
4. 마늘을 으깬 뒤 끓는 기름에 넣는다.
5. 4에 고춧가루를 넣어 고추기름을 낸다.
6. 넓게 편 등심에 버섯볶음을 올린다.
7. 6에 잘게 썬 연근조림을 올리고 소금, 후추로 간한 뒤 돌돌 만다.
8. 기름을 두른 팬에 소고기롤을 굽는다.
9. 고추, 홍고추, 청양고추를 먹기 좋은 크기로 썬다.
10. 고추기름을 두른 팬에 얇게 썬 양파, 고추를 넣고 볶는다.
11. 핸드블렌더에 식초, 간장, 맛술, 설탕, 카야잼을 넣는다.
12. 11에 치킨스톡, 불린 표고버섯물, 올리브오일, 참기름을 넣고 갈아 소스를 만든다.
13. 볶던 양파와 고추에 소스를 넣어 볶는다.
14. 두릅장아찌를 팬에 넣고 함께 볶는다.
15. 대파를 얇게 채 썬다.
16. 파채를 얼음물에 담가둔다.
17. 소고기롤을 먹기 좋은 크기로 썬다.
18. 달군 철판에 레드와인을 넣은 뒤 토치로 가열한다.
19. 소스에 볶은 양파, 고추, 두릅장아찌를 철판에 담는다.
20. 19에 소고기롤을 올린다.
21. 소스에 마늘, 카야잼을 넣는다.
22. 21을 간 뒤 연겨자를 넣고 다시 갈아 파채소스를 만든다.
23. 소고기롤에 고추기름을 끼얹는다.
24. 23에 파채와 파채소스를 올린다.
25. 파채 위에 뜨거운 기름을 끼얹어 낸다.</v>
      </c>
    </row>
    <row r="867">
      <c r="A867" s="2" t="str">
        <f>recipe!C867
</f>
        <v>소 정말 Mystery♬</v>
      </c>
      <c r="B867" s="2" t="str">
        <f>IFERROR(__xludf.DUMMYFUNCTION("TRIM(
  REGEXEXTRACT(
    raw!A867,
    ""●\s*조리\s*방법([\s\S]*)""
  )
)
"),"1. 핸드블렌더에 감자과자를 넣고 간다.
2. 핸드블렌더에 요거트, 아보카도를 넣고 간다.
3. 2에 레몬즙, 올리브오일을 섞어 아보카도소스를 만든다.
4. 마늘을 으깬 뒤 올리브오일을 두른 팬에 넣어 볶는다.
5. 핸드블렌더에 양송이버섯을 넣고 간다.
6. 마늘을 볶던 팬에 간 양송이버섯, 소금, 그린올리브, 잘게 썬 소시지를 넣고 볶는다.
7. 6에 간장, 참기름을 넣고 볶는다.
8. 꽃등심과 채끝살에 버섯볶음을 올린 뒤 샌드한다.
9. 8에 소금,"&amp;" 후추로 간한다.
10. 반으로 썬 감자에 촘촘하게 칼집을 낸 뒤 기름에 튀긴다.
11. 감자를 한 번 더 튀긴다.
12. 팬에 레드와인, 블루베리를 넣고 끓인다.
13. 12에 설탕을 넣고 졸여 블루베리소스를 만든다.
14. 양송이버섯, 얇게 썬 마늘을 올리브오일을 두른 팬에 볶는다.
15. 14에 소금, 식초, 치킨스톡, 물, 후추, 버터를 넣어 버섯소스를 만든다.
16. 튀긴 감자를 건져낸 뒤 갈아둔 감자과자에 버무린다.
17. 밀가루, 물, 달걀"&amp;"을 섞어 튀김 반죽을 만든다.
18. 샌드한 소고기에 튀김옷을 입힌 뒤 기름에 튀긴다.
19. 튀긴 소고기를 건져낸 뒤 감자과자를 묻힌다.
20. 19에 다시 튀김옷을 입힌 뒤 감자과자를 묻혀 한 번 더 튀긴다.
21. 접시에 아보카도소스를 올린다.
22. 소고기튀김을 먹기 좋은 크기로 썬 뒤 접시에 올린다.
23. 접시에 버섯소스를 올린 뒤 블루베리소스를 뿌린다.
24. 감자튀김을 접시에 올린다.")</f>
        <v>1. 핸드블렌더에 감자과자를 넣고 간다.
2. 핸드블렌더에 요거트, 아보카도를 넣고 간다.
3. 2에 레몬즙, 올리브오일을 섞어 아보카도소스를 만든다.
4. 마늘을 으깬 뒤 올리브오일을 두른 팬에 넣어 볶는다.
5. 핸드블렌더에 양송이버섯을 넣고 간다.
6. 마늘을 볶던 팬에 간 양송이버섯, 소금, 그린올리브, 잘게 썬 소시지를 넣고 볶는다.
7. 6에 간장, 참기름을 넣고 볶는다.
8. 꽃등심과 채끝살에 버섯볶음을 올린 뒤 샌드한다.
9. 8에 소금, 후추로 간한다.
10. 반으로 썬 감자에 촘촘하게 칼집을 낸 뒤 기름에 튀긴다.
11. 감자를 한 번 더 튀긴다.
12. 팬에 레드와인, 블루베리를 넣고 끓인다.
13. 12에 설탕을 넣고 졸여 블루베리소스를 만든다.
14. 양송이버섯, 얇게 썬 마늘을 올리브오일을 두른 팬에 볶는다.
15. 14에 소금, 식초, 치킨스톡, 물, 후추, 버터를 넣어 버섯소스를 만든다.
16. 튀긴 감자를 건져낸 뒤 갈아둔 감자과자에 버무린다.
17. 밀가루, 물, 달걀을 섞어 튀김 반죽을 만든다.
18. 샌드한 소고기에 튀김옷을 입힌 뒤 기름에 튀긴다.
19. 튀긴 소고기를 건져낸 뒤 감자과자를 묻힌다.
20. 19에 다시 튀김옷을 입힌 뒤 감자과자를 묻혀 한 번 더 튀긴다.
21. 접시에 아보카도소스를 올린다.
22. 소고기튀김을 먹기 좋은 크기로 썬 뒤 접시에 올린다.
23. 접시에 버섯소스를 올린 뒤 블루베리소스를 뿌린다.
24. 감자튀김을 접시에 올린다.</v>
      </c>
    </row>
    <row r="868">
      <c r="A868" s="2" t="str">
        <f>recipe!C868
</f>
        <v>멧돼이먼킴</v>
      </c>
      <c r="B868" s="2" t="str">
        <f>IFERROR(__xludf.DUMMYFUNCTION("TRIM(
  REGEXEXTRACT(
    raw!A868,
    ""●\s*조리\s*방법([\s\S]*)""
  )
)
"),"1. 멧돼지 뒷다리의 살을 발라낸다.
2. 발라낸 멧돼지 뒷다릿살을 적당한 크기로 썬다.
3. 멧돼지 뒷다릿살에 지퍼백을 올려 고기망치로 두드린 뒤 칼집을 낸다.
4. 멧돼지 뒷다릿살에 소주를 부은 뒤, 토치로 직화한다.
5. 냄비에 국물용 멸치, 다시마, 물, 불린 시래기, 봄동, 국물용 조미료를 넣고 끓인다.
6. 5의 시래기와 봄동을 건져낸 뒤, 된장을 넣고 버무린다.
7. 팬에 된장에 버무린 시래기와 봄동, 참기름, 시래기와 봄동을 삶은 국물을 "&amp;"넣는다.
8. 7에 잘게 썬 대파와 청양고추, 고춧가루를 넣어 시래기 봄동국을 만든다.
9. 우유에 레몬, 으깬 마늘을 넣은 뒤 직화한 멧돼지 뒷다릿살을 담가둔다.
10. 두 개의 통에 양파, 복분자주를 넣은 뒤, 고추장과 미소를 각각 넣는다.
11. 고추장을 넣은 통에 조청을 넣는다.
12. 고추장과 미소를 넣은 통에 도라지청, 다진 생강, 다진 마늘을 넣고 핸드블렌더로 간다.
13. 고추장 소스와 미소 소스에 설탕을 넣는다.
14. 우유에 담가둔 멧"&amp;"돼지 뒷다릿살을 꺼낸 뒤 고기망치로 두드린다.
15. 고추장 소스와 미소 소스에 각각 멧돼지 뒷다릿살을 넣고 버무린다.
16. 양념된 멧돼지 뒷다릿살을 올리브오일을 두른 그릴팬에 굽는다.
17. 찜기에 말린 뽕잎과 물을 넣는다.
18. 구운 멧돼지 뒷다릿살을 석쇠에 올려 한 번 더 굽는다.
19. 18의 멧돼지 뒷다릿살을 토치로 직화한다.
20. 찜기의 말린 뽕잎 위에 멧돼지 뒷다릿살을 올린 뒤 뚜껑을 덮어 훈연한다.
21. 깻잎을 채 썬다.
22. 훈"&amp;"연한 멧돼지 뒷다릿살을 적당한 크기로 썰어 밥 위에 올린다.
23. 22에 깻잎을 넣고 들기름을 두른다.
24. 고추장 멧돼지 뒷다릿살 위에 고추장 소스를 더 얹는다.
25. 시래기 봄동국을 그릇에 담는다.")</f>
        <v>1. 멧돼지 뒷다리의 살을 발라낸다.
2. 발라낸 멧돼지 뒷다릿살을 적당한 크기로 썬다.
3. 멧돼지 뒷다릿살에 지퍼백을 올려 고기망치로 두드린 뒤 칼집을 낸다.
4. 멧돼지 뒷다릿살에 소주를 부은 뒤, 토치로 직화한다.
5. 냄비에 국물용 멸치, 다시마, 물, 불린 시래기, 봄동, 국물용 조미료를 넣고 끓인다.
6. 5의 시래기와 봄동을 건져낸 뒤, 된장을 넣고 버무린다.
7. 팬에 된장에 버무린 시래기와 봄동, 참기름, 시래기와 봄동을 삶은 국물을 넣는다.
8. 7에 잘게 썬 대파와 청양고추, 고춧가루를 넣어 시래기 봄동국을 만든다.
9. 우유에 레몬, 으깬 마늘을 넣은 뒤 직화한 멧돼지 뒷다릿살을 담가둔다.
10. 두 개의 통에 양파, 복분자주를 넣은 뒤, 고추장과 미소를 각각 넣는다.
11. 고추장을 넣은 통에 조청을 넣는다.
12. 고추장과 미소를 넣은 통에 도라지청, 다진 생강, 다진 마늘을 넣고 핸드블렌더로 간다.
13. 고추장 소스와 미소 소스에 설탕을 넣는다.
14. 우유에 담가둔 멧돼지 뒷다릿살을 꺼낸 뒤 고기망치로 두드린다.
15. 고추장 소스와 미소 소스에 각각 멧돼지 뒷다릿살을 넣고 버무린다.
16. 양념된 멧돼지 뒷다릿살을 올리브오일을 두른 그릴팬에 굽는다.
17. 찜기에 말린 뽕잎과 물을 넣는다.
18. 구운 멧돼지 뒷다릿살을 석쇠에 올려 한 번 더 굽는다.
19. 18의 멧돼지 뒷다릿살을 토치로 직화한다.
20. 찜기의 말린 뽕잎 위에 멧돼지 뒷다릿살을 올린 뒤 뚜껑을 덮어 훈연한다.
21. 깻잎을 채 썬다.
22. 훈연한 멧돼지 뒷다릿살을 적당한 크기로 썰어 밥 위에 올린다.
23. 22에 깻잎을 넣고 들기름을 두른다.
24. 고추장 멧돼지 뒷다릿살 위에 고추장 소스를 더 얹는다.
25. 시래기 봄동국을 그릇에 담는다.</v>
      </c>
    </row>
    <row r="869">
      <c r="A869" s="2" t="str">
        <f>recipe!C869
</f>
        <v>유씨네 왕족발</v>
      </c>
      <c r="B869" s="2" t="str">
        <f>IFERROR(__xludf.DUMMYFUNCTION("TRIM(
  REGEXEXTRACT(
    raw!A869,
    ""●\s*조리\s*방법([\s\S]*)""
  )
)
"),"1. 찜기에 봄동과 시래기를 넣고 찐다.
2. 멧돼지 뒷다리에 칼집을 낸 뒤 껍데기와 살을 떼어낸다.
3. 멧돼지 뒷다리의 무릎뼈를 잘라낸다.
4. 멧돼지 뒷다리에 칼집을 낸다.
5. 멧돼지 뒷다리에 전분을 묻힌다.
6. 전분을 묻힌 멧돼지 뒷다리를 끓는 기름에 넣고 튀긴다.
7. 끓는 물에 칡, 도라지주, 칡대추차, 간장, 설탕, 말린 뽕잎, 도라지, 오가피청을 넣고 끓여 간장 국물을 만든다.
8. 간장 국물에 파인애플, 다진 마늘을 넣는다.
9. 튀"&amp;"긴 멧돼지 뒷다리를 간장 국물에 넣어 삶는다.
10. 딸기를 으깬다.
11. 으깬 딸기에 오디잼을 넣고 버무린다.
12. 얼음물에 담가둔 봄동을 적당한 크기로 뜯는다.
13. 갓김치를 잘게 썬 뒤 으깬 딸기와 오디잼이 담긴 볼에 넣는다.
14. 봄동에 13을 넣고 버무린다.
15. 14에 감식초를 넣는다.
16. 15에 오가피청, 잘게 썬 도라지를 넣는다.
17. 핸드블렌더에 볶은 메뚜기를 넣고 간 뒤, 16에 넣어 메뚜기 봄동 무침을 만든다.
18. "&amp;"메뚜기 봄동 무침을 접시에 담는다.
19. 멧돼지 뒷다리를 삶은 간장 국물을 팬에 담는다.
20. 체를 이용해 간장 국물의 건더기를 걸러낸다.
21. 간장 국물에 도라지청, 한라봉잼을 넣어 족발 소스를 만든다.
22. 간장 국물에 삶은 멧돼지 뒷다리를 꺼낸 뒤 전분물을 묻혀 기름에 한 번 더 튀긴다.
23. 22의 멧돼지 뒷다리를 꺼내 다시 간장 국물에 넣는다.
24. 족발 소스에 감식초를 넣는다.
25. 족발 소스에 설탕, 생강즙을 넣는다.
26. 찜"&amp;"기에 찐 시래기와 봄동을 접시에 올린다.
27. 간장 국물에 삶은 멧돼지 뒷다리를 건져낸 뒤 전분물을 묻혀 기름에 반복해서 넣었다가 뺀다.
28. 시래기와 봄동 위에 멧돼지 뒷다리를 올린다.
29. 멧돼지 뒷다리에 족발 소스를 뿌려 마무리한다.")</f>
        <v>1. 찜기에 봄동과 시래기를 넣고 찐다.
2. 멧돼지 뒷다리에 칼집을 낸 뒤 껍데기와 살을 떼어낸다.
3. 멧돼지 뒷다리의 무릎뼈를 잘라낸다.
4. 멧돼지 뒷다리에 칼집을 낸다.
5. 멧돼지 뒷다리에 전분을 묻힌다.
6. 전분을 묻힌 멧돼지 뒷다리를 끓는 기름에 넣고 튀긴다.
7. 끓는 물에 칡, 도라지주, 칡대추차, 간장, 설탕, 말린 뽕잎, 도라지, 오가피청을 넣고 끓여 간장 국물을 만든다.
8. 간장 국물에 파인애플, 다진 마늘을 넣는다.
9. 튀긴 멧돼지 뒷다리를 간장 국물에 넣어 삶는다.
10. 딸기를 으깬다.
11. 으깬 딸기에 오디잼을 넣고 버무린다.
12. 얼음물에 담가둔 봄동을 적당한 크기로 뜯는다.
13. 갓김치를 잘게 썬 뒤 으깬 딸기와 오디잼이 담긴 볼에 넣는다.
14. 봄동에 13을 넣고 버무린다.
15. 14에 감식초를 넣는다.
16. 15에 오가피청, 잘게 썬 도라지를 넣는다.
17. 핸드블렌더에 볶은 메뚜기를 넣고 간 뒤, 16에 넣어 메뚜기 봄동 무침을 만든다.
18. 메뚜기 봄동 무침을 접시에 담는다.
19. 멧돼지 뒷다리를 삶은 간장 국물을 팬에 담는다.
20. 체를 이용해 간장 국물의 건더기를 걸러낸다.
21. 간장 국물에 도라지청, 한라봉잼을 넣어 족발 소스를 만든다.
22. 간장 국물에 삶은 멧돼지 뒷다리를 꺼낸 뒤 전분물을 묻혀 기름에 한 번 더 튀긴다.
23. 22의 멧돼지 뒷다리를 꺼내 다시 간장 국물에 넣는다.
24. 족발 소스에 감식초를 넣는다.
25. 족발 소스에 설탕, 생강즙을 넣는다.
26. 찜기에 찐 시래기와 봄동을 접시에 올린다.
27. 간장 국물에 삶은 멧돼지 뒷다리를 건져낸 뒤 전분물을 묻혀 기름에 반복해서 넣었다가 뺀다.
28. 시래기와 봄동 위에 멧돼지 뒷다리를 올린다.
29. 멧돼지 뒷다리에 족발 소스를 뿌려 마무리한다.</v>
      </c>
    </row>
    <row r="870">
      <c r="A870" s="2" t="str">
        <f>recipe!C870
</f>
        <v>치즈 앤 더 시티</v>
      </c>
      <c r="B870" s="2" t="str">
        <f>IFERROR(__xludf.DUMMYFUNCTION("TRIM(
  REGEXEXTRACT(
    raw!A870,
    ""●\s*조리\s*방법([\s\S]*)""
  )
)
"),"1. 볼에 크림치즈를 담는다.
2. 달걀노른자와 흰자를 분리한다.
3. 크림치즈에 달걀노른자, 설탕을 넣고 섞는다.
4. 달걀흰자에 설탕을 넣은 뒤 머랭을 친다.
5. 4를 얼음이 담긴 볼 위에 올린 뒤 계속해서 머랭을 친다.
6. 크림치즈와 머랭을 섞은 뒤 냉동실에 넣어둔다.
7. 잘게 썬 베이컨, 양파, 파프리카, 맛술을 팬에 넣고 볶는다.
8. 지퍼백에 소등심을 넣은 뒤 고기망치로 두드려 얇게 편다.
9. 얇게 편 소등심에 후추, 소금을 뿌린 뒤 "&amp;"슬라이스치즈, 모차렐라치즈를 넣고 말아준다.
10. 볶던 베이컨과 채소에 데미글라스 소스, 토마토파스타 소스, 칠리페퍼 소스를 넣는다.
11. 바나나를 적당한 크기로 썬 뒤 설탕을 뿌린다.
12. 11의 바나나를 토치로 직화한다.
13. 적당한 크기로 썬 바게트에 더치커피를 부은 뒤 유리잔에 담는다.
14. 냉동실에서 크림치즈를 꺼내 13의 유리잔에 부은 뒤, 직화한 바나나를 올린다.
15. 14에 간 밀크 초콜릿&gt;잘게 부순 화이트 초콜릿&gt;간 밀크 초콜"&amp;"릿 순서로 올린다.
16. 핸드블렌더에 바게트를 넣고 갈아 빵가루를 만든다.
17. 밀가루에 우유, 달걀노른자를 넣어 튀김옷을 만든다.
18. 소등심말이에 튀김옷&gt;빵가루 순서로 묻힌 뒤 기름에 튀긴다.
19. 소스에 고춧가루를 넣는다.
20. 접시에 소스를 담는다.
21. 전자레인지에 돌린 즉석밥과 유채나물을 소스 옆에 올린다.
22. 소고기 튀김을 적당한 크기로 썬 뒤 소스 옆에 올린다.")</f>
        <v>1. 볼에 크림치즈를 담는다.
2. 달걀노른자와 흰자를 분리한다.
3. 크림치즈에 달걀노른자, 설탕을 넣고 섞는다.
4. 달걀흰자에 설탕을 넣은 뒤 머랭을 친다.
5. 4를 얼음이 담긴 볼 위에 올린 뒤 계속해서 머랭을 친다.
6. 크림치즈와 머랭을 섞은 뒤 냉동실에 넣어둔다.
7. 잘게 썬 베이컨, 양파, 파프리카, 맛술을 팬에 넣고 볶는다.
8. 지퍼백에 소등심을 넣은 뒤 고기망치로 두드려 얇게 편다.
9. 얇게 편 소등심에 후추, 소금을 뿌린 뒤 슬라이스치즈, 모차렐라치즈를 넣고 말아준다.
10. 볶던 베이컨과 채소에 데미글라스 소스, 토마토파스타 소스, 칠리페퍼 소스를 넣는다.
11. 바나나를 적당한 크기로 썬 뒤 설탕을 뿌린다.
12. 11의 바나나를 토치로 직화한다.
13. 적당한 크기로 썬 바게트에 더치커피를 부은 뒤 유리잔에 담는다.
14. 냉동실에서 크림치즈를 꺼내 13의 유리잔에 부은 뒤, 직화한 바나나를 올린다.
15. 14에 간 밀크 초콜릿&gt;잘게 부순 화이트 초콜릿&gt;간 밀크 초콜릿 순서로 올린다.
16. 핸드블렌더에 바게트를 넣고 갈아 빵가루를 만든다.
17. 밀가루에 우유, 달걀노른자를 넣어 튀김옷을 만든다.
18. 소등심말이에 튀김옷&gt;빵가루 순서로 묻힌 뒤 기름에 튀긴다.
19. 소스에 고춧가루를 넣는다.
20. 접시에 소스를 담는다.
21. 전자레인지에 돌린 즉석밥과 유채나물을 소스 옆에 올린다.
22. 소고기 튀김을 적당한 크기로 썬 뒤 소스 옆에 올린다.</v>
      </c>
    </row>
    <row r="871">
      <c r="A871" s="2" t="str">
        <f>recipe!C871
</f>
        <v>극한 짬뽕</v>
      </c>
      <c r="B871" s="2" t="str">
        <f>IFERROR(__xludf.DUMMYFUNCTION("TRIM(
  REGEXEXTRACT(
    raw!A871,
    ""●\s*조리\s*방법([\s\S]*)""
  )
)
"),"1. 껍질을 벗긴 오징어에 칼집을 잘게 낸다.
2. 돼지 목살, 삼치, 가자미, 대파를 잘게 썬 뒤, 기름을 두른 팬에 넣고 볶는다.
3. 볶은 소를 체로 걸러낸다.
4. 양파, 새송이버섯, 칵테일새우, 표고버섯, 대파를 잘게 썬 뒤, 기름을 두른 팬에 넣는다.
5. 4의 팬에 볶아 둔 소를 넣는다.
6. 5에 크림파스타 소스, 스리라차 소스를 넣고 볶는다.
7. 6을 볼에 담아 모차렐라 치즈를 넣고 섞어 소를 만든다.
8. 오징어 몸통에 소를 채워 넣"&amp;"는다.
9. 소를 채운 오징어 끝을 나무꼬치로 고정한다.
10. 끓는 물에 파스타면을 삶는다.
11. 기름을 두른 팬에 적당한 크기로 썬 양파, 돼지 목살, 다진 마늘을 넣는다.
12. 11에 적당한 크기로 썬 애호박, 알배추, 청양고추와 토마토파스타 소스를 넣는다.
13. 12에 칵테일새우, 고춧가루, 면수, 해산물칠리소스, 방울토마토, 소금, 국물용 조미료를 넣어 짬뽕 국물을 만든다.
14. 전분, 밀가루에 물, 기름을 넣어 튀김옷을 만든다.
15."&amp;" 소를 채운 오징어에 전분&gt;튀김옷 순서로 묻힌 뒤 기름에 튀긴다.
15. 삶은 파스타면을 건져낸 뒤 찬물에 헹군다.
16. 짬뽕 국물에 파스타면을 넣고 끓인다.
17. 오징어 튀김을 건져낸 뒤, 나무꼬치가 꽂혀있던 끝 부분을 잘라낸다.
18. 그릇에 짬뽕을 담은 뒤 오징어 튀김을 세워 마무리한다.")</f>
        <v>1. 껍질을 벗긴 오징어에 칼집을 잘게 낸다.
2. 돼지 목살, 삼치, 가자미, 대파를 잘게 썬 뒤, 기름을 두른 팬에 넣고 볶는다.
3. 볶은 소를 체로 걸러낸다.
4. 양파, 새송이버섯, 칵테일새우, 표고버섯, 대파를 잘게 썬 뒤, 기름을 두른 팬에 넣는다.
5. 4의 팬에 볶아 둔 소를 넣는다.
6. 5에 크림파스타 소스, 스리라차 소스를 넣고 볶는다.
7. 6을 볼에 담아 모차렐라 치즈를 넣고 섞어 소를 만든다.
8. 오징어 몸통에 소를 채워 넣는다.
9. 소를 채운 오징어 끝을 나무꼬치로 고정한다.
10. 끓는 물에 파스타면을 삶는다.
11. 기름을 두른 팬에 적당한 크기로 썬 양파, 돼지 목살, 다진 마늘을 넣는다.
12. 11에 적당한 크기로 썬 애호박, 알배추, 청양고추와 토마토파스타 소스를 넣는다.
13. 12에 칵테일새우, 고춧가루, 면수, 해산물칠리소스, 방울토마토, 소금, 국물용 조미료를 넣어 짬뽕 국물을 만든다.
14. 전분, 밀가루에 물, 기름을 넣어 튀김옷을 만든다.
15. 소를 채운 오징어에 전분&gt;튀김옷 순서로 묻힌 뒤 기름에 튀긴다.
15. 삶은 파스타면을 건져낸 뒤 찬물에 헹군다.
16. 짬뽕 국물에 파스타면을 넣고 끓인다.
17. 오징어 튀김을 건져낸 뒤, 나무꼬치가 꽂혀있던 끝 부분을 잘라낸다.
18. 그릇에 짬뽕을 담은 뒤 오징어 튀김을 세워 마무리한다.</v>
      </c>
    </row>
    <row r="872">
      <c r="A872" s="2" t="str">
        <f>recipe!C872
</f>
        <v>지라시스시 맛있저염</v>
      </c>
      <c r="B872" s="2" t="str">
        <f>IFERROR(__xludf.DUMMYFUNCTION("TRIM(
  REGEXEXTRACT(
    raw!A872,
    ""●\s*조리\s*방법([\s\S]*)""
  )
)
"),"1. 전자레인지에 즉석밥을 넣고 돌린다.
2. 무절임을 잘게 다진다.
3. 2에 날치알을 넣은 뒤 깨를 으깨어 넣는다.
4. 뜨거운 물에 새우, 전복, 불린 완두콩을 넣고 삶는다.
5. 4에 냉이를 넣는다.
6. 연어, 명란젓에 밀가루를 묻힌다.
7. 참기름을 두른 팬에 밀가루를 묻힌 연어와 명란젓을 굽는다.
8. 건조 매생이를 석쇠에 올려 굽는다.
9. 끓는 물에 구운 매생이를 넣어 끓인다.
10. 명태채를 잘게 썬 뒤 매생이 육수에 넣어 끓인다.
1"&amp;"1. 10에 아이용 된장을 풀어 매생이장국을 끓인다.
12. 다진 무절임, 날치알, 깨에 즉석밥을 넣는다.
13. 동치미 국물에 매실청을 섞어 단촛물을 만든다.
14. 밥에 단촛물을 섞어준다.
15. 양념한 밥을 원형틀에 넣는다.
16. 15를 랩으로 감싼 뒤 다른 접시로 덮어 뒤집는다.
17. 양념한 밥을 찜기에 넣어 찐다.
18. 아스파라거스, 가지를 잘게 썬다.
19. 18을 기름에 튀긴다.
20. 팬에 소고기 양지, 표고버섯을 넣고 볶는다.
21"&amp;". 20에 참기름을 넣어 볶는다.
22. 21에 청주(6), 맛술(1), 아이용 간장(1)을 넣고 조린다.
23. 팬에 달걀물을 부어 지단을 부친다.
24. 찐 밥을 접시에 담는다.
25. 지단을 잘게 다진 뒤 밥 위에 올린다.
26. 삶은 해산물과 냉이를 건져낸다.
27. 지단 위에 소고기버섯조림을 올린다.
28. 27에 새우를 올린다.
29. 적당한 크기로 썬 전복을 새우 위에 올린다.
30. 적당한 크기로 썬 구운 명란젓과 연어, 튀긴 아스파라거스"&amp;"와 가지를 올린다.
31. 원형틀을 제거한다.
32. 매생이장국을 그릇에 담는다.")</f>
        <v>1. 전자레인지에 즉석밥을 넣고 돌린다.
2. 무절임을 잘게 다진다.
3. 2에 날치알을 넣은 뒤 깨를 으깨어 넣는다.
4. 뜨거운 물에 새우, 전복, 불린 완두콩을 넣고 삶는다.
5. 4에 냉이를 넣는다.
6. 연어, 명란젓에 밀가루를 묻힌다.
7. 참기름을 두른 팬에 밀가루를 묻힌 연어와 명란젓을 굽는다.
8. 건조 매생이를 석쇠에 올려 굽는다.
9. 끓는 물에 구운 매생이를 넣어 끓인다.
10. 명태채를 잘게 썬 뒤 매생이 육수에 넣어 끓인다.
11. 10에 아이용 된장을 풀어 매생이장국을 끓인다.
12. 다진 무절임, 날치알, 깨에 즉석밥을 넣는다.
13. 동치미 국물에 매실청을 섞어 단촛물을 만든다.
14. 밥에 단촛물을 섞어준다.
15. 양념한 밥을 원형틀에 넣는다.
16. 15를 랩으로 감싼 뒤 다른 접시로 덮어 뒤집는다.
17. 양념한 밥을 찜기에 넣어 찐다.
18. 아스파라거스, 가지를 잘게 썬다.
19. 18을 기름에 튀긴다.
20. 팬에 소고기 양지, 표고버섯을 넣고 볶는다.
21. 20에 참기름을 넣어 볶는다.
22. 21에 청주(6), 맛술(1), 아이용 간장(1)을 넣고 조린다.
23. 팬에 달걀물을 부어 지단을 부친다.
24. 찐 밥을 접시에 담는다.
25. 지단을 잘게 다진 뒤 밥 위에 올린다.
26. 삶은 해산물과 냉이를 건져낸다.
27. 지단 위에 소고기버섯조림을 올린다.
28. 27에 새우를 올린다.
29. 적당한 크기로 썬 전복을 새우 위에 올린다.
30. 적당한 크기로 썬 구운 명란젓과 연어, 튀긴 아스파라거스와 가지를 올린다.
31. 원형틀을 제거한다.
32. 매생이장국을 그릇에 담는다.</v>
      </c>
    </row>
    <row r="873">
      <c r="A873" s="2" t="str">
        <f>recipe!C873
</f>
        <v>특명! 아빠의 도전</v>
      </c>
      <c r="B873" s="2" t="str">
        <f>IFERROR(__xludf.DUMMYFUNCTION("TRIM(
  REGEXEXTRACT(
    raw!A873,
    ""●\s*조리\s*방법([\s\S]*)""
  )
)
"),"1. 석쇠에 올린 파프리카를 토치로 직화한다.
2. 올리브오일을 두른 두 냄비에 한 쪽엔 양파, 다른 쪽엔 양파, 당근, 마늘을 볶는다.
3. 양파를 볶던 팬에 소고기 양지를 넣은 뒤 두 냄비 모두 물을 넣고 끓여 양지 육수와 채소 육수를 낸다.
4. 핸드블렌더에 표고버섯, 양송이버섯, 느타리버섯을 넣고 간 뒤 팬에 볶는다.
5. 볶던 버섯에 휘핑크림, 그라나파다노 치즈를 갈아 넣는다.
6. 5에 채소 육수, 양지 육수를 넣은 뒤 즉석밥을 넣고 볶는다."&amp;"
7. 구운 파프리카의 탄 부분을 벗겨낸다.
8. 핸드블렌더에 구운 파프리카, 선드라이드 토마토, 올리브오일을 넣고 간다.
9. 애호박을 얇게 슬라이스한 뒤 그릴팬에 굽는다.
10. 칼집을 낸 오징어, 새우를 핸드블렌더에 넣고 간 뒤 팬에 볶는다.
11. 먹기 좋은 크기로 썬 틸라피아를 10에 넣고 볶는다.
12. 11에 크림치즈를 넣고 섞는다.
13. 구운 애호박을 겹쳐 놓은 뒤 12를 올린다.
14. 올리브오일을 두른 팬에 잘게 썬 아스파라거스를 넣"&amp;"는다.
15. 전복, 소 안심을 적당한 크기로 썬 뒤 밀가루를 묻힌다.
16. 15를 팬에 넣고 볶는다.
17. 16에 버섯리소토를 넣고 볶은 뒤 접시에 담아낸다.
18. 애호박롤을 접시에 올린 뒤 파프리카 소스, 아몬드 가루를 올린다.
19. 아몬드 가루를 토치로 직화한다.
20. 발사믹 글레이즈, 올리브오일을 섞은 뒤 애호박롤에 뿌린다.
21. 버섯리소토에 파프리카 소스를 올린다.")</f>
        <v>1. 석쇠에 올린 파프리카를 토치로 직화한다.
2. 올리브오일을 두른 두 냄비에 한 쪽엔 양파, 다른 쪽엔 양파, 당근, 마늘을 볶는다.
3. 양파를 볶던 팬에 소고기 양지를 넣은 뒤 두 냄비 모두 물을 넣고 끓여 양지 육수와 채소 육수를 낸다.
4. 핸드블렌더에 표고버섯, 양송이버섯, 느타리버섯을 넣고 간 뒤 팬에 볶는다.
5. 볶던 버섯에 휘핑크림, 그라나파다노 치즈를 갈아 넣는다.
6. 5에 채소 육수, 양지 육수를 넣은 뒤 즉석밥을 넣고 볶는다.
7. 구운 파프리카의 탄 부분을 벗겨낸다.
8. 핸드블렌더에 구운 파프리카, 선드라이드 토마토, 올리브오일을 넣고 간다.
9. 애호박을 얇게 슬라이스한 뒤 그릴팬에 굽는다.
10. 칼집을 낸 오징어, 새우를 핸드블렌더에 넣고 간 뒤 팬에 볶는다.
11. 먹기 좋은 크기로 썬 틸라피아를 10에 넣고 볶는다.
12. 11에 크림치즈를 넣고 섞는다.
13. 구운 애호박을 겹쳐 놓은 뒤 12를 올린다.
14. 올리브오일을 두른 팬에 잘게 썬 아스파라거스를 넣는다.
15. 전복, 소 안심을 적당한 크기로 썬 뒤 밀가루를 묻힌다.
16. 15를 팬에 넣고 볶는다.
17. 16에 버섯리소토를 넣고 볶은 뒤 접시에 담아낸다.
18. 애호박롤을 접시에 올린 뒤 파프리카 소스, 아몬드 가루를 올린다.
19. 아몬드 가루를 토치로 직화한다.
20. 발사믹 글레이즈, 올리브오일을 섞은 뒤 애호박롤에 뿌린다.
21. 버섯리소토에 파프리카 소스를 올린다.</v>
      </c>
    </row>
    <row r="874">
      <c r="A874" s="2" t="str">
        <f>recipe!C874
</f>
        <v>술풀 때 야식 한다</v>
      </c>
      <c r="B874" s="2" t="str">
        <f>IFERROR(__xludf.DUMMYFUNCTION("TRIM(
  REGEXEXTRACT(
    raw!A874,
    ""●\s*조리\s*방법([\s\S]*)""
  )
)
"),"1. 그라나파다노 치즈, 스모크 치즈를 간다.
2. 1에 파르메산 치즈가루를 뿌린 뒤 종이포일에 올린다.
3. 종이포일에 올린 치즈를 오븐에 넣어 굽는다.
4. 갈매기살을 얇게 썬다.
5. 4에 전분, 생강즙, 소금을 넣고 버무린다.
6. 전분을 묻힌 갈매기살을 기름에 튀긴다.
7. 기름에 튀긴 갈매기살을 건져낸다.
8. 끓는 물에 소금을 넣은 뒤 냉이를 넣어 데친다.
9. 데친 냉이를 잘게 썬 뒤 갈매기살 튀김과 섞어준다.
10. 얇게 슬라이스한 무를"&amp;" 채 썬다.
11. 채 썬 무를 얼음물에 담가둔다.
12. 적양배추, 파프리카, 당근, 청양고추를 잘게 썬 뒤 얼음물에 담가둔다.
13. 오븐에 구운 치즈 튀일로 와인병을 감싸 모양을 잡는다.
14. 얼음물에 담가뒀던 채소를 접시에 담은 뒤 참깨를 뿌린다.
15. 고수를 잘게 썬 뒤 샐러드 위에 올린다.
16. 고추피클을 잘게 썬 뒤 샐러드 위에 올린다.
17. 핸드블렌더에 간장, 식초, 맛술, 참기름, 설탕, 올리브오일을 넣은 뒤 간다.
18. 17을"&amp;" 샐러드에 뿌린다.
19. 볼에 된장, 꿀, 생강즙, 매실청, 그라나파다노 치즈, 스모크 치즈를 넣는다.
20. 19에 연겨자, 간장을 넣어 된장소스를 만든 뒤 갈매기살 튀김에 넣고 버무린다.
21. 20을 샐러드 위에 올린 뒤 참깨를 뿌린다.
22. 치즈튀일을 접시에 담는다.")</f>
        <v>1. 그라나파다노 치즈, 스모크 치즈를 간다.
2. 1에 파르메산 치즈가루를 뿌린 뒤 종이포일에 올린다.
3. 종이포일에 올린 치즈를 오븐에 넣어 굽는다.
4. 갈매기살을 얇게 썬다.
5. 4에 전분, 생강즙, 소금을 넣고 버무린다.
6. 전분을 묻힌 갈매기살을 기름에 튀긴다.
7. 기름에 튀긴 갈매기살을 건져낸다.
8. 끓는 물에 소금을 넣은 뒤 냉이를 넣어 데친다.
9. 데친 냉이를 잘게 썬 뒤 갈매기살 튀김과 섞어준다.
10. 얇게 슬라이스한 무를 채 썬다.
11. 채 썬 무를 얼음물에 담가둔다.
12. 적양배추, 파프리카, 당근, 청양고추를 잘게 썬 뒤 얼음물에 담가둔다.
13. 오븐에 구운 치즈 튀일로 와인병을 감싸 모양을 잡는다.
14. 얼음물에 담가뒀던 채소를 접시에 담은 뒤 참깨를 뿌린다.
15. 고수를 잘게 썬 뒤 샐러드 위에 올린다.
16. 고추피클을 잘게 썬 뒤 샐러드 위에 올린다.
17. 핸드블렌더에 간장, 식초, 맛술, 참기름, 설탕, 올리브오일을 넣은 뒤 간다.
18. 17을 샐러드에 뿌린다.
19. 볼에 된장, 꿀, 생강즙, 매실청, 그라나파다노 치즈, 스모크 치즈를 넣는다.
20. 19에 연겨자, 간장을 넣어 된장소스를 만든 뒤 갈매기살 튀김에 넣고 버무린다.
21. 20을 샐러드 위에 올린 뒤 참깨를 뿌린다.
22. 치즈튀일을 접시에 담는다.</v>
      </c>
    </row>
    <row r="875">
      <c r="A875" s="2" t="str">
        <f>recipe!C875
</f>
        <v>술맛 찾으러 가자</v>
      </c>
      <c r="B875" s="2" t="str">
        <f>IFERROR(__xludf.DUMMYFUNCTION("TRIM(
  REGEXEXTRACT(
    raw!A875,
    ""●\s*조리\s*방법([\s\S]*)""
  )
)
"),"1. 깊게 칼집을 넣은 가지에 새우가루, 해산물버섯가루를 뿌린 뒤 전자레인지에 돌린다.
2. 기름을 두른 팬에 다진마늘을 볶는다.
3. 2에 두반장, 해선장, 백후추, 참치액, 고춧가루, 식초, 맛술을 넣고 끓여 양념을 만든다.
4. 삼겹살의 비계만 떼어낸다.
5. 핸드블렌더에 삼겹살 비계, 새우, 다진생강, 백후추를 넣는다.
6. 5를 간 뒤 맛술을 넣고 한 번 더 갈아 순대소를 만든다.
7. 순대소는 볼에 담고, 새우를 잘게 썬다.
8. 순대소에 잘"&amp;"게 썬 새우를 넣은 뒤 치댄다.
9. 슬라이스된 알목심에 순대소를 올린 뒤 돌돌 말아 새우순대를 만든다.
10. 새우순대에 전분을 묻힌다.
11. 기름을 두른 팬에 새우순대를 넣고 뚜껑을 닫아 지진다.
12. 전자레인지에 돌린 가지를 넓게 펼쳐 팬에 굽는다.
13. 가지에 양념을 바른다.
14. 팬에 코코넛밀크, 물엿, 설탕, 가지 양념, 전분물을 넣고 끓여 순대 소스를 만든다.
15. 가지에 참기름을 두른다.
16. 가지에 양념을 한 번 더 바른다.
"&amp;"17. 새우순대를 지지던 팬에 물을 넣어 익힌다.
18. 쌈채소를 잘게 썬 뒤 접시에 담는다.
19. 가지 위에 잘게 썬 고수를 올린다.
20. 새우순대를 쌈채소 위에 올린다.
21. 가지구이를 접시에 올린다.
22. 새우순대 위에 소스를 부어 낸다.")</f>
        <v>1. 깊게 칼집을 넣은 가지에 새우가루, 해산물버섯가루를 뿌린 뒤 전자레인지에 돌린다.
2. 기름을 두른 팬에 다진마늘을 볶는다.
3. 2에 두반장, 해선장, 백후추, 참치액, 고춧가루, 식초, 맛술을 넣고 끓여 양념을 만든다.
4. 삼겹살의 비계만 떼어낸다.
5. 핸드블렌더에 삼겹살 비계, 새우, 다진생강, 백후추를 넣는다.
6. 5를 간 뒤 맛술을 넣고 한 번 더 갈아 순대소를 만든다.
7. 순대소는 볼에 담고, 새우를 잘게 썬다.
8. 순대소에 잘게 썬 새우를 넣은 뒤 치댄다.
9. 슬라이스된 알목심에 순대소를 올린 뒤 돌돌 말아 새우순대를 만든다.
10. 새우순대에 전분을 묻힌다.
11. 기름을 두른 팬에 새우순대를 넣고 뚜껑을 닫아 지진다.
12. 전자레인지에 돌린 가지를 넓게 펼쳐 팬에 굽는다.
13. 가지에 양념을 바른다.
14. 팬에 코코넛밀크, 물엿, 설탕, 가지 양념, 전분물을 넣고 끓여 순대 소스를 만든다.
15. 가지에 참기름을 두른다.
16. 가지에 양념을 한 번 더 바른다.
17. 새우순대를 지지던 팬에 물을 넣어 익힌다.
18. 쌈채소를 잘게 썬 뒤 접시에 담는다.
19. 가지 위에 잘게 썬 고수를 올린다.
20. 새우순대를 쌈채소 위에 올린다.
21. 가지구이를 접시에 올린다.
22. 새우순대 위에 소스를 부어 낸다.</v>
      </c>
    </row>
    <row r="876">
      <c r="A876" s="2" t="str">
        <f>recipe!C876
</f>
        <v>내 발가락 내놔</v>
      </c>
      <c r="B876" s="2" t="str">
        <f>IFERROR(__xludf.DUMMYFUNCTION("TRIM(
  REGEXEXTRACT(
    raw!A876,
    ""●\s*조리\s*방법([\s\S]*)""
  )
)
"),"1. 믹서기에 밀가루, 소금, 강황가루, 올리브오일을 넣는다.
2. 1에 물을 넣어가며 간다.
3. 2에 밀가루를 섞어 만두피 반죽을 만든다.
4. 핸드블렌더에 다진 돼지고기, 잘게 썬 고추, 새우를 넣고 간다.
5. 만두소에 고춧가루를 넣고 치댄다.
6. 5에 소금, 밀가루, 다진생강을 넣고 치댄다.
7. 만두피 반죽을 밀대로 얇게 민다.
8. 만두소에 대파를 끼운 뒤 만두피 위에 올린다.
9. 만두피로 만두소를 감싼다.
10. 만두를 찜기에 넣어 찐"&amp;"다.
11. 끓는 물에 메밀면을 삶는다.
12. 고추장에 설탕, 다진마늘, 레몬즙을 섞는다.
13. 나박김치 국물에 12, 참기름, 얼음을 넣어 비빔면 소스를 만든다
14. 삶은 메밀면을 얼음물에 헹군 뒤 비빔면 소스에 넣는다.
15. 비빔면을 접시에 담는다.
16. 냄비에 간장, 식초, 양파, 고추를 넣고 끓인다.
17. 간장에 절인 양파, 얇게 썬 대파를 비빔면 위에 올린다.
18. 간장에 절인 양파를 여러 개 겹쳐 만두 위에 올린다.
19. 만두의"&amp;" 끝부분을 썰어 만두소, 대파가 보이게끔 만든다.
20. 만두 위에 채 썬 김을 올린 뒤 비빔면 위에 올려 낸다.")</f>
        <v>1. 믹서기에 밀가루, 소금, 강황가루, 올리브오일을 넣는다.
2. 1에 물을 넣어가며 간다.
3. 2에 밀가루를 섞어 만두피 반죽을 만든다.
4. 핸드블렌더에 다진 돼지고기, 잘게 썬 고추, 새우를 넣고 간다.
5. 만두소에 고춧가루를 넣고 치댄다.
6. 5에 소금, 밀가루, 다진생강을 넣고 치댄다.
7. 만두피 반죽을 밀대로 얇게 민다.
8. 만두소에 대파를 끼운 뒤 만두피 위에 올린다.
9. 만두피로 만두소를 감싼다.
10. 만두를 찜기에 넣어 찐다.
11. 끓는 물에 메밀면을 삶는다.
12. 고추장에 설탕, 다진마늘, 레몬즙을 섞는다.
13. 나박김치 국물에 12, 참기름, 얼음을 넣어 비빔면 소스를 만든다
14. 삶은 메밀면을 얼음물에 헹군 뒤 비빔면 소스에 넣는다.
15. 비빔면을 접시에 담는다.
16. 냄비에 간장, 식초, 양파, 고추를 넣고 끓인다.
17. 간장에 절인 양파, 얇게 썬 대파를 비빔면 위에 올린다.
18. 간장에 절인 양파를 여러 개 겹쳐 만두 위에 올린다.
19. 만두의 끝부분을 썰어 만두소, 대파가 보이게끔 만든다.
20. 만두 위에 채 썬 김을 올린 뒤 비빔면 위에 올려 낸다.</v>
      </c>
    </row>
    <row r="877">
      <c r="A877" s="2" t="str">
        <f>recipe!C877
</f>
        <v>지옥에서 온 손님</v>
      </c>
      <c r="B877" s="2" t="str">
        <f>IFERROR(__xludf.DUMMYFUNCTION("TRIM(
  REGEXEXTRACT(
    raw!A877,
    ""●\s*조리\s*방법([\s\S]*)""
  )
)
"),"1. 기름을 두른 팬에 돼지 앞다릿살을 넣고 볶는다.
2. 핸드블렌더에 비트, 새우, 다진 돼지고기, 가자미살을 넣는다.
3. 2에 소금, 치킨스톡, 대파, 다진마늘, 전분을 넣고 간다.
4. 3에 버터, 다진 돼지고기를 넣고 치댄다.
5. 4에 후추를 넣고 치댄다.
6. 위생장갑에 식용유를 넣고 골고루 발라준다.
7. 위생장갑에 완자반죽을 넣어 채운다.
8. 7을 찜기에 넣고 찐다.
9. 팬에 볶은 돼지 앞다릿살의 기름, 고춧가루를 넣고 끓여 고추기름"&amp;"을 낸다.
10. 핸드블렌더에 대파를 넣고 간 뒤 고추기름에 넣고 볶는다.
11. 10에 간장을 넣는다.
12. 11에 잘게 썬 표고버섯, 볶은 돼지 앞다릿살을 넣고 볶는다.
13. 핸드블렌더에 무, 비트, 감자를 넣고 간다.
14. 볶던 재료에 13, 다진마늘, 뜨거운 물, 새우 머리, 치킨스톡, 버터를 넣고 끓인다.
15. 끓는 물에 달걀을 삶는다.
16. 비트수프에 맛술, 카레가루, 식초를 넣은 뒤 새우 머리를 건져낸다.
17. 비트수프를 핸드블렌"&amp;"더로 갈아준다.
18. 데운 뚝배기에 비트수프를 담는다.
19. 찐 완자를 위생장갑에서 분리한다.
20. 완자를 비트수프에 넣는다.
21. 완자 위에 달걀노른자를 올린다.")</f>
        <v>1. 기름을 두른 팬에 돼지 앞다릿살을 넣고 볶는다.
2. 핸드블렌더에 비트, 새우, 다진 돼지고기, 가자미살을 넣는다.
3. 2에 소금, 치킨스톡, 대파, 다진마늘, 전분을 넣고 간다.
4. 3에 버터, 다진 돼지고기를 넣고 치댄다.
5. 4에 후추를 넣고 치댄다.
6. 위생장갑에 식용유를 넣고 골고루 발라준다.
7. 위생장갑에 완자반죽을 넣어 채운다.
8. 7을 찜기에 넣고 찐다.
9. 팬에 볶은 돼지 앞다릿살의 기름, 고춧가루를 넣고 끓여 고추기름을 낸다.
10. 핸드블렌더에 대파를 넣고 간 뒤 고추기름에 넣고 볶는다.
11. 10에 간장을 넣는다.
12. 11에 잘게 썬 표고버섯, 볶은 돼지 앞다릿살을 넣고 볶는다.
13. 핸드블렌더에 무, 비트, 감자를 넣고 간다.
14. 볶던 재료에 13, 다진마늘, 뜨거운 물, 새우 머리, 치킨스톡, 버터를 넣고 끓인다.
15. 끓는 물에 달걀을 삶는다.
16. 비트수프에 맛술, 카레가루, 식초를 넣은 뒤 새우 머리를 건져낸다.
17. 비트수프를 핸드블렌더로 갈아준다.
18. 데운 뚝배기에 비트수프를 담는다.
19. 찐 완자를 위생장갑에서 분리한다.
20. 완자를 비트수프에 넣는다.
21. 완자 위에 달걀노른자를 올린다.</v>
      </c>
    </row>
    <row r="878">
      <c r="A878" s="2" t="str">
        <f>recipe!C878
</f>
        <v>돈플갱어</v>
      </c>
      <c r="B878" s="2" t="str">
        <f>IFERROR(__xludf.DUMMYFUNCTION("TRIM(
  REGEXEXTRACT(
    raw!A878,
    ""●\s*조리\s*방법([\s\S]*)""
  )
)
"),"1. 믹서기에 황태채를 넣고 뜨거운 물을 붓는다.
2. 돼지 앞다릿살의 비계를 떼어낸다.
3. 후추를 뿌린 돼지 앞다릿살을 석쇠에 올려 굽는다.
4. 황태채, 물을 갈아 만든 황태채 육수를 체에 밭쳐 곱게 거른다.
5. 믹서기에 황태채 육수, 으깬 병아리콩, 아몬드가루를 넣고 간다.
6. 버터를 두른 팬에 병아리콩 수프를 부어 끓인다.
7. 브로콜리, 단호박을 적당한 크기로 썬 뒤 끓는 물에 데친다.
8. 버터를 두른 팬에 체리, 데친 브로콜리와 단호박"&amp;"을 넣어 볶는다.
9. 손질한 감자에 모양을 낸 뒤 슬라이스한다.
10. 9에 쌀가루를 묻힌 뒤 기름에 튀긴다.
11. 간장, 맛술, 청주, 다진생강을 섞어 소스를 만든다.
12. 돼지 앞다릿살에 간장소스를 발라가며 굽는다.
13. 병아리콩 수프에 버터를 넣고 끓인다.
14. 병아리콩 수프에 소금으로 간한다.
15. 구운 돼지 앞다릿살을 적당한 크기로 썬다.
16. 돼지 앞다릿살, 볶은 재료들을 그릇에 담는다.
17. 나박김치에 생강청, 레몬즙을 넣은 "&amp;"뒤 그릇에 담아낸다.
18. 17에 레몬껍질을 갈아 올린다.
19. 종지에 소고기 장조림 국물을 담는다.
20. 19에 커민을 넣는다.
21. 병아리콩 수프를 그릇에 담는다.
22. 21에 아몬드가루를 뿌린다.
23. 아몬드가루를 토치로 직화한다.
24. 날개 모양의 감자칩을 그릇에 올린다.")</f>
        <v>1. 믹서기에 황태채를 넣고 뜨거운 물을 붓는다.
2. 돼지 앞다릿살의 비계를 떼어낸다.
3. 후추를 뿌린 돼지 앞다릿살을 석쇠에 올려 굽는다.
4. 황태채, 물을 갈아 만든 황태채 육수를 체에 밭쳐 곱게 거른다.
5. 믹서기에 황태채 육수, 으깬 병아리콩, 아몬드가루를 넣고 간다.
6. 버터를 두른 팬에 병아리콩 수프를 부어 끓인다.
7. 브로콜리, 단호박을 적당한 크기로 썬 뒤 끓는 물에 데친다.
8. 버터를 두른 팬에 체리, 데친 브로콜리와 단호박을 넣어 볶는다.
9. 손질한 감자에 모양을 낸 뒤 슬라이스한다.
10. 9에 쌀가루를 묻힌 뒤 기름에 튀긴다.
11. 간장, 맛술, 청주, 다진생강을 섞어 소스를 만든다.
12. 돼지 앞다릿살에 간장소스를 발라가며 굽는다.
13. 병아리콩 수프에 버터를 넣고 끓인다.
14. 병아리콩 수프에 소금으로 간한다.
15. 구운 돼지 앞다릿살을 적당한 크기로 썬다.
16. 돼지 앞다릿살, 볶은 재료들을 그릇에 담는다.
17. 나박김치에 생강청, 레몬즙을 넣은 뒤 그릇에 담아낸다.
18. 17에 레몬껍질을 갈아 올린다.
19. 종지에 소고기 장조림 국물을 담는다.
20. 19에 커민을 넣는다.
21. 병아리콩 수프를 그릇에 담는다.
22. 21에 아몬드가루를 뿌린다.
23. 아몬드가루를 토치로 직화한다.
24. 날개 모양의 감자칩을 그릇에 올린다.</v>
      </c>
    </row>
    <row r="879">
      <c r="A879" s="2" t="str">
        <f>recipe!C879
</f>
        <v>쌀과 함께</v>
      </c>
      <c r="B879" s="2" t="str">
        <f>IFERROR(__xludf.DUMMYFUNCTION("TRIM(
  REGEXEXTRACT(
    raw!A879,
    ""●\s*조리\s*방법([\s\S]*)""
  )
)
"),"1. 얇게 썬 감자를 끓는 물에 삶는다.
2. 쌀국수면을 끓는 물에 삶는다.
3. 부챗살의 힘줄을 제거한다.
4. 핸드블렌더에 부챗살, 양파를 넣는다.
5. 4에 메추리알, 쌀가루를 넣고 간다.
6. 5에 간장, 후추, 소금을 넣고 치대어 완자 반죽을 만든다.
7. 중식도에 완자 반죽을 올린 뒤 얇게 편다.
8. 완자 반죽을 떼어 기름에 지진다.
9. 돼지 앞다릿살을 지퍼백에 넣은 뒤 고기망치로 두드린다.
10. 넓게 편 돼지 앞다릿살에 간장, 소금, "&amp;"후추로 간 한다.
11. 10에 참기름을 바른 뒤 쌀가루를 뿌려준다.
12. 11에 메추리알을 묻힌 뒤 기름을 두른 팬에 굽는다.
13. 표고버섯을 얇게 썬 뒤 팬에 함께 굽는다.
14. 삶은 쌀국수면을 차가운 물에 헹군다.
15. 삶은 감자, 검은콩 두유를 핸드블렌더에 넣고 갈아 두유크림소스를 만든다.
16. 두유크림소스를 체에 곱게 걸러 끓인다.
17. 16에 삶은 쌀국수면, 볶은 표고버섯을 넣고 끓인다.
18. 두유크림파스타, 고기완자에 소금으로 "&amp;"간한다.
19. 육전을 접시에 담는다.
20. 두유크림파스타, 고기완자를 그릇에 담는다.
21. 20에 브로콜리 새싹을 올린다.
22. 간장에 잘게 썬 고추, 홍고추를 올려 낸다.")</f>
        <v>1. 얇게 썬 감자를 끓는 물에 삶는다.
2. 쌀국수면을 끓는 물에 삶는다.
3. 부챗살의 힘줄을 제거한다.
4. 핸드블렌더에 부챗살, 양파를 넣는다.
5. 4에 메추리알, 쌀가루를 넣고 간다.
6. 5에 간장, 후추, 소금을 넣고 치대어 완자 반죽을 만든다.
7. 중식도에 완자 반죽을 올린 뒤 얇게 편다.
8. 완자 반죽을 떼어 기름에 지진다.
9. 돼지 앞다릿살을 지퍼백에 넣은 뒤 고기망치로 두드린다.
10. 넓게 편 돼지 앞다릿살에 간장, 소금, 후추로 간 한다.
11. 10에 참기름을 바른 뒤 쌀가루를 뿌려준다.
12. 11에 메추리알을 묻힌 뒤 기름을 두른 팬에 굽는다.
13. 표고버섯을 얇게 썬 뒤 팬에 함께 굽는다.
14. 삶은 쌀국수면을 차가운 물에 헹군다.
15. 삶은 감자, 검은콩 두유를 핸드블렌더에 넣고 갈아 두유크림소스를 만든다.
16. 두유크림소스를 체에 곱게 걸러 끓인다.
17. 16에 삶은 쌀국수면, 볶은 표고버섯을 넣고 끓인다.
18. 두유크림파스타, 고기완자에 소금으로 간한다.
19. 육전을 접시에 담는다.
20. 두유크림파스타, 고기완자를 그릇에 담는다.
21. 20에 브로콜리 새싹을 올린다.
22. 간장에 잘게 썬 고추, 홍고추를 올려 낸다.</v>
      </c>
    </row>
    <row r="880">
      <c r="A880" s="2" t="str">
        <f>recipe!C880
</f>
        <v>킴가네</v>
      </c>
      <c r="B880" s="2" t="str">
        <f>IFERROR(__xludf.DUMMYFUNCTION("TRIM(
  REGEXEXTRACT(
    raw!A880,
    ""●\s*조리\s*방법([\s\S]*)""
  )
)
"),"1. 기름을 두른 팬에 잘게 썬 양파, 파프리카를 넣는다.
2. 1에 로제소스를 넣어 오징어순대 소스를 만든다.
3. 적당한 크기로 썬 소 등심에 전분을 묻힌 뒤 기름을 두른 팬에 넣는다.
4. 3에 잘게 썬 베트남고추, 새우, 고춧가루, 적당한 크기로 썬 대파, 마늘, 채 썬 대파, 간장을 넣고 볶는다.
5. 끓는 물에 떡볶이 떡, 설탕을 넣고 삶는다.
6. 삶은 떡볶이 떡을 건져낸 뒤 찬물에 헹군다.
7. 볶던 재료에 삶은 떡볶이 떡, 맛술을 넣는다"&amp;".
8. 기름에 튀긴 해시브라운을 건져낸다.
9. 튀긴 해시브라운을 잘게 으깬다.
10. 으깬 해시브라운에 마요네즈, 후추, 모차렐라 치즈를 넣고 섞는다.
11. 오징어 몸통 안에 10을 넣는다.
12. 길게 썬 대파를 석쇠에 올린 뒤 돼지갈비양념을 바른다.
13. 12에 올리브 오일을 뿌려 직화한다.
14. 떡볶이를 접시에 담는다.
15. 기름을 두른 그릴팬에 오징어순대를 올려 소금, 후추로 간한 뒤 굽는다.
16. 레몬즙, 올리브 오일, 돼지갈비양념"&amp;"을 섞어 오일 소스를 만든다.
17. 직화한 대파를 떡볶이 위에 올린다.
18. 오징어 순대 소스를 접시에 올린다.
19. 18의 접시에 구운 오징어순대를 올린다.
20. 19의 오징어순대에 오일 소스와 가쓰오부시를 뿌린다.
21. 파 떡볶이에 참기름, 오일 소스를 뿌려 마무리한다.")</f>
        <v>1. 기름을 두른 팬에 잘게 썬 양파, 파프리카를 넣는다.
2. 1에 로제소스를 넣어 오징어순대 소스를 만든다.
3. 적당한 크기로 썬 소 등심에 전분을 묻힌 뒤 기름을 두른 팬에 넣는다.
4. 3에 잘게 썬 베트남고추, 새우, 고춧가루, 적당한 크기로 썬 대파, 마늘, 채 썬 대파, 간장을 넣고 볶는다.
5. 끓는 물에 떡볶이 떡, 설탕을 넣고 삶는다.
6. 삶은 떡볶이 떡을 건져낸 뒤 찬물에 헹군다.
7. 볶던 재료에 삶은 떡볶이 떡, 맛술을 넣는다.
8. 기름에 튀긴 해시브라운을 건져낸다.
9. 튀긴 해시브라운을 잘게 으깬다.
10. 으깬 해시브라운에 마요네즈, 후추, 모차렐라 치즈를 넣고 섞는다.
11. 오징어 몸통 안에 10을 넣는다.
12. 길게 썬 대파를 석쇠에 올린 뒤 돼지갈비양념을 바른다.
13. 12에 올리브 오일을 뿌려 직화한다.
14. 떡볶이를 접시에 담는다.
15. 기름을 두른 그릴팬에 오징어순대를 올려 소금, 후추로 간한 뒤 굽는다.
16. 레몬즙, 올리브 오일, 돼지갈비양념을 섞어 오일 소스를 만든다.
17. 직화한 대파를 떡볶이 위에 올린다.
18. 오징어 순대 소스를 접시에 올린다.
19. 18의 접시에 구운 오징어순대를 올린다.
20. 19의 오징어순대에 오일 소스와 가쓰오부시를 뿌린다.
21. 파 떡볶이에 참기름, 오일 소스를 뿌려 마무리한다.</v>
      </c>
    </row>
    <row r="881">
      <c r="A881" s="2" t="str">
        <f>recipe!C881
</f>
        <v>분식과의 전쟁</v>
      </c>
      <c r="B881" s="2" t="str">
        <f>IFERROR(__xludf.DUMMYFUNCTION("TRIM(
  REGEXEXTRACT(
    raw!A881,
    ""●\s*조리\s*방법([\s\S]*)""
  )
)
"),"1. 끓는 물에 적당한 크기로 썬 무, 건홍합, 바지락을 넣어 육수를 만든다.
2. 달걀을 삶는다.
3. 기름을 두른 팬에 잘게 썬 대파, 으깬 마늘을 넣는다.
4. 핸드블렌더에 소 등심을 넣고 간 뒤 3의 팬에 넣는다.
5. 4에 고춧가루, 육수를 넣어 떡볶이 양념을 만든다.
6. 두부를 적당한 크기로 썬다.
7. 두부와 떡볶이 떡을 양념에 넣어 마파두부 떡볶이를 만든다.
8. 마파두부 떡볶이에 설탕과 굴소스를 넣는다.
9. 기름을 두른 전골냄비에 으"&amp;"깬 마늘, 잘게 썬 대파, 된장, 고춧가루를 넣는다.
10. 9에 통조림 햄, 건더기를 거른 육수를 넣는다.
11. 잘게 썬 비엔나소시지, 양송이버섯, 칵테일 새우를 10에 넣는다.
12. 적당한 크기로 썬 어묵을 11에 넣는다.
13. 12에 팽이버섯을 넣어 된장 부대찌개를 만든다.
14. 소 등심을 적당한 크기로 썬 뒤 밀가루를 묻힌다.
15. 달걀노른자, 밀가루, 전분, 물을 넣고 섞어 튀김 반죽을 만든다.
16. 밀가루를 묻힌 소 등심에 튀김 반"&amp;"죽을 입힌다.
17. 튀김 반죽을 입힌 소 등심을 기름에 튀긴다.
18. 된장 부대찌개 위에 청경채를 올린다.
19. 기름에 튀긴 소 등심을 건져낸다.
20. 적당한 크기로 썬 양배추를 마파두부 떡볶이 위에 올린다.
21. 삶은 달걀을 건져내 찬물에 담가둔다.
22. 튀긴 소 등심을 한 번 더 기름에 튀긴다.
23. 된장 부대찌개에 라면 면을 넣는다.
24. 적당한 크기로 썬 오징어를 23에 넣는다.
25. 기름에 튀긴 소고기 튀김을 건져낸다.
26. "&amp;"접시에 마파두부 떡볶이, 소고기 튀김을 올린다.
27. 26의 접시에 삶은 달걀을 올려 마무리한다.")</f>
        <v>1. 끓는 물에 적당한 크기로 썬 무, 건홍합, 바지락을 넣어 육수를 만든다.
2. 달걀을 삶는다.
3. 기름을 두른 팬에 잘게 썬 대파, 으깬 마늘을 넣는다.
4. 핸드블렌더에 소 등심을 넣고 간 뒤 3의 팬에 넣는다.
5. 4에 고춧가루, 육수를 넣어 떡볶이 양념을 만든다.
6. 두부를 적당한 크기로 썬다.
7. 두부와 떡볶이 떡을 양념에 넣어 마파두부 떡볶이를 만든다.
8. 마파두부 떡볶이에 설탕과 굴소스를 넣는다.
9. 기름을 두른 전골냄비에 으깬 마늘, 잘게 썬 대파, 된장, 고춧가루를 넣는다.
10. 9에 통조림 햄, 건더기를 거른 육수를 넣는다.
11. 잘게 썬 비엔나소시지, 양송이버섯, 칵테일 새우를 10에 넣는다.
12. 적당한 크기로 썬 어묵을 11에 넣는다.
13. 12에 팽이버섯을 넣어 된장 부대찌개를 만든다.
14. 소 등심을 적당한 크기로 썬 뒤 밀가루를 묻힌다.
15. 달걀노른자, 밀가루, 전분, 물을 넣고 섞어 튀김 반죽을 만든다.
16. 밀가루를 묻힌 소 등심에 튀김 반죽을 입힌다.
17. 튀김 반죽을 입힌 소 등심을 기름에 튀긴다.
18. 된장 부대찌개 위에 청경채를 올린다.
19. 기름에 튀긴 소 등심을 건져낸다.
20. 적당한 크기로 썬 양배추를 마파두부 떡볶이 위에 올린다.
21. 삶은 달걀을 건져내 찬물에 담가둔다.
22. 튀긴 소 등심을 한 번 더 기름에 튀긴다.
23. 된장 부대찌개에 라면 면을 넣는다.
24. 적당한 크기로 썬 오징어를 23에 넣는다.
25. 기름에 튀긴 소고기 튀김을 건져낸다.
26. 접시에 마파두부 떡볶이, 소고기 튀김을 올린다.
27. 26의 접시에 삶은 달걀을 올려 마무리한다.</v>
      </c>
    </row>
    <row r="882">
      <c r="A882" s="2" t="str">
        <f>recipe!C882
</f>
        <v>후뚜루마뚜루</v>
      </c>
      <c r="B882" s="2" t="str">
        <f>IFERROR(__xludf.DUMMYFUNCTION("TRIM(
  REGEXEXTRACT(
    raw!A882,
    ""●\s*조리\s*방법([\s\S]*)""
  )
)
"),"1. 핸드블렌더에 적당한 크기로 썬 파프리카를 넣고 간다.
2. 핸드블렌더에 간 파프리카, 칵테일 새우, 밀가루, 달걀흰자, 돼지갈비양념을 넣고 갈아 어묵 반죽을 만든다.
3. 어묵 반죽을 지퍼백에 넣은 뒤 모서리를 자른다.
4. 접시 위에 어묵 반죽을 짜서 'ㅘ자차' 모양을 만든다.
5. 찜기에 4를 넣고 찐다.
6. 밀가루에 새우와 오징어를 넣고, 전분에 물을 넣어 튀김 반죽을 만든다.
7. 밀가루를 묻힌 새우와 오징어에 튀김 반죽을 묻힌 뒤 기름에"&amp;" 튀긴다.
8. 파프리카를 적당한 크기로 썬 뒤 기름을 두른 그릴팬에 올려 굽는다.
9. 소 갈빗살에 돼지갈비양념을 묻힌 뒤 그릴팬에 올려 굽는다.
10. 적당한 크기로 썬 통조림 햄, 인스턴트 훈제통닭의 살을 그릴팬에 올려 굽는다.
11. 전자레인지에 돌린 즉석밥에 불닭 소스, 참기름을 넣고 비빈 뒤 식혀준다.
12. 달걀을 푼 뒤 팬에 얇게 펼쳐 굽는다.
13. 12의 달걀을 말아 달걀말이를 만든다.
14. 김발 위에 김밥용 김을 올린다.
15. 불"&amp;"닭비빔밥을 김밥용 김 위에 올린다.
16. 15에 깻잎, 슬라이스 치즈, 연어, 구운 소 갈빗살, 통조림 햄, 새우튀김, 오징어튀김, 구운 파프리카, 훈제통닭 살, 달걀말이, 미니오이를 올린다.
17. 랩 위에 16을 올린 뒤 돌돌 말아서 후토마키를 만든다.
18. 찜기에 찐 ‘ㅘ자차’ 모양 어묵을 꺼낸 뒤, 접시에 올린다.
19. 후토마키를 적당한 크기로 썬다.
20. 적당한 크기로 썬 후토마키의 랩을 벗긴 후 접시에 올린다.
21. 쿠킹포일을 씌운 "&amp;"후토마키 끝 부분을 20의 접시에 올려 마무리한다.")</f>
        <v>1. 핸드블렌더에 적당한 크기로 썬 파프리카를 넣고 간다.
2. 핸드블렌더에 간 파프리카, 칵테일 새우, 밀가루, 달걀흰자, 돼지갈비양념을 넣고 갈아 어묵 반죽을 만든다.
3. 어묵 반죽을 지퍼백에 넣은 뒤 모서리를 자른다.
4. 접시 위에 어묵 반죽을 짜서 'ㅘ자차' 모양을 만든다.
5. 찜기에 4를 넣고 찐다.
6. 밀가루에 새우와 오징어를 넣고, 전분에 물을 넣어 튀김 반죽을 만든다.
7. 밀가루를 묻힌 새우와 오징어에 튀김 반죽을 묻힌 뒤 기름에 튀긴다.
8. 파프리카를 적당한 크기로 썬 뒤 기름을 두른 그릴팬에 올려 굽는다.
9. 소 갈빗살에 돼지갈비양념을 묻힌 뒤 그릴팬에 올려 굽는다.
10. 적당한 크기로 썬 통조림 햄, 인스턴트 훈제통닭의 살을 그릴팬에 올려 굽는다.
11. 전자레인지에 돌린 즉석밥에 불닭 소스, 참기름을 넣고 비빈 뒤 식혀준다.
12. 달걀을 푼 뒤 팬에 얇게 펼쳐 굽는다.
13. 12의 달걀을 말아 달걀말이를 만든다.
14. 김발 위에 김밥용 김을 올린다.
15. 불닭비빔밥을 김밥용 김 위에 올린다.
16. 15에 깻잎, 슬라이스 치즈, 연어, 구운 소 갈빗살, 통조림 햄, 새우튀김, 오징어튀김, 구운 파프리카, 훈제통닭 살, 달걀말이, 미니오이를 올린다.
17. 랩 위에 16을 올린 뒤 돌돌 말아서 후토마키를 만든다.
18. 찜기에 찐 ‘ㅘ자차’ 모양 어묵을 꺼낸 뒤, 접시에 올린다.
19. 후토마키를 적당한 크기로 썬다.
20. 적당한 크기로 썬 후토마키의 랩을 벗긴 후 접시에 올린다.
21. 쿠킹포일을 씌운 후토마키 끝 부분을 20의 접시에 올려 마무리한다.</v>
      </c>
    </row>
    <row r="883">
      <c r="A883" s="2" t="str">
        <f>recipe!C883
</f>
        <v>김치 와장창</v>
      </c>
      <c r="B883" s="2" t="str">
        <f>IFERROR(__xludf.DUMMYFUNCTION("TRIM(
  REGEXEXTRACT(
    raw!A883,
    ""●\s*조리\s*방법([\s\S]*)""
  )
)
"),"1. 전자레인지에 팥맛 아이스크림을 넣고 돌린다.
2. 1에 달걀노른자 2개를 넣는다.
3. 2에 설탕을 넣으면서 휘젓는다.
4. 3에 초코맛 크림파이 3개를 넣는다.
5. 4를 전자레인지에 넣고 돌려 팥빙수를 만든다.
6. 인스턴트 김치만두의 피와 소를 분리한다.
7. 다진 소고기에 후추와 소금으로 밑간한 뒤, 김치만두 소와 섞어 패티를 만든다.
8. 기름을 두른 팬에 패티를 올려 굽는다.
9. 튀김가루에 물을 넣어 튀김 반죽을 만든다.
10. 튀김가"&amp;"루를 묻힌 새우에 튀김 반죽을 묻힌 뒤 기름에 튀긴다.
11. 튀긴 새우를 건져낸 후, 체에 밭쳐 기름을 빼낸다.
12. 양파와 청양고추를 잘게 썬다.
13. 기름을 두른 팬에 양파, 청양고추, 설탕을 넣고 볶는다.
14. 13에 간장, 식초, 물을 넣어 탕수 소스를 만든다.
15. 팬에 김치를 넣어 볶는다.
16. 15에 새우를 튀긴 기름을 넣는다.
17. 16에 로제 소스, 케첩, 모차렐라치즈, 알프레도파스타 소스, 고추장을 넣는다.
18. 전자레인"&amp;"지에 돌린 팥빙수를 꺼내 저어준다.
19. 팥빙수를 얼음 위에 올려 차갑게 만든다.
20. 해시브라운을 기름에 튀긴 뒤 적당한 크기로 썬다.
21. 그릇에 20의 해시브라운을 담는다.
22. 21의 해시브라운 위에 패티를 올린다.
23. 22의 그릇에 탕수 소스를 넣는다.
24. 23 위에 새우튀김, 알브레도파스타 소스, 슬라이스 치즈, 볶은 김치를 올려 김버탕을 만든다.
25. 전자레인지에 김버탕을 넣고 돌린다.
26. 탕수 소스에 케첩, 식초를 넣어"&amp;" 케첩 탕수 소스를 만든다.
27. 팥빙수를 저어준 뒤 미숫가루를 뿌린다.
28. 팥빙수 주변에 얼음을 담아둔다.
29. 전자레인지에 돌린 김버탕 위에 모차렐라치즈, 케첩 탕수 소스를 뿌려 마무리한다.")</f>
        <v>1. 전자레인지에 팥맛 아이스크림을 넣고 돌린다.
2. 1에 달걀노른자 2개를 넣는다.
3. 2에 설탕을 넣으면서 휘젓는다.
4. 3에 초코맛 크림파이 3개를 넣는다.
5. 4를 전자레인지에 넣고 돌려 팥빙수를 만든다.
6. 인스턴트 김치만두의 피와 소를 분리한다.
7. 다진 소고기에 후추와 소금으로 밑간한 뒤, 김치만두 소와 섞어 패티를 만든다.
8. 기름을 두른 팬에 패티를 올려 굽는다.
9. 튀김가루에 물을 넣어 튀김 반죽을 만든다.
10. 튀김가루를 묻힌 새우에 튀김 반죽을 묻힌 뒤 기름에 튀긴다.
11. 튀긴 새우를 건져낸 후, 체에 밭쳐 기름을 빼낸다.
12. 양파와 청양고추를 잘게 썬다.
13. 기름을 두른 팬에 양파, 청양고추, 설탕을 넣고 볶는다.
14. 13에 간장, 식초, 물을 넣어 탕수 소스를 만든다.
15. 팬에 김치를 넣어 볶는다.
16. 15에 새우를 튀긴 기름을 넣는다.
17. 16에 로제 소스, 케첩, 모차렐라치즈, 알프레도파스타 소스, 고추장을 넣는다.
18. 전자레인지에 돌린 팥빙수를 꺼내 저어준다.
19. 팥빙수를 얼음 위에 올려 차갑게 만든다.
20. 해시브라운을 기름에 튀긴 뒤 적당한 크기로 썬다.
21. 그릇에 20의 해시브라운을 담는다.
22. 21의 해시브라운 위에 패티를 올린다.
23. 22의 그릇에 탕수 소스를 넣는다.
24. 23 위에 새우튀김, 알브레도파스타 소스, 슬라이스 치즈, 볶은 김치를 올려 김버탕을 만든다.
25. 전자레인지에 김버탕을 넣고 돌린다.
26. 탕수 소스에 케첩, 식초를 넣어 케첩 탕수 소스를 만든다.
27. 팥빙수를 저어준 뒤 미숫가루를 뿌린다.
28. 팥빙수 주변에 얼음을 담아둔다.
29. 전자레인지에 돌린 김버탕 위에 모차렐라치즈, 케첩 탕수 소스를 뿌려 마무리한다.</v>
      </c>
    </row>
    <row r="884">
      <c r="A884" s="2" t="str">
        <f>recipe!C884
</f>
        <v>소희네 반찬</v>
      </c>
      <c r="B884" s="2" t="str">
        <f>IFERROR(__xludf.DUMMYFUNCTION("TRIM(
  REGEXEXTRACT(
    raw!A884,
    ""●\s*조리\s*방법([\s\S]*)""
  )
)
"),"1. 불린 쌀을 돌솥에 넣은 뒤 물을 넣는다.
2. 적당한 크기로 썬 마를 1에 넣는다.
3. 냄비에 묵은지, 총각김치를 넣은 뒤 쌀뜨물을 붓는다.
4. 3에 고등어, 매운 고추장아찌, 후추, 고춧가루를 넣고 조린다.
5. 4에 다진마늘을 넣는다.
6. 양송이버섯을 적당한 크기로 썬 뒤 올리브오일을 두른 팬에 볶는다.
7. 얇게 썬 대파, 양파, 마늘, 당근을 팬에 넣고 함께 볶는다.
8. 방울토마토를 반으로 썬 뒤 7에 넣고 볶는다.
9. 8에 토마토"&amp;"소스, 레드와인, 소금, 후추를 넣는다.
10. 9에 적당한 크기로 썬 아스파라거스를 넣고 볶는다.
11. 체리페퍼 크림치즈, 버섯 크림치즈를 팬에 넣고 볶아 스튜를 만든다.
12. 스튜에 물엿을 넣는다.
13. 스튜를 접시에 담아낸다.
14. 얇게 썬 대파를 스튜 위에 올린다.
15. 셀러리장아찌, 깻잎장아찌를 접시에 담아낸다.
16. 고등어조림을 그릇에 담는다.")</f>
        <v>1. 불린 쌀을 돌솥에 넣은 뒤 물을 넣는다.
2. 적당한 크기로 썬 마를 1에 넣는다.
3. 냄비에 묵은지, 총각김치를 넣은 뒤 쌀뜨물을 붓는다.
4. 3에 고등어, 매운 고추장아찌, 후추, 고춧가루를 넣고 조린다.
5. 4에 다진마늘을 넣는다.
6. 양송이버섯을 적당한 크기로 썬 뒤 올리브오일을 두른 팬에 볶는다.
7. 얇게 썬 대파, 양파, 마늘, 당근을 팬에 넣고 함께 볶는다.
8. 방울토마토를 반으로 썬 뒤 7에 넣고 볶는다.
9. 8에 토마토소스, 레드와인, 소금, 후추를 넣는다.
10. 9에 적당한 크기로 썬 아스파라거스를 넣고 볶는다.
11. 체리페퍼 크림치즈, 버섯 크림치즈를 팬에 넣고 볶아 스튜를 만든다.
12. 스튜에 물엿을 넣는다.
13. 스튜를 접시에 담아낸다.
14. 얇게 썬 대파를 스튜 위에 올린다.
15. 셀러리장아찌, 깻잎장아찌를 접시에 담아낸다.
16. 고등어조림을 그릇에 담는다.</v>
      </c>
    </row>
    <row r="885">
      <c r="A885" s="2" t="str">
        <f>recipe!C885
</f>
        <v>땡잡은 장아찌</v>
      </c>
      <c r="B885" s="2" t="str">
        <f>IFERROR(__xludf.DUMMYFUNCTION("TRIM(
  REGEXEXTRACT(
    raw!A885,
    ""●\s*조리\s*방법([\s\S]*)""
  )
)
"),"1. 끓는 물에 멸치육수팩을 넣어 육수를 낸다.
2. 볼에 즉석밥을 담는다.
3. 마를 잘게 썬 뒤 즉석밥 위에 올린다.
4. 3에 랩을 씌운 뒤 전자레인지에 넣고 돌린다.
5. 끓는 물에 소금을 넣은 뒤, 마를 넣고 데친다.
6. 데친 마를 얼음물에 헹군다.
7. 반숙란의 흰자와 노른자를 분리한다.
8. 대파를 잘게 썬 뒤 끓는 기름에 넣는다.
9. 8에 고춧가루, 청양고춧가루를 넣고 끓인 뒤 건더기를 걸러낸다.
10. 고추기름에 다진 돼지고기를 넣고"&amp;" 볶는다.
11. 10에 다진마늘을 듬뿍 넣고 볶는다.
12. 11에 묵은지를 넣는다.
13. 12에 잘게 썬 양파, 멸치육수를 넣고 끓인다.
14. 핸드블렌더에 잘게 썬 시금치, 달걀, 김 장아찌를 넣고 간다.
15. 14에 잘게 썬 아스파라거스를 넣는다.
16. 15에 튀김가루, 다진 돼지고기를 넣어 동그랑땡 반죽을 만든다.
17. 동그랑땡 반죽을 동그랗게 뭉친 뒤 튀김가루를 묻힌다.
18. 17에 달걀흰자를 입힌 뒤 기름을 두른 팬에 굽는다.
19"&amp;". 찌개에 새우젓, 간장, 무장아찌 국물을 넣고 끓인다.
20. 구운 동그랑땡을 접시에 담는다.
21. 무장아찌에 물엿, 깨를 넣는다.
22. 21에 잘게 썬 매운 고추장아찌, 홍고추를 넣은 뒤 접시에 담는다.
23. 데운 뚝배기에 찌개를 옮겨 담는다.
24. 믹서기에 마, 달걀흰자를 넣고 갈아 순두부를 만든다.
25. 찌개에 순두부를 올린 뒤 뚜껑을 닫는다.
26. 마밥을 그릇에 담는다.")</f>
        <v>1. 끓는 물에 멸치육수팩을 넣어 육수를 낸다.
2. 볼에 즉석밥을 담는다.
3. 마를 잘게 썬 뒤 즉석밥 위에 올린다.
4. 3에 랩을 씌운 뒤 전자레인지에 넣고 돌린다.
5. 끓는 물에 소금을 넣은 뒤, 마를 넣고 데친다.
6. 데친 마를 얼음물에 헹군다.
7. 반숙란의 흰자와 노른자를 분리한다.
8. 대파를 잘게 썬 뒤 끓는 기름에 넣는다.
9. 8에 고춧가루, 청양고춧가루를 넣고 끓인 뒤 건더기를 걸러낸다.
10. 고추기름에 다진 돼지고기를 넣고 볶는다.
11. 10에 다진마늘을 듬뿍 넣고 볶는다.
12. 11에 묵은지를 넣는다.
13. 12에 잘게 썬 양파, 멸치육수를 넣고 끓인다.
14. 핸드블렌더에 잘게 썬 시금치, 달걀, 김 장아찌를 넣고 간다.
15. 14에 잘게 썬 아스파라거스를 넣는다.
16. 15에 튀김가루, 다진 돼지고기를 넣어 동그랑땡 반죽을 만든다.
17. 동그랑땡 반죽을 동그랗게 뭉친 뒤 튀김가루를 묻힌다.
18. 17에 달걀흰자를 입힌 뒤 기름을 두른 팬에 굽는다.
19. 찌개에 새우젓, 간장, 무장아찌 국물을 넣고 끓인다.
20. 구운 동그랑땡을 접시에 담는다.
21. 무장아찌에 물엿, 깨를 넣는다.
22. 21에 잘게 썬 매운 고추장아찌, 홍고추를 넣은 뒤 접시에 담는다.
23. 데운 뚝배기에 찌개를 옮겨 담는다.
24. 믹서기에 마, 달걀흰자를 넣고 갈아 순두부를 만든다.
25. 찌개에 순두부를 올린 뒤 뚜껑을 닫는다.
26. 마밥을 그릇에 담는다.</v>
      </c>
    </row>
    <row r="886">
      <c r="A886" s="2" t="str">
        <f>recipe!C886
</f>
        <v>으라차차 스테이키</v>
      </c>
      <c r="B886" s="2" t="str">
        <f>IFERROR(__xludf.DUMMYFUNCTION("TRIM(
  REGEXEXTRACT(
    raw!A886,
    ""●\s*조리\s*방법([\s\S]*)""
  )
)
"),"1. 채끝등심에 칼집을 낸다.
2. 칼집을 낸 채끝등심에 후추를 뿌린다.
3. 데운 올리브오일에 채끝등심을 넣어 익힌다.
4. 양송이버섯을 얇게 썬다.
5. 마늘을 얇게 썬다.
6. 얇게 썬 양송이버섯, 마늘을 전자레인지에 돌린다.
7. 냄비에 크랜베리주스, 스리라차소스, 건크랜베리, 잘게 썬 할라피뇨를 넣는 뒤 끓인다.
8. 잘게 썬 양파와 양송이버섯, 으깬 마늘을 팬에 넣고 볶는다.
9. 8에 화이트와인을 넣는다.
10. 볶던 재료에 시금치, 소금,"&amp;" 버터, 전분, 우유를 넣고 끓인다.
11. 10에 그뤼에르 치즈를 갈아 넣는다.
12. 믹서기에 마, 파인애플, 아몬드우유, 레몬즙, 오렌지주스를 넣는다.
13. 오일에 익힌 채끝등심을 팬에 넣고 굽는다.
14. 전자레인지에 돌린 양송이버섯과 마늘을 데운 올리브오일에 넣는다.
15. 채끝등심 스테이크에 버터를 끼얹어가며 굽는다.
16. 핸드블렌더에 마, 파인애플, 아몬드우유, 레몬즙, 오렌지주스, 얼음을 넣고 간다.
17. 유리잔에 주스를 담아낸다.
"&amp;"18. 주스에 레몬즙을 뿌린다.
19. 접시에 크랜베리절임을 담는다.
20. 오일에 익힌 양송이버섯과 마늘을 접시에 담은 뒤 소금, 올리브오일을 뿌린다.
21. 크림 스피니치를 접시에 담는다.
22. 21에 채끝등심 스테이크를 올려 낸다.")</f>
        <v>1. 채끝등심에 칼집을 낸다.
2. 칼집을 낸 채끝등심에 후추를 뿌린다.
3. 데운 올리브오일에 채끝등심을 넣어 익힌다.
4. 양송이버섯을 얇게 썬다.
5. 마늘을 얇게 썬다.
6. 얇게 썬 양송이버섯, 마늘을 전자레인지에 돌린다.
7. 냄비에 크랜베리주스, 스리라차소스, 건크랜베리, 잘게 썬 할라피뇨를 넣는 뒤 끓인다.
8. 잘게 썬 양파와 양송이버섯, 으깬 마늘을 팬에 넣고 볶는다.
9. 8에 화이트와인을 넣는다.
10. 볶던 재료에 시금치, 소금, 버터, 전분, 우유를 넣고 끓인다.
11. 10에 그뤼에르 치즈를 갈아 넣는다.
12. 믹서기에 마, 파인애플, 아몬드우유, 레몬즙, 오렌지주스를 넣는다.
13. 오일에 익힌 채끝등심을 팬에 넣고 굽는다.
14. 전자레인지에 돌린 양송이버섯과 마늘을 데운 올리브오일에 넣는다.
15. 채끝등심 스테이크에 버터를 끼얹어가며 굽는다.
16. 핸드블렌더에 마, 파인애플, 아몬드우유, 레몬즙, 오렌지주스, 얼음을 넣고 간다.
17. 유리잔에 주스를 담아낸다.
18. 주스에 레몬즙을 뿌린다.
19. 접시에 크랜베리절임을 담는다.
20. 오일에 익힌 양송이버섯과 마늘을 접시에 담은 뒤 소금, 올리브오일을 뿌린다.
21. 크림 스피니치를 접시에 담는다.
22. 21에 채끝등심 스테이크를 올려 낸다.</v>
      </c>
    </row>
    <row r="887">
      <c r="A887" s="2" t="str">
        <f>recipe!C887
</f>
        <v>스테이크가 어~머나!</v>
      </c>
      <c r="B887" s="2" t="str">
        <f>IFERROR(__xludf.DUMMYFUNCTION("TRIM(
  REGEXEXTRACT(
    raw!A887,
    ""●\s*조리\s*방법([\s\S]*)""
  )
)
"),"1. 팬에 물, 청주, 맛술, 설탕, 간장을 넣고 끓여 스키야키 소스를 만든다.
2. 살치살에 후추를 뿌린 뒤 그릴팬에 굽는다.
3. 아스파라거스, 아보카도를 그릴팬에 굽는다.
4. 구운 살치살을 스키야키 소스에 넣고 조린다.
5. 구운 아스파라거스를 적당한 크기로 썬다.
6. 기름을 두른 팬에 잘게 썬 마늘, 양파, 양송이버섯을 넣고 볶는다.
7. 6에 우유, 굴소스를 넣어 크림소스를 만든다.
8. 청양고추를 잘게 썬 뒤 크림소스에 넣는다.
9. 얇게"&amp;" 썬 그뤼에르 치즈, 트러플 치즈크림소스를 소스에 넣는다.
10. 크림소스에 전분물을 넣어 섞는다.
11. 식빵 테두리를 적당한 크기로 썬 뒤 올리브오일을 두른 팬에 구워 크루통을 만든다.
12. 소스에 조린 살치살을 석쇠에 올린다.
13. 표고&amp;새우육수팩에서 건표고버섯만 분리한다.
14. 핸드블렌더에 건표고버섯을 넣고 간다.
15. 냄비에 간 표고버섯을 넣은 뒤 살치살을 올려 훈연한다.
16. 다진 청양고추에 유자후추를 섞은 뒤 종지에 담는다.
17."&amp;" 명란젓을 토치로 직화한다.
18. 크림소스에 구운 아스파라거스를 넣은 뒤 접시에 담는다.
19. 끓는 물에 식초를 넣은 뒤 달걀을 넣어 수란을 만든다.
20. 훈연한 살치살과 아보카도를 겹겹이 쌓는다.
21. 크림소스에 크루통을 올린다.
22. 반으로 썬 방울토마토를 크림소스에 올린다.
23. 살치살 스테이크에 스키야키 소스를 끼얹은 뒤 크림소스 위에 올린다.
24. 직화한 명란젓을 적당한 크기로 썬 뒤 접시에 올린다.
25. 수란을 스테이크 위에 올"&amp;"린다.
26. 그뤼에르 치즈를 갈아 올린다.")</f>
        <v>1. 팬에 물, 청주, 맛술, 설탕, 간장을 넣고 끓여 스키야키 소스를 만든다.
2. 살치살에 후추를 뿌린 뒤 그릴팬에 굽는다.
3. 아스파라거스, 아보카도를 그릴팬에 굽는다.
4. 구운 살치살을 스키야키 소스에 넣고 조린다.
5. 구운 아스파라거스를 적당한 크기로 썬다.
6. 기름을 두른 팬에 잘게 썬 마늘, 양파, 양송이버섯을 넣고 볶는다.
7. 6에 우유, 굴소스를 넣어 크림소스를 만든다.
8. 청양고추를 잘게 썬 뒤 크림소스에 넣는다.
9. 얇게 썬 그뤼에르 치즈, 트러플 치즈크림소스를 소스에 넣는다.
10. 크림소스에 전분물을 넣어 섞는다.
11. 식빵 테두리를 적당한 크기로 썬 뒤 올리브오일을 두른 팬에 구워 크루통을 만든다.
12. 소스에 조린 살치살을 석쇠에 올린다.
13. 표고&amp;새우육수팩에서 건표고버섯만 분리한다.
14. 핸드블렌더에 건표고버섯을 넣고 간다.
15. 냄비에 간 표고버섯을 넣은 뒤 살치살을 올려 훈연한다.
16. 다진 청양고추에 유자후추를 섞은 뒤 종지에 담는다.
17. 명란젓을 토치로 직화한다.
18. 크림소스에 구운 아스파라거스를 넣은 뒤 접시에 담는다.
19. 끓는 물에 식초를 넣은 뒤 달걀을 넣어 수란을 만든다.
20. 훈연한 살치살과 아보카도를 겹겹이 쌓는다.
21. 크림소스에 크루통을 올린다.
22. 반으로 썬 방울토마토를 크림소스에 올린다.
23. 살치살 스테이크에 스키야키 소스를 끼얹은 뒤 크림소스 위에 올린다.
24. 직화한 명란젓을 적당한 크기로 썬 뒤 접시에 올린다.
25. 수란을 스테이크 위에 올린다.
26. 그뤼에르 치즈를 갈아 올린다.</v>
      </c>
    </row>
    <row r="888">
      <c r="A888" s="2" t="str">
        <f>recipe!C888
</f>
        <v>계모임</v>
      </c>
      <c r="B888" s="2" t="str">
        <f>IFERROR(__xludf.DUMMYFUNCTION("TRIM(
  REGEXEXTRACT(
    raw!A888,
    ""●\s*조리\s*방법([\s\S]*)""
  )
)
"),"1. 커리맛 닭가슴살에 우유를 넣는다.
2. 청고추를 반으로 썬 뒤 속을 파낸다.
3. 핸드블렌더에 적당한 크기로 썬 닭가슴살, 버터, 소금, 새우살, 전분, 달걀물을 넣고 간다.
4. 핸드블렌더에 생강, 마늘을 넣고 간다.
5. 4에 청양고추, 홍고추, 설탕, 멸치액젓, 장국을 넣고 간다.
6. 속을 파낸 청고추에 간 닭가슴살과 새우를 넣어 속을 채운다.
7. 고춧가루, 다진 마늘, 대파, 끓는 기름을 넣어 고추기름을 낸다.
8. 튀김가루, 전분, 물"&amp;"을 넣고 저어서 반죽을 만든다.
9. 속을 채운 청고추에 반죽을 묻힌 뒤 기름에 튀긴다.
10. 불린 당면을 삶는다.
11. 고추기름의 건더기를 걸러낸다.
12. 고추기름을 팬에 넣은 뒤 간 고추를 넣는다.
13. 12에 커리맛 닭가슴살을 담가둔 우유를 넣는다.
14. 13에 불냉면 소스, 간 닭가슴살과 새우를 넣는다.
15. 14에 달걀물을 넣고 저어서 뿌팟퐁커리를 만든다.
16. 뿌팟퐁커리에 물엿, 우유를 넣는다.
17. 고추튀김을 체에 밭쳐 건져낸"&amp;"다.
18. 삶은 당면을 건져낸 뒤 간장, 참기름, 설탕을 넣고 섞어 접시에 담는다.
19. 뿌팟퐁커리에 부추를 넣는다.
20. 당면 위에 뿌팟퐁커리를 올린다.
21. 20에 고추튀김&gt;뿌팟퐁커리&gt;고추기름&gt;잘게 썬 대파 순으로 올린다.")</f>
        <v>1. 커리맛 닭가슴살에 우유를 넣는다.
2. 청고추를 반으로 썬 뒤 속을 파낸다.
3. 핸드블렌더에 적당한 크기로 썬 닭가슴살, 버터, 소금, 새우살, 전분, 달걀물을 넣고 간다.
4. 핸드블렌더에 생강, 마늘을 넣고 간다.
5. 4에 청양고추, 홍고추, 설탕, 멸치액젓, 장국을 넣고 간다.
6. 속을 파낸 청고추에 간 닭가슴살과 새우를 넣어 속을 채운다.
7. 고춧가루, 다진 마늘, 대파, 끓는 기름을 넣어 고추기름을 낸다.
8. 튀김가루, 전분, 물을 넣고 저어서 반죽을 만든다.
9. 속을 채운 청고추에 반죽을 묻힌 뒤 기름에 튀긴다.
10. 불린 당면을 삶는다.
11. 고추기름의 건더기를 걸러낸다.
12. 고추기름을 팬에 넣은 뒤 간 고추를 넣는다.
13. 12에 커리맛 닭가슴살을 담가둔 우유를 넣는다.
14. 13에 불냉면 소스, 간 닭가슴살과 새우를 넣는다.
15. 14에 달걀물을 넣고 저어서 뿌팟퐁커리를 만든다.
16. 뿌팟퐁커리에 물엿, 우유를 넣는다.
17. 고추튀김을 체에 밭쳐 건져낸다.
18. 삶은 당면을 건져낸 뒤 간장, 참기름, 설탕을 넣고 섞어 접시에 담는다.
19. 뿌팟퐁커리에 부추를 넣는다.
20. 당면 위에 뿌팟퐁커리를 올린다.
21. 20에 고추튀김&gt;뿌팟퐁커리&gt;고추기름&gt;잘게 썬 대파 순으로 올린다.</v>
      </c>
    </row>
    <row r="889">
      <c r="A889" s="2" t="str">
        <f>recipe!C889
</f>
        <v>샘킴반점</v>
      </c>
      <c r="B889" s="2" t="str">
        <f>IFERROR(__xludf.DUMMYFUNCTION("TRIM(
  REGEXEXTRACT(
    raw!A889,
    ""●\s*조리\s*방법([\s\S]*)""
  )
)
"),"1. 핸드블렌더에 밀가루, 달걀노른자, 물을 넣고 갈아 면 반죽을 만든다.
2. 면 반죽을 밀가루에 치댄다.
3. 지퍼백에 닭가슴살을 넣은 뒤 고기망치로 두드려 얇게 편다.
4. 얇게 편 닭가슴살에 양념 소갈비 국물을 넣어 재워둔다.
5. 기름을 두른 팬에 대파, 홍고추, 으깬 마늘을 넣고 볶는다.
6. 얇게 편 닭가슴살에 밀가루를 묻힌다.
7. 밀가루 묻힌 닭가슴살을 잘게 썬 뒤 5에 넣는다.
8. 7의 팬에 소금, 후추, 생강, 쯔유, 고춧가루를 넣"&amp;"고 볶는다.
9. 8의 팬에 끓는 기름, 설탕을 넣는다.
10. 9의 팬에 참기름, 깨를 넣어 양념을 만든다.
11. 밀대를 이용해 면 반죽을 넓게 민다.
12. 11의 면 반죽을 여러 겹으로 접은 뒤 굵게 썬다.
13. 양념 소갈비 국물에 재워둔 닭가슴살과 대파를 석쇠에 올려 굽는다.
14. 13의 닭가슴살에 양념 소갈비 국물을 덧발라가며 굽는다.
15. 14에 후추를 뿌린다.
16. 면을 끓는 물에 삶은 뒤 양념에 넣고 볶는다.
17. 채 썬 대파에"&amp;" 간장, 식초, 깨, 레몬청을 넣고 절인다.
18. 석쇠의 닭가슴살에 양념 소갈비 국물을 바른 뒤 토치로 직화한다.
19. 볶음면 위에 깨를 뿌린다.
20. 석쇠에 구운 닭가슴살과 대파, 절인 대파, 깨를 볶음면 위에 올린다.")</f>
        <v>1. 핸드블렌더에 밀가루, 달걀노른자, 물을 넣고 갈아 면 반죽을 만든다.
2. 면 반죽을 밀가루에 치댄다.
3. 지퍼백에 닭가슴살을 넣은 뒤 고기망치로 두드려 얇게 편다.
4. 얇게 편 닭가슴살에 양념 소갈비 국물을 넣어 재워둔다.
5. 기름을 두른 팬에 대파, 홍고추, 으깬 마늘을 넣고 볶는다.
6. 얇게 편 닭가슴살에 밀가루를 묻힌다.
7. 밀가루 묻힌 닭가슴살을 잘게 썬 뒤 5에 넣는다.
8. 7의 팬에 소금, 후추, 생강, 쯔유, 고춧가루를 넣고 볶는다.
9. 8의 팬에 끓는 기름, 설탕을 넣는다.
10. 9의 팬에 참기름, 깨를 넣어 양념을 만든다.
11. 밀대를 이용해 면 반죽을 넓게 민다.
12. 11의 면 반죽을 여러 겹으로 접은 뒤 굵게 썬다.
13. 양념 소갈비 국물에 재워둔 닭가슴살과 대파를 석쇠에 올려 굽는다.
14. 13의 닭가슴살에 양념 소갈비 국물을 덧발라가며 굽는다.
15. 14에 후추를 뿌린다.
16. 면을 끓는 물에 삶은 뒤 양념에 넣고 볶는다.
17. 채 썬 대파에 간장, 식초, 깨, 레몬청을 넣고 절인다.
18. 석쇠의 닭가슴살에 양념 소갈비 국물을 바른 뒤 토치로 직화한다.
19. 볶음면 위에 깨를 뿌린다.
20. 석쇠에 구운 닭가슴살과 대파, 절인 대파, 깨를 볶음면 위에 올린다.</v>
      </c>
    </row>
    <row r="890">
      <c r="A890" s="2" t="str">
        <f>recipe!C890
</f>
        <v>나베로 이경?</v>
      </c>
      <c r="B890" s="2" t="str">
        <f>IFERROR(__xludf.DUMMYFUNCTION("TRIM(
  REGEXEXTRACT(
    raw!A890,
    ""●\s*조리\s*방법([\s\S]*)""
  )
)
"),"1. 토치를 이용해 대파, 연어육포, 양념 소갈비를 직화해 훈연 향을 입힌다.
2. 직화한 소갈비의 뼈를 제거하고, 연어육포를 적당한 크기로 썬다.
3. 끓는 물에 소갈비의 뼈, 연어육포, 베이크드 빈을 넣고 끓여 나베 국물을 만든다.
4. 배추김치를 물에 씻은 뒤 적당한 크기로 썬다.
5. 4의 배추김치를 나베 국물에 넣는다.
6. 5에 고춧가루를 넣는다.
7. 적당한 크기로 썬 부추, 쯔유를 6에 넣는다.
8. 문어 모양을 낸 비엔나소시지를 7에 넣"&amp;"는다.
9. 끓는 물에 칼국수라면 면을 넣고 삶는다.
10. 손질한 새우를 밀가루에 묻혀 끓는 물에 데친다.
11. 삶은 면을 얼음물에 넣어 식히고, 데친 새우를 나베 국물에 넣는다.
12. 달걀을 풀어 달걀물을 만든다.
13. 양념 소갈비에 밀가루&gt;달걀물 순으로 묻힌 뒤, 기름을 두른 팬에 구워 육전을 만든다.
14. 통조림 참치샐러드, 달걀물, 다진 홍고추와 청양고추, 밀가루를 섞어 완자 반죽을 만든다.
15. 끓는 물에 완자 반죽을 삶은 뒤 나베 "&amp;"국물에 넣는다.
16. 닭봉을 기름에 튀긴다.
17. 적당한 크기로 썬 직화한 대파, 명이나물 장아찌, 육전을 나베 국물에 넣는다.
18. 얼음물에 식힌 면에 밀가루를 묻힌 뒤 기름을 두른 팬에 굽는다.
19. 굽던 면을 뒤집어 준 뒤 토치로 직화한다.
20. 달걀노른자에 스키야키 소스, 잘게 썬 대파를 넣어 소스를 만든다.
21. 튀긴 닭봉을 나베 국물에 넣는다.
22. 21에 후추를 뿌린다.
23. 직화한 구운 면을 나베에 넣는다.")</f>
        <v>1. 토치를 이용해 대파, 연어육포, 양념 소갈비를 직화해 훈연 향을 입힌다.
2. 직화한 소갈비의 뼈를 제거하고, 연어육포를 적당한 크기로 썬다.
3. 끓는 물에 소갈비의 뼈, 연어육포, 베이크드 빈을 넣고 끓여 나베 국물을 만든다.
4. 배추김치를 물에 씻은 뒤 적당한 크기로 썬다.
5. 4의 배추김치를 나베 국물에 넣는다.
6. 5에 고춧가루를 넣는다.
7. 적당한 크기로 썬 부추, 쯔유를 6에 넣는다.
8. 문어 모양을 낸 비엔나소시지를 7에 넣는다.
9. 끓는 물에 칼국수라면 면을 넣고 삶는다.
10. 손질한 새우를 밀가루에 묻혀 끓는 물에 데친다.
11. 삶은 면을 얼음물에 넣어 식히고, 데친 새우를 나베 국물에 넣는다.
12. 달걀을 풀어 달걀물을 만든다.
13. 양념 소갈비에 밀가루&gt;달걀물 순으로 묻힌 뒤, 기름을 두른 팬에 구워 육전을 만든다.
14. 통조림 참치샐러드, 달걀물, 다진 홍고추와 청양고추, 밀가루를 섞어 완자 반죽을 만든다.
15. 끓는 물에 완자 반죽을 삶은 뒤 나베 국물에 넣는다.
16. 닭봉을 기름에 튀긴다.
17. 적당한 크기로 썬 직화한 대파, 명이나물 장아찌, 육전을 나베 국물에 넣는다.
18. 얼음물에 식힌 면에 밀가루를 묻힌 뒤 기름을 두른 팬에 굽는다.
19. 굽던 면을 뒤집어 준 뒤 토치로 직화한다.
20. 달걀노른자에 스키야키 소스, 잘게 썬 대파를 넣어 소스를 만든다.
21. 튀긴 닭봉을 나베 국물에 넣는다.
22. 21에 후추를 뿌린다.
23. 직화한 구운 면을 나베에 넣는다.</v>
      </c>
    </row>
    <row r="891">
      <c r="A891" s="2" t="str">
        <f>recipe!C891
</f>
        <v>전병 가즈아~ 온면도 가보자!</v>
      </c>
      <c r="B891" s="2" t="str">
        <f>IFERROR(__xludf.DUMMYFUNCTION("TRIM(
  REGEXEXTRACT(
    raw!A891,
    ""●\s*조리\s*방법([\s\S]*)""
  )
)
"),"1. 들기름을 두른 팬에 불린 황태채, 대파, 쯔유를 넣고 볶는다.
2. 1에 뜨거운 물을 넣어 온면 육수를 만든다.
3. 온면 육수에 멸치육수팩, 새우 머리를 넣는다.
4. 지퍼백에 비엔나소시지를 넣고 으깬다.
5. 팬에 으깬 비엔나소시지, 잘게 다진 양념 소갈비, 배추김치를 넣는다.
6. 핸드블렌더에 멸치볶음, 진미채 무침을 넣고 간 뒤 5의 팬에 넣는다.
7. 6의 팬에 고춧가루, 물, 쯔유를 넣고 볶아 전병 소를 만든다.
8. 믹서에 밀가루, 부"&amp;"침가루, 물을 넣고 갈아 전병 반죽을 만든다.
11. 적당한 크기로 썬 부추, 전병 반죽, 물을 넣고 섞는다.
12. 기름을 두른 팬에 11을 부어 전을 부친다.
13. 김발 위에 부추전을 올린 뒤 전병 소를 넣고 말아 부추전병을 만든다.
14. 부추전병을 적당한 크기로 썬다.
15. 핸드블렌더에 냉동 아보카도, 콘마요네즈를 넣고 갈아 소스를 만든다.
16. 인스턴트 비빔냉면 면을 삶는다.
17. 고춧가루에 간장, 쯔유를 넣어 다진 양념을 만든다.
18"&amp;". 삶은 인스턴트 비빔냉면 면을 얼음물에 헹군 뒤 온면 육수에 넣는다.")</f>
        <v>1. 들기름을 두른 팬에 불린 황태채, 대파, 쯔유를 넣고 볶는다.
2. 1에 뜨거운 물을 넣어 온면 육수를 만든다.
3. 온면 육수에 멸치육수팩, 새우 머리를 넣는다.
4. 지퍼백에 비엔나소시지를 넣고 으깬다.
5. 팬에 으깬 비엔나소시지, 잘게 다진 양념 소갈비, 배추김치를 넣는다.
6. 핸드블렌더에 멸치볶음, 진미채 무침을 넣고 간 뒤 5의 팬에 넣는다.
7. 6의 팬에 고춧가루, 물, 쯔유를 넣고 볶아 전병 소를 만든다.
8. 믹서에 밀가루, 부침가루, 물을 넣고 갈아 전병 반죽을 만든다.
11. 적당한 크기로 썬 부추, 전병 반죽, 물을 넣고 섞는다.
12. 기름을 두른 팬에 11을 부어 전을 부친다.
13. 김발 위에 부추전을 올린 뒤 전병 소를 넣고 말아 부추전병을 만든다.
14. 부추전병을 적당한 크기로 썬다.
15. 핸드블렌더에 냉동 아보카도, 콘마요네즈를 넣고 갈아 소스를 만든다.
16. 인스턴트 비빔냉면 면을 삶는다.
17. 고춧가루에 간장, 쯔유를 넣어 다진 양념을 만든다.
18. 삶은 인스턴트 비빔냉면 면을 얼음물에 헹군 뒤 온면 육수에 넣는다.</v>
      </c>
    </row>
    <row r="892">
      <c r="A892" s="2" t="str">
        <f>recipe!C892
</f>
        <v>스튜맨이 돌아왔다</v>
      </c>
      <c r="B892" s="2" t="str">
        <f>IFERROR(__xludf.DUMMYFUNCTION("TRIM(
  REGEXEXTRACT(
    raw!A892,
    ""●\s*조리\s*방법([\s\S]*)""
  )
)
"),"1. 끓는 물에 치킨스톡, 꽃게를 넣어 꽃게 육수를 만든다.
2. 핸드블렌더에 연어, 새우살을 넣고 간다.
3. 양파, 청양고추, 양송이버섯을 잘게 썬 뒤 팬에 넣고 볶는다.
4. 3의 팬에 토마토 페이스트, 간 연어와 새우살, 베지마이트를 넣는다.
5. 4의 팬에 버터를 넣는다.
6. 끓는 물에 펜네를 삶는다.
7. 볶던 재료에 화이트 와인, 밀가루를 넣는다.
8. 삶은 꽃게를 체에 밭쳐 건져낸다.
9. 볶던 재료에 꽃게 육수를 넣어 스튜를 만든다.
"&amp;"10. 레지아노 치즈의 껍질을 잘라낸 뒤 스튜에 넣는다.
11. 스튜에 올리브토마토파스타소스, 타임, 바질을 넣는다.
12. 절구에 싹을 제거한 마늘, 타임, 딜, 로즈마리, 고수, 올리브오일을 넣고 으깬다.
13. 12에 레몬즙, 소금, 올리브오일을 넣어 허브 소스를 만든다.
14. 아스파라거스, 방울양배추, 양송이버섯에 소금, 올리브오일을 뿌린 뒤 그릴팬에 굽는다.
15. 채칼로 당근을 얇게 슬라이스한 뒤 14의 그릴팬에 굽는다.
16. 연어, 새우"&amp;", 참돔에 소금, 후추, 딜, 올리브오일을 뿌린 뒤 15의 그릴팬에 굽는다.
17. 삶은 펜네를 건져낸 뒤, 꽃게 육수에 넣고 데친다.
18. 데친 펜네에 스튜 건더기를 넣는다.
19. 밀대를 이용해 삶은 꽃게의 살을 발라낸다.
20. 접시에 구운 당근, 양송이버섯, 방울양배추, 연어, 새우, 참돔을 올린다.
21. 20에 스튜를 넣은 뒤 삶은 꽃게살, 딜을 올려 마무리한다.")</f>
        <v>1. 끓는 물에 치킨스톡, 꽃게를 넣어 꽃게 육수를 만든다.
2. 핸드블렌더에 연어, 새우살을 넣고 간다.
3. 양파, 청양고추, 양송이버섯을 잘게 썬 뒤 팬에 넣고 볶는다.
4. 3의 팬에 토마토 페이스트, 간 연어와 새우살, 베지마이트를 넣는다.
5. 4의 팬에 버터를 넣는다.
6. 끓는 물에 펜네를 삶는다.
7. 볶던 재료에 화이트 와인, 밀가루를 넣는다.
8. 삶은 꽃게를 체에 밭쳐 건져낸다.
9. 볶던 재료에 꽃게 육수를 넣어 스튜를 만든다.
10. 레지아노 치즈의 껍질을 잘라낸 뒤 스튜에 넣는다.
11. 스튜에 올리브토마토파스타소스, 타임, 바질을 넣는다.
12. 절구에 싹을 제거한 마늘, 타임, 딜, 로즈마리, 고수, 올리브오일을 넣고 으깬다.
13. 12에 레몬즙, 소금, 올리브오일을 넣어 허브 소스를 만든다.
14. 아스파라거스, 방울양배추, 양송이버섯에 소금, 올리브오일을 뿌린 뒤 그릴팬에 굽는다.
15. 채칼로 당근을 얇게 슬라이스한 뒤 14의 그릴팬에 굽는다.
16. 연어, 새우, 참돔에 소금, 후추, 딜, 올리브오일을 뿌린 뒤 15의 그릴팬에 굽는다.
17. 삶은 펜네를 건져낸 뒤, 꽃게 육수에 넣고 데친다.
18. 데친 펜네에 스튜 건더기를 넣는다.
19. 밀대를 이용해 삶은 꽃게의 살을 발라낸다.
20. 접시에 구운 당근, 양송이버섯, 방울양배추, 연어, 새우, 참돔을 올린다.
21. 20에 스튜를 넣은 뒤 삶은 꽃게살, 딜을 올려 마무리한다.</v>
      </c>
    </row>
    <row r="893">
      <c r="A893" s="2" t="str">
        <f>recipe!C893
</f>
        <v>미트파이~ 진촤 맛있다</v>
      </c>
      <c r="B893" s="2" t="str">
        <f>IFERROR(__xludf.DUMMYFUNCTION("TRIM(
  REGEXEXTRACT(
    raw!A893,
    ""●\s*조리\s*방법([\s\S]*)""
  )
)
"),"1. 버터를 중탕하여 녹인다.
2. 밀가루에 소금을 넣는다.
3. 2에 녹인 버터, 물을 넣고 저어준다.
4. 3에 밀가루를 넣어 파이 반죽을 만든 뒤 키친타월을 덮어 숙성시킨다.
5. 기름을 두른 팬에 양파, 마늘, 대파, 베이컨, 다진 소고기를 넣고 볶는다.
6. 5의 팬에 올리브토마토파스타소스, 토마토 처트니, 바비큐소스, 굴소스를 넣는다.
7. 6의 팬에 모차렐라치즈, 청양고추, 양송이버섯을 넣고 볶아 파이 소를 만든다.
8. 토치를 이용해 파프"&amp;"리카를 직화한다.
9. 구운 파프리카의 탄 부분을 벗겨낸 뒤 잘게 썬다.
10. 달래, 구운 파프리카, 올리브오일, 설탕, 소금, 레몬즙을 넣어 달래 샐러드를 만든다.
11. 파이 반죽을 밀대로 넓게 민다.
12. 파이 반죽을 원형틀로 찍어낸 뒤 접시에 올린다.
13. 파이 반죽 위에 파이 소, 슬라이스치즈, 파이 반죽을 올린 뒤 끝부분을 접어준다.
14. 13의 파이를 끓는 기름에 넣고 부친다.
15. 14의 파이를 뒤집어 준 뒤 뚜껑을 덮고 부친다."&amp;"
16. 15에 로즈마리를 넣어 향을 입힌다.
17. 16의 미트파이를 건져낸다.
18. 미트파이를 반으로 썬다.")</f>
        <v>1. 버터를 중탕하여 녹인다.
2. 밀가루에 소금을 넣는다.
3. 2에 녹인 버터, 물을 넣고 저어준다.
4. 3에 밀가루를 넣어 파이 반죽을 만든 뒤 키친타월을 덮어 숙성시킨다.
5. 기름을 두른 팬에 양파, 마늘, 대파, 베이컨, 다진 소고기를 넣고 볶는다.
6. 5의 팬에 올리브토마토파스타소스, 토마토 처트니, 바비큐소스, 굴소스를 넣는다.
7. 6의 팬에 모차렐라치즈, 청양고추, 양송이버섯을 넣고 볶아 파이 소를 만든다.
8. 토치를 이용해 파프리카를 직화한다.
9. 구운 파프리카의 탄 부분을 벗겨낸 뒤 잘게 썬다.
10. 달래, 구운 파프리카, 올리브오일, 설탕, 소금, 레몬즙을 넣어 달래 샐러드를 만든다.
11. 파이 반죽을 밀대로 넓게 민다.
12. 파이 반죽을 원형틀로 찍어낸 뒤 접시에 올린다.
13. 파이 반죽 위에 파이 소, 슬라이스치즈, 파이 반죽을 올린 뒤 끝부분을 접어준다.
14. 13의 파이를 끓는 기름에 넣고 부친다.
15. 14의 파이를 뒤집어 준 뒤 뚜껑을 덮고 부친다.
16. 15에 로즈마리를 넣어 향을 입힌다.
17. 16의 미트파이를 건져낸다.
18. 미트파이를 반으로 썬다.</v>
      </c>
    </row>
    <row r="894">
      <c r="A894" s="2" t="str">
        <f>recipe!C894
</f>
        <v>샘해밍떡</v>
      </c>
      <c r="B894" s="2" t="str">
        <f>IFERROR(__xludf.DUMMYFUNCTION("TRIM(
  REGEXEXTRACT(
    raw!A894,
    ""●\s*조리\s*방법([\s\S]*)""
  )
)
"),"1. 밀대를 이용해 꽃게의 살을 발라낸다.
2. 새우살을 잘게 다진 뒤 꽃게살과 섞는다.
3. 파프리카와 달래를 적당한 크기로 썬 뒤 끓는 물에 데친다.
4. 꽃게살과 새우살에 달래, 파프리카, 달걀흰자, 밀가루, 다진 생강을 넣어 게살 반죽을 만든다.
5. 콜라비, 당근, 비트의 속을 반원 모양으로 파낸 뒤 찬물에 담가둔다.
6. 식초양념장, 유자식초, 5와 라임즙을 넣어 장아찌를 만든다.
7. 라이스페이퍼에 물뿌리개로 물을 뿌린다.
8. 라이스페이퍼"&amp;"에 알목심&gt;조미김&gt;게살 반죽을 올리고 물뿌리개로 물을 뿌린 뒤 말아준다.
9. 물, 튀김가루, 전분을 섞어 튀김옷을 만든다.
10. 김말이에 튀김옷을 묻힌다.
11. 10을 끓는 기름에 넣고 튀긴다.
12. 기리모찌를 반으로 썬다.
13. 팬에 기리모찌, 참기름, 쯔유, 물을 넣는다.
14. 13의 팬에 토마토 처트니를 넣어 궁중떡볶이를 만든다.
15. 셀러리에 칼집을 낸 뒤 길게 썰어 딜과 함께 찬물에 넣어둔다.
16. 궁중떡볶이에 잣, 은행, 다진 "&amp;"소고기를 넣는다.
17. 김말이 튀김을 건져낸 뒤 적당한 크기로 썬다.
18. 시콰사 마멀레이드, 유자식초를 섞어 소스를 만든다.
19. 김말이 튀김과 궁중떡볶이가 담긴 접시에 셀러리와 장아찌를 올린다.
20. 19에 딜을 잘게 뜯어 올려 마무리한다.")</f>
        <v>1. 밀대를 이용해 꽃게의 살을 발라낸다.
2. 새우살을 잘게 다진 뒤 꽃게살과 섞는다.
3. 파프리카와 달래를 적당한 크기로 썬 뒤 끓는 물에 데친다.
4. 꽃게살과 새우살에 달래, 파프리카, 달걀흰자, 밀가루, 다진 생강을 넣어 게살 반죽을 만든다.
5. 콜라비, 당근, 비트의 속을 반원 모양으로 파낸 뒤 찬물에 담가둔다.
6. 식초양념장, 유자식초, 5와 라임즙을 넣어 장아찌를 만든다.
7. 라이스페이퍼에 물뿌리개로 물을 뿌린다.
8. 라이스페이퍼에 알목심&gt;조미김&gt;게살 반죽을 올리고 물뿌리개로 물을 뿌린 뒤 말아준다.
9. 물, 튀김가루, 전분을 섞어 튀김옷을 만든다.
10. 김말이에 튀김옷을 묻힌다.
11. 10을 끓는 기름에 넣고 튀긴다.
12. 기리모찌를 반으로 썬다.
13. 팬에 기리모찌, 참기름, 쯔유, 물을 넣는다.
14. 13의 팬에 토마토 처트니를 넣어 궁중떡볶이를 만든다.
15. 셀러리에 칼집을 낸 뒤 길게 썰어 딜과 함께 찬물에 넣어둔다.
16. 궁중떡볶이에 잣, 은행, 다진 소고기를 넣는다.
17. 김말이 튀김을 건져낸 뒤 적당한 크기로 썬다.
18. 시콰사 마멀레이드, 유자식초를 섞어 소스를 만든다.
19. 김말이 튀김과 궁중떡볶이가 담긴 접시에 셀러리와 장아찌를 올린다.
20. 19에 딜을 잘게 뜯어 올려 마무리한다.</v>
      </c>
    </row>
    <row r="895">
      <c r="A895" s="2" t="str">
        <f>recipe!C895
</f>
        <v>게장이 달라 달라♬</v>
      </c>
      <c r="B895" s="2" t="str">
        <f>IFERROR(__xludf.DUMMYFUNCTION("TRIM(
  REGEXEXTRACT(
    raw!A895,
    ""●\s*조리\s*방법([\s\S]*)""
  )
)
"),"1. 끓는 물에 꽃게 다리와 표고버섯 육수팩을 넣고 끓인다.
2. 꽃게의 살을 발라낸다.
3. 연어를 끓는 물에 데친다.
4. 데친 연어를 얼음물에 넣어 식힌 뒤 얇게 썬다.
5. 팬에 청주, 맛술, 스키야키소스, 육수, 생강즙, 마늘즙, 물엿을 넣어 간장게장 소스를 만든 뒤 얼음물에 식힌다.
6. 달래를 적당한 크기로 썬다.
7. 게장 소스에 달래를 넣는다.
8. 꽃게살과 데친 연어에 게장 소스를 넣는다.
9. 간장게장과 연어장에 잘게 썬 홍고추를 넣"&amp;"는다.
10. 솥에 불린 쌀과 물을 넣은 뒤 밥을 안친다.
11. 우엉을 엇비슷하게 썬다.
12. 11의 우엉을 끓는 물에 데친 뒤 솥밥에 넣는다.
13. 끓는 물에 시금치를 데친 뒤 얼음물에 담가둔다.
14. 잘게 썬 아스파라거스를 끓는 물에 데친 뒤 얼음물에 담가둔다.
15. 핸드블렌더에 잣, 순두부, 두부, 타마고간장을 넣고 간다.
16. 15에 소금, 타마고간장을 넣고 섞는다.
17. 16에 아스파라거스, 시금치를 넣고 버무려 시금치무침을 만든다"&amp;".
18. 참돔의 등살을 발라낸 뒤 어슷하게 썬다.
19. 참돔에 청주를 뿌린다.
20. 19의 참돔에 뜨거운 물을 부어 익힌 뒤 얼음물에 식힌다.
21. 20의 참돔을 솥밥에 넣는다.
22. 시금치무침 위에 으깬 깨를 뿌려 마무리한다.")</f>
        <v>1. 끓는 물에 꽃게 다리와 표고버섯 육수팩을 넣고 끓인다.
2. 꽃게의 살을 발라낸다.
3. 연어를 끓는 물에 데친다.
4. 데친 연어를 얼음물에 넣어 식힌 뒤 얇게 썬다.
5. 팬에 청주, 맛술, 스키야키소스, 육수, 생강즙, 마늘즙, 물엿을 넣어 간장게장 소스를 만든 뒤 얼음물에 식힌다.
6. 달래를 적당한 크기로 썬다.
7. 게장 소스에 달래를 넣는다.
8. 꽃게살과 데친 연어에 게장 소스를 넣는다.
9. 간장게장과 연어장에 잘게 썬 홍고추를 넣는다.
10. 솥에 불린 쌀과 물을 넣은 뒤 밥을 안친다.
11. 우엉을 엇비슷하게 썬다.
12. 11의 우엉을 끓는 물에 데친 뒤 솥밥에 넣는다.
13. 끓는 물에 시금치를 데친 뒤 얼음물에 담가둔다.
14. 잘게 썬 아스파라거스를 끓는 물에 데친 뒤 얼음물에 담가둔다.
15. 핸드블렌더에 잣, 순두부, 두부, 타마고간장을 넣고 간다.
16. 15에 소금, 타마고간장을 넣고 섞는다.
17. 16에 아스파라거스, 시금치를 넣고 버무려 시금치무침을 만든다.
18. 참돔의 등살을 발라낸 뒤 어슷하게 썬다.
19. 참돔에 청주를 뿌린다.
20. 19의 참돔에 뜨거운 물을 부어 익힌 뒤 얼음물에 식힌다.
21. 20의 참돔을 솥밥에 넣는다.
22. 시금치무침 위에 으깬 깨를 뿌려 마무리한다.</v>
      </c>
    </row>
    <row r="896">
      <c r="A896" s="2" t="str">
        <f>recipe!C896
</f>
        <v>완자가 앗 뜨거뜨거♬</v>
      </c>
      <c r="B896" s="2" t="str">
        <f>IFERROR(__xludf.DUMMYFUNCTION("TRIM(
  REGEXEXTRACT(
    raw!A896,
    ""●\s*조리\s*방법([\s\S]*)""
  )
)
"),"1. 냄비에 올리브오일을 두른다.
2. 1에 대구살, 무뼈닭발, 가자미살, 뜨거운 물, 칵테일새우를 넣고 끓인다.
3. 2에 인스턴트 황태해장국을 넣는다.
4. 대파, 청경채를 적당한 크기로 썬다.
5. 찜기에 면포를 깐 뒤 대파, 청경채를 올려 찐다.
6. 기름을 두른 팬에 대파, 홍고추, 으깬 마늘, 고춧가루를 넣고 볶는다.
7. 육수 냄비와 고추기름을 내던 팬에 가쓰오부시장국을 넣는다.
8. 해산물 육수에 후추를 넣는다.
9. 해산물 육수에 연어를"&amp;" 넣는다.
10. 볶던 팬에 해산물 육수를 부어 끓인다.
11. 핸드블렌더에 가자미살, 칵테일새우, 연어를 넣는다.
12. 11에 잘게 썬 말린 문어, 전분, 소금, 후추를 넣는다.
13. 12를 갈아 완자 반죽을 만든다.
14. 완자 반죽을 적당한 크기로 뭉친 뒤 해산물 육수에 넣어 익힌다.
15. 얇게 썬 애호박을 그릴팬에 굽는다.
16. 베이비피클을 잘게 썬 뒤 플레인요거트와 섞는다.
17. 16에 잘게 썬 양파를 넣는다.
18. 17에 바질페스토"&amp;", 설탕을 넣고 섞어 소스를 만든다.
19. 해산물 육수에 익힌 완자와 새우를 국물에 옮겨 담는다.
20. 얇게 썬 양파, 가쓰오부시장국, 레몬즙, 올리브오일을 섞는다.
21. 20에 홍고추, 고추, 후추를 넣어 양파간장 소스를 만든다.
22. 양파간장 소스에 설탕을 뿌린다.
23. 해산물 육수에 익힌 연어를 접시에 담는다.
24. 연어 위에 구운 애호박을 올린 뒤 바질페스토 소스를 얹는다.
25. 데운 뚝배기에 해물완자탕을 담는다.
26. 찐 대파와 "&amp;"청경채를 접시에 담아낸다.")</f>
        <v>1. 냄비에 올리브오일을 두른다.
2. 1에 대구살, 무뼈닭발, 가자미살, 뜨거운 물, 칵테일새우를 넣고 끓인다.
3. 2에 인스턴트 황태해장국을 넣는다.
4. 대파, 청경채를 적당한 크기로 썬다.
5. 찜기에 면포를 깐 뒤 대파, 청경채를 올려 찐다.
6. 기름을 두른 팬에 대파, 홍고추, 으깬 마늘, 고춧가루를 넣고 볶는다.
7. 육수 냄비와 고추기름을 내던 팬에 가쓰오부시장국을 넣는다.
8. 해산물 육수에 후추를 넣는다.
9. 해산물 육수에 연어를 넣는다.
10. 볶던 팬에 해산물 육수를 부어 끓인다.
11. 핸드블렌더에 가자미살, 칵테일새우, 연어를 넣는다.
12. 11에 잘게 썬 말린 문어, 전분, 소금, 후추를 넣는다.
13. 12를 갈아 완자 반죽을 만든다.
14. 완자 반죽을 적당한 크기로 뭉친 뒤 해산물 육수에 넣어 익힌다.
15. 얇게 썬 애호박을 그릴팬에 굽는다.
16. 베이비피클을 잘게 썬 뒤 플레인요거트와 섞는다.
17. 16에 잘게 썬 양파를 넣는다.
18. 17에 바질페스토, 설탕을 넣고 섞어 소스를 만든다.
19. 해산물 육수에 익힌 완자와 새우를 국물에 옮겨 담는다.
20. 얇게 썬 양파, 가쓰오부시장국, 레몬즙, 올리브오일을 섞는다.
21. 20에 홍고추, 고추, 후추를 넣어 양파간장 소스를 만든다.
22. 양파간장 소스에 설탕을 뿌린다.
23. 해산물 육수에 익힌 연어를 접시에 담는다.
24. 연어 위에 구운 애호박을 올린 뒤 바질페스토 소스를 얹는다.
25. 데운 뚝배기에 해물완자탕을 담는다.
26. 찐 대파와 청경채를 접시에 담아낸다.</v>
      </c>
    </row>
    <row r="897">
      <c r="A897" s="2" t="str">
        <f>recipe!C897
</f>
        <v>초통령</v>
      </c>
      <c r="B897" s="2" t="str">
        <f>IFERROR(__xludf.DUMMYFUNCTION("TRIM(
  REGEXEXTRACT(
    raw!A897,
    ""●\s*조리\s*방법([\s\S]*)""
  )
)
"),"1. 끓는 물에 무뼈닭발을 넣는다.
2. 1에 소금, 가쓰오부시장국을 넣는다.
3. 압력솥의 뚜껑을 닫고 끓인다.
4. 핸드블렌더에 밀가루, 전분, 소금, 물, 식용유를 넣고 갈아 면 반죽을 만든다.
5. 밀대를 이용해 반죽을 얇게 민다.
6. 얇게 민 반죽을 접은 뒤 얇게 썰어 면을 뽑는다.
7. 끓는 물에 면을 넣고 삶는다.
8. 삶은 면의 물기를 털어낸 뒤 기름에 지져 초면을 만든다.
9. 기름을 두른 팬에 대파, 다진마늘을 넣고 볶는다.
10. "&amp;"9에 된장을 넣고 볶는다.
11. 10에 바지락살, 청양고추를 넣고 볶는다.
12. 11에 가쓰오부시장국, 간장, 인스턴트 황태해장국을 넣고 끓인다.
13. 12에 닭발 육수를 넣는다.
14. 13에 새우살, 가자미살을 넣고 끓인다.
15. 국물에 대구살을 넣는다.
16. 방울토마토를 반으로 썬 뒤 국물에 넣는다.
17. 16에 뜨거운 물을 붓는다.
18. 볼에 고춧가루, 간장을 넣는다.
19. 18에 가쓰오부시장국, 식초를 넣고 섞어 양념장을 만든다."&amp;"
20. 국물에 청경채를 넣고 끓인다.
21. 20에 전분물을 풀어 농도를 조절한다.
22. 데운 뚝배기에 초면을 넣은 뒤 해물과 채소, 국물을 담는다.")</f>
        <v>1. 끓는 물에 무뼈닭발을 넣는다.
2. 1에 소금, 가쓰오부시장국을 넣는다.
3. 압력솥의 뚜껑을 닫고 끓인다.
4. 핸드블렌더에 밀가루, 전분, 소금, 물, 식용유를 넣고 갈아 면 반죽을 만든다.
5. 밀대를 이용해 반죽을 얇게 민다.
6. 얇게 민 반죽을 접은 뒤 얇게 썰어 면을 뽑는다.
7. 끓는 물에 면을 넣고 삶는다.
8. 삶은 면의 물기를 털어낸 뒤 기름에 지져 초면을 만든다.
9. 기름을 두른 팬에 대파, 다진마늘을 넣고 볶는다.
10. 9에 된장을 넣고 볶는다.
11. 10에 바지락살, 청양고추를 넣고 볶는다.
12. 11에 가쓰오부시장국, 간장, 인스턴트 황태해장국을 넣고 끓인다.
13. 12에 닭발 육수를 넣는다.
14. 13에 새우살, 가자미살을 넣고 끓인다.
15. 국물에 대구살을 넣는다.
16. 방울토마토를 반으로 썬 뒤 국물에 넣는다.
17. 16에 뜨거운 물을 붓는다.
18. 볼에 고춧가루, 간장을 넣는다.
19. 18에 가쓰오부시장국, 식초를 넣고 섞어 양념장을 만든다.
20. 국물에 청경채를 넣고 끓인다.
21. 20에 전분물을 풀어 농도를 조절한다.
22. 데운 뚝배기에 초면을 넣은 뒤 해물과 채소, 국물을 담는다.</v>
      </c>
    </row>
    <row r="898">
      <c r="A898" s="2" t="str">
        <f>recipe!C898
</f>
        <v>세.나.떡</v>
      </c>
      <c r="B898" s="2" t="str">
        <f>IFERROR(__xludf.DUMMYFUNCTION("TRIM(
  REGEXEXTRACT(
    raw!A898,
    ""●\s*조리\s*방법([\s\S]*)""
  )
)
"),"1. 즉석밥을 전자레인지에 돌린다.
2. 전자레인지에 돌린 즉석밥을 핸드블렌더에 넣고 간다.
3. 2에 전분, 말린 문어를 넣고 한 번 더 간다.
4. 팬에 고추장, 고춧가루, 인스턴트 황태해장국, 설탕, 물엿, 고추, 홍고추, 깨를 넣는다.
5. 냄비에 인스턴트 황태해장국, 물, 대파를 넣고 끓인다.
6. 그릴팬에 가자미살을 굽는다.
7. 핸드블렌더에 대구살, 칵테일새우, 새우살, 가자미살, 달걀, 전분을 넣고 간다.
8. 종이포일에 어묵 반죽을 올린"&amp;" 뒤 얇게 편다.
9. 8을 찜기에 넣어 찐다.
10. 떡볶이 소스에 어묵 반죽을 넣고 섞는다.
11. 방울토마토를 으깬 뒤 떡볶이 소스에 넣는다.
12. 어묵국수 국물에 가쓰오부시장국을 넣는다.
13. 찐 어묵을 얇게 썰어 어묵 면을 만든다.
14. 어묵 면을 국물에 넣고 끓인다.
15. 말린 문어를 넣은 떡 반죽을 먹기 좋은 크기로 썬다.
16. 끓는 물에 떡 반죽을 넣고 익힌다.
17. 끓는 물에 청경채를 데친 뒤 얼음물에 식힌다.
18. 볼에 청"&amp;"경채, 칵테일새우, 바질페스토, 깨, 레몬즙을 넣고 섞는다.
19. 청경채 샐러드를 접시에 올린다.
20. 익힌 떡을 얼음물에 담가 식힌 뒤 떡볶이 소스와 섞는다.
21. 접시에 떡볶이를 담는다.
22. 구운 가자미살에 간 카레를 뿌린 뒤 접시에 올리고, 참기름을 두른다.
23. 어묵국수를 그릇에 담는다.")</f>
        <v>1. 즉석밥을 전자레인지에 돌린다.
2. 전자레인지에 돌린 즉석밥을 핸드블렌더에 넣고 간다.
3. 2에 전분, 말린 문어를 넣고 한 번 더 간다.
4. 팬에 고추장, 고춧가루, 인스턴트 황태해장국, 설탕, 물엿, 고추, 홍고추, 깨를 넣는다.
5. 냄비에 인스턴트 황태해장국, 물, 대파를 넣고 끓인다.
6. 그릴팬에 가자미살을 굽는다.
7. 핸드블렌더에 대구살, 칵테일새우, 새우살, 가자미살, 달걀, 전분을 넣고 간다.
8. 종이포일에 어묵 반죽을 올린 뒤 얇게 편다.
9. 8을 찜기에 넣어 찐다.
10. 떡볶이 소스에 어묵 반죽을 넣고 섞는다.
11. 방울토마토를 으깬 뒤 떡볶이 소스에 넣는다.
12. 어묵국수 국물에 가쓰오부시장국을 넣는다.
13. 찐 어묵을 얇게 썰어 어묵 면을 만든다.
14. 어묵 면을 국물에 넣고 끓인다.
15. 말린 문어를 넣은 떡 반죽을 먹기 좋은 크기로 썬다.
16. 끓는 물에 떡 반죽을 넣고 익힌다.
17. 끓는 물에 청경채를 데친 뒤 얼음물에 식힌다.
18. 볼에 청경채, 칵테일새우, 바질페스토, 깨, 레몬즙을 넣고 섞는다.
19. 청경채 샐러드를 접시에 올린다.
20. 익힌 떡을 얼음물에 담가 식힌 뒤 떡볶이 소스와 섞는다.
21. 접시에 떡볶이를 담는다.
22. 구운 가자미살에 간 카레를 뿌린 뒤 접시에 올리고, 참기름을 두른다.
23. 어묵국수를 그릇에 담는다.</v>
      </c>
    </row>
    <row r="899">
      <c r="A899" s="2" t="str">
        <f>recipe!C899
</f>
        <v>세.나.피</v>
      </c>
      <c r="B899" s="2" t="str">
        <f>IFERROR(__xludf.DUMMYFUNCTION("TRIM(
  REGEXEXTRACT(
    raw!A899,
    ""●\s*조리\s*방법([\s\S]*)""
  )
)
"),"1. 끓는 물에 소금을 넣은 뒤 달걀을 넣어 삶는다.
2. 대파, 양파, 홍고추, 고추를 잘게 썬다.
3. 기름을 두른 팬에 된장, 고추장, 손질한 채소를 넣고 볶는다.
4. 3에 불린 문어를 넣고 볶는다.
5. 4에 잘게 썬 새우살을 넣고 볶는다.
6. 올리브오일을 두른 팬에 글루텐프리 도우를 굽는다.
7. 잘게 썬 애호박을 강된장 소스에 넣는다.
8. 강된장 소스에 곡물가루를 넣어 농도를 조절한다.
9. 얇게 썬 연어에 데운 올리브오일을 넣어 익힌다"&amp;".
10. 9에 잘게 다진 양파, 아보카도, 연겨자, 가쓰오부시장국, 그릭요거트를 넣고 섞는다.
11. 삶은 달걀을 얼음물에 식힌 뒤, 껍데기를 깐다.
12. 강된장 소스에 물, 다진마늘, 곡물가루를 넣는다.
13. 삶은 달걀을 잘게 다진 뒤 연어아보카도 소스에 넣는다.
14. 달걀흰자와 노른자를 체에 밭쳐 곱게 간 뒤 연어아보카도 소스에 올린다.
15. 구운 피자 도우를 썬 뒤 접시에 담는다.
16. 강된장 소스에 잘게 썬 대파를 올린다.")</f>
        <v>1. 끓는 물에 소금을 넣은 뒤 달걀을 넣어 삶는다.
2. 대파, 양파, 홍고추, 고추를 잘게 썬다.
3. 기름을 두른 팬에 된장, 고추장, 손질한 채소를 넣고 볶는다.
4. 3에 불린 문어를 넣고 볶는다.
5. 4에 잘게 썬 새우살을 넣고 볶는다.
6. 올리브오일을 두른 팬에 글루텐프리 도우를 굽는다.
7. 잘게 썬 애호박을 강된장 소스에 넣는다.
8. 강된장 소스에 곡물가루를 넣어 농도를 조절한다.
9. 얇게 썬 연어에 데운 올리브오일을 넣어 익힌다.
10. 9에 잘게 다진 양파, 아보카도, 연겨자, 가쓰오부시장국, 그릭요거트를 넣고 섞는다.
11. 삶은 달걀을 얼음물에 식힌 뒤, 껍데기를 깐다.
12. 강된장 소스에 물, 다진마늘, 곡물가루를 넣는다.
13. 삶은 달걀을 잘게 다진 뒤 연어아보카도 소스에 넣는다.
14. 달걀흰자와 노른자를 체에 밭쳐 곱게 간 뒤 연어아보카도 소스에 올린다.
15. 구운 피자 도우를 썬 뒤 접시에 담는다.
16. 강된장 소스에 잘게 썬 대파를 올린다.</v>
      </c>
    </row>
    <row r="900">
      <c r="A900" s="2" t="str">
        <f>recipe!C900
</f>
        <v>한 이불 덮었닭</v>
      </c>
      <c r="B900" s="2" t="str">
        <f>IFERROR(__xludf.DUMMYFUNCTION("TRIM(
  REGEXEXTRACT(
    raw!A900,
    ""●\s*조리\s*방법([\s\S]*)""
  )
)
"),"1. 핸드블렌더에 치즈맛 핫바를 넣고 간다.
2. 감자수제비가루에 물, 간 치즈맛 핫바를 넣고 뇨키 반죽을 만든다.
3. 닭날개의 뼈를 발라낸다.
4. 올리브오일을 두른 그릴팬에 청양고추, 홍고추, 양파를 굽는다.
5. 기름을 두른 팬에 마늘, 닭날개 살을 넣고 볶는다.
6. 5의 팬에 탄두리맛 닭가슴살, 카레가루를 넣는다.
7. 구운 청양고추, 홍고추, 양파를 잘게 썰어 6에 넣는다.
8. 핸드블렌더에 치즈맛 핫바, 닭날개 살, 탄두리맛 닭가슴살을 넣"&amp;"고 간다.
9. 닭날개 껍질 안에 8을 넣어 속을 채운다.
10. 9를 기름에 튀긴다.
11. 간 재료, 탄두리맛 닭가슴살, 인스턴트 갈비탕 국물을 카레 소스에 넣는다.
12. 11에 잘게 썬 양파를 넣는다.
13. 뇨키 반죽을 적당한 크기로 썬 뒤 눌러서 모양을 잡는다.
14. 뇨키를 끓는 물에 삶는다.
15. 버터를 두른 팬에 삶은 뇨키를 넣는다.
16. 올리브오일을 두른 팬에 마늘, 시금치, 버터를 넣고 볶는다.
17. 카레 소스에 뇨키를 올린다."&amp;"
18. 속을 채운 닭튀김을 건져낸 뒤 소금을 뿌려 17에 올린다.
19. 18 위에 볶은 시금치를 올린다.
20. 19에 레몬즙을 뿌려 마무리한다.")</f>
        <v>1. 핸드블렌더에 치즈맛 핫바를 넣고 간다.
2. 감자수제비가루에 물, 간 치즈맛 핫바를 넣고 뇨키 반죽을 만든다.
3. 닭날개의 뼈를 발라낸다.
4. 올리브오일을 두른 그릴팬에 청양고추, 홍고추, 양파를 굽는다.
5. 기름을 두른 팬에 마늘, 닭날개 살을 넣고 볶는다.
6. 5의 팬에 탄두리맛 닭가슴살, 카레가루를 넣는다.
7. 구운 청양고추, 홍고추, 양파를 잘게 썰어 6에 넣는다.
8. 핸드블렌더에 치즈맛 핫바, 닭날개 살, 탄두리맛 닭가슴살을 넣고 간다.
9. 닭날개 껍질 안에 8을 넣어 속을 채운다.
10. 9를 기름에 튀긴다.
11. 간 재료, 탄두리맛 닭가슴살, 인스턴트 갈비탕 국물을 카레 소스에 넣는다.
12. 11에 잘게 썬 양파를 넣는다.
13. 뇨키 반죽을 적당한 크기로 썬 뒤 눌러서 모양을 잡는다.
14. 뇨키를 끓는 물에 삶는다.
15. 버터를 두른 팬에 삶은 뇨키를 넣는다.
16. 올리브오일을 두른 팬에 마늘, 시금치, 버터를 넣고 볶는다.
17. 카레 소스에 뇨키를 올린다.
18. 속을 채운 닭튀김을 건져낸 뒤 소금을 뿌려 17에 올린다.
19. 18 위에 볶은 시금치를 올린다.
20. 19에 레몬즙을 뿌려 마무리한다.</v>
      </c>
    </row>
    <row r="901">
      <c r="A901" s="2" t="str">
        <f>recipe!C901
</f>
        <v>짬짜탕</v>
      </c>
      <c r="B901" s="2" t="str">
        <f>IFERROR(__xludf.DUMMYFUNCTION("TRIM(
  REGEXEXTRACT(
    raw!A901,
    ""●\s*조리\s*방법([\s\S]*)""
  )
)
"),"1. 끓는 물에 전복을 넣고 데친다.
2. 냄비에 인스턴트 갈비탕, 뜨거운 물을 넣고 끓인다.
3. 닭봉과 닭날개의 뼈를 발라낸다.
4. 닭봉 뼈를 인스턴트 갈비탕에 넣어 육수를 만든다.
5. 닭봉과 닭날개 살에 간장, 달걀, 전분을 넣고 버무린다.
6. 기름을 두른 팬에 5를 넣고 튀긴다.
7. 데친 전복을 물에 씻어 내장을 제거한다.
8. 뚝배기를 데운다.
9. 전복에 칼집을 낸 뒤 적당한 크기로 썬다.
10. 대파를 잘게 썰고, 마늘을 으깬다.
1"&amp;"1. 양파를 적당한 크기로 썬다.
12. 닭튀김을 건져내 기름을 뺀다.
13. 팬에 손질한 채소, 간장, 고춧가루 넣고 볶는다.
14. 13의 팬에 매운맛 짜장라면 수프를 넣고 볶는다.
15. 14에 갈비탕&amp;닭뼈 육수를 넣어 짬짜탕을 만든다.
16. 숯불맛 핫바를 잘게 썬다.
17. 짬짜탕에 숯불맛 핫바, 전복을 넣는다.
18. 시금치를 적당한 크기로 썬다.
19. 잘게 썬 당근과 시금치를 짬짜탕에 넣는다.
20. 짬짜탕에 닭튀김을 넣는다.
21. 짬짜"&amp;"탕에 간장을 넣는다.
22. 짬짜탕에 전분물을 넣는다.
23. 체에 밭친 누룽지를 기름에 튀긴다.
24. 데운 뚝배기에 튀긴 누룽지를 넣는다.")</f>
        <v>1. 끓는 물에 전복을 넣고 데친다.
2. 냄비에 인스턴트 갈비탕, 뜨거운 물을 넣고 끓인다.
3. 닭봉과 닭날개의 뼈를 발라낸다.
4. 닭봉 뼈를 인스턴트 갈비탕에 넣어 육수를 만든다.
5. 닭봉과 닭날개 살에 간장, 달걀, 전분을 넣고 버무린다.
6. 기름을 두른 팬에 5를 넣고 튀긴다.
7. 데친 전복을 물에 씻어 내장을 제거한다.
8. 뚝배기를 데운다.
9. 전복에 칼집을 낸 뒤 적당한 크기로 썬다.
10. 대파를 잘게 썰고, 마늘을 으깬다.
11. 양파를 적당한 크기로 썬다.
12. 닭튀김을 건져내 기름을 뺀다.
13. 팬에 손질한 채소, 간장, 고춧가루 넣고 볶는다.
14. 13의 팬에 매운맛 짜장라면 수프를 넣고 볶는다.
15. 14에 갈비탕&amp;닭뼈 육수를 넣어 짬짜탕을 만든다.
16. 숯불맛 핫바를 잘게 썬다.
17. 짬짜탕에 숯불맛 핫바, 전복을 넣는다.
18. 시금치를 적당한 크기로 썬다.
19. 잘게 썬 당근과 시금치를 짬짜탕에 넣는다.
20. 짬짜탕에 닭튀김을 넣는다.
21. 짬짜탕에 간장을 넣는다.
22. 짬짜탕에 전분물을 넣는다.
23. 체에 밭친 누룽지를 기름에 튀긴다.
24. 데운 뚝배기에 튀긴 누룽지를 넣는다.</v>
      </c>
    </row>
    <row r="902">
      <c r="A902" s="2" t="str">
        <f>recipe!C902
</f>
        <v>레이먼의 손아귀</v>
      </c>
      <c r="B902" s="2" t="str">
        <f>IFERROR(__xludf.DUMMYFUNCTION("TRIM(
  REGEXEXTRACT(
    raw!A902,
    ""●\s*조리\s*방법([\s\S]*)""
  )
)
"),"1. 팬에 간장, 물, 설탕, 맛술을 넣고 끓인다.
2. 1에 청양고추, 대파, 마늘, 후추, 생강을 넣어 소스를 만든다.
3. 아귀에 소금, 후추를 넣어 간한다.
4. 3에 유자소스를 바른 뒤 전분을 묻힌다.
5. 찜기에 대파, 청주를 넣고 4의 아귀를 올려 찐다.
6. 무를 적당한 크기로 썬 뒤 들기름을 두른 뚝배기에 넣는다.
7. 6에 뜨거운 물을 넣는다.
8. 국물용 멸치, 다시마를 넣은 육수팩을 7에 넣는다.
9. 애호박을 적당한 크기로 썬 뒤"&amp;" 8에 넣는다.
10. 낙지젓을 물에 씻는다.
11. 씻은 낙지젓을 9에 넣어 낙지젓국을 만든다.
12. 대파를 채 썬다.
13. 끓인 소스를 체에 밭쳐 건더기를 걸러낸다.
14. 팬에 시금치를 넣어 숨을 죽인다.
15. 홍고추, 청양고추, 소금을 13에 넣고 함께 볶는다.
16. 기름에 마늘, 대파를 넣어 파기름을 낸 뒤 건더기는 건져낸다.
17. 즉석밥을 전자레인지에 넣고 돌린다.
18. 청양고추를 잘게 썰어 낙지젓국에 넣는다.
19. 낙지젓국에 후"&amp;"추를 넣는다.
20. 낙지젓국에 소금을 넣는다.
21. 전자레인지에 돌린 즉석밥을 꺼내 그릇에 담는다.
22. 볶은 시금치 위에 아귀 수육을 올린다.
23. 22에 채 썬 대파를 올린 뒤 소스를 붓는다.
24. 23에 파기름을 끼얹는다.")</f>
        <v>1. 팬에 간장, 물, 설탕, 맛술을 넣고 끓인다.
2. 1에 청양고추, 대파, 마늘, 후추, 생강을 넣어 소스를 만든다.
3. 아귀에 소금, 후추를 넣어 간한다.
4. 3에 유자소스를 바른 뒤 전분을 묻힌다.
5. 찜기에 대파, 청주를 넣고 4의 아귀를 올려 찐다.
6. 무를 적당한 크기로 썬 뒤 들기름을 두른 뚝배기에 넣는다.
7. 6에 뜨거운 물을 넣는다.
8. 국물용 멸치, 다시마를 넣은 육수팩을 7에 넣는다.
9. 애호박을 적당한 크기로 썬 뒤 8에 넣는다.
10. 낙지젓을 물에 씻는다.
11. 씻은 낙지젓을 9에 넣어 낙지젓국을 만든다.
12. 대파를 채 썬다.
13. 끓인 소스를 체에 밭쳐 건더기를 걸러낸다.
14. 팬에 시금치를 넣어 숨을 죽인다.
15. 홍고추, 청양고추, 소금을 13에 넣고 함께 볶는다.
16. 기름에 마늘, 대파를 넣어 파기름을 낸 뒤 건더기는 건져낸다.
17. 즉석밥을 전자레인지에 넣고 돌린다.
18. 청양고추를 잘게 썰어 낙지젓국에 넣는다.
19. 낙지젓국에 후추를 넣는다.
20. 낙지젓국에 소금을 넣는다.
21. 전자레인지에 돌린 즉석밥을 꺼내 그릇에 담는다.
22. 볶은 시금치 위에 아귀 수육을 올린다.
23. 22에 채 썬 대파를 올린 뒤 소스를 붓는다.
24. 23에 파기름을 끼얹는다.</v>
      </c>
    </row>
    <row r="903">
      <c r="A903" s="2" t="str">
        <f>recipe!C903
</f>
        <v>폭식해도 대구</v>
      </c>
      <c r="B903" s="2" t="str">
        <f>IFERROR(__xludf.DUMMYFUNCTION("TRIM(
  REGEXEXTRACT(
    raw!A903,
    ""●\s*조리\s*방법([\s\S]*)""
  )
)
"),"1. 즉석밥을 볼에 담는다.
2. 솥에 물을 끓인 뒤 버터를 넣고 녹인다.
3. 2에 즉석밥, 물을 넣는다.
4. 대구의 껍질을 발라낸 뒤 솥밥 위에 올린다.
5. 끓는 물에 전복을 데친다.
6. 데친 전복의 내장을 제거한 뒤 잘게 썰어 솥밥 위에 올린다.
7. 기름을 두른 팬에 오징어젓, 고춧가루, 미역, 뜨거운 물을 넣어 오징어젓국을 만든다.
8. 문어를 고기망치로 두드린다.
9 잘게 썬 청양고추를 오징어젓국에 넣는다.
10. 채칼을 이용해 양파, "&amp;"당근을 채 썬다.
11. 달래를 적당한 크기로 썰어 양파, 당근과 함께 볼에 넣는다.
12. 청양고추, 양파를 잘게 썰어 11의 볼에 넣는다.
13. 청양고추를 잘게 썰어 오징어젓국에 듬뿍 넣는다.
14. 간장, 설탕, 들기름, 고춧가루, 깨를 섞은 뒤 12에 넣어 달래장을 만든다.
15. 솥밥의 뚜껑을 살짝 열어둔다.
16. 오징어젓국에 문어를 넣는다.")</f>
        <v>1. 즉석밥을 볼에 담는다.
2. 솥에 물을 끓인 뒤 버터를 넣고 녹인다.
3. 2에 즉석밥, 물을 넣는다.
4. 대구의 껍질을 발라낸 뒤 솥밥 위에 올린다.
5. 끓는 물에 전복을 데친다.
6. 데친 전복의 내장을 제거한 뒤 잘게 썰어 솥밥 위에 올린다.
7. 기름을 두른 팬에 오징어젓, 고춧가루, 미역, 뜨거운 물을 넣어 오징어젓국을 만든다.
8. 문어를 고기망치로 두드린다.
9 잘게 썬 청양고추를 오징어젓국에 넣는다.
10. 채칼을 이용해 양파, 당근을 채 썬다.
11. 달래를 적당한 크기로 썰어 양파, 당근과 함께 볼에 넣는다.
12. 청양고추, 양파를 잘게 썰어 11의 볼에 넣는다.
13. 청양고추를 잘게 썰어 오징어젓국에 듬뿍 넣는다.
14. 간장, 설탕, 들기름, 고춧가루, 깨를 섞은 뒤 12에 넣어 달래장을 만든다.
15. 솥밥의 뚜껑을 살짝 열어둔다.
16. 오징어젓국에 문어를 넣는다.</v>
      </c>
    </row>
    <row r="904">
      <c r="A904" s="2" t="str">
        <f>recipe!C904
</f>
        <v>나비족 세트</v>
      </c>
      <c r="B904" s="2" t="str">
        <f>IFERROR(__xludf.DUMMYFUNCTION("TRIM(
  REGEXEXTRACT(
    raw!A904,
    ""●\s*조리\s*방법([\s\S]*)""
  )
)
"),"1. 적당한 크기로 썬 감자를 볼에 넣은 뒤 랩을 씌운다.
1. 1을 전자레인지에 넣고 돌린다.
3. 인스턴트 순대를 찜기에 넣고 찐다.
4. 당근을 나비 모양으로 얇게 썬다.
5. 나비 모양의 당근을 물에 담가둔다.
6. 팬에 으깬 동그랑땡, 잘게 썬 양파를 넣는다.
7. 대파를 잘게 썬 뒤 팬에 넣고 볶는다.
8. 7에 숙취해소음료를 넣는다.
9. 8에 잘게 썬 청양고추를 넣고 볶는다.
10. 9에 인스턴트 짜장, 짜장라면 수프를 넣어 짜장소스를 만"&amp;"든다.
11. 10에 고춧가루를 넣는다.
12. 찐 순대를 나무꼬치로 고정시킨 뒤 그릴팬에 굽는다.
13. 통조림 번데기를 그릴팬에 함께 굽는다.
14. 잘게 썬 대파, 양파를 팬에 볶은 뒤 통조림 번데기를 넣는다.
15. 14에 잘게 썬 삼겹살, 즉석밥을 넣고 볶는다.
16. 볶음밥에 잘게 썬 부추, 갈치속젓을 넣고 볶는다.
17. 볶음밥에 깨를 뿌린 뒤 접시에 담는다.
18. 올리브오일을 두른 팬에 나비 모양의 당근을 볶는다.
19. 쌈무를 얇게 썬"&amp;"다.
20. 핸드블렌더에 아보카도, 부추를 넣고 간다.
21. 익힌 감자에 고추냉이 마요네즈, 쌈무를 넣고 버무린 뒤 철판에 담는다.
22. 21에 순대 스테이크를 올린다.
23. 순대 스테이크에 짜장소스를 올린다.
24. 볶음밥에 아보카도 퓌레, 볶은 당근을 올린다.
25. 구운 번데기를 볶음밥 위에 올려 낸다.")</f>
        <v>1. 적당한 크기로 썬 감자를 볼에 넣은 뒤 랩을 씌운다.
1. 1을 전자레인지에 넣고 돌린다.
3. 인스턴트 순대를 찜기에 넣고 찐다.
4. 당근을 나비 모양으로 얇게 썬다.
5. 나비 모양의 당근을 물에 담가둔다.
6. 팬에 으깬 동그랑땡, 잘게 썬 양파를 넣는다.
7. 대파를 잘게 썬 뒤 팬에 넣고 볶는다.
8. 7에 숙취해소음료를 넣는다.
9. 8에 잘게 썬 청양고추를 넣고 볶는다.
10. 9에 인스턴트 짜장, 짜장라면 수프를 넣어 짜장소스를 만든다.
11. 10에 고춧가루를 넣는다.
12. 찐 순대를 나무꼬치로 고정시킨 뒤 그릴팬에 굽는다.
13. 통조림 번데기를 그릴팬에 함께 굽는다.
14. 잘게 썬 대파, 양파를 팬에 볶은 뒤 통조림 번데기를 넣는다.
15. 14에 잘게 썬 삼겹살, 즉석밥을 넣고 볶는다.
16. 볶음밥에 잘게 썬 부추, 갈치속젓을 넣고 볶는다.
17. 볶음밥에 깨를 뿌린 뒤 접시에 담는다.
18. 올리브오일을 두른 팬에 나비 모양의 당근을 볶는다.
19. 쌈무를 얇게 썬다.
20. 핸드블렌더에 아보카도, 부추를 넣고 간다.
21. 익힌 감자에 고추냉이 마요네즈, 쌈무를 넣고 버무린 뒤 철판에 담는다.
22. 21에 순대 스테이크를 올린다.
23. 순대 스테이크에 짜장소스를 올린다.
24. 볶음밥에 아보카도 퓌레, 볶은 당근을 올린다.
25. 구운 번데기를 볶음밥 위에 올려 낸다.</v>
      </c>
    </row>
    <row r="905">
      <c r="A905" s="2" t="str">
        <f>recipe!C905
</f>
        <v>보헤미안 미슐랭</v>
      </c>
      <c r="B905" s="2" t="str">
        <f>IFERROR(__xludf.DUMMYFUNCTION("TRIM(
  REGEXEXTRACT(
    raw!A905,
    ""●\s*조리\s*방법([\s\S]*)""
  )
)
"),"1. 핸드블렌더에 마늘, 홍고추를 넣는다.
2. 1에 대파, 방울토마토를 넣고 간 뒤 기름을 두른 팬에 넣는다.
3. 2에 고춧가루를 넣고 볶는다.
4. 새우의 머리와 껍질을 떼어낸다.
5. 끓는 물에 건새우, 해물육수팩, 다시마를 넣는다.
6. 5에 새우 머리, 소금을 넣어 육수를 낸다.
7. 끓는 물에 파스타면, 굴소스, 소금을 넣어 삶는다.
8. 7에 새우를 넣어 데친다.
9. 볶던 재료에 굴소스, 간장, 물엿을 넣어 스테이크 소스를 만든다.
10"&amp;". 기름을 두른 팬에 돼지목살, 방울토마토를 넣고 굽는다.
11. 돼지목살에 소금을 뿌려 간한다.
12. 소스에 팽이버섯을 넣는다.
13. 소스에 부추를 넣은 뒤 볼에 담는다.
14. 잘게 썬 깻잎을 볼에 담는다.
15. 양파를 얇게 썬 뒤 14에 넣는다.
16. 15에 간장, 들기름을 넣어 버무린 뒤 접시에 담고, 건새우를 올린다.
17. 방울토마토를 반으로 썬 뒤 접시에 올린다.
18. 데친 새우를 샐러드 위에 올려 낸다.
19. 구운 돼지목살을 적"&amp;"당한 크기로 썬 뒤 접시에 담는다.
20. 구운 방울토마토, 부추를 넣은 소스를 접시에 담는다.
21. 육수를 체에 밭쳐 건더기를 걸러낸다.
22. 육수에 전분물을 넣고 끓인 뒤 그릇에 담아낸다.
23. 삶은 파스타면에 들기름을 넣는다.
24. 23에 으깬 김과자를 넣고 버무린다.
25. 파스타를 접시에 올린 뒤 참기름을 뿌린다.
26. 김과자를 파스타 위에 올린다.")</f>
        <v>1. 핸드블렌더에 마늘, 홍고추를 넣는다.
2. 1에 대파, 방울토마토를 넣고 간 뒤 기름을 두른 팬에 넣는다.
3. 2에 고춧가루를 넣고 볶는다.
4. 새우의 머리와 껍질을 떼어낸다.
5. 끓는 물에 건새우, 해물육수팩, 다시마를 넣는다.
6. 5에 새우 머리, 소금을 넣어 육수를 낸다.
7. 끓는 물에 파스타면, 굴소스, 소금을 넣어 삶는다.
8. 7에 새우를 넣어 데친다.
9. 볶던 재료에 굴소스, 간장, 물엿을 넣어 스테이크 소스를 만든다.
10. 기름을 두른 팬에 돼지목살, 방울토마토를 넣고 굽는다.
11. 돼지목살에 소금을 뿌려 간한다.
12. 소스에 팽이버섯을 넣는다.
13. 소스에 부추를 넣은 뒤 볼에 담는다.
14. 잘게 썬 깻잎을 볼에 담는다.
15. 양파를 얇게 썬 뒤 14에 넣는다.
16. 15에 간장, 들기름을 넣어 버무린 뒤 접시에 담고, 건새우를 올린다.
17. 방울토마토를 반으로 썬 뒤 접시에 올린다.
18. 데친 새우를 샐러드 위에 올려 낸다.
19. 구운 돼지목살을 적당한 크기로 썬 뒤 접시에 담는다.
20. 구운 방울토마토, 부추를 넣은 소스를 접시에 담는다.
21. 육수를 체에 밭쳐 건더기를 걸러낸다.
22. 육수에 전분물을 넣고 끓인 뒤 그릇에 담아낸다.
23. 삶은 파스타면에 들기름을 넣는다.
24. 23에 으깬 김과자를 넣고 버무린다.
25. 파스타를 접시에 올린 뒤 참기름을 뿌린다.
26. 김과자를 파스타 위에 올린다.</v>
      </c>
    </row>
    <row r="906">
      <c r="A906" s="2" t="str">
        <f>recipe!C906
</f>
        <v>이런 된장</v>
      </c>
      <c r="B906" s="2" t="str">
        <f>IFERROR(__xludf.DUMMYFUNCTION("TRIM(
  REGEXEXTRACT(
    raw!A906,
    ""●\s*조리\s*방법([\s\S]*)""
  )
)
"),"1. 돼지목살을 잘게 썬다.
2. 기름을 두른 팬에 돼지목살을 넣은 뒤 허브솔트를 뿌려 볶는다.
3. 끓는 물에 감자, 소금을 넣고 삶는다.
4. 끓는 물에 애호박, 건새우, 새우젓, 고춧가루을 넣고 조린다.
5. 쪽파, 양상추를 잘게 썬다.
6. 잘게 썬 양상추에 채 썬 무, 당근을 넣는다.
7. 잘게 썬 부추와 쪽파를 6에 넣는다.
8. 배추김치, 매운 김치를 잘게 썬다.
9. 애호박조림을 체에 밭쳐 건더기만 그릇에 담는다.
10. 애호박조림에 깨를"&amp;" 뿌린다.
11. 표고버섯, 양파를 얇게 썬 뒤 돼지목살을 굽던 팬에 넣는다.
12. 11에 뜨거운 물, 인스턴트 소라강된장을 넣고 끓인다.
13. 청양고추를 잘게 썬 뒤 12에 넣는다.
14. 삶은 감자를 접시에 담는다.
15. 밀가루, 버터를 볶아 루를 만든 뒤 된장스튜 국물을 섞는다.
16. 15를 된장스튜에 넣은 뒤 후추를 뿌린다.
17. 채 썬 채소에 잘게 썬 배추김치와 매운 김치를 넣는다.
18. 17에 올리브오일, 식초, 매운 김치 국물을 "&amp;"넣고 버무린다.
19. 김치 샐러드를 그릇에 담는다.
20. 감자 위에 된장스튜를 담은 뒤 잘게 썬 쪽파를 올린다.")</f>
        <v>1. 돼지목살을 잘게 썬다.
2. 기름을 두른 팬에 돼지목살을 넣은 뒤 허브솔트를 뿌려 볶는다.
3. 끓는 물에 감자, 소금을 넣고 삶는다.
4. 끓는 물에 애호박, 건새우, 새우젓, 고춧가루을 넣고 조린다.
5. 쪽파, 양상추를 잘게 썬다.
6. 잘게 썬 양상추에 채 썬 무, 당근을 넣는다.
7. 잘게 썬 부추와 쪽파를 6에 넣는다.
8. 배추김치, 매운 김치를 잘게 썬다.
9. 애호박조림을 체에 밭쳐 건더기만 그릇에 담는다.
10. 애호박조림에 깨를 뿌린다.
11. 표고버섯, 양파를 얇게 썬 뒤 돼지목살을 굽던 팬에 넣는다.
12. 11에 뜨거운 물, 인스턴트 소라강된장을 넣고 끓인다.
13. 청양고추를 잘게 썬 뒤 12에 넣는다.
14. 삶은 감자를 접시에 담는다.
15. 밀가루, 버터를 볶아 루를 만든 뒤 된장스튜 국물을 섞는다.
16. 15를 된장스튜에 넣은 뒤 후추를 뿌린다.
17. 채 썬 채소에 잘게 썬 배추김치와 매운 김치를 넣는다.
18. 17에 올리브오일, 식초, 매운 김치 국물을 넣고 버무린다.
19. 김치 샐러드를 그릇에 담는다.
20. 감자 위에 된장스튜를 담은 뒤 잘게 썬 쪽파를 올린다.</v>
      </c>
    </row>
    <row r="907">
      <c r="A907" s="2" t="str">
        <f>recipe!C907
</f>
        <v>막걸리 칼라 파워!</v>
      </c>
      <c r="B907" s="2" t="str">
        <f>IFERROR(__xludf.DUMMYFUNCTION("TRIM(
  REGEXEXTRACT(
    raw!A907,
    ""●\s*조리\s*방법([\s\S]*)""
  )
)
"),"1. 끓는 물에 된장, 다진마늘, 맛술, 삼겹살을 넣는다.
2. 압력솥의 뚜껑을 닫고 삶는다.
3. 채칼을 이용해 애호박, 감자를 채 썬다. (유현수)
4. 끓는 물에 쪽파를 데친다.
5. 데친 쪽파를 얼음물에 담가둔다.
6. 끓는 물에 맥주, 레몬즙을 넣은 뒤 주꾸미를 넣고 데친다.
7. 채 썬 감자, 애호박에 전분을 넣고 버무린다.
8. 기름을 두른 팬에 7을 올린 뒤 건새우를 올려 굽는다.
9. 8에 얇게 썬 청양고추를 올린다.
10. 매운 고추장"&amp;", 초고추장, 굴소스, 설탕, 간장, 물엿, 고춧가루를 섞어 주꾸미무침 양념을 만든다.
11. 데친 주꾸미를 얼음물에 담가둔다.
12. 배, 데친 쪽파, 양파를 썰어 볼에 담는다.
13. 오이소박이, 섞박지를 썰어 12에 넣는다.
14. 데친 주꾸미를 썰어 13에 넣는다.
15. 14에 참기름, 깨를 넣는다.
16. 적당한 크기로 썬 양파에 간장, 식초, 설탕을 넣고 섞는다.
17. 16을 종지에 담은 뒤 잘게 썬 청양고추, 깻잎을 올린다.
18. 먹기"&amp;" 좋은 크기로 썬 감자호박전을 접시에 담는다.
19. 주꾸미무침 양념에 다진마늘을 넣고 섞는다.
20. 19에 주꾸미와 손질한 재료들을 넣고 무친 뒤 접시에 담는다.
21. 먹기 좋은 크기로 썬 수육을 접시에 담은 뒤 깨를 뿌린다.")</f>
        <v>1. 끓는 물에 된장, 다진마늘, 맛술, 삼겹살을 넣는다.
2. 압력솥의 뚜껑을 닫고 삶는다.
3. 채칼을 이용해 애호박, 감자를 채 썬다. (유현수)
4. 끓는 물에 쪽파를 데친다.
5. 데친 쪽파를 얼음물에 담가둔다.
6. 끓는 물에 맥주, 레몬즙을 넣은 뒤 주꾸미를 넣고 데친다.
7. 채 썬 감자, 애호박에 전분을 넣고 버무린다.
8. 기름을 두른 팬에 7을 올린 뒤 건새우를 올려 굽는다.
9. 8에 얇게 썬 청양고추를 올린다.
10. 매운 고추장, 초고추장, 굴소스, 설탕, 간장, 물엿, 고춧가루를 섞어 주꾸미무침 양념을 만든다.
11. 데친 주꾸미를 얼음물에 담가둔다.
12. 배, 데친 쪽파, 양파를 썰어 볼에 담는다.
13. 오이소박이, 섞박지를 썰어 12에 넣는다.
14. 데친 주꾸미를 썰어 13에 넣는다.
15. 14에 참기름, 깨를 넣는다.
16. 적당한 크기로 썬 양파에 간장, 식초, 설탕을 넣고 섞는다.
17. 16을 종지에 담은 뒤 잘게 썬 청양고추, 깻잎을 올린다.
18. 먹기 좋은 크기로 썬 감자호박전을 접시에 담는다.
19. 주꾸미무침 양념에 다진마늘을 넣고 섞는다.
20. 19에 주꾸미와 손질한 재료들을 넣고 무친 뒤 접시에 담는다.
21. 먹기 좋은 크기로 썬 수육을 접시에 담은 뒤 깨를 뿌린다.</v>
      </c>
    </row>
    <row r="908">
      <c r="A908" s="2" t="str">
        <f>recipe!C908
</f>
        <v>청양공주</v>
      </c>
      <c r="B908" s="2" t="str">
        <f>IFERROR(__xludf.DUMMYFUNCTION("TRIM(
  REGEXEXTRACT(
    raw!A908,
    ""●\s*조리\s*방법([\s\S]*)""
  )
)
"),"1. 끓는 물에 전복을 넣어 데친다.
2. 끓는 기름에 대파, 고춧가루를 넣어 고추기름을 만든다.
3. 간장, 맛술, 황설탕, 다진 마늘, 올리고당을 섞어 떡갈비 양념을 만든다.
4. 삼겹살, 소 등심을 적당한 크기로 썬다.
5. 핸드블렌더에 4, 떡갈비 양념, 양파, 대파를 넣고 갈아 떡갈비 반죽을 만든다.
6. 소면의 끝을 끓는 물에 적셔 뭉친 뒤 끓는 물에 넣고 삶는다.
7. 기름을 두른 그릴팬에 떡갈비 반죽을 올려 굽는다.
8. 데친 전복의 내장"&amp;"을 제거한 뒤 적당한 크기로 썬다.
9. 깻잎을 잘게 썬다.
10. 반으로 자른 오이를 납작하게 편다.
11. 굽던 떡갈비 위에 콜라비 깍두기를 올린다.
12. 청양고추를 잘게 썬 뒤 굽던 떡갈비 위에 올린다.
13. 찜기에 말린 뽕잎, 청양고추를 넣는다.
14. 13에 석쇠에 올린 떡갈비를 올려 뚜껑을 덮고 훈연한다.
15. 잘게 썬 배추김치에 들기름, 황설탕, 깨를 넣는다.
16. 기름을 두른 팬에 떡갈비 반죽, 고추기름을 넣고 볶아 고기 고명을 만"&amp;"든다.
17. 소면을 찬물에 헹군 뒤 뭉친 끝을 잘라낸다.
18. 그릇에 소면, 전복, 깻잎, 청양고추, 대파, 김, 김치 고명, 고기 고명을 올린다.
19. 18에 얼음을 담가둔 타마고 간장을 뿌린다.
20. 19에 고추기름을 뿌린다.")</f>
        <v>1. 끓는 물에 전복을 넣어 데친다.
2. 끓는 기름에 대파, 고춧가루를 넣어 고추기름을 만든다.
3. 간장, 맛술, 황설탕, 다진 마늘, 올리고당을 섞어 떡갈비 양념을 만든다.
4. 삼겹살, 소 등심을 적당한 크기로 썬다.
5. 핸드블렌더에 4, 떡갈비 양념, 양파, 대파를 넣고 갈아 떡갈비 반죽을 만든다.
6. 소면의 끝을 끓는 물에 적셔 뭉친 뒤 끓는 물에 넣고 삶는다.
7. 기름을 두른 그릴팬에 떡갈비 반죽을 올려 굽는다.
8. 데친 전복의 내장을 제거한 뒤 적당한 크기로 썬다.
9. 깻잎을 잘게 썬다.
10. 반으로 자른 오이를 납작하게 편다.
11. 굽던 떡갈비 위에 콜라비 깍두기를 올린다.
12. 청양고추를 잘게 썬 뒤 굽던 떡갈비 위에 올린다.
13. 찜기에 말린 뽕잎, 청양고추를 넣는다.
14. 13에 석쇠에 올린 떡갈비를 올려 뚜껑을 덮고 훈연한다.
15. 잘게 썬 배추김치에 들기름, 황설탕, 깨를 넣는다.
16. 기름을 두른 팬에 떡갈비 반죽, 고추기름을 넣고 볶아 고기 고명을 만든다.
17. 소면을 찬물에 헹군 뒤 뭉친 끝을 잘라낸다.
18. 그릇에 소면, 전복, 깻잎, 청양고추, 대파, 김, 김치 고명, 고기 고명을 올린다.
19. 18에 얼음을 담가둔 타마고 간장을 뿌린다.
20. 19에 고추기름을 뿌린다.</v>
      </c>
    </row>
    <row r="909">
      <c r="A909" s="2" t="str">
        <f>recipe!C909
</f>
        <v>지금 이 순간~ 전골처럼♬</v>
      </c>
      <c r="B909" s="2" t="str">
        <f>IFERROR(__xludf.DUMMYFUNCTION("TRIM(
  REGEXEXTRACT(
    raw!A909,
    ""●\s*조리\s*방법([\s\S]*)""
  )
)
"),"1. 그릴팬에 청양고추를 올린 뒤 올리브오일을 뿌려 굽는다.
2. 냄비에 무, 불린 건표고버섯, 건새우, 전복, 끓는 물을 넣어 전골 육수를 만든다.
3. 청양고추를 잘게 썰어 핸드블렌더에 넣고 간 뒤 물을 넣는다.
4. 핸드블렌더에 밀가루, 3을 넣고 갈아 수제비 반죽을 만든다.
5. 전골 육수의 전복을 건져낸 뒤 손질한다.
6. 구운 청양고추와 차돌박이에 전분을 묻힌다.
7. 찜기의 면보 위에 6을 올린다.
8. 송이버섯을 길게 썬다.
9. 대파와 "&amp;"표고버섯, 송이버섯에 전분을 묻힌 뒤 찜기에 올려 찐다.
10. 칼집을 낸 청양고추를 전골 육수에 넣는다.
11. 잘게 썬 청양고추, 홍고추, 양파에 밀가루, 식초, 레몬즙을 넣어 소스를 만든다.
12. 청양고추를 잘게 썰어 11에 넣는다.
13. 냄비에 다진 소고기, 마늘, 소고기뭇국, 청양고추를 넣는다.
14. 전골에 애호박, 표고버섯, 들기름을 넣는다.
15. 14에 전골 육수, 13의 소고기뭇국을 붓는다.
16. 15에 고춧가루, 타마고 간장을 "&amp;"넣는다.
17. 찜기에 찐 재료를 전골에 넣는다.
18. 수제비 반죽을 적당한 크기로 떼어낸 뒤 전골에 넣는다.
19. 전골에 소금을 뿌린다.")</f>
        <v>1. 그릴팬에 청양고추를 올린 뒤 올리브오일을 뿌려 굽는다.
2. 냄비에 무, 불린 건표고버섯, 건새우, 전복, 끓는 물을 넣어 전골 육수를 만든다.
3. 청양고추를 잘게 썰어 핸드블렌더에 넣고 간 뒤 물을 넣는다.
4. 핸드블렌더에 밀가루, 3을 넣고 갈아 수제비 반죽을 만든다.
5. 전골 육수의 전복을 건져낸 뒤 손질한다.
6. 구운 청양고추와 차돌박이에 전분을 묻힌다.
7. 찜기의 면보 위에 6을 올린다.
8. 송이버섯을 길게 썬다.
9. 대파와 표고버섯, 송이버섯에 전분을 묻힌 뒤 찜기에 올려 찐다.
10. 칼집을 낸 청양고추를 전골 육수에 넣는다.
11. 잘게 썬 청양고추, 홍고추, 양파에 밀가루, 식초, 레몬즙을 넣어 소스를 만든다.
12. 청양고추를 잘게 썰어 11에 넣는다.
13. 냄비에 다진 소고기, 마늘, 소고기뭇국, 청양고추를 넣는다.
14. 전골에 애호박, 표고버섯, 들기름을 넣는다.
15. 14에 전골 육수, 13의 소고기뭇국을 붓는다.
16. 15에 고춧가루, 타마고 간장을 넣는다.
17. 찜기에 찐 재료를 전골에 넣는다.
18. 수제비 반죽을 적당한 크기로 떼어낸 뒤 전골에 넣는다.
19. 전골에 소금을 뿌린다.</v>
      </c>
    </row>
    <row r="910">
      <c r="A910" s="2" t="str">
        <f>recipe!C910
</f>
        <v>러시아 가 봤슈?</v>
      </c>
      <c r="B910" s="2" t="str">
        <f>IFERROR(__xludf.DUMMYFUNCTION("TRIM(
  REGEXEXTRACT(
    raw!A910,
    ""●\s*조리\s*방법([\s\S]*)""
  )
)
"),"1. 표고버섯과 송이버섯을 적당한 크기로 썬다.
2. 핸드블렌더에 대파, 양파, 표고버섯, 송이버섯을 넣고 간다.
3. 연근조림을 잘게 썬 뒤 기름을 두른 팬에 올린다.
4. 3에 간 재료와 다진 소고기, 맛술, 간장, 설탕을 넣고 볶아 파이 소를 만든다.
5. 끓는 물에 소금, 감자를 넣는다.
6. 핸드블렌더에 찹쌀호떡가루, 물을 넣고 갈아 파이 반죽을 만든다.
7. 당근을 적당한 크기로 썬다.
8. 당근을 5에 넣어 익힌다.
9. 파이 반죽을 밀대로"&amp;" 넓게 민다.
10. 파이 소에 달걀을 넣고 섞은 뒤 참기름을 뿌린다.
11. 체에 밭친 파이 소의 물기를 뺀다.
12. 11의 파이 소를 파이 반죽 위에 올려 덮는다.
13. 파이의 테두리를 포크로 눌러준다.
14. 파이의 끝부분을 잘라낸다.
15. 기름을 두른 팬에 종이호일에 올린 파이를 올려 튀긴다.
16. 콜라비 깍두기를 물에 씻어 볼에 담는다.
17. 매실장아찌를 잘게 썬 뒤 16에 넣고 레몬즙을 뿌린다.
18. 17에 청양고추, 홍고추, 사과"&amp;"를 넣는다.
19. 18에 화이트와인, 올리브오일을 넣어 샐러드를 만든다.
20. 끓는 물에 카레가루, 고추장, 마늘장아찌 국물을 넣는다.
21. 20에 뜨거운 물을 넣는다.
22. 샐러드에 익힌 감자와 당근, 후추, 소금, 설탕을 넣는다.
23. 22에 로열젤리를 넣는다.
24. 파이를 적당한 크기로 썬다.
25. 카레 소스에 올리브오일을 넣어 마무리한다.")</f>
        <v>1. 표고버섯과 송이버섯을 적당한 크기로 썬다.
2. 핸드블렌더에 대파, 양파, 표고버섯, 송이버섯을 넣고 간다.
3. 연근조림을 잘게 썬 뒤 기름을 두른 팬에 올린다.
4. 3에 간 재료와 다진 소고기, 맛술, 간장, 설탕을 넣고 볶아 파이 소를 만든다.
5. 끓는 물에 소금, 감자를 넣는다.
6. 핸드블렌더에 찹쌀호떡가루, 물을 넣고 갈아 파이 반죽을 만든다.
7. 당근을 적당한 크기로 썬다.
8. 당근을 5에 넣어 익힌다.
9. 파이 반죽을 밀대로 넓게 민다.
10. 파이 소에 달걀을 넣고 섞은 뒤 참기름을 뿌린다.
11. 체에 밭친 파이 소의 물기를 뺀다.
12. 11의 파이 소를 파이 반죽 위에 올려 덮는다.
13. 파이의 테두리를 포크로 눌러준다.
14. 파이의 끝부분을 잘라낸다.
15. 기름을 두른 팬에 종이호일에 올린 파이를 올려 튀긴다.
16. 콜라비 깍두기를 물에 씻어 볼에 담는다.
17. 매실장아찌를 잘게 썬 뒤 16에 넣고 레몬즙을 뿌린다.
18. 17에 청양고추, 홍고추, 사과를 넣는다.
19. 18에 화이트와인, 올리브오일을 넣어 샐러드를 만든다.
20. 끓는 물에 카레가루, 고추장, 마늘장아찌 국물을 넣는다.
21. 20에 뜨거운 물을 넣는다.
22. 샐러드에 익힌 감자와 당근, 후추, 소금, 설탕을 넣는다.
23. 22에 로열젤리를 넣는다.
24. 파이를 적당한 크기로 썬다.
25. 카레 소스에 올리브오일을 넣어 마무리한다.</v>
      </c>
    </row>
    <row r="911">
      <c r="A911" s="2" t="str">
        <f>recipe!C911
</f>
        <v>러시아풍 크레페</v>
      </c>
      <c r="B911" s="2" t="str">
        <f>IFERROR(__xludf.DUMMYFUNCTION("TRIM(
  REGEXEXTRACT(
    raw!A911,
    ""●\s*조리\s*방법([\s\S]*)""
  )
)
"),"1. 팬에 물, 설탕을 넣고 끓여 설탕 시럽을 만든다.
2. 핸드블렌더에 밀가루, 찹쌀가루, 달걀노른자, 물, 소금을 넣고 간다.
3. 2에 기름을 넣고 저어준다.
4. 양파를 잘게 썬 뒤 얼음물에 담가둔다.
5. 고춧가루, 타마고 간장, 물엿을 섞는다.
6. 5에 식초를 넣는다.
7. 6에 청양고추, 얼음물에 담가둔 양파를 넣고 버무려 샐러드를 만든다.
8. 달걀노른자, 밀가루, 우유, 레몬즙를 섞은 뒤 전자레인지에 넣고 돌려 커스터드크림을 만든다.
"&amp;"9. 끓는 물에 건새우, 간장을 넣는다.
10. 적당한 크기로 썬 차돌박이를 체에 밭쳐 9에 넣고 익힌 뒤 건져낸다.
11. 팬에 크레페 반죽을 부어 얇게 부친다.
12. 부친 크레페를 두 번 접는다.
13. 전자레인지에 돌린 커스터드크림에 우유를 넣고 저어준다.
14. 13을 다시 전자레인지에 넣어 돌린다.
15. 키친타월을 이용해 볼에 기름을 바른다.
16. 15에 설탕시럽을 뿌린다.
17. 깻잎을 잘게 썰어 샐러드에 넣는다.
18. 딸기를 크레페,"&amp;" 차돌박이, 샐러드와 함께 올려 낸다.
19. 설탕시럽을 뿌린 볼을 18 위에 덮어 마무리한다.")</f>
        <v>1. 팬에 물, 설탕을 넣고 끓여 설탕 시럽을 만든다.
2. 핸드블렌더에 밀가루, 찹쌀가루, 달걀노른자, 물, 소금을 넣고 간다.
3. 2에 기름을 넣고 저어준다.
4. 양파를 잘게 썬 뒤 얼음물에 담가둔다.
5. 고춧가루, 타마고 간장, 물엿을 섞는다.
6. 5에 식초를 넣는다.
7. 6에 청양고추, 얼음물에 담가둔 양파를 넣고 버무려 샐러드를 만든다.
8. 달걀노른자, 밀가루, 우유, 레몬즙를 섞은 뒤 전자레인지에 넣고 돌려 커스터드크림을 만든다.
9. 끓는 물에 건새우, 간장을 넣는다.
10. 적당한 크기로 썬 차돌박이를 체에 밭쳐 9에 넣고 익힌 뒤 건져낸다.
11. 팬에 크레페 반죽을 부어 얇게 부친다.
12. 부친 크레페를 두 번 접는다.
13. 전자레인지에 돌린 커스터드크림에 우유를 넣고 저어준다.
14. 13을 다시 전자레인지에 넣어 돌린다.
15. 키친타월을 이용해 볼에 기름을 바른다.
16. 15에 설탕시럽을 뿌린다.
17. 깻잎을 잘게 썰어 샐러드에 넣는다.
18. 딸기를 크레페, 차돌박이, 샐러드와 함께 올려 낸다.
19. 설탕시럽을 뿌린 볼을 18 위에 덮어 마무리한다.</v>
      </c>
    </row>
    <row r="912">
      <c r="A912" s="2" t="str">
        <f>recipe!C912
</f>
        <v>보양식이랑깨</v>
      </c>
      <c r="B912" s="2" t="str">
        <f>IFERROR(__xludf.DUMMYFUNCTION("TRIM(
  REGEXEXTRACT(
    raw!A912,
    ""●\s*조리\s*방법([\s\S]*)""
  )
)
"),"1. 적당한 크기로 썬 대파, 마를 석쇠에 올려 굽는다.
2. 꽃등심을 얇게 썬 뒤 끓는 물에 넣는다.
3. 2에 설렁탕 육수, 무를 넣고 끓인다.
4. 국물백에 다시마, 국물용 멸치를 넣은 뒤 3에 넣어 육수를 낸다.
5. 차돌박이에 설탕, 다진마늘, 간장을 넣고 버무린다.
6. 샤부샤부용 소고기에 소금으로 간한 뒤 밀가루→달걀물 순서로 묻힌다.
7. 기름을 두른 팬에 6을 구워 육전을 만든다.
8. 총각김치 무청의 양념을 물로 씻어낸다."&amp;"
9. 무청에 된장, 맛술, 고춧가루, 다진마늘을 넣고 버무린다.
10. 들기름을 두른 냄비에 양념한 무청을 넣고 볶는다.
11. 볶은 무청에 육수, 무, 꽃등심을 넣어 끓인다.
12. 석쇠에 구운 대파, 마를 국물에 넣고 끓인다.
13. 핸드블렌더에 들깻가루, 물을 넣고 간 뒤 국물에 넣어 끓인다.
14. 13에 구운 육전을 넣는다.
15. 양념한 차돌박이를 굽는다.
16. 구운 차돌박이를 국물에 넣는다.
17. 적당한 크기로 썬 부추"&amp;", 깻잎을 올린다.
18. 전골에 팽이버섯을 올린다.
19. 전골에 낙지를 올린다.
20. 다진마늘, 들깻가루, 연겨자, 간장, 들기름을 섞어 소스를 만든다.
21. 종지에 초고추장을 담은 뒤 들깻가루를 올린다.
22. 마늘, 홍고추를 얇게 썬 뒤 전골에 올린다.")</f>
        <v>1. 적당한 크기로 썬 대파, 마를 석쇠에 올려 굽는다.
2. 꽃등심을 얇게 썬 뒤 끓는 물에 넣는다.
3. 2에 설렁탕 육수, 무를 넣고 끓인다.
4. 국물백에 다시마, 국물용 멸치를 넣은 뒤 3에 넣어 육수를 낸다.
5. 차돌박이에 설탕, 다진마늘, 간장을 넣고 버무린다.
6. 샤부샤부용 소고기에 소금으로 간한 뒤 밀가루→달걀물 순서로 묻힌다.
7. 기름을 두른 팬에 6을 구워 육전을 만든다.
8. 총각김치 무청의 양념을 물로 씻어낸다.
9. 무청에 된장, 맛술, 고춧가루, 다진마늘을 넣고 버무린다.
10. 들기름을 두른 냄비에 양념한 무청을 넣고 볶는다.
11. 볶은 무청에 육수, 무, 꽃등심을 넣어 끓인다.
12. 석쇠에 구운 대파, 마를 국물에 넣고 끓인다.
13. 핸드블렌더에 들깻가루, 물을 넣고 간 뒤 국물에 넣어 끓인다.
14. 13에 구운 육전을 넣는다.
15. 양념한 차돌박이를 굽는다.
16. 구운 차돌박이를 국물에 넣는다.
17. 적당한 크기로 썬 부추, 깻잎을 올린다.
18. 전골에 팽이버섯을 올린다.
19. 전골에 낙지를 올린다.
20. 다진마늘, 들깻가루, 연겨자, 간장, 들기름을 섞어 소스를 만든다.
21. 종지에 초고추장을 담은 뒤 들깻가루를 올린다.
22. 마늘, 홍고추를 얇게 썬 뒤 전골에 올린다.</v>
      </c>
    </row>
    <row r="913">
      <c r="A913" s="2" t="str">
        <f>recipe!C913
</f>
        <v>잣잣잣~하고 말아 드세요♬</v>
      </c>
      <c r="B913" s="2" t="str">
        <f>IFERROR(__xludf.DUMMYFUNCTION("TRIM(
  REGEXEXTRACT(
    raw!A913,
    ""●\s*조리\s*방법([\s\S]*)""
  )
)
"),"1. 끓는 물에 전복을 데친다.
2. 오이, 애호박의 껍질을 벗긴 뒤 채칼로 얇게 썬다.
3. 채 썬 오이와 애호박을 소금에 버무려 절여둔다.
4. 믹서기에 잣, 레몬청, 두부, 물을 넣고 간다.
5. 4에 소금을 넣은 뒤 체에 밭쳐 곱게 거른다.
6. 데친 전복을 건져 찬물에 담가둔다.
7. 손질한 낙지를 끓는 물에 데친다.
8. 칼집을 낸 오징어, 새우를 끓는 물에 데친다.
9. 데친 해산물을 건져 찬물에 담가둔다.
10. 나무 찜기"&amp;"에 깻잎을 깐다.
11. 데친 낙지를 먹기 좋은 크기로 썬다.
12. 밀가루를 체에 밭쳐 데친 해산물 위에 뿌려준다.
13. 밀가루를 묻힌 해산물을 나무 찜기에 넣는다.
14. 해산물 위에 팽이버섯을 올린 뒤 찜기에 넣고 찐다.
15. 소금에 절인 오이, 애호박을 물로 씻어 짠맛을 뺀 뒤 물에 담가둔다.
16. 핸드블렌더에 마늘을 간 뒤 2개의 볼에 나눠 담는다.
17. 한쪽 볼에는 맛술, 나머지 볼에는 간장을 넣는다.
18. 마늘, 간장"&amp;"을 넣은 볼에 설탕, 식초를 섞어 간장마늘소스를 만든다.
19. 마늘, 맛술을 넣은 볼에 스리라차소스, 케첩, 마요네즈를 넣는다.
20. 19에 굴소스, 설탕을 넣고 섞어 스리라차소스를 만든다.
21. 간장마늘소스에 잘게 썬 대파의 흰 부분을 올린다.
22. 무순에 간장마늘소스를 끼얹고, 스리라차소스는 종지에 담는다.
23. 해산물찜에 감태를 찢어 올린 뒤 뚜껑을 닫고 살짝 익힌다.
24. 오이, 애호박의 물기를 짠 뒤 볼에 담는다.
25."&amp;" 24에 잣국물을 부은 뒤 무순을 올려 낸다.")</f>
        <v>1. 끓는 물에 전복을 데친다.
2. 오이, 애호박의 껍질을 벗긴 뒤 채칼로 얇게 썬다.
3. 채 썬 오이와 애호박을 소금에 버무려 절여둔다.
4. 믹서기에 잣, 레몬청, 두부, 물을 넣고 간다.
5. 4에 소금을 넣은 뒤 체에 밭쳐 곱게 거른다.
6. 데친 전복을 건져 찬물에 담가둔다.
7. 손질한 낙지를 끓는 물에 데친다.
8. 칼집을 낸 오징어, 새우를 끓는 물에 데친다.
9. 데친 해산물을 건져 찬물에 담가둔다.
10. 나무 찜기에 깻잎을 깐다.
11. 데친 낙지를 먹기 좋은 크기로 썬다.
12. 밀가루를 체에 밭쳐 데친 해산물 위에 뿌려준다.
13. 밀가루를 묻힌 해산물을 나무 찜기에 넣는다.
14. 해산물 위에 팽이버섯을 올린 뒤 찜기에 넣고 찐다.
15. 소금에 절인 오이, 애호박을 물로 씻어 짠맛을 뺀 뒤 물에 담가둔다.
16. 핸드블렌더에 마늘을 간 뒤 2개의 볼에 나눠 담는다.
17. 한쪽 볼에는 맛술, 나머지 볼에는 간장을 넣는다.
18. 마늘, 간장을 넣은 볼에 설탕, 식초를 섞어 간장마늘소스를 만든다.
19. 마늘, 맛술을 넣은 볼에 스리라차소스, 케첩, 마요네즈를 넣는다.
20. 19에 굴소스, 설탕을 넣고 섞어 스리라차소스를 만든다.
21. 간장마늘소스에 잘게 썬 대파의 흰 부분을 올린다.
22. 무순에 간장마늘소스를 끼얹고, 스리라차소스는 종지에 담는다.
23. 해산물찜에 감태를 찢어 올린 뒤 뚜껑을 닫고 살짝 익힌다.
24. 오이, 애호박의 물기를 짠 뒤 볼에 담는다.
25. 24에 잣국물을 부은 뒤 무순을 올려 낸다.</v>
      </c>
    </row>
    <row r="914">
      <c r="A914" s="2" t="str">
        <f>recipe!C914
</f>
        <v>꽃중년 스테이크</v>
      </c>
      <c r="B914" s="2" t="str">
        <f>IFERROR(__xludf.DUMMYFUNCTION("TRIM(
  REGEXEXTRACT(
    raw!A914,
    ""●\s*조리\s*방법([\s\S]*)""
  )
)
"),"1. 찜기에 나무꼬치, 나무젓가락을 넣고 토치로 태운 뒤 삼겹살, 꽃등심을 올린다.
2. 삼겹살을 토치로 직화한다.
3. 찜기의 뚜껑을 덮어 삼겹살과 꽃등심을 훈연한다.
4. 핸드블렌더에 마늘을 넣어 굵게 다진 뒤 기름에 넣고 끓여 마늘오일을 만든다.
5. 마늘을 얇게 슬라이스한다.
6. 랩을 씌운 접시 위에 마늘 슬라이스와 상추를 올린 뒤 기름을 바른다.
7. 6에 랩을 씌운다.
8. 랩에 구멍을 뚫은 뒤 전자레인지에 넣어 돌린다.
9."&amp;" 애호박, 양송이버섯을 다각형 썰기 한다.
10. 오이를 일정한 크기로 썬 뒤 원형틀로 속을 찍어낸다.
11. 믹서기에 달걀노른자, 잣, 상추, 부추를 넣는다.
12. 11에 마늘오일을 넣고 갈아 상추 퓌레를 만든다.
13. 상추퓌레에 마늘장아찌 국물, 소금, 레몬즙을 넣고 다시 간다.
14. 훈연한 꽃등심에 후추, 소금으로 간한다.
15. 마늘오일을 두른 팬에 꽃등심, 오이를 함께 굽는다.
16. 꽃등심에 마늘오일을 끼얹어 가며 굽는다.
"&amp;"
17. 마늘오일을 두른 팬에 훈연한 삼겹살을 볶는다.
18. 17에 새우젓무침을 넣고 볶는다.
19. 18에 썰어놓은 애호박과 양송이버섯, 마늘오일을 넣고 볶는다.
20. 19에 레몬청, 레몬즙을 넣고 볶는다.
21. 20에 마늘장아찌를 넣고 볶는다.
22. 볶은 채소에 후추를 뿌린다.
23. 꽃등심 스테이크를 먹기 좋은 크기로 썬다.
24. 접시에 상추 퓌레를 올리고 꽃등심 스테이크를 얹는다.
25. 접시에 구운 오이와 볶은 채소를 올"&amp;"린 뒤 마늘칩을 뿌린다.
26. 유자폰즈소스, 레몬즙을 뿌리고 잣을 올려 낸다.")</f>
        <v>1. 찜기에 나무꼬치, 나무젓가락을 넣고 토치로 태운 뒤 삼겹살, 꽃등심을 올린다.
2. 삼겹살을 토치로 직화한다.
3. 찜기의 뚜껑을 덮어 삼겹살과 꽃등심을 훈연한다.
4. 핸드블렌더에 마늘을 넣어 굵게 다진 뒤 기름에 넣고 끓여 마늘오일을 만든다.
5. 마늘을 얇게 슬라이스한다.
6. 랩을 씌운 접시 위에 마늘 슬라이스와 상추를 올린 뒤 기름을 바른다.
7. 6에 랩을 씌운다.
8. 랩에 구멍을 뚫은 뒤 전자레인지에 넣어 돌린다.
9. 애호박, 양송이버섯을 다각형 썰기 한다.
10. 오이를 일정한 크기로 썬 뒤 원형틀로 속을 찍어낸다.
11. 믹서기에 달걀노른자, 잣, 상추, 부추를 넣는다.
12. 11에 마늘오일을 넣고 갈아 상추 퓌레를 만든다.
13. 상추퓌레에 마늘장아찌 국물, 소금, 레몬즙을 넣고 다시 간다.
14. 훈연한 꽃등심에 후추, 소금으로 간한다.
15. 마늘오일을 두른 팬에 꽃등심, 오이를 함께 굽는다.
16. 꽃등심에 마늘오일을 끼얹어 가며 굽는다.
17. 마늘오일을 두른 팬에 훈연한 삼겹살을 볶는다.
18. 17에 새우젓무침을 넣고 볶는다.
19. 18에 썰어놓은 애호박과 양송이버섯, 마늘오일을 넣고 볶는다.
20. 19에 레몬청, 레몬즙을 넣고 볶는다.
21. 20에 마늘장아찌를 넣고 볶는다.
22. 볶은 채소에 후추를 뿌린다.
23. 꽃등심 스테이크를 먹기 좋은 크기로 썬다.
24. 접시에 상추 퓌레를 올리고 꽃등심 스테이크를 얹는다.
25. 접시에 구운 오이와 볶은 채소를 올린 뒤 마늘칩을 뿌린다.
26. 유자폰즈소스, 레몬즙을 뿌리고 잣을 올려 낸다.</v>
      </c>
    </row>
    <row r="915">
      <c r="A915" s="2" t="str">
        <f>recipe!C915
</f>
        <v>애꿎은 스테이크 어이하라고♬</v>
      </c>
      <c r="B915" s="2" t="str">
        <f>IFERROR(__xludf.DUMMYFUNCTION("TRIM(
  REGEXEXTRACT(
    raw!A915,
    ""●\s*조리\s*방법([\s\S]*)""
  )
)
"),"1. 찜기에 마늘, 마를 넣고 찐다.
2. 토종닭을 손질한 뒤 뼈를 발라낸다.
3. 손질한 닭을 지퍼백에 넣은 뒤 고기망치로 두드린다.
4. 닭에 소금, 후추로 간한다.
5. 올리브오일을 두른 팬에 닭을 올린 뒤 종이포일, 냄비를 올려 굽는다.
6. 소등심에 칼집을 낸다.
7. 소등심에 지퍼백을 올린 뒤 고기망치로 두드린다.
8. 소등심을 후추, 소금으로 간한 뒤 닭과 함께 굽는다.
9. 핸드블렌더에 새우, 감태를 넣고 간다.
10. 튀"&amp;"김가루에 물을 섞어 튀김반죽을 만든다.
11. 튀김가루를 묻힌 두릅에 간 새우와 감태를 넣는다.
12. 11에 튀김반죽을 묻힌 뒤 기름에 튀긴다.
13. 구운 닭과 소등심에 전분을 묻힌다.
14. 찐 마늘을 빻은 뒤 닭에 바른다.
15. 14에 소등심을 올려 돌돌 만 뒤 조리용 실로 묶어 모양을 고정시킨다.
16. 스테이크를 팬에 올려 다시 굽는다.
17. 팬에 호박죽을 넣고 졸여 호박 퓌레를 만든다.
18. 팬에 자몽청, 오미자원액을 넣"&amp;"고 졸여 오미자소스를 만든다.
19. 핸드블렌더에 잣, 콩비지, 식초를 넣고 간다.
20. 접시에 호박 퓌레, 잣소스를 올린다.
21. 잣소스 위에 두릅새우완자 튀김을 올린다.
22. 스테이크를 호박 퓌레 위에 올린다.
23. 오미자소스를 접시에 올린다.
24. 잣, 찐 마늘을 올려 낸다.")</f>
        <v>1. 찜기에 마늘, 마를 넣고 찐다.
2. 토종닭을 손질한 뒤 뼈를 발라낸다.
3. 손질한 닭을 지퍼백에 넣은 뒤 고기망치로 두드린다.
4. 닭에 소금, 후추로 간한다.
5. 올리브오일을 두른 팬에 닭을 올린 뒤 종이포일, 냄비를 올려 굽는다.
6. 소등심에 칼집을 낸다.
7. 소등심에 지퍼백을 올린 뒤 고기망치로 두드린다.
8. 소등심을 후추, 소금으로 간한 뒤 닭과 함께 굽는다.
9. 핸드블렌더에 새우, 감태를 넣고 간다.
10. 튀김가루에 물을 섞어 튀김반죽을 만든다.
11. 튀김가루를 묻힌 두릅에 간 새우와 감태를 넣는다.
12. 11에 튀김반죽을 묻힌 뒤 기름에 튀긴다.
13. 구운 닭과 소등심에 전분을 묻힌다.
14. 찐 마늘을 빻은 뒤 닭에 바른다.
15. 14에 소등심을 올려 돌돌 만 뒤 조리용 실로 묶어 모양을 고정시킨다.
16. 스테이크를 팬에 올려 다시 굽는다.
17. 팬에 호박죽을 넣고 졸여 호박 퓌레를 만든다.
18. 팬에 자몽청, 오미자원액을 넣고 졸여 오미자소스를 만든다.
19. 핸드블렌더에 잣, 콩비지, 식초를 넣고 간다.
20. 접시에 호박 퓌레, 잣소스를 올린다.
21. 잣소스 위에 두릅새우완자 튀김을 올린다.
22. 스테이크를 호박 퓌레 위에 올린다.
23. 오미자소스를 접시에 올린다.
24. 잣, 찐 마늘을 올려 낸다.</v>
      </c>
    </row>
    <row r="916">
      <c r="A916" s="2" t="str">
        <f>recipe!C916
</f>
        <v>미역도 다시 한 번</v>
      </c>
      <c r="B916" s="2" t="str">
        <f>IFERROR(__xludf.DUMMYFUNCTION("TRIM(
  REGEXEXTRACT(
    raw!A916,
    ""●\s*조리\s*방법([\s\S]*)""
  )
)
"),"1. 끓는 물에 소금, 달걀을 넣고 삶는다.
2. 대파, 마늘, 고춧가루에 끓는 기름을 넣는다.
3. 2을 전자레인지에 돌려 고추기름을 낸다.
4. 핸드블렌더에 쌈장, 설탕, 다진 마늘, 생강즙을 넣고 간다.
5. 비닐팩에 적당한 크기로 썬 연어, 4를 넣고 버무린다.
6. 참외의 껍질을 벗긴다.
7. 삶은 달걀을 얼음물에 담가둔 뒤 껍데기를 벗긴다.
8. 참외의 속을 파낸 뒤 잘게 썬다.
9. 핸드블렌더에 9, 간장, 설탕, 다진 마늘, 식초를 넣고 "&amp;"간다.
10. 9에 라면수프를 넣고 갈아 참외 소스를 만든다.
11. 채칼을 이용해 참외를 채 썰고, 청양고추, 백김치를 잘게 썬다.
12. 11에 참외 소스를 넣는다.
13. 12에 얼음물에 담가둔 미역, 참기름을 넣는다.
14. 기름을 두른 그릴팬에 5의 연어를 올려 튀기듯 굽는다.
15. 사과의 껍질을 벗긴다.
16. 사과를 잘게 썬다.
17. 크림치즈에 사과, 고추냉이, 설탕을 넣는다.
18. 18의 소스 위에 훈제연어를 올린다.
19. 레몬즙,"&amp;" 간장을 뿌린 돌나물을 19 위에 올린다.
20. 끓는 물에 소면을 삶는다.
21. 20에 두릅을 넣는다.
22. 소면을 건져 얼음물에 헹군 뒤 물기를 뺀다.
23. 두릅을 건져낸 뒤 얼음물에 헹군다.
24. 13에 두릅, 소면, 참외 소스를 넣고 버무린다.
25. 접시에 24, 구운 연어를 올린 뒤 참기름을 뿌려 마무리한다.")</f>
        <v>1. 끓는 물에 소금, 달걀을 넣고 삶는다.
2. 대파, 마늘, 고춧가루에 끓는 기름을 넣는다.
3. 2을 전자레인지에 돌려 고추기름을 낸다.
4. 핸드블렌더에 쌈장, 설탕, 다진 마늘, 생강즙을 넣고 간다.
5. 비닐팩에 적당한 크기로 썬 연어, 4를 넣고 버무린다.
6. 참외의 껍질을 벗긴다.
7. 삶은 달걀을 얼음물에 담가둔 뒤 껍데기를 벗긴다.
8. 참외의 속을 파낸 뒤 잘게 썬다.
9. 핸드블렌더에 9, 간장, 설탕, 다진 마늘, 식초를 넣고 간다.
10. 9에 라면수프를 넣고 갈아 참외 소스를 만든다.
11. 채칼을 이용해 참외를 채 썰고, 청양고추, 백김치를 잘게 썬다.
12. 11에 참외 소스를 넣는다.
13. 12에 얼음물에 담가둔 미역, 참기름을 넣는다.
14. 기름을 두른 그릴팬에 5의 연어를 올려 튀기듯 굽는다.
15. 사과의 껍질을 벗긴다.
16. 사과를 잘게 썬다.
17. 크림치즈에 사과, 고추냉이, 설탕을 넣는다.
18. 18의 소스 위에 훈제연어를 올린다.
19. 레몬즙, 간장을 뿌린 돌나물을 19 위에 올린다.
20. 끓는 물에 소면을 삶는다.
21. 20에 두릅을 넣는다.
22. 소면을 건져 얼음물에 헹군 뒤 물기를 뺀다.
23. 두릅을 건져낸 뒤 얼음물에 헹군다.
24. 13에 두릅, 소면, 참외 소스를 넣고 버무린다.
25. 접시에 24, 구운 연어를 올린 뒤 참기름을 뿌려 마무리한다.</v>
      </c>
    </row>
    <row r="917">
      <c r="A917" s="2" t="str">
        <f>recipe!C917
</f>
        <v>불혹에 딱 좋은 면인데♬</v>
      </c>
      <c r="B917" s="2" t="str">
        <f>IFERROR(__xludf.DUMMYFUNCTION("TRIM(
  REGEXEXTRACT(
    raw!A917,
    ""●\s*조리\s*방법([\s\S]*)""
  )
)
"),"1. 팬에 참기름을 두른 뒤 마늘과 불린 미역을 넣고 볶는다.
2. 끓는 물에 파스타면을 넣고 삶는다.
3. 끓는 물에 전복을 넣어 데친다.
4. 핸드블렌더에 볶은 미역, 물을 넣고 간다.
5. 팬에 버터, 밀가루를 넣고 끓여 루를 만든다.
6. 석쇠에 파프리카를 올려 직화한다.
7. 구운 파프리카의 탄 부분을 벗겨내고 속을 파낸 뒤 잘게 썬다.
8. 끓는 물에 바지락을 넣어 육수를 낸 뒤 건져낸다.
9. 8에 건홍합을 넣는다.
10. "&amp;"연어에 꼬치를 여러 개 꽂는다.
11. 10의 연어에 참기름을 발라준 뒤 직화한다.
12. 11을 얼음물에 담가 식힌다.
13. 데친 전복의 내장을 제거한 뒤 잘게 썬다.
14. 고추장, 식초, 설탕, 두반장, 굴소스를 섞어 양념을 만든다.
15. 시금치, 돌나물, 14의 양념을 버무려 돌나물 무침을 만든다.
16. 15 위에 연어 타다키를 올린다.
17. 마늘을 잘게 썰어 올리브오일을 두른 팬에 넣고 간 미역, 후추를 넣는다.
18. 1"&amp;"7에 바지락 홍합 육수, 루를 넣는다.
19. 18에 삶은 파스타면, 파프리카를 넣고 볶는다.
20. 19에 잘게 썬 전복을 넣는다.")</f>
        <v>1. 팬에 참기름을 두른 뒤 마늘과 불린 미역을 넣고 볶는다.
2. 끓는 물에 파스타면을 넣고 삶는다.
3. 끓는 물에 전복을 넣어 데친다.
4. 핸드블렌더에 볶은 미역, 물을 넣고 간다.
5. 팬에 버터, 밀가루를 넣고 끓여 루를 만든다.
6. 석쇠에 파프리카를 올려 직화한다.
7. 구운 파프리카의 탄 부분을 벗겨내고 속을 파낸 뒤 잘게 썬다.
8. 끓는 물에 바지락을 넣어 육수를 낸 뒤 건져낸다.
9. 8에 건홍합을 넣는다.
10. 연어에 꼬치를 여러 개 꽂는다.
11. 10의 연어에 참기름을 발라준 뒤 직화한다.
12. 11을 얼음물에 담가 식힌다.
13. 데친 전복의 내장을 제거한 뒤 잘게 썬다.
14. 고추장, 식초, 설탕, 두반장, 굴소스를 섞어 양념을 만든다.
15. 시금치, 돌나물, 14의 양념을 버무려 돌나물 무침을 만든다.
16. 15 위에 연어 타다키를 올린다.
17. 마늘을 잘게 썰어 올리브오일을 두른 팬에 넣고 간 미역, 후추를 넣는다.
18. 17에 바지락 홍합 육수, 루를 넣는다.
19. 18에 삶은 파스타면, 파프리카를 넣고 볶는다.
20. 19에 잘게 썬 전복을 넣는다.</v>
      </c>
    </row>
    <row r="918">
      <c r="A918" s="2" t="str">
        <f>recipe!C918
</f>
        <v>레이먼사우르스</v>
      </c>
      <c r="B918" s="2" t="str">
        <f>IFERROR(__xludf.DUMMYFUNCTION("TRIM(
  REGEXEXTRACT(
    raw!A918,
    ""●\s*조리\s*방법([\s\S]*)""
  )
)
"),"1. 핸드블렌더에 양념 소불고기, 빵가루, 모차렐라 치즈, 달걀을 넣고 간다.
2. 당근을 적당한 크기로 썬다.
3. 핸드블랜더 2개에 당근과 시금치를 각각 넣는다.
4. 3에 각각 달걀과 우유를 넣고 간다.
5. 4에 각각 설탕, 소금, 밀가루, 버터, 튀김가루를 넣고 간다.
6. 시금치 반죽과 당근 반죽을 팬에 올려 부친다.
7. 팬에 1의 소불고기를 올려 굽는다.
8. 종이포일에 공룡 그림을 그린다.
9. 부친 시금치 팬케이크를 공룡"&amp;" 모양대로 자른다.
10. 스트링치즈를 잘게 썬 뒤 9에 올리고 설탕을 뿌린다.
11. 당근 팬케이크 위에 7의 소불고기를 공룡모양으로 올린다.
12. 11에 적당한 크기로 썬 시금치 팬케이크를 올린다.
13. 12 위에 케첩을 뿌린다.
14. 13 위에 공룡 모양의 시금치 팬케이크를 올린다.
15. 14에 설탕을 뿌린다.
16. 15에 케첩을 뿌린다.
17. 접시에 케첩을 따로 담아낸다.")</f>
        <v>1. 핸드블렌더에 양념 소불고기, 빵가루, 모차렐라 치즈, 달걀을 넣고 간다.
2. 당근을 적당한 크기로 썬다.
3. 핸드블랜더 2개에 당근과 시금치를 각각 넣는다.
4. 3에 각각 달걀과 우유를 넣고 간다.
5. 4에 각각 설탕, 소금, 밀가루, 버터, 튀김가루를 넣고 간다.
6. 시금치 반죽과 당근 반죽을 팬에 올려 부친다.
7. 팬에 1의 소불고기를 올려 굽는다.
8. 종이포일에 공룡 그림을 그린다.
9. 부친 시금치 팬케이크를 공룡 모양대로 자른다.
10. 스트링치즈를 잘게 썬 뒤 9에 올리고 설탕을 뿌린다.
11. 당근 팬케이크 위에 7의 소불고기를 공룡모양으로 올린다.
12. 11에 적당한 크기로 썬 시금치 팬케이크를 올린다.
13. 12 위에 케첩을 뿌린다.
14. 13 위에 공룡 모양의 시금치 팬케이크를 올린다.
15. 14에 설탕을 뿌린다.
16. 15에 케첩을 뿌린다.
17. 접시에 케첩을 따로 담아낸다.</v>
      </c>
    </row>
    <row r="919">
      <c r="A919" s="2" t="str">
        <f>recipe!C919
</f>
        <v>코알라 구할 준비됐나요♬</v>
      </c>
      <c r="B919" s="2" t="str">
        <f>IFERROR(__xludf.DUMMYFUNCTION("TRIM(
  REGEXEXTRACT(
    raw!A919,
    ""●\s*조리\s*방법([\s\S]*)""
  )
)
"),"1. 핸드블렌더에 적당한 크기로 썬 불고기용 소고기, 달걀을 넣는다.
2. 1에 튀김가루를 넣는다.
3. 빵가루에 우유를 섞은 뒤 2에 넣는다.
4. 3에 굴소스를 넣고 간다.
5. 고기 반죽을 동그랗게 뭉친 뒤 블랙올리브로 눈을 만든다.
6. 5에 케이퍼를 올려 코를 만든 뒤 고기 반죽 위에 얹는다.
7. 코알라 모양 고기 반죽을 나무꼬치로 고정한다.
8. 7을 찜기에 넣고 찐다.
9. 끓는 물에 시금치, 브로콜리를 데친 뒤 적당한 크기"&amp;"로 썬다.
10. 팬에 버터, 밀가루를 볶아 루를 만든다.
11. 애호박을 적당한 크기로 썬 뒤 루에 넣는다.
12. 11에 시금치, 브로콜리를 넣는다.
13. 12에 고기 육수, 우유, 굴소스를 넣고 끓인다.
14. 13에 라면수프를 넣는다.
15. 끓는 물에 라면 면을 삶는다.
16. 믹서기에 13의 볶은 채소를 넣고 간다.
17. 16을 팬에 넣는다.
18. 17에 라면수프, 고기 육수를 넣고 끓인다.
19. 18에 삶은 라면 면"&amp;"을 넣는다.
20. 찜기에 찐 코알라 모양의 완자에 구멍을 파서 입 모양을 만든다.
21. 20에 채소수프와 라면 면을 붓는다.")</f>
        <v>1. 핸드블렌더에 적당한 크기로 썬 불고기용 소고기, 달걀을 넣는다.
2. 1에 튀김가루를 넣는다.
3. 빵가루에 우유를 섞은 뒤 2에 넣는다.
4. 3에 굴소스를 넣고 간다.
5. 고기 반죽을 동그랗게 뭉친 뒤 블랙올리브로 눈을 만든다.
6. 5에 케이퍼를 올려 코를 만든 뒤 고기 반죽 위에 얹는다.
7. 코알라 모양 고기 반죽을 나무꼬치로 고정한다.
8. 7을 찜기에 넣고 찐다.
9. 끓는 물에 시금치, 브로콜리를 데친 뒤 적당한 크기로 썬다.
10. 팬에 버터, 밀가루를 볶아 루를 만든다.
11. 애호박을 적당한 크기로 썬 뒤 루에 넣는다.
12. 11에 시금치, 브로콜리를 넣는다.
13. 12에 고기 육수, 우유, 굴소스를 넣고 끓인다.
14. 13에 라면수프를 넣는다.
15. 끓는 물에 라면 면을 삶는다.
16. 믹서기에 13의 볶은 채소를 넣고 간다.
17. 16을 팬에 넣는다.
18. 17에 라면수프, 고기 육수를 넣고 끓인다.
19. 18에 삶은 라면 면을 넣는다.
20. 찜기에 찐 코알라 모양의 완자에 구멍을 파서 입 모양을 만든다.
21. 20에 채소수프와 라면 면을 붓는다.</v>
      </c>
    </row>
    <row r="920">
      <c r="A920" s="2" t="str">
        <f>recipe!C920
</f>
        <v>갱년기 날렸찜</v>
      </c>
      <c r="B920" s="2" t="str">
        <f>IFERROR(__xludf.DUMMYFUNCTION("TRIM(
  REGEXEXTRACT(
    raw!A920,
    ""●\s*조리\s*방법([\s\S]*)""
  )
)
"),"1. 셀러리를 적당한 크기로 썰고 고추는 잘게 썰어 믹서기에 넣는다.
1. 1의 셀러리에 토마토, 마늘, 올리브오일, 샤부샤부용 육수를 넣는다.
1. 2에 케첩, 맛술을 넣고 갈아 토마토소스를 만든다.
1. 삶은 문어에 올리브오일, 후추를 뿌린 뒤 석쇠에 올려 굽는다.
1. 석쇠에 구운 문어를 얇게 썬다.
6. 돼지목살에 소금, 후추로 간한다.
7. 압력솥에 올리브오일을 두르고 올리브오일을 두른 팬에 돼지목살을 굽는다.
8. 셀러리, 양"&amp;"파, 표고버섯을 썬 뒤 팬에 함께 굽는다.
9. 압력솥에 전복을 넣는다.
10. 라면 면을 기름에 튀긴다.
11. 돼지목살을 굽던 팬에 레드와인을 넣는다.
12. 튀긴 라면을 건져내 기름기를 뺀다.
13. 튀긴 라면에 잘게 썬 파슬리, 소금, 오렌지껍질을 갈아 올린다.
14. 11에 토마토소스를 넣고 함께 끓인다.
15. 14에 소금, 후추로 간한다.
16. 압력솥에 파슬리를 넣은 뒤 뚜껑을 닫고 찐다.
17. 오렌지는 잘게 썰고, 브로"&amp;"콜리는 송이 부분을 잘게 썬다.
18. 올리브오일을 두른 팬에 잘게 썬 브로콜리, 소금, 후추를 넣고 볶는다.
19. 접시에 발사믹 식초, 오렌지를 올린다.
20. 화이트와인 식초, 호두기름, 올리브오일, 설탕, 후추를 섞어 샐러드드레싱을 만든다.
21. 삶은 메추리알의 흰자와 노른자를 분리한다.
22. 분리한 메추리알 흰자는 잘게 다지고, 취나물은 얇게 채 썬 뒤 접시에 담는다.
23. 접시에 삶은 문어를 올린 뒤 샐러드 드레싱을 뿌린다.
"&amp;"
24. 볶은 브로콜리를 접시에 올린다.
25. 접시에 튀긴 라면을 올린다.")</f>
        <v>1. 셀러리를 적당한 크기로 썰고 고추는 잘게 썰어 믹서기에 넣는다.
1. 1의 셀러리에 토마토, 마늘, 올리브오일, 샤부샤부용 육수를 넣는다.
1. 2에 케첩, 맛술을 넣고 갈아 토마토소스를 만든다.
1. 삶은 문어에 올리브오일, 후추를 뿌린 뒤 석쇠에 올려 굽는다.
1. 석쇠에 구운 문어를 얇게 썬다.
6. 돼지목살에 소금, 후추로 간한다.
7. 압력솥에 올리브오일을 두르고 올리브오일을 두른 팬에 돼지목살을 굽는다.
8. 셀러리, 양파, 표고버섯을 썬 뒤 팬에 함께 굽는다.
9. 압력솥에 전복을 넣는다.
10. 라면 면을 기름에 튀긴다.
11. 돼지목살을 굽던 팬에 레드와인을 넣는다.
12. 튀긴 라면을 건져내 기름기를 뺀다.
13. 튀긴 라면에 잘게 썬 파슬리, 소금, 오렌지껍질을 갈아 올린다.
14. 11에 토마토소스를 넣고 함께 끓인다.
15. 14에 소금, 후추로 간한다.
16. 압력솥에 파슬리를 넣은 뒤 뚜껑을 닫고 찐다.
17. 오렌지는 잘게 썰고, 브로콜리는 송이 부분을 잘게 썬다.
18. 올리브오일을 두른 팬에 잘게 썬 브로콜리, 소금, 후추를 넣고 볶는다.
19. 접시에 발사믹 식초, 오렌지를 올린다.
20. 화이트와인 식초, 호두기름, 올리브오일, 설탕, 후추를 섞어 샐러드드레싱을 만든다.
21. 삶은 메추리알의 흰자와 노른자를 분리한다.
22. 분리한 메추리알 흰자는 잘게 다지고, 취나물은 얇게 채 썬 뒤 접시에 담는다.
23. 접시에 삶은 문어를 올린 뒤 샐러드 드레싱을 뿌린다.
24. 볶은 브로콜리를 접시에 올린다.
25. 접시에 튀긴 라면을 올린다.</v>
      </c>
    </row>
    <row r="921">
      <c r="A921" s="2" t="str">
        <f>recipe!C921
</f>
        <v>문어지지마</v>
      </c>
      <c r="B921" s="2" t="str">
        <f>IFERROR(__xludf.DUMMYFUNCTION("TRIM(
  REGEXEXTRACT(
    raw!A921,
    ""●\s*조리\s*방법([\s\S]*)""
  )
)
"),"1. 달걀노른자를 따로 분리한 뒤 잘 섞어준다.
2. 1에 설탕, 레몬즙을 넣어 레몬 커드를 만들고 감자를 정사각형 모양으로 썬 뒤 끓는 물에 삶는다.
3. 레몬 커드를 중탕하며 잘 저어준다.
4. 레몬 커드를 얼음물 위에 올려 차갑게 식힌다.
5. 적당한 크기로 썬 새송이버섯, 표고버섯을 핸드블렌더에 넣고 간다.
6. 간 버섯에 올리브오일, 후추, 소금, 다진생강, 다진마늘을 넣는다.
7. 올리브오일을 두른 그릴팬에 파프리카를 굽는다.
8"&amp;". 토마토를 잘게 썬 뒤 볼에 담는다.
9. 8에 화이트와인 식초, 설탕, 레몬즙, 소금, 후추, 올리브오일을 넣고 섞는다.
10. 9에 구운 파프리카, 삶은 감자를 넣어 샐러드를 만든다.
11. 종이포일에 돼지목살을 올린 뒤 고기망치로 두드린다.
12. 돼지목살에 소금으로 간한다.
13. 돼지목살에 버섯볶음을 올린 뒤 돌돌 만다.
14. 13을 조리용 실로 묶어 모양을 고정시킨 뒤 소금, 후추로 간한다.
15. 삶은 문어를 끓는 물에 데친"&amp;"다.
16. 데친 문어를 얇게 썬 뒤 샐러드에 넣는다.
17. 꽃등심에 후추를 뿌린 뒤 소금으로 간한다.
18. 기름을 두른 그릴팬에 꽃등심을 굽는다.
19. 석쇠에 올린 취나물에 올리브오일을 뿌린 뒤 직화한다.
20. 팬에 발사믹 식초를 넣고 졸여 소스를 만든다.
21. 돼지목살을 그릴팬에 굽는다.
22. 잘게 썬 마늘과 파슬리, 올리브오일을 핸드블렌더에 넣고 갈아 파슬리 페스토를 만든다.
23. 접시에 원형틀을 올린 뒤 문어샐러드를 담"&amp;"는다.
24. 문어샐러드 위에 구운 취나물을 올린다.
25. 24에 샐러드드레싱, 발사믹 소스를 뿌린다.
26. 오렌지에 설탕을 뿌린 뒤 토치로 가열한다.
27. 접시에 꽃등심&amp;돼지목살 스테이크, 파슬리 페스토를 담은 뒤 발사믹 소스를 뿌린다.
28. 차가운 유리잔에 레몬 커드, 플레인요거트, 오렌지를 담는다.
29. 꽃등심 스테이크 위에 버섯볶음을 올린다.")</f>
        <v>1. 달걀노른자를 따로 분리한 뒤 잘 섞어준다.
2. 1에 설탕, 레몬즙을 넣어 레몬 커드를 만들고 감자를 정사각형 모양으로 썬 뒤 끓는 물에 삶는다.
3. 레몬 커드를 중탕하며 잘 저어준다.
4. 레몬 커드를 얼음물 위에 올려 차갑게 식힌다.
5. 적당한 크기로 썬 새송이버섯, 표고버섯을 핸드블렌더에 넣고 간다.
6. 간 버섯에 올리브오일, 후추, 소금, 다진생강, 다진마늘을 넣는다.
7. 올리브오일을 두른 그릴팬에 파프리카를 굽는다.
8. 토마토를 잘게 썬 뒤 볼에 담는다.
9. 8에 화이트와인 식초, 설탕, 레몬즙, 소금, 후추, 올리브오일을 넣고 섞는다.
10. 9에 구운 파프리카, 삶은 감자를 넣어 샐러드를 만든다.
11. 종이포일에 돼지목살을 올린 뒤 고기망치로 두드린다.
12. 돼지목살에 소금으로 간한다.
13. 돼지목살에 버섯볶음을 올린 뒤 돌돌 만다.
14. 13을 조리용 실로 묶어 모양을 고정시킨 뒤 소금, 후추로 간한다.
15. 삶은 문어를 끓는 물에 데친다.
16. 데친 문어를 얇게 썬 뒤 샐러드에 넣는다.
17. 꽃등심에 후추를 뿌린 뒤 소금으로 간한다.
18. 기름을 두른 그릴팬에 꽃등심을 굽는다.
19. 석쇠에 올린 취나물에 올리브오일을 뿌린 뒤 직화한다.
20. 팬에 발사믹 식초를 넣고 졸여 소스를 만든다.
21. 돼지목살을 그릴팬에 굽는다.
22. 잘게 썬 마늘과 파슬리, 올리브오일을 핸드블렌더에 넣고 갈아 파슬리 페스토를 만든다.
23. 접시에 원형틀을 올린 뒤 문어샐러드를 담는다.
24. 문어샐러드 위에 구운 취나물을 올린다.
25. 24에 샐러드드레싱, 발사믹 소스를 뿌린다.
26. 오렌지에 설탕을 뿌린 뒤 토치로 가열한다.
27. 접시에 꽃등심&amp;돼지목살 스테이크, 파슬리 페스토를 담은 뒤 발사믹 소스를 뿌린다.
28. 차가운 유리잔에 레몬 커드, 플레인요거트, 오렌지를 담는다.
29. 꽃등심 스테이크 위에 버섯볶음을 올린다.</v>
      </c>
    </row>
    <row r="922">
      <c r="A922" s="2" t="str">
        <f>recipe!C922
</f>
        <v>아피제닌맨</v>
      </c>
      <c r="B922" s="2" t="str">
        <f>IFERROR(__xludf.DUMMYFUNCTION("TRIM(
  REGEXEXTRACT(
    raw!A922,
    ""●\s*조리\s*방법([\s\S]*)""
  )
)
"),"1. 브로콜리 송이 부분을 잘게 썬다.
2. 핸드블렌더에 잘게 썬 브로콜리, 두부, 깨, 전분을 넣고 간다.
3. 면포에 2를 넣고 감싼다.
4. 3을 찜기에 넣고 찐다.
5. 브로콜리 송이, 줄기를 먹기 좋은 크기로 썬다.
6. 끓는 물에 소금, 식초를 넣은 뒤 브로콜리 송이와 줄기를 넣고 데친다.
7. 믹서기에 홍고추, 오이무침, 식초, 마늘, 설탕을 넣고 갈아 깍두기 양념을 만든다.
8. 파슬리를 잘게 다진 뒤 깍두기 양념과 섞어준다."&amp;"
9. 데친 브로콜리를 얼음물에 담가둔다.
10. 데친 브로콜리를 깍두기 양념에 무친다.
11. 애호박, 셀러리, 양파, 고추를 먹기 좋은 크기로 썬다.
12. 팬에 호두기름을 두른 뒤 손질한 채소를 넣고 볶는다.
13. 12에 전복, 오징어, 우렁이를 넣고 볶는다.
14. 13에 보리된장, 깨, 전분 물을 넣고 볶는다.
15. 셀러리를 먹기 좋은 크기로 썬 뒤 팬에 넣고 함께 볶는다.
16. 찜기에 찐 브로콜리 두부를 꺼낸다.
17. "&amp;"그릇에 브로콜리 깍두기, 셀러리해물볶음을 담는다.
18. 브로콜리 두부를 먹기 좋은 크기로 썬 뒤 그릇에 담는다.")</f>
        <v>1. 브로콜리 송이 부분을 잘게 썬다.
2. 핸드블렌더에 잘게 썬 브로콜리, 두부, 깨, 전분을 넣고 간다.
3. 면포에 2를 넣고 감싼다.
4. 3을 찜기에 넣고 찐다.
5. 브로콜리 송이, 줄기를 먹기 좋은 크기로 썬다.
6. 끓는 물에 소금, 식초를 넣은 뒤 브로콜리 송이와 줄기를 넣고 데친다.
7. 믹서기에 홍고추, 오이무침, 식초, 마늘, 설탕을 넣고 갈아 깍두기 양념을 만든다.
8. 파슬리를 잘게 다진 뒤 깍두기 양념과 섞어준다.
9. 데친 브로콜리를 얼음물에 담가둔다.
10. 데친 브로콜리를 깍두기 양념에 무친다.
11. 애호박, 셀러리, 양파, 고추를 먹기 좋은 크기로 썬다.
12. 팬에 호두기름을 두른 뒤 손질한 채소를 넣고 볶는다.
13. 12에 전복, 오징어, 우렁이를 넣고 볶는다.
14. 13에 보리된장, 깨, 전분 물을 넣고 볶는다.
15. 셀러리를 먹기 좋은 크기로 썬 뒤 팬에 넣고 함께 볶는다.
16. 찜기에 찐 브로콜리 두부를 꺼낸다.
17. 그릇에 브로콜리 깍두기, 셀러리해물볶음을 담는다.
18. 브로콜리 두부를 먹기 좋은 크기로 썬 뒤 그릇에 담는다.</v>
      </c>
    </row>
    <row r="923">
      <c r="A923" s="2" t="str">
        <f>recipe!C923
</f>
        <v>닥터 호영레인지</v>
      </c>
      <c r="B923" s="2" t="str">
        <f>IFERROR(__xludf.DUMMYFUNCTION("TRIM(
  REGEXEXTRACT(
    raw!A923,
    ""●\s*조리\s*방법([\s\S]*)""
  )
)
"),"1. 끓는 물에 전복을 넣고 삶는다.
2. 전복을 삶던 물에 멸치육수팩을 넣어 육수를 낸다.
3. 파슬리 잎을 육수에 살짝 데친다.
4. 핸드블렌더에 데친 파슬리 잎을 넣고 간다.
5. 4에 밀가루를 넣고 한 번 더 갈아 파슬리면 반죽을 만든다.
6. 끓는 물에 브로콜리를 살짝 데친 뒤 찬물에 담가둔다.
7. 삶은 전복을 찬물에 헹군 뒤 먹기 좋은 크기로 썬다.
8. 오징어에 칼집을 낸 뒤 길게 썬다.
9. 대파, 양파를 적당한 크기로 썬"&amp;"다.
10. 기름을 두른 팬에 다진마늘, 대파, 양파, 오징어, 전복, 새우를 넣는다.
11. 10에 고춧가루, 잘게 썬 고추를 넣고 볶은 뒤 육수를 부어 짬뽕 국물을 만든다.
12. 표고버섯, 새송이버섯을 썬 뒤 짬뽕 국물에 넣는다.
13. 12에 조갯살, 콩나물을 넣고 끓인다.
14. 밀대를 이용해 파슬리면 반죽을 얇게 민다.
15. 여러 겹으로 접은 파슬리면 반죽을 얇게 썬 뒤 끓는 물에 삶는다.
16. 데친 브로콜리의 송이 부분을 얇"&amp;"게 썬다.
17. 핸드블렌더에 두부, 양파, 통조림 참치, 맛간장을 넣고 간다.
18. 17에 달걀, 마요네즈를 섞은 뒤 기름을 두른 팬에 넣어 전을 부친다.
19. 전 위에 얇게 썬 브로콜리, 칵테일 새우를 올린다.
20. 19에 잣을 올려 굽는다.
21. 삶은 파슬리 면을 찬물에 담가둔다.
22. 단무지, 셀러리, 대파를 얇게 썬 뒤 고춧가루, 설탕, 다진마늘, 맛간장을 넣고 무친다.
23. 셀러리단무지무침에 깨, 참기름을 뿌린다.
2"&amp;"4. 접시에 브로콜리전을 올린다.
25. 짬뽕 국물에 인스턴트 백짬뽕 수프를 넣고 끓인다.
26. 그릇에 파슬리면과 짬뽕 국물을 담는다.")</f>
        <v>1. 끓는 물에 전복을 넣고 삶는다.
2. 전복을 삶던 물에 멸치육수팩을 넣어 육수를 낸다.
3. 파슬리 잎을 육수에 살짝 데친다.
4. 핸드블렌더에 데친 파슬리 잎을 넣고 간다.
5. 4에 밀가루를 넣고 한 번 더 갈아 파슬리면 반죽을 만든다.
6. 끓는 물에 브로콜리를 살짝 데친 뒤 찬물에 담가둔다.
7. 삶은 전복을 찬물에 헹군 뒤 먹기 좋은 크기로 썬다.
8. 오징어에 칼집을 낸 뒤 길게 썬다.
9. 대파, 양파를 적당한 크기로 썬다.
10. 기름을 두른 팬에 다진마늘, 대파, 양파, 오징어, 전복, 새우를 넣는다.
11. 10에 고춧가루, 잘게 썬 고추를 넣고 볶은 뒤 육수를 부어 짬뽕 국물을 만든다.
12. 표고버섯, 새송이버섯을 썬 뒤 짬뽕 국물에 넣는다.
13. 12에 조갯살, 콩나물을 넣고 끓인다.
14. 밀대를 이용해 파슬리면 반죽을 얇게 민다.
15. 여러 겹으로 접은 파슬리면 반죽을 얇게 썬 뒤 끓는 물에 삶는다.
16. 데친 브로콜리의 송이 부분을 얇게 썬다.
17. 핸드블렌더에 두부, 양파, 통조림 참치, 맛간장을 넣고 간다.
18. 17에 달걀, 마요네즈를 섞은 뒤 기름을 두른 팬에 넣어 전을 부친다.
19. 전 위에 얇게 썬 브로콜리, 칵테일 새우를 올린다.
20. 19에 잣을 올려 굽는다.
21. 삶은 파슬리 면을 찬물에 담가둔다.
22. 단무지, 셀러리, 대파를 얇게 썬 뒤 고춧가루, 설탕, 다진마늘, 맛간장을 넣고 무친다.
23. 셀러리단무지무침에 깨, 참기름을 뿌린다.
24. 접시에 브로콜리전을 올린다.
25. 짬뽕 국물에 인스턴트 백짬뽕 수프를 넣고 끓인다.
26. 그릇에 파슬리면과 짬뽕 국물을 담는다.</v>
      </c>
    </row>
    <row r="924">
      <c r="A924" s="2" t="str">
        <f>recipe!C924
</f>
        <v>버거김</v>
      </c>
      <c r="B924" s="2" t="str">
        <f>IFERROR(__xludf.DUMMYFUNCTION("TRIM(
  REGEXEXTRACT(
    raw!A924,
    ""●\s*조리\s*방법([\s\S]*)""
  )
)
"),"1. 핸드블렌더에 대패삼겹살, 전분, 통조림 햄을 넣고 간다.
2. 패티 반죽을 팬에 굽는다.
3. 볼에 다진마늘, 크림파스타소스, 설탕을 넣는다.
4. 3에 랩을 씌운 뒤 전자레인지에 돌려 갈릭디핑소스를 만든다.
5. 핸드블렌더에 매콤달콤맛 과자를 넣고 간다.
6 튀김가루에 물을 넣어 튀김옷을 만든다.
7. 새우에 튀김가루&gt;튀김옷&gt;간 과자 순으로 묻힌 뒤 기름에 튀긴다.
8. 팬에 베이컨을 굽는다.
9. 씻은 배추김치, 가자미식해, 단무"&amp;"지를 잘게 다진다.
10. 햄버거번 위에 슬라이스 체더치즈를 올린다.
11. 10 위에 구운 패티&gt;렐리시&gt;9의 샐러드&gt;모차렐라 치즈&gt;구운 베이컨&gt;햄버거번을 올린다.
12. 11에 튀김가루&gt;달걀물&gt;튀김옷 순으로 묻힌다.
13. 12를 조미김으로 감싼 뒤 튀김옷을 묻힌다.
14. 13을 기름에 넣고 튀긴다.
15. 새우튀김을 건져낸다.
16. 새우튀김에 간 과자를 뿌린다.
17. 케첩과 렐리시를 섞은 소스와 갈릭디핑소스를 각각 접시에 담는다.")</f>
        <v>1. 핸드블렌더에 대패삼겹살, 전분, 통조림 햄을 넣고 간다.
2. 패티 반죽을 팬에 굽는다.
3. 볼에 다진마늘, 크림파스타소스, 설탕을 넣는다.
4. 3에 랩을 씌운 뒤 전자레인지에 돌려 갈릭디핑소스를 만든다.
5. 핸드블렌더에 매콤달콤맛 과자를 넣고 간다.
6 튀김가루에 물을 넣어 튀김옷을 만든다.
7. 새우에 튀김가루&gt;튀김옷&gt;간 과자 순으로 묻힌 뒤 기름에 튀긴다.
8. 팬에 베이컨을 굽는다.
9. 씻은 배추김치, 가자미식해, 단무지를 잘게 다진다.
10. 햄버거번 위에 슬라이스 체더치즈를 올린다.
11. 10 위에 구운 패티&gt;렐리시&gt;9의 샐러드&gt;모차렐라 치즈&gt;구운 베이컨&gt;햄버거번을 올린다.
12. 11에 튀김가루&gt;달걀물&gt;튀김옷 순으로 묻힌다.
13. 12를 조미김으로 감싼 뒤 튀김옷을 묻힌다.
14. 13을 기름에 넣고 튀긴다.
15. 새우튀김을 건져낸다.
16. 새우튀김에 간 과자를 뿌린다.
17. 케첩과 렐리시를 섞은 소스와 갈릭디핑소스를 각각 접시에 담는다.</v>
      </c>
    </row>
    <row r="925">
      <c r="A925" s="2" t="str">
        <f>recipe!C925
</f>
        <v>샘도날드</v>
      </c>
      <c r="B925" s="2" t="str">
        <f>IFERROR(__xludf.DUMMYFUNCTION("TRIM(
  REGEXEXTRACT(
    raw!A925,
    ""●\s*조리\s*방법([\s\S]*)""
  )
)
"),"1. 핸드블렌더에 훈제오리, 삼겹살, 베이컨을 넣고 간다.
2. 패티 반죽에 모차렐라치즈, 소금을 넣은 뒤 기름을 두른 팬에 굽는다.
3. 채칼을 이용해 감자를 얇게 슬라이스한 뒤 기름에 튀긴다.
4. 양파를 얇게 썬다.
5. 밀가루, 달걀, 물을 섞어 튀김옷을 만든 뒤 양파에 묻혀 기름에 튀긴다.
6. 튀긴 감자와 양파를 건져낸다.
7. 핸드블렌더에 매운맛 과자를 넣고 간다.
8. 냄비에 밀가루, 버터, 우유를 넣고 끓인다.
9. 8에 "&amp;"슬라이스 체더치즈를 넣어 치즈 소스를 만든다.
10. 그릴팬에 베이컨을 굽는다.
11. 베이컨을 잘게 썬 뒤 기름에 튀긴다.
12. 볼에 크림치즈를 담은 뒤 휘젓는다.
13. 12에 휘핑크림, 설탕을 넣어 섞는다.
14. 13을 얼음물 위에 올려 차게 만든다.
15. 14에 레몬 껍질을 갈아 올린 뒤 냉동실에 넣어둔다.
16. 블루베리에 설탕을 뿌린 뒤 토치로 가열해 캐러멜라이즈한다.
17. 양파&amp;감자튀김을 한 번 더 튀긴 뒤 간 과자를 "&amp;"묻힌다.
18. 17에 튀긴 베이컨을 얹는다.
19. 기름을 두른 그릴팬에 햄버거번을 굽는다.
20. 18에 치즈 소스를 올린다.
21. 렐리시, 마요네즈를 섞은 뒤 구운 햄버거번 위에 올린다.
22. 21에 슬라이스 체더치즈&gt;구운 패티&gt;21의 소스&gt;슬라이스 체더치즈&gt;구운 햄버거번을 올린다.
23. 냉동실에 넣어둔 14에 휘핑크림을 올린 뒤 토치로 가열한다.
24. 23 위에 레몬껍질을 갈아 올린다.
25. 24 위에 16의 블루베리를 올"&amp;"린다.")</f>
        <v>1. 핸드블렌더에 훈제오리, 삼겹살, 베이컨을 넣고 간다.
2. 패티 반죽에 모차렐라치즈, 소금을 넣은 뒤 기름을 두른 팬에 굽는다.
3. 채칼을 이용해 감자를 얇게 슬라이스한 뒤 기름에 튀긴다.
4. 양파를 얇게 썬다.
5. 밀가루, 달걀, 물을 섞어 튀김옷을 만든 뒤 양파에 묻혀 기름에 튀긴다.
6. 튀긴 감자와 양파를 건져낸다.
7. 핸드블렌더에 매운맛 과자를 넣고 간다.
8. 냄비에 밀가루, 버터, 우유를 넣고 끓인다.
9. 8에 슬라이스 체더치즈를 넣어 치즈 소스를 만든다.
10. 그릴팬에 베이컨을 굽는다.
11. 베이컨을 잘게 썬 뒤 기름에 튀긴다.
12. 볼에 크림치즈를 담은 뒤 휘젓는다.
13. 12에 휘핑크림, 설탕을 넣어 섞는다.
14. 13을 얼음물 위에 올려 차게 만든다.
15. 14에 레몬 껍질을 갈아 올린 뒤 냉동실에 넣어둔다.
16. 블루베리에 설탕을 뿌린 뒤 토치로 가열해 캐러멜라이즈한다.
17. 양파&amp;감자튀김을 한 번 더 튀긴 뒤 간 과자를 묻힌다.
18. 17에 튀긴 베이컨을 얹는다.
19. 기름을 두른 그릴팬에 햄버거번을 굽는다.
20. 18에 치즈 소스를 올린다.
21. 렐리시, 마요네즈를 섞은 뒤 구운 햄버거번 위에 올린다.
22. 21에 슬라이스 체더치즈&gt;구운 패티&gt;21의 소스&gt;슬라이스 체더치즈&gt;구운 햄버거번을 올린다.
23. 냉동실에 넣어둔 14에 휘핑크림을 올린 뒤 토치로 가열한다.
24. 23 위에 레몬껍질을 갈아 올린다.
25. 24 위에 16의 블루베리를 올린다.</v>
      </c>
    </row>
    <row r="926">
      <c r="A926" s="2" t="str">
        <f>recipe!C926
</f>
        <v>내가 이길고렝</v>
      </c>
      <c r="B926" s="2" t="str">
        <f>IFERROR(__xludf.DUMMYFUNCTION("TRIM(
  REGEXEXTRACT(
    raw!A926,
    ""●\s*조리\s*방법([\s\S]*)""
  )
)
"),"1. 기름에 대파, 고춧가루, 양파를 넣어 고추기름을 낸다.
2. 끓는 물에 건새우를 넣은 뒤 꽃게를 데친다.
3. 핸드블렌더에 청양고추, 홍고추, 마늘, 피시소스를 넣고 간다.
4. 팬에 고추기름, 3을 넣는다.
5. 잘게 썬 양파, 대파를 4에 넣고 볶는다.
6. 5에 설탕, 피시소스, 고체 카레를 넣는다.
7. 6에 꽃게 육수, 우유를 넣어 커리 소스를 만든다.
8. 오이에 칼집을 낸 뒤 얇게 썬다.
9. 밀대를 이용해 데친 꽃게의 "&amp;"살을 발라낸다.
10. 커리 소스에 새우를 넣는다.
11. 꽃게 육수에 파스타면을 넣고 삶는다.
12. 전자레인지에 즉석밥을 넣고 돌린다.
13. 잘게 썬 베이컨, 대파, 양파, 즉석밥을 팬에 넣고 볶는다.
14. 13에 설탕을 뿌린다.
15. 14에 피시소스, 소갈비양념을 넣는다.
16. 고수를 잘게 썬 뒤 15에 넣는다.
17. 핸드블렌더에 새우를 넣고 간다.
18. 꽃게살, 맥주, 밀가루, 간 새우, 소갈비양념을 넣고 버무린다.
"&amp;"19. 18을 둥근 모양으로 만든 뒤 기름에 튀겨 게살새우튀김을 만든다.
20. 삶은 파스타면을 건져낸다.
21. 커리 소스에 달걀물을 넣는다.
22. 기름을 두른 팬에 달걀을 넣고 튀기듯 굽는다.
23. 게살새우튀김을 건져낸다.
24. 뿌팟퐁커리에 삶은 파스타면을 넣는다.
25. 나시고렝에 달걀물을 넣고 볶는다.")</f>
        <v>1. 기름에 대파, 고춧가루, 양파를 넣어 고추기름을 낸다.
2. 끓는 물에 건새우를 넣은 뒤 꽃게를 데친다.
3. 핸드블렌더에 청양고추, 홍고추, 마늘, 피시소스를 넣고 간다.
4. 팬에 고추기름, 3을 넣는다.
5. 잘게 썬 양파, 대파를 4에 넣고 볶는다.
6. 5에 설탕, 피시소스, 고체 카레를 넣는다.
7. 6에 꽃게 육수, 우유를 넣어 커리 소스를 만든다.
8. 오이에 칼집을 낸 뒤 얇게 썬다.
9. 밀대를 이용해 데친 꽃게의 살을 발라낸다.
10. 커리 소스에 새우를 넣는다.
11. 꽃게 육수에 파스타면을 넣고 삶는다.
12. 전자레인지에 즉석밥을 넣고 돌린다.
13. 잘게 썬 베이컨, 대파, 양파, 즉석밥을 팬에 넣고 볶는다.
14. 13에 설탕을 뿌린다.
15. 14에 피시소스, 소갈비양념을 넣는다.
16. 고수를 잘게 썬 뒤 15에 넣는다.
17. 핸드블렌더에 새우를 넣고 간다.
18. 꽃게살, 맥주, 밀가루, 간 새우, 소갈비양념을 넣고 버무린다.
19. 18을 둥근 모양으로 만든 뒤 기름에 튀겨 게살새우튀김을 만든다.
20. 삶은 파스타면을 건져낸다.
21. 커리 소스에 달걀물을 넣는다.
22. 기름을 두른 팬에 달걀을 넣고 튀기듯 굽는다.
23. 게살새우튀김을 건져낸다.
24. 뿌팟퐁커리에 삶은 파스타면을 넣는다.
25. 나시고렝에 달걀물을 넣고 볶는다.</v>
      </c>
    </row>
    <row r="927">
      <c r="A927" s="2" t="str">
        <f>recipe!C927
</f>
        <v>꿍푸팬더</v>
      </c>
      <c r="B927" s="2" t="str">
        <f>IFERROR(__xludf.DUMMYFUNCTION("TRIM(
  REGEXEXTRACT(
    raw!A927,
    ""●\s*조리\s*방법([\s\S]*)""
  )
)
"),"1. 팬에 레몬껍질을 넣는다.
2. 꽃게를 반으로 가른 뒤 밀대로 살을 발라낸다.
3. 1의 팬에 꽃게 껍질을 넣는다.
4. 3에 기름을 끼얹는다.
5. 4에 끓는 물을 넣어 육수를 낸다.
6. 믹서에 마늘, 홍고추, 건새우, 피시소스, 설탕을 넣고 간다.
7. 6에 똠얌 페이스트, 뜨거운 물을 넣고 갈아 똠얌꿍소스를 만든다.
8. 꽃게 육수에 똠얌꿍소스를 넣는다.
9. 8에 깍두기 국물을 넣는다.
10. 으깬 청양고추를 9에 넣는다.
"&amp;"
11. 간 마늘, 잘게 썬 홍고추와 청양고추, 피시소스, 레몬즙, 설탕, 고수를 섞어 디핑소스를 만든다.
12. 채칼을 이용해 마늘을 슬라이스 한다.
13. 12에 설탕, 청양고추, 홍고추, 간장, 식초를 섞어 마늘 절임을 만든다.
14. 삼겹살을 기름에 튀긴다.
15. 핸드블렌더에 대패삼겹살, 달걀물, 전분, 간장을 넣는다.
16. 잘게 썬 대파를 15에 넣고 갈아 완자 반죽을 만든다.
17. 16을 둥근 모양으로 만든 뒤 똠얌꿍 국물에 "&amp;"넣는다.
18 라면 면을 삶는다.
19. 방울토마토를 으깨어 즙을 낸다.
20. 17에 방울토마토즙과 진미채를 넣는다.
21. 20에 레몬즙을 넣는다.
22. 21에 피시소스를 넣는다.
23. 전골냄비에 라면 면을 담는다.
24. 23에 건더기를 걸러낸 똠얌꿍 국물, 진미채, 완자, 꽃게살을 넣는다.
25. 24에 새우, 튀긴 삼겹살을 넣는다.
26 25에 얇게 썬 레몬, 달걀, 고수를 넣는다.")</f>
        <v>1. 팬에 레몬껍질을 넣는다.
2. 꽃게를 반으로 가른 뒤 밀대로 살을 발라낸다.
3. 1의 팬에 꽃게 껍질을 넣는다.
4. 3에 기름을 끼얹는다.
5. 4에 끓는 물을 넣어 육수를 낸다.
6. 믹서에 마늘, 홍고추, 건새우, 피시소스, 설탕을 넣고 간다.
7. 6에 똠얌 페이스트, 뜨거운 물을 넣고 갈아 똠얌꿍소스를 만든다.
8. 꽃게 육수에 똠얌꿍소스를 넣는다.
9. 8에 깍두기 국물을 넣는다.
10. 으깬 청양고추를 9에 넣는다.
11. 간 마늘, 잘게 썬 홍고추와 청양고추, 피시소스, 레몬즙, 설탕, 고수를 섞어 디핑소스를 만든다.
12. 채칼을 이용해 마늘을 슬라이스 한다.
13. 12에 설탕, 청양고추, 홍고추, 간장, 식초를 섞어 마늘 절임을 만든다.
14. 삼겹살을 기름에 튀긴다.
15. 핸드블렌더에 대패삼겹살, 달걀물, 전분, 간장을 넣는다.
16. 잘게 썬 대파를 15에 넣고 갈아 완자 반죽을 만든다.
17. 16을 둥근 모양으로 만든 뒤 똠얌꿍 국물에 넣는다.
18 라면 면을 삶는다.
19. 방울토마토를 으깨어 즙을 낸다.
20. 17에 방울토마토즙과 진미채를 넣는다.
21. 20에 레몬즙을 넣는다.
22. 21에 피시소스를 넣는다.
23. 전골냄비에 라면 면을 담는다.
24. 23에 건더기를 걸러낸 똠얌꿍 국물, 진미채, 완자, 꽃게살을 넣는다.
25. 24에 새우, 튀긴 삼겹살을 넣는다.
26 25에 얇게 썬 레몬, 달걀, 고수를 넣는다.</v>
      </c>
    </row>
    <row r="928">
      <c r="A928" s="2" t="str">
        <f>recipe!C928
</f>
        <v>런닝램</v>
      </c>
      <c r="B928" s="2" t="str">
        <f>IFERROR(__xludf.DUMMYFUNCTION("TRIM(
  REGEXEXTRACT(
    raw!A928,
    ""●\s*조리\s*방법([\s\S]*)""
  )
)
"),"1. 올리브오일을 두른 팬에 양파, 양갈비 뼈, 청주를 넣는다.
2. 핸드블렌더에 토마토홀, 토마토, 스테비아토마토, 다진마늘, 다진생강, 페페론치노를 넣고 간다.
3. 1에 토마토베이스, 치킨스톡을 넣고 끓인다.
4. 3에 얇게 썬 고형카레를 넣고 끓인다.
5. 4에 녹인 버터를 넣고 끓인다.
6. 양갈비살에 소금, 후추, 올리브오일을 버무린 뒤 그릴팬에 굽는다.
7. 핸드블렌더에 밀가루, 녹인 버터, 후추, 소금, 물을 넣고 갈아서 반죽을"&amp;" 만든다.
8. 반으로 가른 관자에 올리브오일을 묻혀 그릴팬에 굽는다.
9. 레몬즙, 소금, 설탕, 올리브오일을 섞은 뒤 관자를 넣어 저온에서 익힌다.
10. 잘게 썬 무말랭이, 양파, 스테비아토마토를 들기름을 두른 팬에 볶는다.
11. 10에 즉석밥을 넣고 볶는다.
12. 구운 양갈비살을 먹기 좋은 크기로 썬 뒤 카레에 넣고 끓인다.
13. 로티반죽을 밀대로 넓게 민다.
14. 버터를 두른 팬에 로티반죽, 올리브오일을 넣어 굽는다.
15"&amp;". 구운 로티에 야생화 꿀, 다진마늘을 발라 굽는다.
16. 로티 반죽을 밀대로 넓게 민 뒤 올리브오일을 두른 팬에 굽는다.
17. 무말랭이 풀라오를 접시에 담은 뒤 파슬리를 뿌린다.
18. 접시에 양상추를 담은 뒤 익힌 관자를 올린다.")</f>
        <v>1. 올리브오일을 두른 팬에 양파, 양갈비 뼈, 청주를 넣는다.
2. 핸드블렌더에 토마토홀, 토마토, 스테비아토마토, 다진마늘, 다진생강, 페페론치노를 넣고 간다.
3. 1에 토마토베이스, 치킨스톡을 넣고 끓인다.
4. 3에 얇게 썬 고형카레를 넣고 끓인다.
5. 4에 녹인 버터를 넣고 끓인다.
6. 양갈비살에 소금, 후추, 올리브오일을 버무린 뒤 그릴팬에 굽는다.
7. 핸드블렌더에 밀가루, 녹인 버터, 후추, 소금, 물을 넣고 갈아서 반죽을 만든다.
8. 반으로 가른 관자에 올리브오일을 묻혀 그릴팬에 굽는다.
9. 레몬즙, 소금, 설탕, 올리브오일을 섞은 뒤 관자를 넣어 저온에서 익힌다.
10. 잘게 썬 무말랭이, 양파, 스테비아토마토를 들기름을 두른 팬에 볶는다.
11. 10에 즉석밥을 넣고 볶는다.
12. 구운 양갈비살을 먹기 좋은 크기로 썬 뒤 카레에 넣고 끓인다.
13. 로티반죽을 밀대로 넓게 민다.
14. 버터를 두른 팬에 로티반죽, 올리브오일을 넣어 굽는다.
15. 구운 로티에 야생화 꿀, 다진마늘을 발라 굽는다.
16. 로티 반죽을 밀대로 넓게 민 뒤 올리브오일을 두른 팬에 굽는다.
17. 무말랭이 풀라오를 접시에 담은 뒤 파슬리를 뿌린다.
18. 접시에 양상추를 담은 뒤 익힌 관자를 올린다.</v>
      </c>
    </row>
    <row r="929">
      <c r="A929" s="2" t="str">
        <f>recipe!C929
</f>
        <v>의기양양</v>
      </c>
      <c r="B929" s="2" t="str">
        <f>IFERROR(__xludf.DUMMYFUNCTION("TRIM(
  REGEXEXTRACT(
    raw!A929,
    ""●\s*조리\s*방법([\s\S]*)""
  )
)
"),"1. 끓는 기름에 고춧가루, 대파를 넣어 고추기름을 낸다.
2. 양갈비 가운데 칼집을 낸다.
3. 2에 후추, 간장, 맛술을 버무려 재워둔다.
4. 핸드블렌더에 새우, 전분을 넣고 간다.
5. 4에 달걀을 넣고 다시 간다.
6. 불린 쌀을 지퍼백에 넣고 으깬다.
7. 볼에 으깬 쌀, 소금, 후추, 고춧가루를 넣고 섞는다.
8. 양갈비 속에 간 새우를 넣은 뒤 7에 버무린다.
9. 8을 양배추 위에 올린 뒤 찜기에 찐다.
10. 얇게 썬 "&amp;"양갈비에 전분, 달걀을 묻혀 기름에 화한다.
11. 끓는 물에 분모자를 데친다.
12. 피망, 관자, 느타리버섯, 새우를 다듬어 끓는 물에 데친다.
13. 고추기름의 건더기를 걸러낸다.
14. 대파, 마늘, 생강을 잘게 썬 뒤 고추기름을 두른 팬에 볶는다.
15. 14에 데친 재료, 간장, 10의 양갈비살, 물, 굴소스를 넣고 볶는다.
16. 접시에 양상추를 올린다.
17. 고추기름에 고추마늘소스, XO칠리소스, 굴소스, 스리라차소스, 맛술"&amp;"을 섞어 마라소스를 만든다.
18. 찜기에서 9의 양갈비를 꺼낸다.")</f>
        <v>1. 끓는 기름에 고춧가루, 대파를 넣어 고추기름을 낸다.
2. 양갈비 가운데 칼집을 낸다.
3. 2에 후추, 간장, 맛술을 버무려 재워둔다.
4. 핸드블렌더에 새우, 전분을 넣고 간다.
5. 4에 달걀을 넣고 다시 간다.
6. 불린 쌀을 지퍼백에 넣고 으깬다.
7. 볼에 으깬 쌀, 소금, 후추, 고춧가루를 넣고 섞는다.
8. 양갈비 속에 간 새우를 넣은 뒤 7에 버무린다.
9. 8을 양배추 위에 올린 뒤 찜기에 찐다.
10. 얇게 썬 양갈비에 전분, 달걀을 묻혀 기름에 화한다.
11. 끓는 물에 분모자를 데친다.
12. 피망, 관자, 느타리버섯, 새우를 다듬어 끓는 물에 데친다.
13. 고추기름의 건더기를 걸러낸다.
14. 대파, 마늘, 생강을 잘게 썬 뒤 고추기름을 두른 팬에 볶는다.
15. 14에 데친 재료, 간장, 10의 양갈비살, 물, 굴소스를 넣고 볶는다.
16. 접시에 양상추를 올린다.
17. 고추기름에 고추마늘소스, XO칠리소스, 굴소스, 스리라차소스, 맛술을 섞어 마라소스를 만든다.
18. 찜기에서 9의 양갈비를 꺼낸다.</v>
      </c>
    </row>
    <row r="930">
      <c r="A930" s="2" t="str">
        <f>recipe!C930
</f>
        <v>파리지엥케이크</v>
      </c>
      <c r="B930" s="2" t="str">
        <f>IFERROR(__xludf.DUMMYFUNCTION("TRIM(
  REGEXEXTRACT(
    raw!A930,
    ""●\s*조리\s*방법([\s\S]*)""
  )
)
"),"1. 볼에 초콜릿, 물을 넣고 중탕한다.
2. 핸드블렌더에 초코시리얼을 넣고 간다.
3. 핸드블렌더에 설탕, 달걀을 넣고 갈아 무스를 만든다.
4. 얼음에 소금을 넣어 온도를 떨어트린 뒤 3에 크림치즈를 넣어 간다.
5. 4에 설탕을 넣은 뒤 접시에 담아 냉동실에 넣어둔다.
6. 무스에 마스카르포네 치즈, 소금, 설탕을 넣고 간다.
7. 6을 냉장실에 넣어둔다.
8. 물에 밀가루, 소금물을 넣은 뒤 섞는다.
9. 기름을 두른 팬에 8을 올"&amp;"려 굽는다.
10. 팬에 설탕을 넣고 캐러멜라이즈 한다.
11. 딸기, 스테비아토마토, 오렌지를 썰어 팬에 넣은 뒤 물엿, 레몬청을 넣고 조린다.
12. 초콜릿소스를 소스통에 담는다.
13. 핫도그 빵을 반으로 자르고 원형틀로 찍어낸다.
14. 기름을 두른 팬에 핫도그 번을 굽는다.
15. 냉동실에 넣어둔 마스카르포네 치즈무스 위에 핫도그 번, 과일 처트니를 올린다.
16. 15에 크림치즈무스를 올린다.
17. 16에 핫도그 번을 올린다."&amp;"
18. 17에 과일 처트니를 올린다.
19. 18에 크림치즈무스를 올린다.
20. 접시에 초콜릿소스를 뿌려 플레이팅한다.
21. 20에 딸기, 초콜릿 파우더를 올린다.
22. 21에 마카롱을 갈아 뿌린 뒤 튀일을 올린다.")</f>
        <v>1. 볼에 초콜릿, 물을 넣고 중탕한다.
2. 핸드블렌더에 초코시리얼을 넣고 간다.
3. 핸드블렌더에 설탕, 달걀을 넣고 갈아 무스를 만든다.
4. 얼음에 소금을 넣어 온도를 떨어트린 뒤 3에 크림치즈를 넣어 간다.
5. 4에 설탕을 넣은 뒤 접시에 담아 냉동실에 넣어둔다.
6. 무스에 마스카르포네 치즈, 소금, 설탕을 넣고 간다.
7. 6을 냉장실에 넣어둔다.
8. 물에 밀가루, 소금물을 넣은 뒤 섞는다.
9. 기름을 두른 팬에 8을 올려 굽는다.
10. 팬에 설탕을 넣고 캐러멜라이즈 한다.
11. 딸기, 스테비아토마토, 오렌지를 썰어 팬에 넣은 뒤 물엿, 레몬청을 넣고 조린다.
12. 초콜릿소스를 소스통에 담는다.
13. 핫도그 빵을 반으로 자르고 원형틀로 찍어낸다.
14. 기름을 두른 팬에 핫도그 번을 굽는다.
15. 냉동실에 넣어둔 마스카르포네 치즈무스 위에 핫도그 번, 과일 처트니를 올린다.
16. 15에 크림치즈무스를 올린다.
17. 16에 핫도그 번을 올린다.
18. 17에 과일 처트니를 올린다.
19. 18에 크림치즈무스를 올린다.
20. 접시에 초콜릿소스를 뿌려 플레이팅한다.
21. 20에 딸기, 초콜릿 파우더를 올린다.
22. 21에 마카롱을 갈아 뿌린 뒤 튀일을 올린다.</v>
      </c>
    </row>
    <row r="931">
      <c r="A931" s="2" t="str">
        <f>recipe!C931
</f>
        <v>하와이안 풍딩</v>
      </c>
      <c r="B931" s="2" t="str">
        <f>IFERROR(__xludf.DUMMYFUNCTION("TRIM(
  REGEXEXTRACT(
    raw!A931,
    ""●\s*조리\s*방법([\s\S]*)""
  )
)
"),"1. 냄비에 코코넛밀크, 우유, 전분, 설탕을 넣고 계속 저어 중탕한다.
2. 핸드블렌더에 팥배기, 우유, 설탕을 넣고 간다.
3. 팬에 2를 넣고 끓인다.
4. 핸드블렌더에 코코넛밀크를 넣는다.
5. 4에 설탕, 파인애플을 넣고 간다.
6. 핸드블렌더에 마카다미아, 잣, 깐호두, 비스킷믹스를 넣고 간다.
7. 6에 물을 넣고 다시 간다.
8. 종이포일 위에 비스킷 반죽을 넓게 편 뒤 오븐에 굽는다.
9. 랩 위에 원형틀을 올린 뒤 푸딩을"&amp;" 넣는다.
10. 푸딩을 냉동실에 넣어둔다.
11. 핸드블렌더에 녹차 아이스크림을 넣고 간다.
12. 믹서기에 딸기, 설탕, 우유를 넣고 간다.
13. 유리컵에 12&gt;시리얼&gt;피나콜라다를 올린다.
14. 13 위에 간 녹차 아이스크림을 올린다.
15. 표고버섯칩을 나무꼬치에 꽂아 14에 얹은 뒤 냉장실에 넣어둔다.
16. 핸드블렌더에 오렌지즙, 블루베리잼, 물엿을 넣은 뒤 간다.
17. 16을 소스통에 담는다.
18. 비스킷을 원형틀에 찍"&amp;"어낸다.
19. 비스킷 옆에 블루베리 소스를 뿌려 마무리한다.")</f>
        <v>1. 냄비에 코코넛밀크, 우유, 전분, 설탕을 넣고 계속 저어 중탕한다.
2. 핸드블렌더에 팥배기, 우유, 설탕을 넣고 간다.
3. 팬에 2를 넣고 끓인다.
4. 핸드블렌더에 코코넛밀크를 넣는다.
5. 4에 설탕, 파인애플을 넣고 간다.
6. 핸드블렌더에 마카다미아, 잣, 깐호두, 비스킷믹스를 넣고 간다.
7. 6에 물을 넣고 다시 간다.
8. 종이포일 위에 비스킷 반죽을 넓게 편 뒤 오븐에 굽는다.
9. 랩 위에 원형틀을 올린 뒤 푸딩을 넣는다.
10. 푸딩을 냉동실에 넣어둔다.
11. 핸드블렌더에 녹차 아이스크림을 넣고 간다.
12. 믹서기에 딸기, 설탕, 우유를 넣고 간다.
13. 유리컵에 12&gt;시리얼&gt;피나콜라다를 올린다.
14. 13 위에 간 녹차 아이스크림을 올린다.
15. 표고버섯칩을 나무꼬치에 꽂아 14에 얹은 뒤 냉장실에 넣어둔다.
16. 핸드블렌더에 오렌지즙, 블루베리잼, 물엿을 넣은 뒤 간다.
17. 16을 소스통에 담는다.
18. 비스킷을 원형틀에 찍어낸다.
19. 비스킷 옆에 블루베리 소스를 뿌려 마무리한다.</v>
      </c>
    </row>
    <row r="932">
      <c r="A932" s="2" t="str">
        <f>recipe!C932
</f>
        <v>유자라면 다가와♬</v>
      </c>
      <c r="B932" s="2" t="str">
        <f>IFERROR(__xludf.DUMMYFUNCTION("TRIM(
  REGEXEXTRACT(
    raw!A932,
    ""●\s*조리\s*방법([\s\S]*)""
  )
)
"),"1. 두부를 얇게 썬 뒤, 기름에 튀긴다.
2. 무를 채 썬 뒤, 끓는 물에 데친다.
3. 데친 무에 고춧가루, 유자청, 소금, 다진 마늘을 넣고 버무린다.
4. 참외의 껍질을 벗긴 뒤 속을 파낸다.
5. 4의 참외와 오이를 채 썬다.
6. 끓는 물에 콩나물을 삶는다.
7. 라면 수프에 뜨거운 물을 넣는다.
8. 유자청을 체에 밭쳐 건더기를 걸러낸다.
9. 7에 레몬즙, 식초, 다진 마늘, 8을 넣는다.
10. 9에 얼음을 넣는다.
1"&amp;"1. 기름을 두른 팬에 대패삼겹살을 볶는다.
12. 11에 다진 마늘, 간장, 유자청을 넣고 조린다.
13. 기름에 튀긴 두부를 건져낸 뒤 채 썬다.
14. 볶은 대패삼겹살을 체에 밭쳐 건져낸다.
15. 끓는 물에 라면 면을 삶는다.
16. 삶은 라면 면을 건져낸 뒤 찬물에 헹군다.
17. 라면 면 주변에 각종 고명을 올린다.")</f>
        <v>1. 두부를 얇게 썬 뒤, 기름에 튀긴다.
2. 무를 채 썬 뒤, 끓는 물에 데친다.
3. 데친 무에 고춧가루, 유자청, 소금, 다진 마늘을 넣고 버무린다.
4. 참외의 껍질을 벗긴 뒤 속을 파낸다.
5. 4의 참외와 오이를 채 썬다.
6. 끓는 물에 콩나물을 삶는다.
7. 라면 수프에 뜨거운 물을 넣는다.
8. 유자청을 체에 밭쳐 건더기를 걸러낸다.
9. 7에 레몬즙, 식초, 다진 마늘, 8을 넣는다.
10. 9에 얼음을 넣는다.
11. 기름을 두른 팬에 대패삼겹살을 볶는다.
12. 11에 다진 마늘, 간장, 유자청을 넣고 조린다.
13. 기름에 튀긴 두부를 건져낸 뒤 채 썬다.
14. 볶은 대패삼겹살을 체에 밭쳐 건져낸다.
15. 끓는 물에 라면 면을 삶는다.
16. 삶은 라면 면을 건져낸 뒤 찬물에 헹군다.
17. 라면 면 주변에 각종 고명을 올린다.</v>
      </c>
    </row>
    <row r="933">
      <c r="A933" s="2" t="str">
        <f>recipe!C933
</f>
        <v>해결쌈</v>
      </c>
      <c r="B933" s="2" t="str">
        <f>IFERROR(__xludf.DUMMYFUNCTION("TRIM(
  REGEXEXTRACT(
    raw!A933,
    ""●\s*조리\s*방법([\s\S]*)""
  )
)
"),"1. 믹서에 불린 쌀, 물, 소금을 넣고 간다.
2. 사과, 무 오이를 채 썬다.
3. 기름을 두른 팬에 잘게 썬 대파, 양파, 마늘을 넣는다.
4. 3에 잘게 썬 대패삼겹살, 으깬 두부를 넣는다.
5. 끓는 물에 시금치를 데친다.
6. 데친 시금치를 찬물에 헹군 뒤 체에 밭쳐 물기를 뺀다.
7. 유부, 데친 시금치를 잘게 썬다.
8. 채 썬 재료와 7을 함께 담아둔다.
9. 팬에 쌀 반죽을 얇게 부쳐 라이스페이퍼를 만든다.
10. 씻은"&amp;" 총각김치를 채 썬다.
11. 4에 쌈장, 즉석밥을 넣고 볶는다.
12. 11을 체에 밭쳐 기름기를 뺀다.
13. 라이스페이퍼 위에 12를 올려 말아준다.
14. 파프리카, 청양고추, 양파를 잘게 썬다.
15. 유자청을 체에 밭쳐 건더기를 걸러낸 뒤 맛술, 멸치액젓, 굴소스, 물엿을 넣는다.
16. 15에 식초를 넣는다.
17. 16에 14의 채소를 넣어 솜땀 소스를 만든다.
18. 8에 솜땀 소스를 넣고 버무려 샐러드를 만든다.")</f>
        <v>1. 믹서에 불린 쌀, 물, 소금을 넣고 간다.
2. 사과, 무 오이를 채 썬다.
3. 기름을 두른 팬에 잘게 썬 대파, 양파, 마늘을 넣는다.
4. 3에 잘게 썬 대패삼겹살, 으깬 두부를 넣는다.
5. 끓는 물에 시금치를 데친다.
6. 데친 시금치를 찬물에 헹군 뒤 체에 밭쳐 물기를 뺀다.
7. 유부, 데친 시금치를 잘게 썬다.
8. 채 썬 재료와 7을 함께 담아둔다.
9. 팬에 쌀 반죽을 얇게 부쳐 라이스페이퍼를 만든다.
10. 씻은 총각김치를 채 썬다.
11. 4에 쌈장, 즉석밥을 넣고 볶는다.
12. 11을 체에 밭쳐 기름기를 뺀다.
13. 라이스페이퍼 위에 12를 올려 말아준다.
14. 파프리카, 청양고추, 양파를 잘게 썬다.
15. 유자청을 체에 밭쳐 건더기를 걸러낸 뒤 맛술, 멸치액젓, 굴소스, 물엿을 넣는다.
16. 15에 식초를 넣는다.
17. 16에 14의 채소를 넣어 솜땀 소스를 만든다.
18. 8에 솜땀 소스를 넣고 버무려 샐러드를 만든다.</v>
      </c>
    </row>
    <row r="934">
      <c r="A934" s="2" t="str">
        <f>recipe!C934
</f>
        <v>비지창조</v>
      </c>
      <c r="B934" s="2" t="str">
        <f>IFERROR(__xludf.DUMMYFUNCTION("TRIM(
  REGEXEXTRACT(
    raw!A934,
    ""●\s*조리\s*방법([\s\S]*)""
  )
)
"),"1. 팬에 대패삼겹살을 굽는다.
2. 강판에 감자를 간다.
3. 면보에 간 감자를 넣고 짜서 감자 전분을 만든다.
4. 뚝배기에 뜨거운 물을 붓는다.
5. 총각김치를 씻은 뒤, 적당한 크기로 썰어 4에 넣는다.
6. 무청을 적당한 크기로 썬 뒤 5에 넣는다.
7. 강판에 무를 간다.
8. 면보에 간 무를 넣고 짜서 무즙을 만든다.
9. 감자 전분과 무즙을 섞은 뒤 6에 넣는다.
10. 찜기에 마늘을 넣는다.
11. 고등어의 가시를 발라"&amp;"낸다.
12. 고등어에 전분을 묻힌 뒤 10의 찜기에 넣고 찐다.
13. 양파, 애호박, 청양고추, 홍고추를 썬 뒤 팬에 볶는다.
14. 13에 뜨거운 물, 된장을 넣고 볶는다.
15. 절구에 순두부를 넣고 으깬다.
16. 9의 뚝배기에 으깬 순두부를 넣는다.
17. 시금치의 뿌리를 잘라낸 뒤 굽던 대패삼겹살에 넣고 볶는다.
18. 간장에 깨, 잘게 썬 대파를 넣는다.
19. 18에 총각김치 국물, 홍고추, 참기름, 설탕을 넣어 양념장을 "&amp;"만든다.
20. 면보에 두부를 넣은 뒤 여러 차례 내려쳐 으깬다.
21. 16의 뚝배기에 으깬 두부를 넣는다.
22. 21에 총각김치 국물을 넣는다.
23. 볶은 시금치, 대패삼겹살 위에 찐 고등어, 마늘을 올린다.
24. 23 위에 14의 된장 소스를 붓는다.")</f>
        <v>1. 팬에 대패삼겹살을 굽는다.
2. 강판에 감자를 간다.
3. 면보에 간 감자를 넣고 짜서 감자 전분을 만든다.
4. 뚝배기에 뜨거운 물을 붓는다.
5. 총각김치를 씻은 뒤, 적당한 크기로 썰어 4에 넣는다.
6. 무청을 적당한 크기로 썬 뒤 5에 넣는다.
7. 강판에 무를 간다.
8. 면보에 간 무를 넣고 짜서 무즙을 만든다.
9. 감자 전분과 무즙을 섞은 뒤 6에 넣는다.
10. 찜기에 마늘을 넣는다.
11. 고등어의 가시를 발라낸다.
12. 고등어에 전분을 묻힌 뒤 10의 찜기에 넣고 찐다.
13. 양파, 애호박, 청양고추, 홍고추를 썬 뒤 팬에 볶는다.
14. 13에 뜨거운 물, 된장을 넣고 볶는다.
15. 절구에 순두부를 넣고 으깬다.
16. 9의 뚝배기에 으깬 순두부를 넣는다.
17. 시금치의 뿌리를 잘라낸 뒤 굽던 대패삼겹살에 넣고 볶는다.
18. 간장에 깨, 잘게 썬 대파를 넣는다.
19. 18에 총각김치 국물, 홍고추, 참기름, 설탕을 넣어 양념장을 만든다.
20. 면보에 두부를 넣은 뒤 여러 차례 내려쳐 으깬다.
21. 16의 뚝배기에 으깬 두부를 넣는다.
22. 21에 총각김치 국물을 넣는다.
23. 볶은 시금치, 대패삼겹살 위에 찐 고등어, 마늘을 올린다.
24. 23 위에 14의 된장 소스를 붓는다.</v>
      </c>
    </row>
    <row r="935">
      <c r="A935" s="2" t="str">
        <f>recipe!C935
</f>
        <v>돼지 파국이다!</v>
      </c>
      <c r="B935" s="2" t="str">
        <f>IFERROR(__xludf.DUMMYFUNCTION("TRIM(
  REGEXEXTRACT(
    raw!A935,
    ""●\s*조리\s*방법([\s\S]*)""
  )
)
"),"1. 끓는 물에 마늘, 대패삼겹살을 넣는다.
2. 물, 마늘, 설탕, 간장, 무, 대파, 청양고추를 압력솥에 넣는다.
3. 2에 적당한 크기로 썬 가지를 넣는다.
4. 3에 불린 황태채를 넣고 찐다.
5. 강판에 무를 간다.
6. 간 무의 물기를 제거한다.
7. 6, 식초, 맛술, 간장, 설탕을 섞는다.
8. 잘게 썬 대파, 청양고추, 홍고추, 생강즙을 7에 넣어 소스를 만든다.
9. 1에 간장, 후추, 채 썬 대파를 넣는다.
10. 9"&amp;"에 뜨거운 물을 넣는다.
11. 10에 생강즙을 넣는다.
12. 압력솥에 물을 부어 식힌 뒤 김을 뺀다.
13. 파국을 토치로 직화해 불맛을 입힌다.
14. 전자레인지에 돌린 즉석밥을 그릇에 담는다.")</f>
        <v>1. 끓는 물에 마늘, 대패삼겹살을 넣는다.
2. 물, 마늘, 설탕, 간장, 무, 대파, 청양고추를 압력솥에 넣는다.
3. 2에 적당한 크기로 썬 가지를 넣는다.
4. 3에 불린 황태채를 넣고 찐다.
5. 강판에 무를 간다.
6. 간 무의 물기를 제거한다.
7. 6, 식초, 맛술, 간장, 설탕을 섞는다.
8. 잘게 썬 대파, 청양고추, 홍고추, 생강즙을 7에 넣어 소스를 만든다.
9. 1에 간장, 후추, 채 썬 대파를 넣는다.
10. 9에 뜨거운 물을 넣는다.
11. 10에 생강즙을 넣는다.
12. 압력솥에 물을 부어 식힌 뒤 김을 뺀다.
13. 파국을 토치로 직화해 불맛을 입힌다.
14. 전자레인지에 돌린 즉석밥을 그릇에 담는다.</v>
      </c>
    </row>
    <row r="936">
      <c r="A936" s="2" t="str">
        <f>recipe!C936
</f>
        <v>T.O.P 돔</v>
      </c>
      <c r="B936" s="2" t="str">
        <f>IFERROR(__xludf.DUMMYFUNCTION("TRIM(
  REGEXEXTRACT(
    raw!A936,
    ""●\s*조리\s*방법([\s\S]*)""
  )
)
"),"1. 참돔을 손질해 몸통 살만 분리해낸다.
2. 분리 한 몸통 살의 껍질을 벗겨 살만 발라낸다.
3. 양파를 얇게 썬 뒤 핸드블렌더에 참돔 살, 양파, 블랙타이거 새우, 새우, 홍고추, 굴소스, 후추를 넣고 간다.
4. 3에 밀가루를 넣고 섞는다.
5. 찜기에 미역을 깐 뒤 어묵 반죽을 올린다.
6. 5에 물을 넣고 찐다.
7. 어묵 반죽을 참돔 껍질에 싸서 랩으로 말아준다.
8. 7에 구멍을 뚫는다.
9. 8을 찜기에 찐다.
10. 참"&amp;"돔 껍질에 올리브오일을 바른 종이포일을 덮어 약불에 굽는다.
11. 창난젓을 잘게 썬다.
12. 후추, 올리브오일을 바른 참돔 살과 다진 창난젓을 대파로 감싸 묶는다.
13. 12를 석쇠에 올려 직화한다.
13. 끓는 기름에 대파, 고춧가루를 넣고 고추기름을 만든다.
14. 핸드블렌더에 양파, 고추, 홍고추, 케첩, 마요네즈, 스리라차소스, 맛술, 식초를 넣고 간다.
15. 먹기 좋은 크기로 양파, 표고버섯을 썬다.
16 고추기름을 두른 팬"&amp;"에 15, 바지락, 게맛살, 14, 스리라차소스를 넣고 볶는다.
17. 구운 참돔 껍질을 꺼낸다.
18. 손질한 갑오징어를 토치로 직화한 뒤 16에 넣어 볶는다.
19. 18에 전분물, 물을 넣고 볶는다.
20. 찜기에 찐 어묵을 접시에 담는다.
21. 20에 18을 올린다.
22. 21에 대파로 훈연한 참돔 살, 참돔 껍질을 올린다.")</f>
        <v>1. 참돔을 손질해 몸통 살만 분리해낸다.
2. 분리 한 몸통 살의 껍질을 벗겨 살만 발라낸다.
3. 양파를 얇게 썬 뒤 핸드블렌더에 참돔 살, 양파, 블랙타이거 새우, 새우, 홍고추, 굴소스, 후추를 넣고 간다.
4. 3에 밀가루를 넣고 섞는다.
5. 찜기에 미역을 깐 뒤 어묵 반죽을 올린다.
6. 5에 물을 넣고 찐다.
7. 어묵 반죽을 참돔 껍질에 싸서 랩으로 말아준다.
8. 7에 구멍을 뚫는다.
9. 8을 찜기에 찐다.
10. 참돔 껍질에 올리브오일을 바른 종이포일을 덮어 약불에 굽는다.
11. 창난젓을 잘게 썬다.
12. 후추, 올리브오일을 바른 참돔 살과 다진 창난젓을 대파로 감싸 묶는다.
13. 12를 석쇠에 올려 직화한다.
13. 끓는 기름에 대파, 고춧가루를 넣고 고추기름을 만든다.
14. 핸드블렌더에 양파, 고추, 홍고추, 케첩, 마요네즈, 스리라차소스, 맛술, 식초를 넣고 간다.
15. 먹기 좋은 크기로 양파, 표고버섯을 썬다.
16 고추기름을 두른 팬에 15, 바지락, 게맛살, 14, 스리라차소스를 넣고 볶는다.
17. 구운 참돔 껍질을 꺼낸다.
18. 손질한 갑오징어를 토치로 직화한 뒤 16에 넣어 볶는다.
19. 18에 전분물, 물을 넣고 볶는다.
20. 찜기에 찐 어묵을 접시에 담는다.
21. 20에 18을 올린다.
22. 21에 대파로 훈연한 참돔 살, 참돔 껍질을 올린다.</v>
      </c>
    </row>
    <row r="937">
      <c r="A937" s="2" t="str">
        <f>recipe!C937
</f>
        <v>퍼펙트 돔</v>
      </c>
      <c r="B937" s="2" t="str">
        <f>IFERROR(__xludf.DUMMYFUNCTION("TRIM(
  REGEXEXTRACT(
    raw!A937,
    ""●\s*조리\s*방법([\s\S]*)""
  )
)
"),"1. 양파를 얇게 썬 뒤 끓는 물에 양파, 대파, 모시조개, 국물용 멸치를 넣는다.
2. 블랙타이거 새우의 머리와 껍질을 떼어낸다.
3. 1에 새우 머리, 된장, 무 껍질을 넣어 육수를 만든다.
4. 무를 잘게 썬 뒤 소금에 버무린다.
5. 참돔을 손질한 뒤 뼈를 발라낸다.
6. 참돔 살에 소금, 후추로 간한다.
7. 녹인 버터에 고추장을 섞는다.
8. 7을 참돔 살에 발라준다.
9. 참돔 살 사이에 쪽파를 넣은 뒤 올리브오일을 두른 팬에"&amp;" 굽는다.
10. 잘게 썬 양파, 고추, 마늘을 팬에 볶은 뒤 즉석밥을 넣는다.
11. 낙지를 먹기 좋은 크기로 썬다.
12. 10에 창난젓, 막장, 낙지를 넣고 볶는다.
13. 찜기에 커피가루를 넣는다.
14. 찜기에 구운 참돔을 올려 훈연한다.
15. 소금에 버무린 무에 물기를 짜낸 뒤 12에 넣고 볶는다.
16. 15을 파에야 그릇에 담은 뒤 모시조개를 올린다.
17. 16에 훈연한 참돔구이를 올린다.
18. 17을 찜기에 넣어 다"&amp;"시 훈연한다.
19. 잘게 썬 쪽파를 참돔 위에 뿌린다.")</f>
        <v>1. 양파를 얇게 썬 뒤 끓는 물에 양파, 대파, 모시조개, 국물용 멸치를 넣는다.
2. 블랙타이거 새우의 머리와 껍질을 떼어낸다.
3. 1에 새우 머리, 된장, 무 껍질을 넣어 육수를 만든다.
4. 무를 잘게 썬 뒤 소금에 버무린다.
5. 참돔을 손질한 뒤 뼈를 발라낸다.
6. 참돔 살에 소금, 후추로 간한다.
7. 녹인 버터에 고추장을 섞는다.
8. 7을 참돔 살에 발라준다.
9. 참돔 살 사이에 쪽파를 넣은 뒤 올리브오일을 두른 팬에 굽는다.
10. 잘게 썬 양파, 고추, 마늘을 팬에 볶은 뒤 즉석밥을 넣는다.
11. 낙지를 먹기 좋은 크기로 썬다.
12. 10에 창난젓, 막장, 낙지를 넣고 볶는다.
13. 찜기에 커피가루를 넣는다.
14. 찜기에 구운 참돔을 올려 훈연한다.
15. 소금에 버무린 무에 물기를 짜낸 뒤 12에 넣고 볶는다.
16. 15을 파에야 그릇에 담은 뒤 모시조개를 올린다.
17. 16에 훈연한 참돔구이를 올린다.
18. 17을 찜기에 넣어 다시 훈연한다.
19. 잘게 썬 쪽파를 참돔 위에 뿌린다.</v>
      </c>
    </row>
    <row r="938">
      <c r="A938" s="2" t="str">
        <f>recipe!C938
</f>
        <v>와일드 아이즈면</v>
      </c>
      <c r="B938" s="2" t="str">
        <f>IFERROR(__xludf.DUMMYFUNCTION("TRIM(
  REGEXEXTRACT(
    raw!A938,
    ""●\s*조리\s*방법([\s\S]*)""
  )
)
"),"1. 끓는 기름에 대파, 건새우, 고춧가루를 넣어 고추기름을 만든다.
2. 끓는 물에 국물용 멸치를 넣은 뒤 전복을 데친다.
3. 끓는 물에 생닭, 다진마늘을 넣어 닭 육수를 만든다.
4. 돼지목살을 고기망치로 두드린 뒤 압력솥에 넣는다.
5. 4에 막장, 대파, 당근, 양파를 넣고 삶는다.
6. 블랙타이거 새우의 머리와 껍질을 떼어낸 뒤 멸치육수에 데친다.
7. 6에 문어다리를 넣고 데친다.
8. 7에 갑오징어를 넣고 데친다.
9. 핸드"&amp;"블렌더에 달걀노른자, 밀가루, 물을 넣고 갈아 면 반죽을 만든다.
10. 면 반죽을 치댄다.
11. 고추기름의 건더기를 걸러낸다.
12. 쪽파를 잘게 다진다.
13. 데친 해산물을 찬물에 헹군다.
14. 찬물에 헹군 해산물을 먹기 좋은 크기로 썬다.
15. 밀가루 위에 면 반죽을 올린 뒤 밀대로 넓게 민다.
16. 면 반죽을 여러 겹으로 접은 뒤 얇게 썬다.
17. 끓는 물에 수제 면을 삶는다.
18. 해삼내장에 참기름을 넣은 뒤 가위로"&amp;" 잘게 썬다.
19. 팬에 멸치육수, 닭 육수를 넣고 끓인다.
20. 삶은 수제 면을 찬물에 헹군다.
21. 수제 면을 삶은 면수에 라멘 면을 넣어 삶는다.
22. 접시에 전복, 갑오징어, 문어를 올린다.
23. 19에 고기육수를 섞는다.
24. 23에 라멘 수프를 넣고 끓인다.
25. 삶은 라멘 면을 찬물에 헹군다.
26. 그릇에 수제면, 새우, 돼지목살, 문어를 담는다.
27. 26에 얇게 썬 대파, 마늘을 올린 뒤 육수를 부어준다."&amp;"
28. 25에 18를 올린다.")</f>
        <v>1. 끓는 기름에 대파, 건새우, 고춧가루를 넣어 고추기름을 만든다.
2. 끓는 물에 국물용 멸치를 넣은 뒤 전복을 데친다.
3. 끓는 물에 생닭, 다진마늘을 넣어 닭 육수를 만든다.
4. 돼지목살을 고기망치로 두드린 뒤 압력솥에 넣는다.
5. 4에 막장, 대파, 당근, 양파를 넣고 삶는다.
6. 블랙타이거 새우의 머리와 껍질을 떼어낸 뒤 멸치육수에 데친다.
7. 6에 문어다리를 넣고 데친다.
8. 7에 갑오징어를 넣고 데친다.
9. 핸드블렌더에 달걀노른자, 밀가루, 물을 넣고 갈아 면 반죽을 만든다.
10. 면 반죽을 치댄다.
11. 고추기름의 건더기를 걸러낸다.
12. 쪽파를 잘게 다진다.
13. 데친 해산물을 찬물에 헹군다.
14. 찬물에 헹군 해산물을 먹기 좋은 크기로 썬다.
15. 밀가루 위에 면 반죽을 올린 뒤 밀대로 넓게 민다.
16. 면 반죽을 여러 겹으로 접은 뒤 얇게 썬다.
17. 끓는 물에 수제 면을 삶는다.
18. 해삼내장에 참기름을 넣은 뒤 가위로 잘게 썬다.
19. 팬에 멸치육수, 닭 육수를 넣고 끓인다.
20. 삶은 수제 면을 찬물에 헹군다.
21. 수제 면을 삶은 면수에 라멘 면을 넣어 삶는다.
22. 접시에 전복, 갑오징어, 문어를 올린다.
23. 19에 고기육수를 섞는다.
24. 23에 라멘 수프를 넣고 끓인다.
25. 삶은 라멘 면을 찬물에 헹군다.
26. 그릇에 수제면, 새우, 돼지목살, 문어를 담는다.
27. 26에 얇게 썬 대파, 마늘을 올린 뒤 육수를 부어준다.
28. 25에 18를 올린다.</v>
      </c>
    </row>
    <row r="939">
      <c r="A939" s="2" t="str">
        <f>recipe!C939
</f>
        <v>Hey, Come 면!</v>
      </c>
      <c r="B939" s="2" t="str">
        <f>IFERROR(__xludf.DUMMYFUNCTION("TRIM(
  REGEXEXTRACT(
    raw!A939,
    ""●\s*조리\s*방법([\s\S]*)""
  )
)
"),"1. 핸드블렌더에 밀가루, 달걀노른자를 넣고 갈아 면 반죽을 만든다.
2. 끓는 물에 소금, 파스타면을 넣어 삶는다.
3. 갑오징어에 칼집을 낸 뒤 다진마늘, 올리브오일, 후추, 소금을 넣고 섞는다.
4. 올리브오일을 두른 팬에 얇게 썬 마늘, 소금을 넣고 볶는다.
5. 전복을 뜨거운 물에 데친다.
6. 올리브오일을 두른 팬에 알배추를 올린 뒤 멸치가리비소스를 뿌려 굽는다.
7. 마늘을 볶은 팬에 3을 넣고 볶는다.
8. 볼에 다진마늘, 다"&amp;"진생강, 간장, 올리브오일, 한라봉즙, 레몬즙을 넣는다.
9. 8에 설탕, 참기름을 넣어 드레싱 소스를 만든다.
10. 차돌박이를 전분에 묻혀 튀기듯 굽는다.
11. 적당한 크기로 썬 양파, 대파를 팬에 넣는다.
12. 쪽파를 다른 팬에 넣은 뒤 11에 다진마늘을 넣고 볶는다.
13. 볶던 재료에 전복, 쪽파, 참기름, 굴소스를 넣는다.
14. 13에 초벌한 차돌박이를 넣고 볶는다.
15. 밀가루 위에 면 반죽을 올린 뒤 밀대로 넓게 민다."&amp;"
16. 면 반죽을 여러 겹으로 접은 뒤 넓게 썬다.
17. 파스타면을 드레싱 소스에 섞는다.
18. 파스타면을 삶은 면수에 수제 면을 삶는다.
19. 접시에 17, 구운 양배추, 한라봉을 담는다.
20. 19에 드레싱 소스, 볶은 갑오징어를 올린다.
21. 수제 면을 13에 넣고 볶다가 팟타이소스를 넣고 마저 볶는다.
22. 볶음면에 구운 쪽파를 올린 뒤 후추로 간한다.")</f>
        <v>1. 핸드블렌더에 밀가루, 달걀노른자를 넣고 갈아 면 반죽을 만든다.
2. 끓는 물에 소금, 파스타면을 넣어 삶는다.
3. 갑오징어에 칼집을 낸 뒤 다진마늘, 올리브오일, 후추, 소금을 넣고 섞는다.
4. 올리브오일을 두른 팬에 얇게 썬 마늘, 소금을 넣고 볶는다.
5. 전복을 뜨거운 물에 데친다.
6. 올리브오일을 두른 팬에 알배추를 올린 뒤 멸치가리비소스를 뿌려 굽는다.
7. 마늘을 볶은 팬에 3을 넣고 볶는다.
8. 볼에 다진마늘, 다진생강, 간장, 올리브오일, 한라봉즙, 레몬즙을 넣는다.
9. 8에 설탕, 참기름을 넣어 드레싱 소스를 만든다.
10. 차돌박이를 전분에 묻혀 튀기듯 굽는다.
11. 적당한 크기로 썬 양파, 대파를 팬에 넣는다.
12. 쪽파를 다른 팬에 넣은 뒤 11에 다진마늘을 넣고 볶는다.
13. 볶던 재료에 전복, 쪽파, 참기름, 굴소스를 넣는다.
14. 13에 초벌한 차돌박이를 넣고 볶는다.
15. 밀가루 위에 면 반죽을 올린 뒤 밀대로 넓게 민다.
16. 면 반죽을 여러 겹으로 접은 뒤 넓게 썬다.
17. 파스타면을 드레싱 소스에 섞는다.
18. 파스타면을 삶은 면수에 수제 면을 삶는다.
19. 접시에 17, 구운 양배추, 한라봉을 담는다.
20. 19에 드레싱 소스, 볶은 갑오징어를 올린다.
21. 수제 면을 13에 넣고 볶다가 팟타이소스를 넣고 마저 볶는다.
22. 볶음면에 구운 쪽파를 올린 뒤 후추로 간한다.</v>
      </c>
    </row>
    <row r="940">
      <c r="A940" s="2" t="str">
        <f>recipe!C940
</f>
        <v>뉴욕 버터 치킨</v>
      </c>
      <c r="B940" s="2" t="str">
        <f>IFERROR(__xludf.DUMMYFUNCTION("TRIM(
  REGEXEXTRACT(
    raw!A940,
    ""●\s*조리\s*방법([\s\S]*)""
  )
)
"),"1. 해체한 토종닭의 가슴 부위를 발골한다.
2. 김치만두의 소를 분리한다.
3. 대파와 만두소를 섞은 뒤 닭가슴의 껍질과 살 사이에 채워 넣는다.
4. 사골육수, 버터를 넣고 끓인 팬에 3을 넣고 후추를 뿌린 뒤 오븐에 굽는다.
5. 청란을 푼다.
6. 애호박을 얇게 썬 뒤 밀가루를 바른다.
7. 핸드블렌더에 새우살, 해선장, 전분, 청란을 넣고 간다.
8. 6의 애호박에 7을 올린 뒤 다른 애호박으로 덮는다.
9. 팬에 맛간장, 물, "&amp;"맛술 넣은 뒤 8을 넣어 익힌다.
10. 9에 사골육수를 넣는다.
11. 채 썬 양파, 표고버섯을 올리브 오일을 두른 팬에 넣는다.
12. 11에 사골육수를 넣고 볶는다.
13. 믹서기에 12를 넣고 간다.
14. 핸드블렌더에 12를 넣고 갈아 버섯 퓌레를 만든다.
15. 가지를 얇게 썬다.
16. 전분, 밀가루, 탄산수를 섞은 뒤 가지에 묻혀 기름에 튀긴다.
17. 16을 건져낸 뒤 소금을 뿌린다.
18. 오븐에 구운 닭가슴을 팬에 굽"&amp;"는다.
19. 발사믹 식초, 소금, 후추, 올리브 오일 섞은 뒤 쑥갓에 발라준다.
20. 접시에 버섯 퓌레를 올린다.
21. 버섯 퓌레 위에 애호박 만두, 구운 닭가슴, 19의 쑥갓, 오디를 올린 뒤 19의 소스를 뿌려 마무리한다.")</f>
        <v>1. 해체한 토종닭의 가슴 부위를 발골한다.
2. 김치만두의 소를 분리한다.
3. 대파와 만두소를 섞은 뒤 닭가슴의 껍질과 살 사이에 채워 넣는다.
4. 사골육수, 버터를 넣고 끓인 팬에 3을 넣고 후추를 뿌린 뒤 오븐에 굽는다.
5. 청란을 푼다.
6. 애호박을 얇게 썬 뒤 밀가루를 바른다.
7. 핸드블렌더에 새우살, 해선장, 전분, 청란을 넣고 간다.
8. 6의 애호박에 7을 올린 뒤 다른 애호박으로 덮는다.
9. 팬에 맛간장, 물, 맛술 넣은 뒤 8을 넣어 익힌다.
10. 9에 사골육수를 넣는다.
11. 채 썬 양파, 표고버섯을 올리브 오일을 두른 팬에 넣는다.
12. 11에 사골육수를 넣고 볶는다.
13. 믹서기에 12를 넣고 간다.
14. 핸드블렌더에 12를 넣고 갈아 버섯 퓌레를 만든다.
15. 가지를 얇게 썬다.
16. 전분, 밀가루, 탄산수를 섞은 뒤 가지에 묻혀 기름에 튀긴다.
17. 16을 건져낸 뒤 소금을 뿌린다.
18. 오븐에 구운 닭가슴을 팬에 굽는다.
19. 발사믹 식초, 소금, 후추, 올리브 오일 섞은 뒤 쑥갓에 발라준다.
20. 접시에 버섯 퓌레를 올린다.
21. 버섯 퓌레 위에 애호박 만두, 구운 닭가슴, 19의 쑥갓, 오디를 올린 뒤 19의 소스를 뿌려 마무리한다.</v>
      </c>
    </row>
    <row r="941">
      <c r="A941" s="2" t="str">
        <f>recipe!C941
</f>
        <v>베이징닭 말고 뭣이 중헌디!</v>
      </c>
      <c r="B941" s="2" t="str">
        <f>IFERROR(__xludf.DUMMYFUNCTION("TRIM(
  REGEXEXTRACT(
    raw!A941,
    ""●\s*조리\s*방법([\s\S]*)""
  )
)
"),"1. 토종닭을 반으로 가른다.
2. 해체한 토종닭에 칼집을 넣는다.
3. 압력솥에 설탕, 간장, 대파, 생강, 2를 넣는다.
4. 전복 껍데기를 떼어내고 칼집을 낸 뒤 3에 넣는다.
5. 4에 칼집을 낸 가지, 맛술을 넣은 뒤 뚜껑을 덮어 끓인다.
6. 핸드블렌더에 밀가루, 소금, 물을 넣고 간다.
7. 춘빙 반죽을 치댄다.
8. 찜기에 알배추를 넣고 찐다.
9. 들기름을 두른 팬에 된장, 쑥청, 해선장, 설탕, 으깬 두부를 넣고 볶아 소"&amp;"스를 만든다.
10. 석쇠에 파프리카를 넣은 뒤 토치로 직화한다.
11. 구운 파프리카의 탄 부분을 벗겨낸다.
12. 11의 파프리카, 오이를 잘게 썬다.
13. 접시에 파프리카, 쑥갓, 오이를 올린다.
14. 도마에 밀가루를 뿌린다.
15. 14에 춘빙 반죽을 적당한 크기로 떼어내고 넓게 편다.
16. 15에 들기름을 바른 후 다른 춘빙 반죽을 올려 샌드한다.
17. 압력솥의 김을 뺀다.
19. 닭을 건져낸 뒤 물기를 닦은 후 기름에 "&amp;"튀긴다.
19. 밀대를 이용해 16의 춘빙 반죽을 넓게 민다.
20. 튀긴 닭을 건져낸다.
21. 찜기에 찐 알배추를 꺼내 13의 접시에 올린다.
22. 팬에 춘빙 반죽을 굽는다.
23. 구운 춘빙 반죽을 두 겹으로 분리한다.")</f>
        <v>1. 토종닭을 반으로 가른다.
2. 해체한 토종닭에 칼집을 넣는다.
3. 압력솥에 설탕, 간장, 대파, 생강, 2를 넣는다.
4. 전복 껍데기를 떼어내고 칼집을 낸 뒤 3에 넣는다.
5. 4에 칼집을 낸 가지, 맛술을 넣은 뒤 뚜껑을 덮어 끓인다.
6. 핸드블렌더에 밀가루, 소금, 물을 넣고 간다.
7. 춘빙 반죽을 치댄다.
8. 찜기에 알배추를 넣고 찐다.
9. 들기름을 두른 팬에 된장, 쑥청, 해선장, 설탕, 으깬 두부를 넣고 볶아 소스를 만든다.
10. 석쇠에 파프리카를 넣은 뒤 토치로 직화한다.
11. 구운 파프리카의 탄 부분을 벗겨낸다.
12. 11의 파프리카, 오이를 잘게 썬다.
13. 접시에 파프리카, 쑥갓, 오이를 올린다.
14. 도마에 밀가루를 뿌린다.
15. 14에 춘빙 반죽을 적당한 크기로 떼어내고 넓게 편다.
16. 15에 들기름을 바른 후 다른 춘빙 반죽을 올려 샌드한다.
17. 압력솥의 김을 뺀다.
19. 닭을 건져낸 뒤 물기를 닦은 후 기름에 튀긴다.
19. 밀대를 이용해 16의 춘빙 반죽을 넓게 민다.
20. 튀긴 닭을 건져낸다.
21. 찜기에 찐 알배추를 꺼내 13의 접시에 올린다.
22. 팬에 춘빙 반죽을 굽는다.
23. 구운 춘빙 반죽을 두 겹으로 분리한다.</v>
      </c>
    </row>
    <row r="942">
      <c r="A942" s="2" t="str">
        <f>recipe!C942
</f>
        <v>맛있으면 돼지?</v>
      </c>
      <c r="B942" s="2" t="str">
        <f>IFERROR(__xludf.DUMMYFUNCTION("TRIM(
  REGEXEXTRACT(
    raw!A942,
    ""●\s*조리\s*방법([\s\S]*)""
  )
)
"),"1. 전자레인지에 즉석밥을 넣고 돌린다.
2. 고추장, 매실효소, 맛간장을 섞는다.
3. 끓는 물에 해물 육수팩을 넣는다.
4. 2에 고기 육수를 넣는다.
5. 4에 연겨자를 넣는다.
6. 5에 다진 마늘, 설탕을 넣는다.
7. 6에 매실효소를 더 넣어 갈비 양념을 만든다.
8. 돼지 갈비살에 칼집을 낸다.
9. 갈비 양념에 8을 넣고 버무린다.
10. 3의 냄비에서 해물 육수팩을 꺼낸 뒤 애호박을 넣는다.
11. 양파를 잘게 썬 뒤 "&amp;"들기름을 두른 팬에 넣고 볶는다.
12. 11에 즉석밥을 넣고 볶는다.
13. 간장게장을 반으로 가른 뒤 밀대로 살을 발라내 잘게 다진다.
14. 12에 게장살을 넣는다.
15. 시래기를 잘게 썬 뒤 14에 넣는다.
16. 핸드블렌더에 불린 쌀을 넣고 간다.
17. 시래기게장볶음밥에 16을 넣는다.
18. 그릴팬에 들기름을 두른 뒤 양념한 돼지 갈비살을 굽는다.
19. 간장게장 껍질을 10에 넣는다.
20. 참나물을 잘게 썬 뒤 19와 "&amp;"시래기게장볶음밥에 넣는다.
21. 시래기게장볶음밥에 간장게장 국물을 넣는다.
22. 20에 간 쌀, 된장을 넣는다.
23. 석쇠에 대파를 올려 굽는다.
24. 23 위에 초벌한 양념 돼지 갈비살을 올려 굽는다.
25. 24를 토치로 직화한다.
26. 원통에 시래기게장볶음밥을 넣는다.
27. 접시 위에 26을 뒤집어 시래기게장볶음밥만 올린다.
28. 칼갈이를 이용해 27에 구멍을 낸다.
29. 강된장을 뚝배기에 옮겨 끓인다.
30. 양념"&amp;" 돼지 갈비살을 적당한 크기로 썬 뒤 토치로 직화한다.")</f>
        <v>1. 전자레인지에 즉석밥을 넣고 돌린다.
2. 고추장, 매실효소, 맛간장을 섞는다.
3. 끓는 물에 해물 육수팩을 넣는다.
4. 2에 고기 육수를 넣는다.
5. 4에 연겨자를 넣는다.
6. 5에 다진 마늘, 설탕을 넣는다.
7. 6에 매실효소를 더 넣어 갈비 양념을 만든다.
8. 돼지 갈비살에 칼집을 낸다.
9. 갈비 양념에 8을 넣고 버무린다.
10. 3의 냄비에서 해물 육수팩을 꺼낸 뒤 애호박을 넣는다.
11. 양파를 잘게 썬 뒤 들기름을 두른 팬에 넣고 볶는다.
12. 11에 즉석밥을 넣고 볶는다.
13. 간장게장을 반으로 가른 뒤 밀대로 살을 발라내 잘게 다진다.
14. 12에 게장살을 넣는다.
15. 시래기를 잘게 썬 뒤 14에 넣는다.
16. 핸드블렌더에 불린 쌀을 넣고 간다.
17. 시래기게장볶음밥에 16을 넣는다.
18. 그릴팬에 들기름을 두른 뒤 양념한 돼지 갈비살을 굽는다.
19. 간장게장 껍질을 10에 넣는다.
20. 참나물을 잘게 썬 뒤 19와 시래기게장볶음밥에 넣는다.
21. 시래기게장볶음밥에 간장게장 국물을 넣는다.
22. 20에 간 쌀, 된장을 넣는다.
23. 석쇠에 대파를 올려 굽는다.
24. 23 위에 초벌한 양념 돼지 갈비살을 올려 굽는다.
25. 24를 토치로 직화한다.
26. 원통에 시래기게장볶음밥을 넣는다.
27. 접시 위에 26을 뒤집어 시래기게장볶음밥만 올린다.
28. 칼갈이를 이용해 27에 구멍을 낸다.
29. 강된장을 뚝배기에 옮겨 끓인다.
30. 양념 돼지 갈비살을 적당한 크기로 썬 뒤 토치로 직화한다.</v>
      </c>
    </row>
    <row r="943">
      <c r="A943" s="2" t="str">
        <f>recipe!C943
</f>
        <v>강정으로 이기면 돼지?</v>
      </c>
      <c r="B943" s="2" t="str">
        <f>IFERROR(__xludf.DUMMYFUNCTION("TRIM(
  REGEXEXTRACT(
    raw!A943,
    ""●\s*조리\s*방법([\s\S]*)""
  )
)
"),"1. 김발 위에 상추를 올린 뒤 뜨거운 물을 붓는다.
2. 핸드블렌더에 돼지 등심을 넣고 간다.
3. 2에 맛간장, 새우살, 전분, 청란을 넣고 간다.
4. 잘게 썬 알배추를 끓는 물에 넣고 소금을 뿌린다.
5. 쑥갓을 적당한 크기로 썬다.
6. 5에 데친 알배추, 3을 넣고 버무린다.
7. 6을 1의 상추 위에 올린다.
8. 7을 돌돌 만 뒤 적당한 크기로 썬다.
9. 찜기에 물을 부은 뒤 8의 상추쌈을 올려 찐다.
10. 돼지 갈비살"&amp;"을 적당한 크기로 썬다.
11. 튀김가루, 물을 섞는다.
12. 돼지 갈비살에 11을 입힌 뒤 튀김가루를 묻힌다.
13. 기름에 12를 튀겨 강정을 만든다.
14. 파프리카, 양파, 표고버섯을 적당한 크기로 썬 뒤 팬에 넣고 볶는다.
15. 고추장, 맛간장, 물엿을 섞어 강정 소스를 만든다.
16. 마늘장아찌의 마늘을 잘게 썬다.
17. 16에 맛간장, 청양고추, 홍고추, 대파를 넣는다.
18. 17에 설탕, 물엿을 넣는다.
19. 강정"&amp;"을 체에 밭쳐 건져낸 뒤 14에 강정 소스와 함께 볶는다.
20. 19에 다진 생강을 넣는다.
21. 20에 방울양배추를 넣고 볶는다.
22. 접시에 21를 담은 뒤 참깨소스를 뿌린다.")</f>
        <v>1. 김발 위에 상추를 올린 뒤 뜨거운 물을 붓는다.
2. 핸드블렌더에 돼지 등심을 넣고 간다.
3. 2에 맛간장, 새우살, 전분, 청란을 넣고 간다.
4. 잘게 썬 알배추를 끓는 물에 넣고 소금을 뿌린다.
5. 쑥갓을 적당한 크기로 썬다.
6. 5에 데친 알배추, 3을 넣고 버무린다.
7. 6을 1의 상추 위에 올린다.
8. 7을 돌돌 만 뒤 적당한 크기로 썬다.
9. 찜기에 물을 부은 뒤 8의 상추쌈을 올려 찐다.
10. 돼지 갈비살을 적당한 크기로 썬다.
11. 튀김가루, 물을 섞는다.
12. 돼지 갈비살에 11을 입힌 뒤 튀김가루를 묻힌다.
13. 기름에 12를 튀겨 강정을 만든다.
14. 파프리카, 양파, 표고버섯을 적당한 크기로 썬 뒤 팬에 넣고 볶는다.
15. 고추장, 맛간장, 물엿을 섞어 강정 소스를 만든다.
16. 마늘장아찌의 마늘을 잘게 썬다.
17. 16에 맛간장, 청양고추, 홍고추, 대파를 넣는다.
18. 17에 설탕, 물엿을 넣는다.
19. 강정을 체에 밭쳐 건져낸 뒤 14에 강정 소스와 함께 볶는다.
20. 19에 다진 생강을 넣는다.
21. 20에 방울양배추를 넣고 볶는다.
22. 접시에 21를 담은 뒤 참깨소스를 뿌린다.</v>
      </c>
    </row>
    <row r="944">
      <c r="A944" s="2" t="str">
        <f>recipe!C944
</f>
        <v>짜장왕</v>
      </c>
      <c r="B944" s="2" t="str">
        <f>IFERROR(__xludf.DUMMYFUNCTION("TRIM(
  REGEXEXTRACT(
    raw!A944,
    ""●\s*조리\s*방법([\s\S]*)""
  )
)
"),"1. 기름을 두른 팬에 미소를 넣고 볶는다.
2. 먹기 좋은 크기로 썬 양배추, 양파, 대파, 소등심을 팬에 넣고 볶는다.
3. 2에 간장, 볶은 미소, 치킨스톡, 굴소스를 넣고 볶는다.
4. 갈빗살을 후추, 소금으로 간 한 뒤 기름을 두른 팬에 굽는다.
5. 핸드블렌더에 자숙새우, 오징어, 굴소스, 달걀물을 넣고 간다.
6. 잘게 썬 마, 자숙새우를 어묵반죽에 넣는다.
7. 어묵반죽을 동그랗게 뭉친 뒤 기름에 넣어 튀긴다.
8. 핸드블렌더"&amp;"에 밀가루, 물을 넣고 간다.
9. 면 반죽을 치댄다.
10. 밀가루 위에 면 반죽을 올린 뒤 밀대로 넓게 민다.
11. 면 반죽을 얇게 썬다.
12. 11을 끓는 물에 삶는다.
13. 짜장소스에 콜라를 넣고 끓인다.
14. 13에 전분물을 넣어 농도를 맞춘다.
15. 수제 어묵을 나무꼬치에 끼운다.
16. 구운 갈빗살에 불고기소스, 참기름, 다진마늘을 넣고 버무린다.
17. 그릇에 수제 면을 담는다.
18. 17에 짜장소스를 올린다."&amp;"
19. 18에 어묵꼬치와 16을 올린다.")</f>
        <v>1. 기름을 두른 팬에 미소를 넣고 볶는다.
2. 먹기 좋은 크기로 썬 양배추, 양파, 대파, 소등심을 팬에 넣고 볶는다.
3. 2에 간장, 볶은 미소, 치킨스톡, 굴소스를 넣고 볶는다.
4. 갈빗살을 후추, 소금으로 간 한 뒤 기름을 두른 팬에 굽는다.
5. 핸드블렌더에 자숙새우, 오징어, 굴소스, 달걀물을 넣고 간다.
6. 잘게 썬 마, 자숙새우를 어묵반죽에 넣는다.
7. 어묵반죽을 동그랗게 뭉친 뒤 기름에 넣어 튀긴다.
8. 핸드블렌더에 밀가루, 물을 넣고 간다.
9. 면 반죽을 치댄다.
10. 밀가루 위에 면 반죽을 올린 뒤 밀대로 넓게 민다.
11. 면 반죽을 얇게 썬다.
12. 11을 끓는 물에 삶는다.
13. 짜장소스에 콜라를 넣고 끓인다.
14. 13에 전분물을 넣어 농도를 맞춘다.
15. 수제 어묵을 나무꼬치에 끼운다.
16. 구운 갈빗살에 불고기소스, 참기름, 다진마늘을 넣고 버무린다.
17. 그릇에 수제 면을 담는다.
18. 17에 짜장소스를 올린다.
19. 18에 어묵꼬치와 16을 올린다.</v>
      </c>
    </row>
    <row r="945">
      <c r="A945" s="2" t="str">
        <f>recipe!C945
</f>
        <v>만두가 캐비지</v>
      </c>
      <c r="B945" s="2" t="str">
        <f>IFERROR(__xludf.DUMMYFUNCTION("TRIM(
  REGEXEXTRACT(
    raw!A945,
    ""●\s*조리\s*방법([\s\S]*)""
  )
)
"),"1. 끓는 기름에 대파, 으깬 마늘, 고춧가루를 넣어 고추기름을 만든다.
2. 먹기 좋은 크기로 썬 돼지목살에 굴소스, 다진마늘, 고추냉이를 넣는다.
3. 2에 후추, 맛술을 넣고 버무린다.
4. 3에 전분을 묻힌 뒤 기름에 튀긴다.
5. 데친 양배추에 4를 올린다.
6. 양배추 속에 전분을 묻혀 돌돌 만 뒤 전분을 묻혀 기름에 지진다.
7. 핸드블렌더에 고추기름을 넣고 간다.
8. 간장, 콜라, 다진마늘, 7을 넣고 섞는다.
9. 고추냉"&amp;"이 마요네즈에 8을 섞어 양념장을 만든다.
10. 9에 레몬즙을 뿌린다.
11. 접시에 양배추 만두, 양념장을 올린다.")</f>
        <v>1. 끓는 기름에 대파, 으깬 마늘, 고춧가루를 넣어 고추기름을 만든다.
2. 먹기 좋은 크기로 썬 돼지목살에 굴소스, 다진마늘, 고추냉이를 넣는다.
3. 2에 후추, 맛술을 넣고 버무린다.
4. 3에 전분을 묻힌 뒤 기름에 튀긴다.
5. 데친 양배추에 4를 올린다.
6. 양배추 속에 전분을 묻혀 돌돌 만 뒤 전분을 묻혀 기름에 지진다.
7. 핸드블렌더에 고추기름을 넣고 간다.
8. 간장, 콜라, 다진마늘, 7을 넣고 섞는다.
9. 고추냉이 마요네즈에 8을 섞어 양념장을 만든다.
10. 9에 레몬즙을 뿌린다.
11. 접시에 양배추 만두, 양념장을 올린다.</v>
      </c>
    </row>
    <row r="946">
      <c r="A946" s="2" t="str">
        <f>recipe!C946
</f>
        <v>응답하라 바스크</v>
      </c>
      <c r="B946" s="2" t="str">
        <f>IFERROR(__xludf.DUMMYFUNCTION("TRIM(
  REGEXEXTRACT(
    raw!A946,
    ""●\s*조리\s*방법([\s\S]*)""
  )
)
"),"1. 믹서기에 방울토마토, 마늘을 넣고 갈아 토마토소스를 만든다.
2. 적당한 크기로 썬 양파, 당근, 대파를 기름을 두른 팬에 넣고 볶는다.
3. 소등심에 소금, 후추로 간 한 뒤 밀가루를 버무린다.
4. 3을 2에 넣고 볶은 뒤 압력솥에 넣는다.
5. 4에 토마토소스, 치킨스톡을 넣은 뒤 뚜껑을 닫고 끓인다.
6. 하몽을 얇게 썬 뒤 팬에 넣는다.
7. 6에 간 아몬드를 넣고 볶은 뒤 버터를 넣는다.
8. 7에 마늘, 레드와인을 넣고 끓"&amp;"인다.
9. 8에 두유를 넣고 끓인다.
10. 9에 청양고추를 넣는다.
11. 치킨스톡을 푼 물에 잘게 부순 파스타면을 넣고 삶는다.
12. 10에 카카오 초콜릿을 넣고 끓인다. 13. 압력솥의 5를 팬에 옮긴 뒤 12를 넣고 끓인다.
14. 마늘을 으깬 뒤 소금, 올리브오일을 섞는다.
15. 삶은 파스타면에 초콜릿이 들어간 스튜양념을 넣는다.
16. 15에 14를 넣고 섞는다.
17. 16에 파르메산 치즈가루를 넣고 섞는다.
18. 1"&amp;"7을 접시에 담는다.
19. 18에 잘게 썬 대파, 올리브오일을 두른다.
20. 핸드블렌더에 아몬드를 간다.
21. 19에 간 아몬드를 올린다.
22. 초콜릿이 들어간 스튜를 접시에 담은 뒤 파슬리 가루를 뿌린다.")</f>
        <v>1. 믹서기에 방울토마토, 마늘을 넣고 갈아 토마토소스를 만든다.
2. 적당한 크기로 썬 양파, 당근, 대파를 기름을 두른 팬에 넣고 볶는다.
3. 소등심에 소금, 후추로 간 한 뒤 밀가루를 버무린다.
4. 3을 2에 넣고 볶은 뒤 압력솥에 넣는다.
5. 4에 토마토소스, 치킨스톡을 넣은 뒤 뚜껑을 닫고 끓인다.
6. 하몽을 얇게 썬 뒤 팬에 넣는다.
7. 6에 간 아몬드를 넣고 볶은 뒤 버터를 넣는다.
8. 7에 마늘, 레드와인을 넣고 끓인다.
9. 8에 두유를 넣고 끓인다.
10. 9에 청양고추를 넣는다.
11. 치킨스톡을 푼 물에 잘게 부순 파스타면을 넣고 삶는다.
12. 10에 카카오 초콜릿을 넣고 끓인다. 13. 압력솥의 5를 팬에 옮긴 뒤 12를 넣고 끓인다.
14. 마늘을 으깬 뒤 소금, 올리브오일을 섞는다.
15. 삶은 파스타면에 초콜릿이 들어간 스튜양념을 넣는다.
16. 15에 14를 넣고 섞는다.
17. 16에 파르메산 치즈가루를 넣고 섞는다.
18. 17을 접시에 담는다.
19. 18에 잘게 썬 대파, 올리브오일을 두른다.
20. 핸드블렌더에 아몬드를 간다.
21. 19에 간 아몬드를 올린다.
22. 초콜릿이 들어간 스튜를 접시에 담은 뒤 파슬리 가루를 뿌린다.</v>
      </c>
    </row>
    <row r="947">
      <c r="A947" s="2" t="str">
        <f>recipe!C947
</f>
        <v>응답하라 이탈리아</v>
      </c>
      <c r="B947" s="2" t="str">
        <f>IFERROR(__xludf.DUMMYFUNCTION("TRIM(
  REGEXEXTRACT(
    raw!A947,
    ""●\s*조리\s*방법([\s\S]*)""
  )
)
"),"1. 찜기에 파슬리 가루, 설탕을 넣은 뒤, 돼지목살을 올려 훈연한다.
2. 올리브오일을 두른 냄비에 적당한 크기로 썬 하몽을 넣는다.
3. 2에 양파를 넣어준다.
4. 3에 뜨거운 물을 부어 육수를 만든다.
5. 레몬즙, 소금, 설탕, 올리브오일을 섞는다.
6. 지퍼백에 5를 넣은 뒤 자숙새우를 넣고 재운다.
7. 발사믹 드레싱, 마요네즈를 섞는다.
8. 끓는 물에 소금, 페투치네 파스타면을 넣고 삶는다.
9. 얇게 썬 하몽, 대파, 마"&amp;"늘을 팬에 넣고 볶은 뒤 화이트와인을 넣는다.
10. 9에 육수를 넣어 간을 맞춘다.
11. 올리브유 소스에 재워둔 자숙새우를 고기망치로 두드려 으깬다.
12. 볼에 발사믹 드레싱, 올리브오일, 소금, 설탕을 넣고 섞는다.
13. 12에 당근, 방울토마토, 브로콜리, 후추, 소금을 넣고 버무린다.
14. 접시에 원형틀을 올린 뒤, 11을 담는다.
15. 지퍼백에 7을 넣은 뒤 모서리를 잘라 14에 뿌린다.
16. 15에 13을 올린다.
1"&amp;"7. 16에 셀러리, 아몬드 가루, 후추를 올린다.
18. 훈연한 돼지목살을 석쇠에 올려 굽는다.
19. 삶은 파스타면을 10에 넣어 볶는다.
20. 적당한 크기로 썬 구운 돼지목살을 19에 넣고 볶는다.
21. 20을 접시에 담은 뒤 올리브오일을 뿌린다.
22. 13에 아몬드 가루를 뿌린다.")</f>
        <v>1. 찜기에 파슬리 가루, 설탕을 넣은 뒤, 돼지목살을 올려 훈연한다.
2. 올리브오일을 두른 냄비에 적당한 크기로 썬 하몽을 넣는다.
3. 2에 양파를 넣어준다.
4. 3에 뜨거운 물을 부어 육수를 만든다.
5. 레몬즙, 소금, 설탕, 올리브오일을 섞는다.
6. 지퍼백에 5를 넣은 뒤 자숙새우를 넣고 재운다.
7. 발사믹 드레싱, 마요네즈를 섞는다.
8. 끓는 물에 소금, 페투치네 파스타면을 넣고 삶는다.
9. 얇게 썬 하몽, 대파, 마늘을 팬에 넣고 볶은 뒤 화이트와인을 넣는다.
10. 9에 육수를 넣어 간을 맞춘다.
11. 올리브유 소스에 재워둔 자숙새우를 고기망치로 두드려 으깬다.
12. 볼에 발사믹 드레싱, 올리브오일, 소금, 설탕을 넣고 섞는다.
13. 12에 당근, 방울토마토, 브로콜리, 후추, 소금을 넣고 버무린다.
14. 접시에 원형틀을 올린 뒤, 11을 담는다.
15. 지퍼백에 7을 넣은 뒤 모서리를 잘라 14에 뿌린다.
16. 15에 13을 올린다.
17. 16에 셀러리, 아몬드 가루, 후추를 올린다.
18. 훈연한 돼지목살을 석쇠에 올려 굽는다.
19. 삶은 파스타면을 10에 넣어 볶는다.
20. 적당한 크기로 썬 구운 돼지목살을 19에 넣고 볶는다.
21. 20을 접시에 담은 뒤 올리브오일을 뿌린다.
22. 13에 아몬드 가루를 뿌린다.</v>
      </c>
    </row>
    <row r="948">
      <c r="A948" s="2" t="str">
        <f>recipe!C948
</f>
        <v>국밥정상회담</v>
      </c>
      <c r="B948" s="2" t="str">
        <f>IFERROR(__xludf.DUMMYFUNCTION("TRIM(
  REGEXEXTRACT(
    raw!A948,
    ""●\s*조리\s*방법([\s\S]*)""
  )
)
"),"1. 압력솥에 대파, 양파, 맛술, 사골육수를 넣는다.
2. 닭 껍질을 제거한다.
3. 2를 고기망치로 때려 닭 뼈를 부순 뒤 압력솥에 넣고 뚜껑을 닫아 끓인다.
4. 믹서기에 불린 녹두, 불린 완두콩, 물을 넣고 간 뒤, 밀가루를 넣고 다시 간다.
5. 물에 씻은 묵은지, 표고버섯, 고사리, 삼겹살을 잘게 썬다.
6. 4를 체에 밭쳐 곱게 거른다.
7. 믹서기에 즉석밥, 6을 넣고 간다.
8. 5와 7을 섞은 뒤 소금을 넣어 간 한다.
"&amp;"9. 기름을 두른 팬에 돼지비계를 구워 돼지기름을 낸다.
10. 돼지기름을 두른 팬에 녹두전을 굽는다.
11. 잘게 다진 대파에 간장을 넣는다.
12. 11에 청양고추, 후추, 다진 마늘, 참기름, 깨를 섞어 양념장을 만든다.
13. 양념장을 종지에 담는다.
14. 압력솥에 삶은 닭의 살을 잘게 찢는다.
15. 팬에 달걀흰자, 노른자를 각각 부어 지단을 만든다.
16. 채 썬 표고버섯을 돼지기름에 볶는다.
17. 달걀지단을 채 썬다.
1"&amp;"8. 쌈배추에 뜨거운 물을 부어 데친 뒤 채 썬다.
19. 즉석밥을 데워서 그릇에 담는다.
20. 14에 양념장을 버무린다.
21. 밥 위에 녹두전을 올린다.
22. 녹두전 위에 달걀지단, 홍고추, 고추를 고명으로 올린다.
23. 22에 온반 국물을 붓는다.
24. 23에 후추로 간 한다.")</f>
        <v>1. 압력솥에 대파, 양파, 맛술, 사골육수를 넣는다.
2. 닭 껍질을 제거한다.
3. 2를 고기망치로 때려 닭 뼈를 부순 뒤 압력솥에 넣고 뚜껑을 닫아 끓인다.
4. 믹서기에 불린 녹두, 불린 완두콩, 물을 넣고 간 뒤, 밀가루를 넣고 다시 간다.
5. 물에 씻은 묵은지, 표고버섯, 고사리, 삼겹살을 잘게 썬다.
6. 4를 체에 밭쳐 곱게 거른다.
7. 믹서기에 즉석밥, 6을 넣고 간다.
8. 5와 7을 섞은 뒤 소금을 넣어 간 한다.
9. 기름을 두른 팬에 돼지비계를 구워 돼지기름을 낸다.
10. 돼지기름을 두른 팬에 녹두전을 굽는다.
11. 잘게 다진 대파에 간장을 넣는다.
12. 11에 청양고추, 후추, 다진 마늘, 참기름, 깨를 섞어 양념장을 만든다.
13. 양념장을 종지에 담는다.
14. 압력솥에 삶은 닭의 살을 잘게 찢는다.
15. 팬에 달걀흰자, 노른자를 각각 부어 지단을 만든다.
16. 채 썬 표고버섯을 돼지기름에 볶는다.
17. 달걀지단을 채 썬다.
18. 쌈배추에 뜨거운 물을 부어 데친 뒤 채 썬다.
19. 즉석밥을 데워서 그릇에 담는다.
20. 14에 양념장을 버무린다.
21. 밥 위에 녹두전을 올린다.
22. 녹두전 위에 달걀지단, 홍고추, 고추를 고명으로 올린다.
23. 22에 온반 국물을 붓는다.
24. 23에 후추로 간 한다.</v>
      </c>
    </row>
    <row r="949">
      <c r="A949" s="2" t="str">
        <f>recipe!C949
</f>
        <v>공동만두구역</v>
      </c>
      <c r="B949" s="2" t="str">
        <f>IFERROR(__xludf.DUMMYFUNCTION("TRIM(
  REGEXEXTRACT(
    raw!A949,
    ""●\s*조리\s*방법([\s\S]*)""
  )
)
"),"1. 핸드블렌더에 불린 현미를 넣고 간다.
2. 1을 찜기에 넣고 찐다.
3. 강력분, 중력분, 소금, 식용유, 물을 섞어 만두피 반죽을 만든다.
4. 끓는 물에 사골육수, 꼬리곰탕, 무, 닭발, 소금을 넣어 육수를 만든다.
5. 민어를 손질해 몸통 살만 분리해낸다.
6. 삼겹살의 비계를 떼어낸다.
7. 핸드블렌더에 민어살, 삼겹살 비계를 넣고 간다.
8. 잘게 썬 고사리, 시금치에 7, 생강즙, 다진 마늘, 소금을 섞어 만두소를 만든다.
"&amp;"
9. 밀가루 위에 먹기 좋은 크기로 만두피 반죽 썬다.
10. 만두피 반죽을 밀대로 얇게 밀어 만두피를 만든다.
11. 만두피에 만두소를 넣어 어만두를 빚는다.
12. 어만두를 육수에 삶는다.
13. 불린 노가리의 살을 발라낸다.
14. 물에 씻은 총각김치를 얇게 썬다.
15. 핸드블렌더에 묵은지, 총각김치, 다진마늘, 고추장굴비를 넣고 간다.
16. 물에 씻은 총각김치에 15를 넣는다.
17. 16에 찐 현미를 섞는다.
18. 17에"&amp;" 참기름, 고춧가루, 소금을 넣고 버무린다.
19. 달걀말이, 대파를 얇게 썬다.
20. 김, 청양고추를 얇게 썬다.
21. 어만둣국에 간장을 넣어 간을 한다.
22. 노가리식해를 그릇에 담는다.
23. 그릇에 어만둣국을 담는다.
24. 23에 19, 20을 고명으로 올린다.")</f>
        <v>1. 핸드블렌더에 불린 현미를 넣고 간다.
2. 1을 찜기에 넣고 찐다.
3. 강력분, 중력분, 소금, 식용유, 물을 섞어 만두피 반죽을 만든다.
4. 끓는 물에 사골육수, 꼬리곰탕, 무, 닭발, 소금을 넣어 육수를 만든다.
5. 민어를 손질해 몸통 살만 분리해낸다.
6. 삼겹살의 비계를 떼어낸다.
7. 핸드블렌더에 민어살, 삼겹살 비계를 넣고 간다.
8. 잘게 썬 고사리, 시금치에 7, 생강즙, 다진 마늘, 소금을 섞어 만두소를 만든다.
9. 밀가루 위에 먹기 좋은 크기로 만두피 반죽 썬다.
10. 만두피 반죽을 밀대로 얇게 밀어 만두피를 만든다.
11. 만두피에 만두소를 넣어 어만두를 빚는다.
12. 어만두를 육수에 삶는다.
13. 불린 노가리의 살을 발라낸다.
14. 물에 씻은 총각김치를 얇게 썬다.
15. 핸드블렌더에 묵은지, 총각김치, 다진마늘, 고추장굴비를 넣고 간다.
16. 물에 씻은 총각김치에 15를 넣는다.
17. 16에 찐 현미를 섞는다.
18. 17에 참기름, 고춧가루, 소금을 넣고 버무린다.
19. 달걀말이, 대파를 얇게 썬다.
20. 김, 청양고추를 얇게 썬다.
21. 어만둣국에 간장을 넣어 간을 한다.
22. 노가리식해를 그릇에 담는다.
23. 그릇에 어만둣국을 담는다.
24. 23에 19, 20을 고명으로 올린다.</v>
      </c>
    </row>
    <row r="950">
      <c r="A950" s="2" t="str">
        <f>recipe!C950
</f>
        <v>이게 불낙이야</v>
      </c>
      <c r="B950" s="2" t="str">
        <f>IFERROR(__xludf.DUMMYFUNCTION("TRIM(
  REGEXEXTRACT(
    raw!A950,
    ""●\s*조리\s*방법([\s\S]*)""
  )
)
"),"1. 민어 뼈에 뜨거운 물을 부은 뒤 압력솥에 넣는다.
2. 1에 닭발, 다슬기를 넣고 마늘, 대파, 소금, 청주를 넣는다.
3. 2에 생강즙을 넣은 뒤 압력솥의 뚜껑을 닫고 끓인다.
4. 꽈리고추에 밀가루를 묻힌 뒤 찜기에 넣어 찐다.
5. 끓는 물에 전복을 넣고 데친다.
6. 전골냄비에 아내표 물, 미더덕을 넣는다.
7. 6에 불린 표고버섯, 청양고추를 넣고 끓인다.
8. 장어에 촘촘하게 칼집을 낸 뒤 먹기 좋은 크기로 자른다.
9. "&amp;"데친 전복을 먹기 좋은 크기로 썬다.
10. 낙지를 먹기 좋은 크기로 썬다.
11. 대파, 양파, 소등심을 얇게 썬다.
12. 11에 간장, 후추, 다진 마늘을 넣고 버무린다.
13. 7에 12를 넣은 뒤 새우를 넣고 끓인다.
14. 고춧가루, 물엿, 간장, 참기름, 베트남고추피클을 섞어 양념장을 만든다.
15. 13에 맛술을 넣고 끓인다.
16. 15에 장어를 넣는다.
17. 16에 인삼음료를 넣는다.
18. 17에 굴을 넣는다.
1"&amp;"9. 찐 꽈리고추를 양념장에 묻힌 뒤 접시에 담는다.
20. 육수를 18에 부은 뒤 전복, 브로콜리를 넣고 끓인다.
21. 20에 간장, 다진 마늘을 넣는다.
22. 21에 낙지를 넣는다.
23. 22에 매생이를 넣는다.
24. 23에 생강즙을 넣는다.")</f>
        <v>1. 민어 뼈에 뜨거운 물을 부은 뒤 압력솥에 넣는다.
2. 1에 닭발, 다슬기를 넣고 마늘, 대파, 소금, 청주를 넣는다.
3. 2에 생강즙을 넣은 뒤 압력솥의 뚜껑을 닫고 끓인다.
4. 꽈리고추에 밀가루를 묻힌 뒤 찜기에 넣어 찐다.
5. 끓는 물에 전복을 넣고 데친다.
6. 전골냄비에 아내표 물, 미더덕을 넣는다.
7. 6에 불린 표고버섯, 청양고추를 넣고 끓인다.
8. 장어에 촘촘하게 칼집을 낸 뒤 먹기 좋은 크기로 자른다.
9. 데친 전복을 먹기 좋은 크기로 썬다.
10. 낙지를 먹기 좋은 크기로 썬다.
11. 대파, 양파, 소등심을 얇게 썬다.
12. 11에 간장, 후추, 다진 마늘을 넣고 버무린다.
13. 7에 12를 넣은 뒤 새우를 넣고 끓인다.
14. 고춧가루, 물엿, 간장, 참기름, 베트남고추피클을 섞어 양념장을 만든다.
15. 13에 맛술을 넣고 끓인다.
16. 15에 장어를 넣는다.
17. 16에 인삼음료를 넣는다.
18. 17에 굴을 넣는다.
19. 찐 꽈리고추를 양념장에 묻힌 뒤 접시에 담는다.
20. 육수를 18에 부은 뒤 전복, 브로콜리를 넣고 끓인다.
21. 20에 간장, 다진 마늘을 넣는다.
22. 21에 낙지를 넣는다.
23. 22에 매생이를 넣는다.
24. 23에 생강즙을 넣는다.</v>
      </c>
    </row>
    <row r="951">
      <c r="A951" s="2" t="str">
        <f>recipe!C951
</f>
        <v>장어 뺀 보양식, 그거슨 아니지~</v>
      </c>
      <c r="B951" s="2" t="str">
        <f>IFERROR(__xludf.DUMMYFUNCTION("TRIM(
  REGEXEXTRACT(
    raw!A951,
    ""●\s*조리\s*방법([\s\S]*)""
  )
)
"),"1. 참돔을 잘게 칼집을 낸다.
2. 1에 뜨거운 물을 부은 뒤 맛술을 뿌린다.
3. 2에 다진생강을 묻힌 뒤 찜기에 찐다.
4. 새우머리를 넣은 물에 전복, 낙지를 넣고 데친다.
5. 핸드블렌더에 채끝등심을 넣고 간다.
6. 삼겹살을 얇게 썬다.
7. 가지를 어슷썰기 해서 기름에 튀긴다.
8. 팬에 고추기름을 두른다.
9. 잘게 썬 대파, 으깬 마늘을 고추기름을 두른 팬에 넣는다.
10. 9에 얇게 썬 삼겹살, 간 채끝등심을 넣고 볶는"&amp;"다.
11. 먹기 좋은 크기로 썬 장어에 튀김가루를 묻힌다.
12. 전분, 밀가루, 물을 섞어 튀김반죽을 만든다.
13. 11을 튀김반죽에 묻혀 기름에 튀긴다.
14. 데친 낙지를 건져내 찬물에 식힌다.
15. 4에 새우, 맛술을 넣고 데친 뒤 새우를 건져낸다.
16. 데친 새우를 찬물에 식힌 뒤 껍질을 깐다.
17. 불린 표고버섯과 청양고추를 얇게 썰어 고추장, 샤부샤부소스와 10에 넣고 졸인다.
18. 17에 홍합을 넣고 졸인다.
1"&amp;"9. 18에 먹기 좋은 크기로 썬 꽈리고추를 넣는다.
20. 찐 참돔을 접시에 담는다.
21. 장어튀김을 한 번 더 튀긴다.
22. 어향가지 소스에 전분물을 넣어 농도를 조절한다.
23. 데친 낙지를 먹기 좋은 크기로 썬다.
24. 어향가지 소스를 찐 참돔 위에 올린다.
25. 24에 장어튀김, 낙지를 올린다.
26. 25에 전복, 새우를 올린다.")</f>
        <v>1. 참돔을 잘게 칼집을 낸다.
2. 1에 뜨거운 물을 부은 뒤 맛술을 뿌린다.
3. 2에 다진생강을 묻힌 뒤 찜기에 찐다.
4. 새우머리를 넣은 물에 전복, 낙지를 넣고 데친다.
5. 핸드블렌더에 채끝등심을 넣고 간다.
6. 삼겹살을 얇게 썬다.
7. 가지를 어슷썰기 해서 기름에 튀긴다.
8. 팬에 고추기름을 두른다.
9. 잘게 썬 대파, 으깬 마늘을 고추기름을 두른 팬에 넣는다.
10. 9에 얇게 썬 삼겹살, 간 채끝등심을 넣고 볶는다.
11. 먹기 좋은 크기로 썬 장어에 튀김가루를 묻힌다.
12. 전분, 밀가루, 물을 섞어 튀김반죽을 만든다.
13. 11을 튀김반죽에 묻혀 기름에 튀긴다.
14. 데친 낙지를 건져내 찬물에 식힌다.
15. 4에 새우, 맛술을 넣고 데친 뒤 새우를 건져낸다.
16. 데친 새우를 찬물에 식힌 뒤 껍질을 깐다.
17. 불린 표고버섯과 청양고추를 얇게 썰어 고추장, 샤부샤부소스와 10에 넣고 졸인다.
18. 17에 홍합을 넣고 졸인다.
19. 18에 먹기 좋은 크기로 썬 꽈리고추를 넣는다.
20. 찐 참돔을 접시에 담는다.
21. 장어튀김을 한 번 더 튀긴다.
22. 어향가지 소스에 전분물을 넣어 농도를 조절한다.
23. 데친 낙지를 먹기 좋은 크기로 썬다.
24. 어향가지 소스를 찐 참돔 위에 올린다.
25. 24에 장어튀김, 낙지를 올린다.
26. 25에 전복, 새우를 올린다.</v>
      </c>
    </row>
    <row r="952">
      <c r="A952" s="2" t="str">
        <f>recipe!C952
</f>
        <v>순대거탑</v>
      </c>
      <c r="B952" s="2" t="str">
        <f>IFERROR(__xludf.DUMMYFUNCTION("TRIM(
  REGEXEXTRACT(
    raw!A952,
    ""●\s*조리\s*방법([\s\S]*)""
  )
)
"),"1. 전자레인지에 즉석밥을 넣고 돌린다.
2. 핸드블렌더에 항정살, 순대, 마늘, 다진 생강, 다진 마늘, 물을 넣고 간다.
3. 냄비에 뜨거운 물, 2를 넣고 끓여 순댓국 육수를 낸다.
4. 3에 귀리를 넣는다.
5. 찜기에 순대를 넣고 찐다.
6. 양파와 대파를 잘게 썬 뒤 팬에 넣는다.
7. 핸드블렌더에 항정살, 소등심을 간 뒤 6에 기름과 함께 볶는다.
8. 7에 다진 마늘, 다진 생강, 후추, 고추장, 된장을 넣는다.
9. 8에 "&amp;"청주, 간장, 맛술을 넣어 양념장을 만든다.
10. 배추김치를 물에 씻은 뒤 잘게 썰어 4에 넣는다.
11. 물에 씻은 깍두기를 잘게 썰어 9에 넣는다.
12. 대파의 흰 부분은 채 썰고, 녹색 부분은 잘게 썰고, 당근은 채 썬다.
13. 볼에 고춧가루, 명태회젓, 물엿을 넣은 뒤 12의 채소를 넣고 버무린다.
14. 데운 즉석밥을 얼음물에 헹군다.
15. 찜기에 찐 순대를 꺼낸다.
16. 13에 14를 넣고 버무려 명태회초무침을 만든다.
"&amp;"
17. 16에 잘게 썬 대파, 참기름, 참깨를 올린다.
18. 순댓국 육수를 면보와 체 위에 부어 건더기를 걸러낸다.
19. 18을 뚝배기에 넣는다.
20. 19에 찐 순대를 넣고 끓인다.
21. 20에 잘게 썬 청양고추, 다진 마늘을 넣는다.
22. 양념장과 명태회초무침에 잘게 썬 대파를 올린다.
23. 21에 잘게 썬 홍고추를 올린다.")</f>
        <v>1. 전자레인지에 즉석밥을 넣고 돌린다.
2. 핸드블렌더에 항정살, 순대, 마늘, 다진 생강, 다진 마늘, 물을 넣고 간다.
3. 냄비에 뜨거운 물, 2를 넣고 끓여 순댓국 육수를 낸다.
4. 3에 귀리를 넣는다.
5. 찜기에 순대를 넣고 찐다.
6. 양파와 대파를 잘게 썬 뒤 팬에 넣는다.
7. 핸드블렌더에 항정살, 소등심을 간 뒤 6에 기름과 함께 볶는다.
8. 7에 다진 마늘, 다진 생강, 후추, 고추장, 된장을 넣는다.
9. 8에 청주, 간장, 맛술을 넣어 양념장을 만든다.
10. 배추김치를 물에 씻은 뒤 잘게 썰어 4에 넣는다.
11. 물에 씻은 깍두기를 잘게 썰어 9에 넣는다.
12. 대파의 흰 부분은 채 썰고, 녹색 부분은 잘게 썰고, 당근은 채 썬다.
13. 볼에 고춧가루, 명태회젓, 물엿을 넣은 뒤 12의 채소를 넣고 버무린다.
14. 데운 즉석밥을 얼음물에 헹군다.
15. 찜기에 찐 순대를 꺼낸다.
16. 13에 14를 넣고 버무려 명태회초무침을 만든다.
17. 16에 잘게 썬 대파, 참기름, 참깨를 올린다.
18. 순댓국 육수를 면보와 체 위에 부어 건더기를 걸러낸다.
19. 18을 뚝배기에 넣는다.
20. 19에 찐 순대를 넣고 끓인다.
21. 20에 잘게 썬 청양고추, 다진 마늘을 넣는다.
22. 양념장과 명태회초무침에 잘게 썬 대파를 올린다.
23. 21에 잘게 썬 홍고추를 올린다.</v>
      </c>
    </row>
    <row r="953">
      <c r="A953" s="2" t="str">
        <f>recipe!C953
</f>
        <v>흐린 기억 속의 고추장찌개♬</v>
      </c>
      <c r="B953" s="2" t="str">
        <f>IFERROR(__xludf.DUMMYFUNCTION("TRIM(
  REGEXEXTRACT(
    raw!A953,
    ""●\s*조리\s*방법([\s\S]*)""
  )
)
"),"1. 끓는 물에 국물용 멸치를 넣어 멸치 육수를 낸다.
2. 당근을 적당한 크기로 썬 뒤 전자레인지에 넣고 돌린다.
3. 팬에 항정살을 볶는다.
4. 핸드블렌더에 돼지 내장, 물을 넣고 간다.
5. 3에 4를 넣는다.
6. 양파와 대파를 적당한 크기로 썬 뒤 5에 넣는다.
7. 석쇠에 불린 쥐포를 올려 굽는다.
8. 볼에 고추장, 식초, 설탕, 맛술을 넣고 섞는다.
9. 8에 간장, 참기름, 다진 마늘, 참깨, 잘게 썬 대파를 넣어 쥐포무"&amp;"침 소스를 만든다.
10. 구운 쥐포를 잘게 썬다.
11. 멸치 육수를 체에 밭쳐 건더기를 거른 뒤 5에 넣는다.
12. 11에 2의 당근, 고추장을 넣는다.
13. 12에 된장, 굴소스를 넣는다.
14. 13에 조미료를 넣는다.
15. 핸드블렌더에 항정살, 통조림 참치, 통조림 햄을 넣고 갈아 전 반죽을 만든다.
16. 대파와 양파를 잘게 썬 뒤 전 반죽에 넣고 섞는다.
17. 16을 동그랗게 뭉친 뒤 밀가루&gt;달걀물 순서로 묻혀 기름을 "&amp;"두른 팬에 굽는다.
18. 14에 설탕을 넣는다.
19. 18에 고춧가루를 넣는다.
20. 19에 다진 마늘을 넣는다.
21. 20에 조미료를 넣는다.
22. 구운 쥐포에 쥐포무침 소스를 넣고 무친다.
23. 21에 다진 마늘을 넣는다.
24. 23에 잘게 썬 대파, 홍고추를 올린다.")</f>
        <v>1. 끓는 물에 국물용 멸치를 넣어 멸치 육수를 낸다.
2. 당근을 적당한 크기로 썬 뒤 전자레인지에 넣고 돌린다.
3. 팬에 항정살을 볶는다.
4. 핸드블렌더에 돼지 내장, 물을 넣고 간다.
5. 3에 4를 넣는다.
6. 양파와 대파를 적당한 크기로 썬 뒤 5에 넣는다.
7. 석쇠에 불린 쥐포를 올려 굽는다.
8. 볼에 고추장, 식초, 설탕, 맛술을 넣고 섞는다.
9. 8에 간장, 참기름, 다진 마늘, 참깨, 잘게 썬 대파를 넣어 쥐포무침 소스를 만든다.
10. 구운 쥐포를 잘게 썬다.
11. 멸치 육수를 체에 밭쳐 건더기를 거른 뒤 5에 넣는다.
12. 11에 2의 당근, 고추장을 넣는다.
13. 12에 된장, 굴소스를 넣는다.
14. 13에 조미료를 넣는다.
15. 핸드블렌더에 항정살, 통조림 참치, 통조림 햄을 넣고 갈아 전 반죽을 만든다.
16. 대파와 양파를 잘게 썬 뒤 전 반죽에 넣고 섞는다.
17. 16을 동그랗게 뭉친 뒤 밀가루&gt;달걀물 순서로 묻혀 기름을 두른 팬에 굽는다.
18. 14에 설탕을 넣는다.
19. 18에 고춧가루를 넣는다.
20. 19에 다진 마늘을 넣는다.
21. 20에 조미료를 넣는다.
22. 구운 쥐포에 쥐포무침 소스를 넣고 무친다.
23. 21에 다진 마늘을 넣는다.
24. 23에 잘게 썬 대파, 홍고추를 올린다.</v>
      </c>
    </row>
    <row r="954">
      <c r="A954" s="2" t="str">
        <f>recipe!C954
</f>
        <v>풍장금</v>
      </c>
      <c r="B954" s="2" t="str">
        <f>IFERROR(__xludf.DUMMYFUNCTION("TRIM(
  REGEXEXTRACT(
    raw!A954,
    ""●\s*조리\s*방법([\s\S]*)""
  )
)
"),"1. 끓는 물에 국물용 멸치, 양파, 다진 마늘을 넣고 끓인다.
2. 핸드블렌더에 대파, 항정살, 조미료, 청양고추, 다진 마늘, 후추를 넣고 갈아 만두소를 만든다.
3. 전분을 묻힌 불린 쥐포에 만두소를 넣고 싼 뒤 다시 전분을 묻힌다.
4. 배추김치를 적당한 크기로 썬 뒤 물에 씻는다.
5. 4에 만두소를 넣고 감싼 뒤 전분을 묻힌다.
6. 찜기에 3과 5를 넣고 찐다.
7. 1의 육수를 체에 밭쳐 건더기를 걸러낸 뒤 얼음과 함께 믹서기에"&amp;" 넣고 간다.
8. 끓는 물에 소면을 넣고 삶는다.
9. 소등심을 얇게 썬 뒤 소금으로 간하고 전분을 묻혀 뜨거운 물에 넣고 익힌다.
10. 물에 씻은 배추김치를 채 썬다.
11. 핸드블렌더에 명태회젓, 유자청, 다진 마늘, 포도즙, 참기름을 간다.
12. 7의 육수에 간장, 식초를 넣는다.
13. 12에 레몬즙, 포도즙을 넣는다.
14. 삶은 소면을 찬물에 헹군다.
15. 그릇에 14를 담은 뒤 10의 배추김치, 9의 소등심을 올린다.
"&amp;"
16. 불린 미역을 잘게 썬 뒤 15에 올리고 13의 육수를 붓는다.")</f>
        <v>1. 끓는 물에 국물용 멸치, 양파, 다진 마늘을 넣고 끓인다.
2. 핸드블렌더에 대파, 항정살, 조미료, 청양고추, 다진 마늘, 후추를 넣고 갈아 만두소를 만든다.
3. 전분을 묻힌 불린 쥐포에 만두소를 넣고 싼 뒤 다시 전분을 묻힌다.
4. 배추김치를 적당한 크기로 썬 뒤 물에 씻는다.
5. 4에 만두소를 넣고 감싼 뒤 전분을 묻힌다.
6. 찜기에 3과 5를 넣고 찐다.
7. 1의 육수를 체에 밭쳐 건더기를 걸러낸 뒤 얼음과 함께 믹서기에 넣고 간다.
8. 끓는 물에 소면을 넣고 삶는다.
9. 소등심을 얇게 썬 뒤 소금으로 간하고 전분을 묻혀 뜨거운 물에 넣고 익힌다.
10. 물에 씻은 배추김치를 채 썬다.
11. 핸드블렌더에 명태회젓, 유자청, 다진 마늘, 포도즙, 참기름을 간다.
12. 7의 육수에 간장, 식초를 넣는다.
13. 12에 레몬즙, 포도즙을 넣는다.
14. 삶은 소면을 찬물에 헹군다.
15. 그릇에 14를 담은 뒤 10의 배추김치, 9의 소등심을 올린다.
16. 불린 미역을 잘게 썬 뒤 15에 올리고 13의 육수를 붓는다.</v>
      </c>
    </row>
    <row r="955">
      <c r="A955" s="2" t="str">
        <f>recipe!C955
</f>
        <v>내가 왕이 될 밥상인가?</v>
      </c>
      <c r="B955" s="2" t="str">
        <f>IFERROR(__xludf.DUMMYFUNCTION("TRIM(
  REGEXEXTRACT(
    raw!A955,
    ""●\s*조리\s*방법([\s\S]*)""
  )
)
"),"1. 끓는 물에 불린 잡곡을 넣고 삶는다.
2. 핸드블렌더에 불린 쌀을 넣고 간다.
3. 냄비에 2와 우유를 넣고, 다른 냄비엔 우유만 넣어 끓인다.
4. 마카다미아 초콜릿을 전자레인지에 넣고 녹인다.
5. 소등심을 잘게 채 썬다.
6. 5에 참기름, 잘게 썬 마늘과 대파, 참깨, 후추를 넣고 버무린다.
7. 소등심과 항정살을 잘게 썬 뒤 핸드블렌더로 간다.
8. 쌀과 우유를 끓이던 냄비에 끓인 우유, 설탕을 넣는다.
9. 양파를 잘게 썬"&amp;" 뒤 올리브오일을 두른 팬에 볶는다.
10. 7에 달걀, 9, 소금, 후추를 넣는다.
11. 핸드블렌더에 1의 잡곡을 넣고 간 뒤 10에 넣고 섞는다.
12. 홍고추를 잘게 썬다.
13. 11을 동그랗게 뭉쳐 밀가루를 묻힌 뒤 기름을 두른 팬에 굽는다.
14. 13 위에 잘게 썬 홍고추를 올린다.
15. 육회에 다진 마카다미아를 넣은 뒤 후추를 뿌린다.
16. 8에 버터와 크림치즈를 넣어 타락죽을 만든다.
17. 배추김치를 씻은 뒤 참기름"&amp;"에 무치고 잘게 썬 대파를 올린다.
18. 타락죽에 잘게 썬 대파, 참깨를 올린다.
19. 14에 참깨를 뿌려 마무리한다.")</f>
        <v>1. 끓는 물에 불린 잡곡을 넣고 삶는다.
2. 핸드블렌더에 불린 쌀을 넣고 간다.
3. 냄비에 2와 우유를 넣고, 다른 냄비엔 우유만 넣어 끓인다.
4. 마카다미아 초콜릿을 전자레인지에 넣고 녹인다.
5. 소등심을 잘게 채 썬다.
6. 5에 참기름, 잘게 썬 마늘과 대파, 참깨, 후추를 넣고 버무린다.
7. 소등심과 항정살을 잘게 썬 뒤 핸드블렌더로 간다.
8. 쌀과 우유를 끓이던 냄비에 끓인 우유, 설탕을 넣는다.
9. 양파를 잘게 썬 뒤 올리브오일을 두른 팬에 볶는다.
10. 7에 달걀, 9, 소금, 후추를 넣는다.
11. 핸드블렌더에 1의 잡곡을 넣고 간 뒤 10에 넣고 섞는다.
12. 홍고추를 잘게 썬다.
13. 11을 동그랗게 뭉쳐 밀가루를 묻힌 뒤 기름을 두른 팬에 굽는다.
14. 13 위에 잘게 썬 홍고추를 올린다.
15. 육회에 다진 마카다미아를 넣은 뒤 후추를 뿌린다.
16. 8에 버터와 크림치즈를 넣어 타락죽을 만든다.
17. 배추김치를 씻은 뒤 참기름에 무치고 잘게 썬 대파를 올린다.
18. 타락죽에 잘게 썬 대파, 참깨를 올린다.
19. 14에 참깨를 뿌려 마무리한다.</v>
      </c>
    </row>
    <row r="956">
      <c r="A956" s="2" t="str">
        <f>recipe!C956
</f>
        <v>송훈각</v>
      </c>
      <c r="B956" s="2" t="str">
        <f>IFERROR(__xludf.DUMMYFUNCTION("TRIM(
  REGEXEXTRACT(
    raw!A956,
    ""●\s*조리\s*방법([\s\S]*)""
  )
)
"),"1. 오징어에 칼집을 낸다.
2. 1의 오징어를 적당한 크기로 썬 뒤 끓는 물에 데친다.
3. 2를 찬물에 담가둔다.
4. 대파를 길게 썬다.
5. 대파와 청양고추를 잘게 썬다.
6. 고춧가루, 식용유, 5를 전자레인지에 돌려 고추기름을 낸다.
7. 기름을 두른 팬에 돼지 앞다릿살을 넣는다.
8. 뜨거운 물에 인스턴트 북엇국, 콩나물을 넣는다.
9. 가지를 적당한 크기로 썬 뒤 7에 넣는다.
10. 핸드블렌더에 마늘을 넣고 간다.
11"&amp;". 9에 10, 새송이버섯, 애호박, 4의 대파를 넣는다.
12. 11에 6의 고추기름과 조개젓무침을 넣고 볶는다.
13. 12에 8의 콩나물과 육수, 식초, 간장, 맛술, 후추를 넣는다.
14. 밀가루, 국물용 조미료, 물을 섞어 튀김옷을 만든다.
15. 가지와 애호박을 얇게 썬다.
16. 통조림 햄을 잘게 썬다.
17. 튀김옷에 15와 16을 넣는다.
18. 양파를 잘게 썬 뒤 17에 넣어 기름에 튀긴다.
19. 13에 전분물, 잘게 "&amp;"썬 홍고추, 대파를 넣는다.
20. 상추에 튀김옷을 묻힌 뒤 기름에 튀긴다.
21. 오이지무침을 물에 씻는다.
22. 21에 양파, 고추기름, 국물용 조미료, 후추를 넣고 무친다.
23. 22에 조개젓무침, 대파를 올려 자차이를 만든다.
24. 19에 간장을 넣는다.
25. 데운 뚝배기에 24를 넣은 뒤 데친 오징어를 올린다.
26. 기름에 튀긴 채소를 건져낸다.")</f>
        <v>1. 오징어에 칼집을 낸다.
2. 1의 오징어를 적당한 크기로 썬 뒤 끓는 물에 데친다.
3. 2를 찬물에 담가둔다.
4. 대파를 길게 썬다.
5. 대파와 청양고추를 잘게 썬다.
6. 고춧가루, 식용유, 5를 전자레인지에 돌려 고추기름을 낸다.
7. 기름을 두른 팬에 돼지 앞다릿살을 넣는다.
8. 뜨거운 물에 인스턴트 북엇국, 콩나물을 넣는다.
9. 가지를 적당한 크기로 썬 뒤 7에 넣는다.
10. 핸드블렌더에 마늘을 넣고 간다.
11. 9에 10, 새송이버섯, 애호박, 4의 대파를 넣는다.
12. 11에 6의 고추기름과 조개젓무침을 넣고 볶는다.
13. 12에 8의 콩나물과 육수, 식초, 간장, 맛술, 후추를 넣는다.
14. 밀가루, 국물용 조미료, 물을 섞어 튀김옷을 만든다.
15. 가지와 애호박을 얇게 썬다.
16. 통조림 햄을 잘게 썬다.
17. 튀김옷에 15와 16을 넣는다.
18. 양파를 잘게 썬 뒤 17에 넣어 기름에 튀긴다.
19. 13에 전분물, 잘게 썬 홍고추, 대파를 넣는다.
20. 상추에 튀김옷을 묻힌 뒤 기름에 튀긴다.
21. 오이지무침을 물에 씻는다.
22. 21에 양파, 고추기름, 국물용 조미료, 후추를 넣고 무친다.
23. 22에 조개젓무침, 대파를 올려 자차이를 만든다.
24. 19에 간장을 넣는다.
25. 데운 뚝배기에 24를 넣은 뒤 데친 오징어를 올린다.
26. 기름에 튀긴 채소를 건져낸다.</v>
      </c>
    </row>
    <row r="957">
      <c r="A957" s="2" t="str">
        <f>recipe!C957
</f>
        <v>풍화반점</v>
      </c>
      <c r="B957" s="2" t="str">
        <f>IFERROR(__xludf.DUMMYFUNCTION("TRIM(
  REGEXEXTRACT(
    raw!A957,
    ""●\s*조리\s*방법([\s\S]*)""
  )
)
"),"1. 채칼로 감자를 얇게 슬라이스한 뒤 채 썬다.
2. 1을 찬물에 담가둔다.
3. 2를 체에 밭쳐 건져낸 뒤 키친타월로 물기를 닦아낸다.
4. 끓는 기름에 3을 튀긴다.
5. 돼지 앞다릿살을 잘게 다진다.
6. 5에 달걀노른자, 다진 마늘, 다진 생강, 전분, 소금을 넣고 버무린다.
7. 가지에 칼집을 낸 뒤 찜기에 넣고 찐다.
8. 기름을 두른 팬에 대파, 다진 마늘, 다진 생강을 볶아 파기름을 낸다.
9. 8에 청양고추, 6의 돼지 "&amp;"앞다릿살을 넣는다.
10. 9에 물에 씻은 오이지무침, 으깬 통조림 햄, 맛술을 넣는다.
11. 10에 인스턴트 미역국을 넣는다.
12. 기름을 두른 팬에 다진 마늘, 잘게 썬 홍고추, 다진 생강을 넣고 볶는다.
13. 12에 튀긴 감자채를 넣고 볶는다.
14. 13에 칼국수라면 수프를 넣는다.
15. 14에 새우맛라면 수프를 넣는다.
16. 15와 돼지고기 오이볶음에 고춧가루를 넣는다.
17. 끓는 물에 기름, 소금을 넣은 뒤 상추를 데"&amp;"친다.
18. 청양고추를 잘게 썬 뒤 감자채볶음에 넣는다.
19. 전자레인지에 즉석밥을 넣고 돌린다.
20. 돼지고기 오이볶음에 식초, 설탕을 넣는다.
21. 접시에 데친 상추, 찐 가지, 돼지고기 오이볶음을 올린다.")</f>
        <v>1. 채칼로 감자를 얇게 슬라이스한 뒤 채 썬다.
2. 1을 찬물에 담가둔다.
3. 2를 체에 밭쳐 건져낸 뒤 키친타월로 물기를 닦아낸다.
4. 끓는 기름에 3을 튀긴다.
5. 돼지 앞다릿살을 잘게 다진다.
6. 5에 달걀노른자, 다진 마늘, 다진 생강, 전분, 소금을 넣고 버무린다.
7. 가지에 칼집을 낸 뒤 찜기에 넣고 찐다.
8. 기름을 두른 팬에 대파, 다진 마늘, 다진 생강을 볶아 파기름을 낸다.
9. 8에 청양고추, 6의 돼지 앞다릿살을 넣는다.
10. 9에 물에 씻은 오이지무침, 으깬 통조림 햄, 맛술을 넣는다.
11. 10에 인스턴트 미역국을 넣는다.
12. 기름을 두른 팬에 다진 마늘, 잘게 썬 홍고추, 다진 생강을 넣고 볶는다.
13. 12에 튀긴 감자채를 넣고 볶는다.
14. 13에 칼국수라면 수프를 넣는다.
15. 14에 새우맛라면 수프를 넣는다.
16. 15와 돼지고기 오이볶음에 고춧가루를 넣는다.
17. 끓는 물에 기름, 소금을 넣은 뒤 상추를 데친다.
18. 청양고추를 잘게 썬 뒤 감자채볶음에 넣는다.
19. 전자레인지에 즉석밥을 넣고 돌린다.
20. 돼지고기 오이볶음에 식초, 설탕을 넣는다.
21. 접시에 데친 상추, 찐 가지, 돼지고기 오이볶음을 올린다.</v>
      </c>
    </row>
    <row r="958">
      <c r="A958" s="2" t="str">
        <f>recipe!C958
</f>
        <v>신(辛)봤다</v>
      </c>
      <c r="B958" s="2" t="str">
        <f>IFERROR(__xludf.DUMMYFUNCTION("TRIM(
  REGEXEXTRACT(
    raw!A958,
    ""●\s*조리\s*방법([\s\S]*)""
  )
)
"),"1. 간장, 청주, 맛술, 으깬 청양고추를 넣어 간장 소스를 만든다.
2. 적당한 크기로 썬 가지를 1에 넣은 뒤 찜기에 넣고 찐다.
3. 고춧가루, 다진 마늘, 간장, 잘게 썬 대파에 뜨거운 기름을 넣어 고추기름을 낸다.
4. 청양고추와 홍고추를 잘게 썬다.
5. 오징어를 잘게 다진다.
6. 돼지 앞다릿살의 비계 부분을 떼어낸 뒤 핸드블렌더에 넣고 간다.
7. 팬에 고추기름, 4, 5, 6을 넣고 볶는다.
8. 7에 잘게 썬 양파, 대파,"&amp;" 다진 마늘을 넣는다.
9. 8에 조개젓무침을 넣는다.
10. 9에 소금, 국물용 조미료를 넣는다.
11. 전자레인지에 즉석밥을 넣고 돌린다.
12. 핸드블렌더에 청양고추, 홍고추를 넣고 간 뒤 간장, 달걀을 넣고 다시 간다.
13. 기름에 12을 넣고 튀기듯 굽는다.
14. 13을 뒤집어 튀기듯 굽는다.
15. 찜기에 찐 가지를 꺼내 상추를 담은 접시에 올린 뒤 간장 소스를 뿌린다.
16. 15에 10과 즉석밥을 담는다.
17. 키친타"&amp;"월을 이용해 오믈렛의 기름기를 뺀다.
18. 16에 17의 오믈렛을 올린다.
19. 18에 간장 소스를 뿌린다.")</f>
        <v>1. 간장, 청주, 맛술, 으깬 청양고추를 넣어 간장 소스를 만든다.
2. 적당한 크기로 썬 가지를 1에 넣은 뒤 찜기에 넣고 찐다.
3. 고춧가루, 다진 마늘, 간장, 잘게 썬 대파에 뜨거운 기름을 넣어 고추기름을 낸다.
4. 청양고추와 홍고추를 잘게 썬다.
5. 오징어를 잘게 다진다.
6. 돼지 앞다릿살의 비계 부분을 떼어낸 뒤 핸드블렌더에 넣고 간다.
7. 팬에 고추기름, 4, 5, 6을 넣고 볶는다.
8. 7에 잘게 썬 양파, 대파, 다진 마늘을 넣는다.
9. 8에 조개젓무침을 넣는다.
10. 9에 소금, 국물용 조미료를 넣는다.
11. 전자레인지에 즉석밥을 넣고 돌린다.
12. 핸드블렌더에 청양고추, 홍고추를 넣고 간 뒤 간장, 달걀을 넣고 다시 간다.
13. 기름에 12을 넣고 튀기듯 굽는다.
14. 13을 뒤집어 튀기듯 굽는다.
15. 찜기에 찐 가지를 꺼내 상추를 담은 접시에 올린 뒤 간장 소스를 뿌린다.
16. 15에 10과 즉석밥을 담는다.
17. 키친타월을 이용해 오믈렛의 기름기를 뺀다.
18. 16에 17의 오믈렛을 올린다.
19. 18에 간장 소스를 뿌린다.</v>
      </c>
    </row>
    <row r="959">
      <c r="A959" s="2" t="str">
        <f>recipe!C959
</f>
        <v>스파이시맨</v>
      </c>
      <c r="B959" s="2" t="str">
        <f>IFERROR(__xludf.DUMMYFUNCTION("TRIM(
  REGEXEXTRACT(
    raw!A959,
    ""●\s*조리\s*방법([\s\S]*)""
  )
)
"),"1. 청고추는 올리브오일을 두른 그릴팬에 굽고, 청양고추는 끓는 물에 삶는다.
2. 핸드블렌더에 삶은 청양고추를 넣고 간 뒤, 올리브오일을 넣어 청양고추 소스를 만든다.
3. 핸드블렌더에 버터, 잘게 썬 대파, 양파, 고춧가루, 설탕, 간장을 넣고 간다.
4. 3에 돼지 앞다릿살을 넣고 버무려 재워둔다.
5. 팬에 으깬 마늘, 베이컨, 올리브오일, 다진 마늘을 볶아 마늘 기름을 낸다.
6. 5의 팬에서 베이컨을 제거한다.
7. 청양고추를 잘게"&amp;" 다진다.
8. 1의 구운 청고추를 볼에 담아둔다.
9. 7에 마요네즈, 2, 올리브오일, 후추, 레몬즙을 넣는다.
10. 애호박을 적당한 크기로 썬 뒤 밀가루를 묻혀 기름에 튀긴다.
11. 구운 청고추를 잘게 썬 뒤 레몬즙, 올리브오일을 넣어 고추 절임을 만든다.
12. 9에 잘게 썬 오이, 양파, 마요네즈, 소금, 후추를 넣어 고추 마요네즈 소스를 만든다.
13. 핸드블렌더에 밀가루, 뜨거운 물을 넣고 익반죽한다.
14. 13의 반죽에 "&amp;"밀가루를 묻힌 뒤 밀대로 얇게 민다.
15. 14를 원형틀로 찍어낸 뒤 팬에 굽는다.
16. 팬에 4의 돼지 앞다릿살을 올려 굽는다.
17. 10의 튀긴 애호박을 체에 밭쳐 건져낸다.
18. 5의 마늘 기름에 튀긴 애호박을 넣어 섞어준다.
19. 석쇠에 대파를 올린 뒤 3의 양념을 발라 굽는다.
20. 19의 대파를 16에 넣는다.
21. 20에 2의 청양고추를 넣는다.
22. 접시에 19의 대파, 21의 돼지고기 구이를 올린다.")</f>
        <v>1. 청고추는 올리브오일을 두른 그릴팬에 굽고, 청양고추는 끓는 물에 삶는다.
2. 핸드블렌더에 삶은 청양고추를 넣고 간 뒤, 올리브오일을 넣어 청양고추 소스를 만든다.
3. 핸드블렌더에 버터, 잘게 썬 대파, 양파, 고춧가루, 설탕, 간장을 넣고 간다.
4. 3에 돼지 앞다릿살을 넣고 버무려 재워둔다.
5. 팬에 으깬 마늘, 베이컨, 올리브오일, 다진 마늘을 볶아 마늘 기름을 낸다.
6. 5의 팬에서 베이컨을 제거한다.
7. 청양고추를 잘게 다진다.
8. 1의 구운 청고추를 볼에 담아둔다.
9. 7에 마요네즈, 2, 올리브오일, 후추, 레몬즙을 넣는다.
10. 애호박을 적당한 크기로 썬 뒤 밀가루를 묻혀 기름에 튀긴다.
11. 구운 청고추를 잘게 썬 뒤 레몬즙, 올리브오일을 넣어 고추 절임을 만든다.
12. 9에 잘게 썬 오이, 양파, 마요네즈, 소금, 후추를 넣어 고추 마요네즈 소스를 만든다.
13. 핸드블렌더에 밀가루, 뜨거운 물을 넣고 익반죽한다.
14. 13의 반죽에 밀가루를 묻힌 뒤 밀대로 얇게 민다.
15. 14를 원형틀로 찍어낸 뒤 팬에 굽는다.
16. 팬에 4의 돼지 앞다릿살을 올려 굽는다.
17. 10의 튀긴 애호박을 체에 밭쳐 건져낸다.
18. 5의 마늘 기름에 튀긴 애호박을 넣어 섞어준다.
19. 석쇠에 대파를 올린 뒤 3의 양념을 발라 굽는다.
20. 19의 대파를 16에 넣는다.
21. 20에 2의 청양고추를 넣는다.
22. 접시에 19의 대파, 21의 돼지고기 구이를 올린다.</v>
      </c>
    </row>
    <row r="960">
      <c r="A960" s="2" t="str">
        <f>recipe!C960
</f>
        <v>갈치 한판승</v>
      </c>
      <c r="B960" s="2" t="str">
        <f>IFERROR(__xludf.DUMMYFUNCTION("TRIM(
  REGEXEXTRACT(
    raw!A960,
    ""●\s*조리\s*방법([\s\S]*)""
  )
)
"),"1. 국물백에 양파, 마늘, 국물용 멸치, 대파, 말린 우엉을 넣고 끓는 물에 넣는다.
2. 1에 인스턴트 재첩국, 당근, 호박, 맛술을 넣고 끓인다.
3. 다진마늘을 넣은 육수망도 추가 한 뒤 국간장을 넣고 끓인다.
4. 갈치를 손질해 갈치 살만 발라낸다.
5. 머윗잎을 끓는 소금물에 삶은 뒤 갈치 국에 넣는다.
6. 핸드블렌더에 된장, 물을 넣고 간다.
7. 밀가루, 검정콩+검정깨가루, 된장 물을 섞어 된장떡 반죽을 만든다.
8. 된장떡"&amp;" 반죽에 산초가루, 다진 깻잎을 넣는다.
9. 갈치 살을 머윗잎 삶은 물에 데친다.
10. 올리브오일을 두른 팬에 된장떡 반죽을 부친다.
11. 된장떡 위에 데친 갈치 살을 얹어 감싼다.
12. 전자레인지에 즉석밥을 돌린다.
13. 갈치 된장떡을 접시에 담은 뒤 잘게 썬 홍고추를 올린다.
14. 토치로 고춧가루를 직화한 뒤 다진마늘, 간장, 맛술을 넣어 양념장을 만든다.
15. 즉석밥을 그릇에 담는다.
16. 그릇에 갈치 국을 담은 뒤 홍"&amp;"고추를 올린다.")</f>
        <v>1. 국물백에 양파, 마늘, 국물용 멸치, 대파, 말린 우엉을 넣고 끓는 물에 넣는다.
2. 1에 인스턴트 재첩국, 당근, 호박, 맛술을 넣고 끓인다.
3. 다진마늘을 넣은 육수망도 추가 한 뒤 국간장을 넣고 끓인다.
4. 갈치를 손질해 갈치 살만 발라낸다.
5. 머윗잎을 끓는 소금물에 삶은 뒤 갈치 국에 넣는다.
6. 핸드블렌더에 된장, 물을 넣고 간다.
7. 밀가루, 검정콩+검정깨가루, 된장 물을 섞어 된장떡 반죽을 만든다.
8. 된장떡 반죽에 산초가루, 다진 깻잎을 넣는다.
9. 갈치 살을 머윗잎 삶은 물에 데친다.
10. 올리브오일을 두른 팬에 된장떡 반죽을 부친다.
11. 된장떡 위에 데친 갈치 살을 얹어 감싼다.
12. 전자레인지에 즉석밥을 돌린다.
13. 갈치 된장떡을 접시에 담은 뒤 잘게 썬 홍고추를 올린다.
14. 토치로 고춧가루를 직화한 뒤 다진마늘, 간장, 맛술을 넣어 양념장을 만든다.
15. 즉석밥을 그릇에 담는다.
16. 그릇에 갈치 국을 담은 뒤 홍고추를 올린다.</v>
      </c>
    </row>
    <row r="961">
      <c r="A961" s="2" t="str">
        <f>recipe!C961
</f>
        <v>뭉쳐야 찐다</v>
      </c>
      <c r="B961" s="2" t="str">
        <f>IFERROR(__xludf.DUMMYFUNCTION("TRIM(
  REGEXEXTRACT(
    raw!A961,
    ""●\s*조리\s*방법([\s\S]*)""
  )
)
"),"1. 불린 표고버섯, 가문어를 잘게 썬다.
2. 돌솥에 불린 쌀과 잘게 썬 재료, 완두콩을 함께 넣고 뚜껑을 닫아 익힌다.
3. 갈치를 손질해 갈치 살만 발라낸다.
4. 핸드블렌더에 갈빗살, 양파, 대파, 칠리소스를 넣고 간다.
5. 고기소에 간장을 넣어 간을 한다.
6. 갈치 살 사이에 고기소를 올려 샌드한다.
7. 찜기에 갈치 샌드를 넣어 찐다.
8. 쪽파, 양파, 마늘을 잘게 다진다.
9. 간장, 맛술, 매실액, 참기름, 설탕, 고춧"&amp;"가루를 추가해 양념장을 만든다.
10. 기름을 두른 팬에 갈치 살을 튀긴다.
11. 잘게 썬 애호박을 돌솥밥 위에 올린 뒤 뚜껑을 닫아 익힌다.
12. 잘게 썬 청양고추를 튀긴 갈치에 넣은 뒤 간장을 넣고 조린다.
13. 12에 소금으로 간 한다.
14. 돌솥밥 위에 간장에 조린 갈치 살을 올린다.
15. 찜기에 찐 갈치 샌드를 호박잎에 올린다.
16. 갈치 샌드 위에 양념더덕황태구이, 양념장을 올린 뒤 호박잎으로 감싼다.")</f>
        <v>1. 불린 표고버섯, 가문어를 잘게 썬다.
2. 돌솥에 불린 쌀과 잘게 썬 재료, 완두콩을 함께 넣고 뚜껑을 닫아 익힌다.
3. 갈치를 손질해 갈치 살만 발라낸다.
4. 핸드블렌더에 갈빗살, 양파, 대파, 칠리소스를 넣고 간다.
5. 고기소에 간장을 넣어 간을 한다.
6. 갈치 살 사이에 고기소를 올려 샌드한다.
7. 찜기에 갈치 샌드를 넣어 찐다.
8. 쪽파, 양파, 마늘을 잘게 다진다.
9. 간장, 맛술, 매실액, 참기름, 설탕, 고춧가루를 추가해 양념장을 만든다.
10. 기름을 두른 팬에 갈치 살을 튀긴다.
11. 잘게 썬 애호박을 돌솥밥 위에 올린 뒤 뚜껑을 닫아 익힌다.
12. 잘게 썬 청양고추를 튀긴 갈치에 넣은 뒤 간장을 넣고 조린다.
13. 12에 소금으로 간 한다.
14. 돌솥밥 위에 간장에 조린 갈치 살을 올린다.
15. 찜기에 찐 갈치 샌드를 호박잎에 올린다.
16. 갈치 샌드 위에 양념더덕황태구이, 양념장을 올린 뒤 호박잎으로 감싼다.</v>
      </c>
    </row>
    <row r="962">
      <c r="A962" s="2" t="str">
        <f>recipe!C962
</f>
        <v>갈빗살 베스튜</v>
      </c>
      <c r="B962" s="2" t="str">
        <f>IFERROR(__xludf.DUMMYFUNCTION("TRIM(
  REGEXEXTRACT(
    raw!A962,
    ""●\s*조리\s*방법([\s\S]*)""
  )
)
"),"1. 끓는 물에 완두콩, 흰 강낭콩을 데친다.
2. 칼집을 낸 갈빗살에 밀가루를 묻힌다.
3. 올리브오일을 두른 팬에 밀가루를 묻힌 갈빗살을 볶는다.
4. 핸드블렌더에 갈빗살, 닭고명, 곰탕육수를 넣고 팬에 함께 볶는다.
5. 적당한 크기로 썬 양파, 양배추, 당근도 추가해서 볶는다.
6. 5에 곰탕육수, 케첩, 칠리소스를 넣고 끓인다.
7. 레드와인을 팬에 졸인다.
8. 핸드블렌더에 깻잎, 고추, 마늘, 잣, 올리브오일을 넣고 갈아 깻잎페"&amp;"스토를 만든다.
9. 팬에 버터, 밀가루를 넣은 뒤, 우유를 넣고 끓여 루를 만든다.
10. 서대를 손질해 몸통 살만 분리해낸다 .
11. 서대를 소금, 후추로 간 한다.
12. 졸인 레드와인을 스튜에 넣고 끓인다.
13. 스튜에 케첩을 넣고 끓인다.
14. 스튜에 천연조미료를 넣고 끓인다.
15. 서대를 밀가루에 묻힌 뒤 버터를 두른 팬에 굽는다.
16. 루에 깻잎페스토를 섞은 뒤 소금으로 간 해 깻잎크림소스를 만든다.
17. 깻잎크림"&amp;"소스에 인스턴트 재첩국을 넣고 끓인다.
18. 깻잎크림소스를 접시에 담는다.
19. 키친타월을 이용해 서대 스테이크의 기름기를 뺀 뒤 18에 올린다.
20. 얇게 썬 홍고추를 올린다.
21. 데친 콩을 흐르는 물에 씻은 뒤 올린다.
22. 레몬을 올린 뒤, 스튜를 그릇에 담는다.")</f>
        <v>1. 끓는 물에 완두콩, 흰 강낭콩을 데친다.
2. 칼집을 낸 갈빗살에 밀가루를 묻힌다.
3. 올리브오일을 두른 팬에 밀가루를 묻힌 갈빗살을 볶는다.
4. 핸드블렌더에 갈빗살, 닭고명, 곰탕육수를 넣고 팬에 함께 볶는다.
5. 적당한 크기로 썬 양파, 양배추, 당근도 추가해서 볶는다.
6. 5에 곰탕육수, 케첩, 칠리소스를 넣고 끓인다.
7. 레드와인을 팬에 졸인다.
8. 핸드블렌더에 깻잎, 고추, 마늘, 잣, 올리브오일을 넣고 갈아 깻잎페스토를 만든다.
9. 팬에 버터, 밀가루를 넣은 뒤, 우유를 넣고 끓여 루를 만든다.
10. 서대를 손질해 몸통 살만 분리해낸다 .
11. 서대를 소금, 후추로 간 한다.
12. 졸인 레드와인을 스튜에 넣고 끓인다.
13. 스튜에 케첩을 넣고 끓인다.
14. 스튜에 천연조미료를 넣고 끓인다.
15. 서대를 밀가루에 묻힌 뒤 버터를 두른 팬에 굽는다.
16. 루에 깻잎페스토를 섞은 뒤 소금으로 간 해 깻잎크림소스를 만든다.
17. 깻잎크림소스에 인스턴트 재첩국을 넣고 끓인다.
18. 깻잎크림소스를 접시에 담는다.
19. 키친타월을 이용해 서대 스테이크의 기름기를 뺀 뒤 18에 올린다.
20. 얇게 썬 홍고추를 올린다.
21. 데친 콩을 흐르는 물에 씻은 뒤 올린다.
22. 레몬을 올린 뒤, 스튜를 그릇에 담는다.</v>
      </c>
    </row>
    <row r="963">
      <c r="A963" s="2" t="str">
        <f>recipe!C963
</f>
        <v>굴라시로 입맛 잡아!</v>
      </c>
      <c r="B963" s="2" t="str">
        <f>IFERROR(__xludf.DUMMYFUNCTION("TRIM(
  REGEXEXTRACT(
    raw!A963,
    ""●\s*조리\s*방법([\s\S]*)""
  )
)
"),"1. 끓는 물에 완두콩, 혼합 강낭콩을 데친다.
2. 석쇠에 올린 파프리카를 토치로 직화한다.
3. 잘게 썬 양파, 표고버섯, 닭 고명을 볼에 담는다.
4. 핸드블렌더에 호박잎, 데친 콩을 넣고 간 뒤 썰어둔 재료와 함께 볼에 담는다.
5. 볼에 밀가루, 달걀, 소금, 들깨청을 넣고 섞는다.
6. 스테이크 반죽의 모양을 잡은 뒤 기름을 두른 팬에 굽는다.
7. 핸드블렌더에 다진마늘, 고추장을 넣는다.
8. 7에 탄 부분을 벗겨낸 구운 파프리"&amp;"카, 설탕을 넣고 갈아 파프리카 소스를 만든다.
9. 애호박을 얇게 슬라이스한 뒤 그릴 팬에 굽는다.
10. 양배추를 썬 뒤 팬에 굽는다.
11. 간 재료에 케첩을 넣고 섞는다.
12. 후추로 간 한 갈빗살을 팬에 굽는다.
13. 팬에 구운 양배추, 파프리카를 넣고 함께 볶는다.
14. 구운 콩 스테이크를 냄비에 옮긴 뒤 전자레인지에 돌린다.
15. 구운 애호박, 양배추를 볼에 담는다.
16. 볶던 재료에 파프리카 소스를 넣고 끓인다.
"&amp;"17. 들깨청, 올리브오일, 레몬즙을 섞은 뒤 구운 애호박, 양배추에 무친다.
18. 구운 파프리카를 얇게 썬 뒤 17에 넣는다.
19. 굴라시에 설탕을 넣고 토치로 직화한다.
20. 굴라시에 산초가루를 넣고 끓인다.
21. 콩 스테이크 위에 굴라시를 올린다.
22. 굴라시 위에 애호박 샐러드를 올린 뒤 올리브오일을 뿌린다.")</f>
        <v>1. 끓는 물에 완두콩, 혼합 강낭콩을 데친다.
2. 석쇠에 올린 파프리카를 토치로 직화한다.
3. 잘게 썬 양파, 표고버섯, 닭 고명을 볼에 담는다.
4. 핸드블렌더에 호박잎, 데친 콩을 넣고 간 뒤 썰어둔 재료와 함께 볼에 담는다.
5. 볼에 밀가루, 달걀, 소금, 들깨청을 넣고 섞는다.
6. 스테이크 반죽의 모양을 잡은 뒤 기름을 두른 팬에 굽는다.
7. 핸드블렌더에 다진마늘, 고추장을 넣는다.
8. 7에 탄 부분을 벗겨낸 구운 파프리카, 설탕을 넣고 갈아 파프리카 소스를 만든다.
9. 애호박을 얇게 슬라이스한 뒤 그릴 팬에 굽는다.
10. 양배추를 썬 뒤 팬에 굽는다.
11. 간 재료에 케첩을 넣고 섞는다.
12. 후추로 간 한 갈빗살을 팬에 굽는다.
13. 팬에 구운 양배추, 파프리카를 넣고 함께 볶는다.
14. 구운 콩 스테이크를 냄비에 옮긴 뒤 전자레인지에 돌린다.
15. 구운 애호박, 양배추를 볼에 담는다.
16. 볶던 재료에 파프리카 소스를 넣고 끓인다.
17. 들깨청, 올리브오일, 레몬즙을 섞은 뒤 구운 애호박, 양배추에 무친다.
18. 구운 파프리카를 얇게 썬 뒤 17에 넣는다.
19. 굴라시에 설탕을 넣고 토치로 직화한다.
20. 굴라시에 산초가루를 넣고 끓인다.
21. 콩 스테이크 위에 굴라시를 올린다.
22. 굴라시 위에 애호박 샐러드를 올린 뒤 올리브오일을 뿌린다.</v>
      </c>
    </row>
    <row r="964">
      <c r="A964" s="2" t="str">
        <f>recipe!C964
</f>
        <v>페이스트리 요정</v>
      </c>
      <c r="B964" s="2" t="str">
        <f>IFERROR(__xludf.DUMMYFUNCTION("TRIM(
  REGEXEXTRACT(
    raw!A964,
    ""●\s*조리\s*방법([\s\S]*)""
  )
)
"),"1. 끓는 물에 펜노니를 넣고 삶는다.
2. 핸드블렌더에 밀가루, 달걀노른자, 버터, 물을 넣고 갈아 페이스트리 도우를 만든다.
3. 페이스트리 도우를 밀대로 밀고 접고를 여러 번 반복한다.
4. 페이스트리 도우를 넓게 민 뒤 볼을 이용해 둥근 모양으로 자른다.
5. 볼에 올리브오일을 바른 뒤 페이스트리 도우를 씌운다.
6. 원형틀을 이용해 페이스트리 도우에 여러 구멍을 낸다.
7. 6 위에 볼을 덮은 뒤 기름에 넣고 튀긴다.
8. 팬에 설"&amp;"탕, 버터, 슬라이스한 사과, 시나몬가루, 밀가루, 사과잼, 소금을 넣어 애플파이소를 만든다.
9. 페이스트리 도우를 감싸고 있던 볼을 제거한다.
10. 밀대로 페이스트리 도우를 넓게 민 뒤 애플파이소를 넣어 애플파이를 만든다.
11. 애플파이 테두리를 포크로 눌러 준 뒤, 기름에 튀긴다.
12. 팬에 적당한 크기로 썬 돼지등심과 올리브오일을 넣는다.
13. 잘게 썬 그린빈, 양파, 청양고추, 마늘, 대파와 맛간장을 12에 넣어 고기볶음을 만든"&amp;"다.
14. 튀긴 페이스트리 도우를 건져낸다.
15. 튀긴 애플파이를 건져낸다.
16. 기름을 두른 팬에 얼갈이배추를 볶는다.
17. 고기볶음에 삶은 펜노니를 넣는다.
18. 고기볶음에 후추, 스리라차소스를 넣는다.
19. 고기볶음에 토마토소스를 넣는다.
20. 고기볶음에 후추를 뿌린다.
21. 고기볶음에 볶은 얼갈이배추를 넣는다.
22. 애플파이에 레몬즙, 시나몬가루를 뿌린다.
23. 고기볶음에 얼갈이배추를 올린 뒤 튀긴 페이스트리 "&amp;"도우를 덮는다.
24. 애플파이에 블루베리를 올린다.")</f>
        <v>1. 끓는 물에 펜노니를 넣고 삶는다.
2. 핸드블렌더에 밀가루, 달걀노른자, 버터, 물을 넣고 갈아 페이스트리 도우를 만든다.
3. 페이스트리 도우를 밀대로 밀고 접고를 여러 번 반복한다.
4. 페이스트리 도우를 넓게 민 뒤 볼을 이용해 둥근 모양으로 자른다.
5. 볼에 올리브오일을 바른 뒤 페이스트리 도우를 씌운다.
6. 원형틀을 이용해 페이스트리 도우에 여러 구멍을 낸다.
7. 6 위에 볼을 덮은 뒤 기름에 넣고 튀긴다.
8. 팬에 설탕, 버터, 슬라이스한 사과, 시나몬가루, 밀가루, 사과잼, 소금을 넣어 애플파이소를 만든다.
9. 페이스트리 도우를 감싸고 있던 볼을 제거한다.
10. 밀대로 페이스트리 도우를 넓게 민 뒤 애플파이소를 넣어 애플파이를 만든다.
11. 애플파이 테두리를 포크로 눌러 준 뒤, 기름에 튀긴다.
12. 팬에 적당한 크기로 썬 돼지등심과 올리브오일을 넣는다.
13. 잘게 썬 그린빈, 양파, 청양고추, 마늘, 대파와 맛간장을 12에 넣어 고기볶음을 만든다.
14. 튀긴 페이스트리 도우를 건져낸다.
15. 튀긴 애플파이를 건져낸다.
16. 기름을 두른 팬에 얼갈이배추를 볶는다.
17. 고기볶음에 삶은 펜노니를 넣는다.
18. 고기볶음에 후추, 스리라차소스를 넣는다.
19. 고기볶음에 토마토소스를 넣는다.
20. 고기볶음에 후추를 뿌린다.
21. 고기볶음에 볶은 얼갈이배추를 넣는다.
22. 애플파이에 레몬즙, 시나몬가루를 뿌린다.
23. 고기볶음에 얼갈이배추를 올린 뒤 튀긴 페이스트리 도우를 덮는다.
24. 애플파이에 블루베리를 올린다.</v>
      </c>
    </row>
    <row r="965">
      <c r="A965" s="2" t="str">
        <f>recipe!C965
</f>
        <v>밀가루 신상임당</v>
      </c>
      <c r="B965" s="2" t="str">
        <f>IFERROR(__xludf.DUMMYFUNCTION("TRIM(
  REGEXEXTRACT(
    raw!A965,
    ""●\s*조리\s*방법([\s\S]*)""
  )
)
"),"1. 사과와 복숭아를 잘게 썬 뒤 팬에 넣고 볶는다.
2. 1에 사과잼을 넣고 볶는다..
3. 2에 메이플설탕, 시나몬가루, 설탕을 넣어 애플파이소를 만든다.
4. 밀대로 식빵을 얇게 민 뒤 테두리를 잘라준다.
5. 식빵 테두리에 달걀물을 묻힌 뒤 애플파이소를 넣고 대각선으로 접는다.
6. 5의 테두리와 가운데에 칼집을 낸다.
7. 6에 달걀물을 묻힌 뒤 오븐에 굽는다.
8. 밀가루에 소금을 넣는다.
9. 믹서기에 완두콩, 물을 넣고 간다"&amp;".
10. 소금을 넣은 밀가루에 9를 넣어 라비올리 반죽을 만든다.
11. 라비올리 반죽에 밀가루를 뿌린다.
12. 밀대로 라비올리 반죽을 넓게 민다.
13. 브리치즈, 생모차렐라치즈, 명란젓을 뭉쳐 라비올리소를 만든다.
14. 라비올리 반죽에 라비올리소를 올린 뒤 달걀물을 묻힌다.
15. 라비올리소 위에 만두피를 덮은 뒤 원형틀로 찍어낸다.
16. 라비올리를 빚은 뒤 물에 삶는다.
17. 팬에 적당한 크기로 썬 양파와 아스파라거스를 넣고"&amp;" 볶는다.
18. 청양고추를 잘게 썬 뒤 볶던 재료에 넣는다.
19. 볶던 재료에 새우살을 넣는다.
20. 볶던 재료에 집된장, 설탕, 크림소스를 넣어 된장크림소스를 만든다.
21. 된장크림소스에 얇게 썬 애호박, 라비올리를 삶던 물을 넣는다.
22. 21에 레몬껍질을 갈아 넣는다.
23. 22에 크림소스, 후추, 올리브오일을 넣는다.
24. 접시에 초콜릿시럽, 블루베리, 애플파이소, 딸기를 올린다.
25. 바닐라아이스크림을 접시에 담는다"&amp;".
26. 삶은 라비올리를 된장크림소스에 넣는다.
27. 된장크림 라비올리에 레몬껍질을 갈아 넣는다.
28. 오븐에서 애플파이를 꺼내 접시에 올린다.")</f>
        <v>1. 사과와 복숭아를 잘게 썬 뒤 팬에 넣고 볶는다.
2. 1에 사과잼을 넣고 볶는다..
3. 2에 메이플설탕, 시나몬가루, 설탕을 넣어 애플파이소를 만든다.
4. 밀대로 식빵을 얇게 민 뒤 테두리를 잘라준다.
5. 식빵 테두리에 달걀물을 묻힌 뒤 애플파이소를 넣고 대각선으로 접는다.
6. 5의 테두리와 가운데에 칼집을 낸다.
7. 6에 달걀물을 묻힌 뒤 오븐에 굽는다.
8. 밀가루에 소금을 넣는다.
9. 믹서기에 완두콩, 물을 넣고 간다.
10. 소금을 넣은 밀가루에 9를 넣어 라비올리 반죽을 만든다.
11. 라비올리 반죽에 밀가루를 뿌린다.
12. 밀대로 라비올리 반죽을 넓게 민다.
13. 브리치즈, 생모차렐라치즈, 명란젓을 뭉쳐 라비올리소를 만든다.
14. 라비올리 반죽에 라비올리소를 올린 뒤 달걀물을 묻힌다.
15. 라비올리소 위에 만두피를 덮은 뒤 원형틀로 찍어낸다.
16. 라비올리를 빚은 뒤 물에 삶는다.
17. 팬에 적당한 크기로 썬 양파와 아스파라거스를 넣고 볶는다.
18. 청양고추를 잘게 썬 뒤 볶던 재료에 넣는다.
19. 볶던 재료에 새우살을 넣는다.
20. 볶던 재료에 집된장, 설탕, 크림소스를 넣어 된장크림소스를 만든다.
21. 된장크림소스에 얇게 썬 애호박, 라비올리를 삶던 물을 넣는다.
22. 21에 레몬껍질을 갈아 넣는다.
23. 22에 크림소스, 후추, 올리브오일을 넣는다.
24. 접시에 초콜릿시럽, 블루베리, 애플파이소, 딸기를 올린다.
25. 바닐라아이스크림을 접시에 담는다.
26. 삶은 라비올리를 된장크림소스에 넣는다.
27. 된장크림 라비올리에 레몬껍질을 갈아 넣는다.
28. 오븐에서 애플파이를 꺼내 접시에 올린다.</v>
      </c>
    </row>
    <row r="966">
      <c r="A966" s="2" t="str">
        <f>recipe!C966
</f>
        <v>패셔니스튜</v>
      </c>
      <c r="B966" s="2" t="str">
        <f>IFERROR(__xludf.DUMMYFUNCTION("TRIM(
  REGEXEXTRACT(
    raw!A966,
    ""●\s*조리\s*방법([\s\S]*)""
  )
)
"),"1. 팬에 얇게 썬 양파와 기름을 넣는다.
2. 소금을 넣은 끓는 물에 달걀을 넣고 삶는다.
3. 끓는 물에 소금을 넣은 뒤 체에 밭친 완두콩을 삶는다.
4. 채끝등심을 적당한 크기로 썬 뒤 플뢰르 드 셀 소금을 뿌려 밑간한다.
5. 기름을 두른 팬에 밑간한 채끝등심을 올려 굽는다.
6. 팬에 적당한 크기로 썬 베이컨을 넣은 뒤 기름을 붓는다.
7. 구운 채끝등심을 양파를 굽던 팬에 넣는다.
8. 양파를 잘게 썬다.
9. 올리브오일을 두른"&amp;" 팬에 다진마늘과 양파를 넣는다.
10. 팬에 레드와인을 부어 끓인다.
11. 완두콩을 삶던 물에 아스파라거스를 넣고 삶는다.
12. 볶던 다진마늘에 안초비를 넣어 드레싱을 만든다.
13. 끓인 레드와인을 굽던 채끝등심에 넣어 소고기 스튜를 만든다.
14. 볶은 베이컨을 건져내 기름기를 뺀다.
15. 소고기 스튜에 쌀조청을 넣는다.
16. 소고기 스튜와 드레싱에 연겨자를 넣는다.
17. 드레싱에 홀그레인 머스터드를 넣는다.
18. 팬에 "&amp;"삶은 완두콩, 아스파라거스, 볶은 베이컨을 넣고 볶아 샐러드를 만든다.
19. 샐러드에 플뢰르 드 셀 소금을 뿌려준다.
20. 끓는 물에 그린빈, 적당한 크기로 썬 당근을 넣고 삶는다.
21. 물을 넣은 팬에 버터, 소금, 설탕을 넣고 끓인다.
22. 삶은 그린빈과 당근을 버터 끓인 물에 넣은 뒤 설탕을 뿌린다.
23. 삶은 달걀을 찬물에 식힌 뒤 껍데기를 제거한다.
24. 삶은 달걀을 잘게 썰어 샐러드 위에 올린 뒤 드레싱을 뿌린다.
25"&amp;". 샐러드에 후추를 뿌린다.
26. 끓이던 그린빈과 당근에 설탕을 뿌린다.
27. 접시에 삶던 그린빈과 당근을 담은 뒤 소고기 스튜를 올린다.
28. 소고기 스튜에 그뤼에르 치즈를 갈아 올린다.
29. 소고기 스튜에 트러플 오일을 뿌린다.")</f>
        <v>1. 팬에 얇게 썬 양파와 기름을 넣는다.
2. 소금을 넣은 끓는 물에 달걀을 넣고 삶는다.
3. 끓는 물에 소금을 넣은 뒤 체에 밭친 완두콩을 삶는다.
4. 채끝등심을 적당한 크기로 썬 뒤 플뢰르 드 셀 소금을 뿌려 밑간한다.
5. 기름을 두른 팬에 밑간한 채끝등심을 올려 굽는다.
6. 팬에 적당한 크기로 썬 베이컨을 넣은 뒤 기름을 붓는다.
7. 구운 채끝등심을 양파를 굽던 팬에 넣는다.
8. 양파를 잘게 썬다.
9. 올리브오일을 두른 팬에 다진마늘과 양파를 넣는다.
10. 팬에 레드와인을 부어 끓인다.
11. 완두콩을 삶던 물에 아스파라거스를 넣고 삶는다.
12. 볶던 다진마늘에 안초비를 넣어 드레싱을 만든다.
13. 끓인 레드와인을 굽던 채끝등심에 넣어 소고기 스튜를 만든다.
14. 볶은 베이컨을 건져내 기름기를 뺀다.
15. 소고기 스튜에 쌀조청을 넣는다.
16. 소고기 스튜와 드레싱에 연겨자를 넣는다.
17. 드레싱에 홀그레인 머스터드를 넣는다.
18. 팬에 삶은 완두콩, 아스파라거스, 볶은 베이컨을 넣고 볶아 샐러드를 만든다.
19. 샐러드에 플뢰르 드 셀 소금을 뿌려준다.
20. 끓는 물에 그린빈, 적당한 크기로 썬 당근을 넣고 삶는다.
21. 물을 넣은 팬에 버터, 소금, 설탕을 넣고 끓인다.
22. 삶은 그린빈과 당근을 버터 끓인 물에 넣은 뒤 설탕을 뿌린다.
23. 삶은 달걀을 찬물에 식힌 뒤 껍데기를 제거한다.
24. 삶은 달걀을 잘게 썰어 샐러드 위에 올린 뒤 드레싱을 뿌린다.
25. 샐러드에 후추를 뿌린다.
26. 끓이던 그린빈과 당근에 설탕을 뿌린다.
27. 접시에 삶던 그린빈과 당근을 담은 뒤 소고기 스튜를 올린다.
28. 소고기 스튜에 그뤼에르 치즈를 갈아 올린다.
29. 소고기 스튜에 트러플 오일을 뿌린다.</v>
      </c>
    </row>
    <row r="967">
      <c r="A967" s="2" t="str">
        <f>recipe!C967
</f>
        <v>시칠리아 정식~ 오 솔레미오♬</v>
      </c>
      <c r="B967" s="2" t="str">
        <f>IFERROR(__xludf.DUMMYFUNCTION("TRIM(
  REGEXEXTRACT(
    raw!A967,
    ""●\s*조리\s*방법([\s\S]*)""
  )
)
"),"1. 소금을 넣은 끓는 물에 리카토니를 넣고 삶는다.
2. 핸드블렌더에 마늘, 올리브오일을 넣고 간다.
3. 올리브오일을 두른 팬에 간 마늘, 안초비를 볶아 안초비 소스를 만든다.
4. 가자미살을 적당한 크기로 썬 뒤 안초비 소스에 넣는다.
5. 그릴팬에 식빵을 굽는다.
6. 잘게 썬 애호박에 밀가루를 묻힌 뒤 기름에 튀긴다.
7. 잘게 썬 아스파라거스에 밀가루를 묻힌 뒤 기름에 튀긴다.
8. 적당한 크기로 썬 그린빈에 밀가루를 묻힌 뒤 기"&amp;"름에 튀긴다.
9. 적당한 크기로 썬 양파에 밀가루를 묻힌 뒤 기름에 튀긴다.
10. 방울토마토를 반으로 썬다.
11. 올리브 오일을 두른 팬에 안초비, 간 마늘을 넣고 볶은 뒤 열무, 소금, 후추를 넣고 볶는다.
12. 토마토소스, 발사믹식초, 설탕, 올리브오일, 후추, 레몬즙을 넣어 소스를 만든다.
13. 기름에 튀긴 각종 채소들을 건져내 기름기를 뺀 뒤 소금을 뿌려 간한다.
14. 안초비 소스에 면수와 방울토마토를 넣는다.
15. 튀긴"&amp;" 각종 채소들을 소스에 넣고 버무린다.
16. 안초비 소스에 면수를 넣는다.
17. 구운 식빵의 테두리를 잘라낸다.
18. 생모차렐라 치즈를 잘게 썬다.
19. 방울토마토에 생모차렐라치즈, 레몬즙, 발사믹식초, 후추를 넣어 토마토 샐러드를 만든다.
20. 구운 식빵에 바질페스토를 바른다.
21. 삶은 리카토니를 안초비 소스에 넣어 안초비 파스타를 만든다.
22. 바게트 과자를 잘게 부순다.
23. 접시에 발사믹식초를 뿌린 뒤 토마토 샐러드"&amp;", 바질페스토 식빵, 레몬을 올린다.
24. 그릴팬에 가자미살을 올린 뒤 올리브오일을 뿌려 굽는다.
25. 안초비 파스타 위에 부순 바게트 과자를 뿌린다.
26. 접시에 열무를 올린다.
27. 소스에 버무린 튀긴 채소들을 접시에 올린다.
28. 열무를 담은 접시에 구운 가자미살, 레몬을 올린다.")</f>
        <v>1. 소금을 넣은 끓는 물에 리카토니를 넣고 삶는다.
2. 핸드블렌더에 마늘, 올리브오일을 넣고 간다.
3. 올리브오일을 두른 팬에 간 마늘, 안초비를 볶아 안초비 소스를 만든다.
4. 가자미살을 적당한 크기로 썬 뒤 안초비 소스에 넣는다.
5. 그릴팬에 식빵을 굽는다.
6. 잘게 썬 애호박에 밀가루를 묻힌 뒤 기름에 튀긴다.
7. 잘게 썬 아스파라거스에 밀가루를 묻힌 뒤 기름에 튀긴다.
8. 적당한 크기로 썬 그린빈에 밀가루를 묻힌 뒤 기름에 튀긴다.
9. 적당한 크기로 썬 양파에 밀가루를 묻힌 뒤 기름에 튀긴다.
10. 방울토마토를 반으로 썬다.
11. 올리브 오일을 두른 팬에 안초비, 간 마늘을 넣고 볶은 뒤 열무, 소금, 후추를 넣고 볶는다.
12. 토마토소스, 발사믹식초, 설탕, 올리브오일, 후추, 레몬즙을 넣어 소스를 만든다.
13. 기름에 튀긴 각종 채소들을 건져내 기름기를 뺀 뒤 소금을 뿌려 간한다.
14. 안초비 소스에 면수와 방울토마토를 넣는다.
15. 튀긴 각종 채소들을 소스에 넣고 버무린다.
16. 안초비 소스에 면수를 넣는다.
17. 구운 식빵의 테두리를 잘라낸다.
18. 생모차렐라 치즈를 잘게 썬다.
19. 방울토마토에 생모차렐라치즈, 레몬즙, 발사믹식초, 후추를 넣어 토마토 샐러드를 만든다.
20. 구운 식빵에 바질페스토를 바른다.
21. 삶은 리카토니를 안초비 소스에 넣어 안초비 파스타를 만든다.
22. 바게트 과자를 잘게 부순다.
23. 접시에 발사믹식초를 뿌린 뒤 토마토 샐러드, 바질페스토 식빵, 레몬을 올린다.
24. 그릴팬에 가자미살을 올린 뒤 올리브오일을 뿌려 굽는다.
25. 안초비 파스타 위에 부순 바게트 과자를 뿌린다.
26. 접시에 열무를 올린다.
27. 소스에 버무린 튀긴 채소들을 접시에 올린다.
28. 열무를 담은 접시에 구운 가자미살, 레몬을 올린다.</v>
      </c>
    </row>
    <row r="968">
      <c r="A968" s="2" t="str">
        <f>recipe!C968
</f>
        <v>생생 리소통</v>
      </c>
      <c r="B968" s="2" t="str">
        <f>IFERROR(__xludf.DUMMYFUNCTION("TRIM(
  REGEXEXTRACT(
    raw!A968,
    ""●\s*조리\s*방법([\s\S]*)""
  )
)
"),"1. 양파를 잘게 다진 뒤 끊는 물에 양파, 대파를 넣는다.
2. 지퍼백에 당근, 닭다리를 넣고 고기망치로 으깬 뒤 냄비에 함께 넣어 육수를 낸다.
3. 육수에 통마늘, 통후추, 맛술을 넣고 끓인다.
4. 새우의 살만 발라낸다.
5. 기름을 두른 팬에 잘게 다진 양파를 넣고 볶는다.
6. 양파를 볶던 팬에 잘게 으깬 누룽지를 넣는다.
7. 누룽지에 올리브오일을 넣고 볶아준다.
8. 볶던 누룽지에 잘게 다진 마늘, 토마토퓌레, 새우 살을 넣는"&amp;"다.
9. 누룽지에 육수를 넣고 끓인다.
10. 체리 씨를 발라낸다.
11. 팬에 물, 청양고추를 넣고 끓인다.
12. 팬에 오미자효소, 설탕, 식초, 소금, 체리를 추가해 끓인다.
13. 옥수수의 알을 발라낸 뒤 누룽지 리소토에 넣는다.
14. 누룽지 리소토에 버터를 넣고 끓인다.
15. 누룽지 리소토에 구워먹는 치즈를 갈아 넣는다.
16. 누룽지를 기름에 튀긴 뒤 당유자청, 잘게 다진 당유자를 넣고 버무린다.
17. 누룽지 리소토에 "&amp;"으깬 누룽지를 한 번 더 넣고 끓인다.
18. 체리 피클의 체리를 얼음에 식힌다.
19. 잔에 당유자에 버무린 누룽지&gt;수제요거트&gt;당유자에 버무린 누룽지 순으로 올린 뒤 초콜릿을 갈아 넣는다.
20. 19에 수제요거트&gt;누룽지 디저트&gt;수제요거트 순으로 올린다.
21. 잔 위에 금귤청, 초콜릿을 올린 뒤 얼음에 식힌다.
22. 누룽지 리소토를 접시에 담는다.
23. 리소토 위에 올리브오일, 트러플 소스, 바질페스토를 올린다.
24. 얼음에 식힌 "&amp;"체리피클을 접시에 담는다.")</f>
        <v>1. 양파를 잘게 다진 뒤 끊는 물에 양파, 대파를 넣는다.
2. 지퍼백에 당근, 닭다리를 넣고 고기망치로 으깬 뒤 냄비에 함께 넣어 육수를 낸다.
3. 육수에 통마늘, 통후추, 맛술을 넣고 끓인다.
4. 새우의 살만 발라낸다.
5. 기름을 두른 팬에 잘게 다진 양파를 넣고 볶는다.
6. 양파를 볶던 팬에 잘게 으깬 누룽지를 넣는다.
7. 누룽지에 올리브오일을 넣고 볶아준다.
8. 볶던 누룽지에 잘게 다진 마늘, 토마토퓌레, 새우 살을 넣는다.
9. 누룽지에 육수를 넣고 끓인다.
10. 체리 씨를 발라낸다.
11. 팬에 물, 청양고추를 넣고 끓인다.
12. 팬에 오미자효소, 설탕, 식초, 소금, 체리를 추가해 끓인다.
13. 옥수수의 알을 발라낸 뒤 누룽지 리소토에 넣는다.
14. 누룽지 리소토에 버터를 넣고 끓인다.
15. 누룽지 리소토에 구워먹는 치즈를 갈아 넣는다.
16. 누룽지를 기름에 튀긴 뒤 당유자청, 잘게 다진 당유자를 넣고 버무린다.
17. 누룽지 리소토에 으깬 누룽지를 한 번 더 넣고 끓인다.
18. 체리 피클의 체리를 얼음에 식힌다.
19. 잔에 당유자에 버무린 누룽지&gt;수제요거트&gt;당유자에 버무린 누룽지 순으로 올린 뒤 초콜릿을 갈아 넣는다.
20. 19에 수제요거트&gt;누룽지 디저트&gt;수제요거트 순으로 올린다.
21. 잔 위에 금귤청, 초콜릿을 올린 뒤 얼음에 식힌다.
22. 누룽지 리소토를 접시에 담는다.
23. 리소토 위에 올리브오일, 트러플 소스, 바질페스토를 올린다.
24. 얼음에 식힌 체리피클을 접시에 담는다.</v>
      </c>
    </row>
    <row r="969">
      <c r="A969" s="2" t="str">
        <f>recipe!C969
</f>
        <v>니들이 게살수프 맛을 알아?</v>
      </c>
      <c r="B969" s="2" t="str">
        <f>IFERROR(__xludf.DUMMYFUNCTION("TRIM(
  REGEXEXTRACT(
    raw!A969,
    ""●\s*조리\s*방법([\s\S]*)""
  )
)
"),"1. 바지락을 체에 밭쳐 끓는 물에 데친다.
2. 바지락 데친 물에 육수팩, 황태채를 넣고 육수를 낸다.
3. 누룽지를 체에 밭쳐 기름에 튀긴다.
4. 새우의 살만 발라낸다.
5. 팬에 설탕을 넣고 녹인다.
6. 데친 바지락의 살만 발라낸다.
7. 믹서기에 밀가루, 튀김가루, 물, 불린 누룽지를 넣고 갈아 누룽지 반죽을 만든다.
8. 튀긴 누룽지를 녹인 설탕에 묻힌 뒤 식힌다.
9. 육수에서 건더기를 걸러낸 뒤 뜨거운 물을 넣고 끓인다.
"&amp;"
10. 육수에 새우, 떡국떡, 팽이버섯, 으깬 두부, 주꾸미를 넣고 끓인다.
11. 육수에 불린 누룽지를 추가한 뒤 체에 밭쳐 낙지를 데친다.
12. 게맛살을 얇게 찢어준다.
13. 기름을 두른 팬에 누룽지 반죽을 올려 굽는다.
14. 누룽지 전 반죽에 양념돼지갈비를 올린다.
15. 누룽지 전 반죽에 게맛살, 바지락살, 낙지를 추가한다.
16. 누룽지 게살수프에 새우살, 후추, 팽이버섯, 게 간장, 전분 물을 넣고 끓인다.
17. 누룽지 "&amp;"게살수프에 달걀 물을 넣고 끓인다.
18. 누룽지 게살수프를 그릇에 담은 뒤 참기름을 뿌려준다.")</f>
        <v>1. 바지락을 체에 밭쳐 끓는 물에 데친다.
2. 바지락 데친 물에 육수팩, 황태채를 넣고 육수를 낸다.
3. 누룽지를 체에 밭쳐 기름에 튀긴다.
4. 새우의 살만 발라낸다.
5. 팬에 설탕을 넣고 녹인다.
6. 데친 바지락의 살만 발라낸다.
7. 믹서기에 밀가루, 튀김가루, 물, 불린 누룽지를 넣고 갈아 누룽지 반죽을 만든다.
8. 튀긴 누룽지를 녹인 설탕에 묻힌 뒤 식힌다.
9. 육수에서 건더기를 걸러낸 뒤 뜨거운 물을 넣고 끓인다.
10. 육수에 새우, 떡국떡, 팽이버섯, 으깬 두부, 주꾸미를 넣고 끓인다.
11. 육수에 불린 누룽지를 추가한 뒤 체에 밭쳐 낙지를 데친다.
12. 게맛살을 얇게 찢어준다.
13. 기름을 두른 팬에 누룽지 반죽을 올려 굽는다.
14. 누룽지 전 반죽에 양념돼지갈비를 올린다.
15. 누룽지 전 반죽에 게맛살, 바지락살, 낙지를 추가한다.
16. 누룽지 게살수프에 새우살, 후추, 팽이버섯, 게 간장, 전분 물을 넣고 끓인다.
17. 누룽지 게살수프에 달걀 물을 넣고 끓인다.
18. 누룽지 게살수프를 그릇에 담은 뒤 참기름을 뿌려준다.</v>
      </c>
    </row>
    <row r="970">
      <c r="A970" s="2" t="str">
        <f>recipe!C970
</f>
        <v>고인돌 떡갈비</v>
      </c>
      <c r="B970" s="2" t="str">
        <f>IFERROR(__xludf.DUMMYFUNCTION("TRIM(
  REGEXEXTRACT(
    raw!A970,
    ""●\s*조리\s*방법([\s\S]*)""
  )
)
"),"1. 끓는 물에 육수팩을 넣어 육수를 낸다.
2. 핸드블렌더에 돼지목살, 양념돼지갈비를 넣는다.
3. 핸드블랜더에 달걀을 넣고 함께 갈아 떡갈비 반죽을 만든다.
4. 기름을 두른 팬에 다진 양파, 떡갈비 반죽을 넣고 볶는다.
5. 팬에 토마토퓌레를 추가해 함께 볶는다.
6. 팬에 월남쌈 소스, 스테이크소스, 설탕을 넣어 떡갈비 소스를 만든다.
7. 떡갈비 반죽에 전분, 밀가루를 섞는다.
8. 떡갈비 반죽을 치대 찰기를 준 뒤 반죽의 모양을 "&amp;"잡는다.
9. 수삼을 뼈 모양으로 자른다.
10. 파스타면을 육수에 삶는다.
11. 나무꼬치 양쪽에 수삼을 꽂아 뼈대를 만든 뒤 떡갈비 반죽을 감싸 고인돌 모양으로 다듬는다.
12. 기름을 두른 팬에 고인돌 떡갈비를 굽는다.
13. 고인돌 떡갈비를 접시에 옮긴 뒤 전자레인지에 돌린다.
14. 기름을 두른 팬에 얇게 썬 마늘, 차돌박이를 넣고 볶는다.
15. 팬에 면수, 설탕, 맛간장, 굴소스를 추가해 볶아준다.
16. 삶은 파스타면을 차돌"&amp;"박이 파스타 소스와 버터를 넣고 볶는다.
17. 전자레인지에서 익힌 고인돌 떡갈비에 떡갈비 소스를 뿌려준다.
18. 차돌박이 파스타에 트러플 소스를 넣고 볶는다.
19. 접시에 고인돌 떡갈비를 담는다.
20. 접시에 차돌박이 파스타를 함께 담는다.
21. 구워먹는 치즈를 갈아 위에 뿌려준다.")</f>
        <v>1. 끓는 물에 육수팩을 넣어 육수를 낸다.
2. 핸드블렌더에 돼지목살, 양념돼지갈비를 넣는다.
3. 핸드블랜더에 달걀을 넣고 함께 갈아 떡갈비 반죽을 만든다.
4. 기름을 두른 팬에 다진 양파, 떡갈비 반죽을 넣고 볶는다.
5. 팬에 토마토퓌레를 추가해 함께 볶는다.
6. 팬에 월남쌈 소스, 스테이크소스, 설탕을 넣어 떡갈비 소스를 만든다.
7. 떡갈비 반죽에 전분, 밀가루를 섞는다.
8. 떡갈비 반죽을 치대 찰기를 준 뒤 반죽의 모양을 잡는다.
9. 수삼을 뼈 모양으로 자른다.
10. 파스타면을 육수에 삶는다.
11. 나무꼬치 양쪽에 수삼을 꽂아 뼈대를 만든 뒤 떡갈비 반죽을 감싸 고인돌 모양으로 다듬는다.
12. 기름을 두른 팬에 고인돌 떡갈비를 굽는다.
13. 고인돌 떡갈비를 접시에 옮긴 뒤 전자레인지에 돌린다.
14. 기름을 두른 팬에 얇게 썬 마늘, 차돌박이를 넣고 볶는다.
15. 팬에 면수, 설탕, 맛간장, 굴소스를 추가해 볶아준다.
16. 삶은 파스타면을 차돌박이 파스타 소스와 버터를 넣고 볶는다.
17. 전자레인지에서 익힌 고인돌 떡갈비에 떡갈비 소스를 뿌려준다.
18. 차돌박이 파스타에 트러플 소스를 넣고 볶는다.
19. 접시에 고인돌 떡갈비를 담는다.
20. 접시에 차돌박이 파스타를 함께 담는다.
21. 구워먹는 치즈를 갈아 위에 뿌려준다.</v>
      </c>
    </row>
    <row r="971">
      <c r="A971" s="2" t="str">
        <f>recipe!C971
</f>
        <v>금 나와라 와라~ 금탕♬</v>
      </c>
      <c r="B971" s="2" t="str">
        <f>IFERROR(__xludf.DUMMYFUNCTION("TRIM(
  REGEXEXTRACT(
    raw!A971,
    ""●\s*조리\s*방법([\s\S]*)""
  )
)
"),"1. 끓는 물에 육수팩, 황태채를 넣어 육수를 낸다.
2. 끓는 물에 팽이버섯을 데친 뒤 접시에 담는다.
3. 끓는 물에 차돌박이를 데친다.
4. 데친 차돌박이를 물에 씻은 뒤 팽이버섯 위에 올린다.
5. 소금으로 간 한 돼지목살을 지퍼백에 넣은 뒤 고기망치로 두드린다.
6. 돼지 목살에 전분을 묻힌 뒤 기름에 튀긴다.
7. 기름을 두른 팬에 다진마늘, 청양고추, 참기름, 생강즙, 대파, 된장을 넣는다.
8. 팬에 카레가루를 추가해 함께 볶"&amp;"는다.
9. 카레와 각종 재료를 넣고 볶던 팬에 육수를 넣고 끓인다.
10. 9에 소금, 식초, 맛술을 넣고 끓인다.
11. 복숭아의 껍질을 벗긴다.
12. 기름을 두른 팬에 얇게 썬 복숭아를 굽는다.
13. 수박을 팬에 올린 뒤, 복숭아와 수박 위에 설탕을 뿌린다.
14. 굽던 복숭아와 수박에 소금으로 간 한다.
15. 목살 스테이크에 청귤청을 발라 한 번 더 굽는다.
16. 목살 스테이크에 한 번 더 소금으로 간한다.
17. 금탕 국"&amp;"물에 전분물을 넣는다.
18. 접시에 구운 과일을 담는다.
19. 구운 과일 위에 목살스테이크를 올린다.
20. 차돌면에 금탕 국물을 붓는다.")</f>
        <v>1. 끓는 물에 육수팩, 황태채를 넣어 육수를 낸다.
2. 끓는 물에 팽이버섯을 데친 뒤 접시에 담는다.
3. 끓는 물에 차돌박이를 데친다.
4. 데친 차돌박이를 물에 씻은 뒤 팽이버섯 위에 올린다.
5. 소금으로 간 한 돼지목살을 지퍼백에 넣은 뒤 고기망치로 두드린다.
6. 돼지 목살에 전분을 묻힌 뒤 기름에 튀긴다.
7. 기름을 두른 팬에 다진마늘, 청양고추, 참기름, 생강즙, 대파, 된장을 넣는다.
8. 팬에 카레가루를 추가해 함께 볶는다.
9. 카레와 각종 재료를 넣고 볶던 팬에 육수를 넣고 끓인다.
10. 9에 소금, 식초, 맛술을 넣고 끓인다.
11. 복숭아의 껍질을 벗긴다.
12. 기름을 두른 팬에 얇게 썬 복숭아를 굽는다.
13. 수박을 팬에 올린 뒤, 복숭아와 수박 위에 설탕을 뿌린다.
14. 굽던 복숭아와 수박에 소금으로 간 한다.
15. 목살 스테이크에 청귤청을 발라 한 번 더 굽는다.
16. 목살 스테이크에 한 번 더 소금으로 간한다.
17. 금탕 국물에 전분물을 넣는다.
18. 접시에 구운 과일을 담는다.
19. 구운 과일 위에 목살스테이크를 올린다.
20. 차돌면에 금탕 국물을 붓는다.</v>
      </c>
    </row>
    <row r="972">
      <c r="A972" s="2" t="str">
        <f>recipe!C972
</f>
        <v>기절토풍</v>
      </c>
      <c r="B972" s="2" t="str">
        <f>IFERROR(__xludf.DUMMYFUNCTION("TRIM(
  REGEXEXTRACT(
    raw!A972,
    ""●\s*조리\s*방법([\s\S]*)""
  )
)
"),"1. 압력솥의 끓는 물에 적당한 크기로 썬 토마토, 청양고추, 마늘, 양파, 대파, 전복을 넣는다.
2. 1에 새우젓, 액상조미료, 적당한 크기로 썬 옥수수를 넣은 뒤 뚜껑을 닫고 끓인다.
3. 밀가루, 전분, 식용유, 물을 섞는다.
4. 3을 핸드블렌더로 갈아 면 반죽을 만든 뒤 손으로 치댄다.
5. 밀가루 위에 면 반죽을 올린 뒤 밀대로 넓게 민다.
6. 면 반죽을 여러 겹으로 접은 뒤 얇게 썬다.
7. 동두부의 물기를 짠다.
8. 동두"&amp;"부를 적당한 크기로 썬 뒤 기름에 튀긴다.
9. 오징어의 껍질을 벗긴다.
10. 껍질을 벗긴 오징어를 잘게 썬다.
11. 끓는 기름에 대파, 고춧가루, 마늘을 넣어 고추기름을 낸다.
12. 기름을 두른 팬에 느타리버섯, 토마토를 넣어 굽는다.
13. 고추기름을 체에 밭쳐 건더기를 걸러낸다.
14. 압력솥의 김을 뺀다.
15. 토마토와 느타리버섯을 굽던 팬에 압력솥의 육수만 체에 밭쳐 넣는다.
16. 육수에 뜨거운 물을 넣는다.
17. 육"&amp;"수에 오징어, 전분물을 넣고 끓인다.
18. 끓는 물에 면 반죽을 넣고 삶는다.
19 삶은 면을 건져낸 뒤 얼음물에 넣어 식힌다.
20. 전복과 튀긴 동두부를 적당한 크기로 썬 뒤 면 위에 올린다.
21. 면 위에 전복과 육수, 고추기름을 넣는다.
22. 면 위에 잘게 썬 깻잎, 팽이버섯을 올린다.")</f>
        <v>1. 압력솥의 끓는 물에 적당한 크기로 썬 토마토, 청양고추, 마늘, 양파, 대파, 전복을 넣는다.
2. 1에 새우젓, 액상조미료, 적당한 크기로 썬 옥수수를 넣은 뒤 뚜껑을 닫고 끓인다.
3. 밀가루, 전분, 식용유, 물을 섞는다.
4. 3을 핸드블렌더로 갈아 면 반죽을 만든 뒤 손으로 치댄다.
5. 밀가루 위에 면 반죽을 올린 뒤 밀대로 넓게 민다.
6. 면 반죽을 여러 겹으로 접은 뒤 얇게 썬다.
7. 동두부의 물기를 짠다.
8. 동두부를 적당한 크기로 썬 뒤 기름에 튀긴다.
9. 오징어의 껍질을 벗긴다.
10. 껍질을 벗긴 오징어를 잘게 썬다.
11. 끓는 기름에 대파, 고춧가루, 마늘을 넣어 고추기름을 낸다.
12. 기름을 두른 팬에 느타리버섯, 토마토를 넣어 굽는다.
13. 고추기름을 체에 밭쳐 건더기를 걸러낸다.
14. 압력솥의 김을 뺀다.
15. 토마토와 느타리버섯을 굽던 팬에 압력솥의 육수만 체에 밭쳐 넣는다.
16. 육수에 뜨거운 물을 넣는다.
17. 육수에 오징어, 전분물을 넣고 끓인다.
18. 끓는 물에 면 반죽을 넣고 삶는다.
19 삶은 면을 건져낸 뒤 얼음물에 넣어 식힌다.
20. 전복과 튀긴 동두부를 적당한 크기로 썬 뒤 면 위에 올린다.
21. 면 위에 전복과 육수, 고추기름을 넣는다.
22. 면 위에 잘게 썬 깻잎, 팽이버섯을 올린다.</v>
      </c>
    </row>
    <row r="973">
      <c r="A973" s="2" t="str">
        <f>recipe!C973
</f>
        <v>봉주르 부야베스</v>
      </c>
      <c r="B973" s="2" t="str">
        <f>IFERROR(__xludf.DUMMYFUNCTION("TRIM(
  REGEXEXTRACT(
    raw!A973,
    ""●\s*조리\s*방법([\s\S]*)""
  )
)
"),"1. 끓는 기름에 대파, 고춧가루를 넣어 고추기름을 낸다.
2. 끓는 물에 국물용 멸치, 국물용 조미료, 양파, 대파, 청양고추, 소금을 넣어 채소 육수를 낸다.
3. 가자미살 커틀릿의 튀김옷을 떼어낸다.
4. 가자미살, 마늘, 양파를 적당한 크기로 썬 뒤 냄비에 넣고 올리브오일을 뿌려 굽는다.
5. 냄비에 올리브오일, 잘게 썬 양파, 건새우, 소금, 토마토소스, 토마토, 감자를 넣는다.
6. 채소 육수를 굽던 가자미살과 5에 넣어 각각 가자미"&amp;"살 육수, 토마토 육수를 만든다.
7. 토마토 육수에 고추기름과 가자미살 육수를 넣는다.
8. 토마토 육수에 깍두기를 넣는다.
9. 올리브오일을 두른 팬에 잘게 썬 애호박, 느타리버섯, 소금을 넣고 볶는다.
10. 올리브오일을 두른 팬에 토마토를 굽는다.
11. 토마토 육수를 체에 밭쳐 건더기를 걸러낸 뒤 뚝배기에 넣는다.
12. 뚝배기에 토마토 육수의 토마토, 감자, 깍두기, 건새우를 넣는다.
13. 뚝배기에 구운 토마토를 넣는다.
14"&amp;". 연어를 채소 육수에 넣어 익힌다.
15. 물, 잘게 썬 청양고추, 홍고추, 간장, 소금, 식초, 잘게 썬 대파, 후추를 섞어 양념간장을 만든다.
16. 뚝배기에 볶은 느타리버섯, 애호박과 잘게 썬 대파를 넣는다.
17. 뚝배기에 토마토즙을 넣는다.
18. 뚝배기에 익힌 연어를 올린다.")</f>
        <v>1. 끓는 기름에 대파, 고춧가루를 넣어 고추기름을 낸다.
2. 끓는 물에 국물용 멸치, 국물용 조미료, 양파, 대파, 청양고추, 소금을 넣어 채소 육수를 낸다.
3. 가자미살 커틀릿의 튀김옷을 떼어낸다.
4. 가자미살, 마늘, 양파를 적당한 크기로 썬 뒤 냄비에 넣고 올리브오일을 뿌려 굽는다.
5. 냄비에 올리브오일, 잘게 썬 양파, 건새우, 소금, 토마토소스, 토마토, 감자를 넣는다.
6. 채소 육수를 굽던 가자미살과 5에 넣어 각각 가자미살 육수, 토마토 육수를 만든다.
7. 토마토 육수에 고추기름과 가자미살 육수를 넣는다.
8. 토마토 육수에 깍두기를 넣는다.
9. 올리브오일을 두른 팬에 잘게 썬 애호박, 느타리버섯, 소금을 넣고 볶는다.
10. 올리브오일을 두른 팬에 토마토를 굽는다.
11. 토마토 육수를 체에 밭쳐 건더기를 걸러낸 뒤 뚝배기에 넣는다.
12. 뚝배기에 토마토 육수의 토마토, 감자, 깍두기, 건새우를 넣는다.
13. 뚝배기에 구운 토마토를 넣는다.
14. 연어를 채소 육수에 넣어 익힌다.
15. 물, 잘게 썬 청양고추, 홍고추, 간장, 소금, 식초, 잘게 썬 대파, 후추를 섞어 양념간장을 만든다.
16. 뚝배기에 볶은 느타리버섯, 애호박과 잘게 썬 대파를 넣는다.
17. 뚝배기에 토마토즙을 넣는다.
18. 뚝배기에 익힌 연어를 올린다.</v>
      </c>
    </row>
    <row r="974">
      <c r="A974" s="2" t="str">
        <f>recipe!C974
</f>
        <v>쌀 스틸러</v>
      </c>
      <c r="B974" s="2" t="str">
        <f>IFERROR(__xludf.DUMMYFUNCTION("TRIM(
  REGEXEXTRACT(
    raw!A974,
    ""●\s*조리\s*방법([\s\S]*)""
  )
)
"),"1. 끓는 물에 불린 쌀을 넣고 삶는다.
2. 생닭의 다리를 잘라내고 뼈를 발골한 뒤 끓는 물에 다리뼈를 넣는다.
3. 2에 사골육수, 다리뼈를 잘라낸 생닭을 넣어 육수를 낸다.
4. 닭다리살에 칠리파우더수프와 라면수프, 올리브오일을 바른다.
5. 베이컨을 잘게 썬다.
6. 마늘맛 소시지를 적당한 크기로 썬다.
7. 올리브오일을 두른 팬에 베이컨, 마늘맛 소시지를 넣는다.
8. 소등심을 적당한 크기로 썬 뒤 7에 넣어 볶는다.
9. 소등심"&amp;"을 볶던 팬에 건새우를 넣는다.
10. 삶은 쌀을 체에 밭쳐 쌀만 걸러낸다.
11. 오징어를 적당한 크기로 썬다.
12. 파프리카피클과 반으로 가른 방울토마토를 볶던 재료에 넣는다
13. 대파를 잘게 썬다.
14. 잘게 썬 대파와 청양고추를 볶던 재료에 넣는다.
15. 양파를 잘게 썬 뒤 14에 넣는다.
16. 토마토고추장을 15에 넣는다.
17. 16에 청주를 넣는다.
18. 양념을 바른 닭다리살을 기름을 두른 팬에 올린다.
19. "&amp;"삶은 쌀을 볶던 재료에 넣어 잠발라야를 만든다.
20. 닭다리살을 굽는 팬에 팽이버섯을 올려 굽는다.
21. 잠발라야에 닭육수를 넣는다.
22. 잠발라야에 고춧가루, 후추를 넣는다.
23. 훈제 닭가슴살을 잘게 썬 뒤 잠발라야에 넣는다.
24. 잠발라야에 토마토소스를 넣는다.
25. 잠발라야와 닭다리살을 굽는 팬에 맛술을 넣는다.
26. 볶은 팽이버섯을 키친타월 위에 올려 기름기를 뺀다.
27. 석쇠에 구운 닭다리살을 올려 직화한다.
2"&amp;"8. 팬에 버터, 오징어를 넣고 볶는다.
29. 양파를 석쇠에 올린 뒤 직화한 닭다리살을 올려 굽는다.
30. 오징어를 굽던 팬에 잠발라야를 넣는다.
31. 30에 구운 팽이버섯을 올린다.
32. 구운 닭다리살을 적당한 크기로 썬다.
33. 구운 닭다리살과 잘게 썬 대파를 잠발라야 위에 올린다.")</f>
        <v>1. 끓는 물에 불린 쌀을 넣고 삶는다.
2. 생닭의 다리를 잘라내고 뼈를 발골한 뒤 끓는 물에 다리뼈를 넣는다.
3. 2에 사골육수, 다리뼈를 잘라낸 생닭을 넣어 육수를 낸다.
4. 닭다리살에 칠리파우더수프와 라면수프, 올리브오일을 바른다.
5. 베이컨을 잘게 썬다.
6. 마늘맛 소시지를 적당한 크기로 썬다.
7. 올리브오일을 두른 팬에 베이컨, 마늘맛 소시지를 넣는다.
8. 소등심을 적당한 크기로 썬 뒤 7에 넣어 볶는다.
9. 소등심을 볶던 팬에 건새우를 넣는다.
10. 삶은 쌀을 체에 밭쳐 쌀만 걸러낸다.
11. 오징어를 적당한 크기로 썬다.
12. 파프리카피클과 반으로 가른 방울토마토를 볶던 재료에 넣는다
13. 대파를 잘게 썬다.
14. 잘게 썬 대파와 청양고추를 볶던 재료에 넣는다.
15. 양파를 잘게 썬 뒤 14에 넣는다.
16. 토마토고추장을 15에 넣는다.
17. 16에 청주를 넣는다.
18. 양념을 바른 닭다리살을 기름을 두른 팬에 올린다.
19. 삶은 쌀을 볶던 재료에 넣어 잠발라야를 만든다.
20. 닭다리살을 굽는 팬에 팽이버섯을 올려 굽는다.
21. 잠발라야에 닭육수를 넣는다.
22. 잠발라야에 고춧가루, 후추를 넣는다.
23. 훈제 닭가슴살을 잘게 썬 뒤 잠발라야에 넣는다.
24. 잠발라야에 토마토소스를 넣는다.
25. 잠발라야와 닭다리살을 굽는 팬에 맛술을 넣는다.
26. 볶은 팽이버섯을 키친타월 위에 올려 기름기를 뺀다.
27. 석쇠에 구운 닭다리살을 올려 직화한다.
28. 팬에 버터, 오징어를 넣고 볶는다.
29. 양파를 석쇠에 올린 뒤 직화한 닭다리살을 올려 굽는다.
30. 오징어를 굽던 팬에 잠발라야를 넣는다.
31. 30에 구운 팽이버섯을 올린다.
32. 구운 닭다리살을 적당한 크기로 썬다.
33. 구운 닭다리살과 잘게 썬 대파를 잠발라야 위에 올린다.</v>
      </c>
    </row>
    <row r="975">
      <c r="A975" s="2" t="str">
        <f>recipe!C975
</f>
        <v>쌀와디캅</v>
      </c>
      <c r="B975" s="2" t="str">
        <f>IFERROR(__xludf.DUMMYFUNCTION("TRIM(
  REGEXEXTRACT(
    raw!A975,
    ""●\s*조리\s*방법([\s\S]*)""
  )
)
"),"1. 믹서기에 쌀을 넣고 간다.
2. 간 쌀을 체에 밭쳐 곱게 거른다.
3. 끓는 물에 간 쌀을 넣고 끓인다.
5. 건새우, 양배추, 표고버섯을 잘게 썰어 팬에 볶는다.
6. 청양고추, 홍고추, 팽이버섯을 잘게 썰어 볶은 재료와 함께 담아둔다.
7. 적당한 크기로 썬 양파, 대파, 생강즙을 불린 보리굴비에 넣는다.
8. 찜기에 7을 넣고 찐다.
9. 압력솥에 불린 문어와 문어 불린 물을 넣는다.
10. 불린 마른 오징어를 잘게 썬 뒤 9에"&amp;" 넣는다.
11. 10에 표고버섯을 넣은 뒤 뚜껑을 닫고 끓여 육수를 만든다.
12. 채소와 버섯을 볶았던 팬에 건새우를 넣는다.
13. 달군 팬에 다진 마늘, 약고추장을 넣어 볶는다.
14. 13에 쌀을 끓이던 물을 넣는다.
15. 14에 설탕을 넣는다.
16. 15에 참기름을 넣어 고추장 양념을 만든다.
17. 찜기의 보리굴비에 참기름을 뿌린다.
18. 전복에 뜨거운 물을 부어 데친다.
19. 압력솥에 물을 부어 식히며 김을 뺀다.
"&amp;"
20. 찐 보리굴비의 살을 발라낸다.
21. 채소와 버섯이 담긴 팬에 액상조미료, 압력솥의 육수를 넣는다.
22. 끓인 쌀을 체에 밭쳐 건더기만 걸러낸 뒤 찬물에 헹군다.
23. 데친 전복의 껍데기를 제거한 뒤 잘게 썰어 육수에 넣는다.
24. 조리한 밥 위에 23를 붓는다.
25. 고추장 양념에 보리굴비 살, 잘게 썬 대파, 생강즙, 참깨를 넣고 버무린다.")</f>
        <v>1. 믹서기에 쌀을 넣고 간다.
2. 간 쌀을 체에 밭쳐 곱게 거른다.
3. 끓는 물에 간 쌀을 넣고 끓인다.
5. 건새우, 양배추, 표고버섯을 잘게 썰어 팬에 볶는다.
6. 청양고추, 홍고추, 팽이버섯을 잘게 썰어 볶은 재료와 함께 담아둔다.
7. 적당한 크기로 썬 양파, 대파, 생강즙을 불린 보리굴비에 넣는다.
8. 찜기에 7을 넣고 찐다.
9. 압력솥에 불린 문어와 문어 불린 물을 넣는다.
10. 불린 마른 오징어를 잘게 썬 뒤 9에 넣는다.
11. 10에 표고버섯을 넣은 뒤 뚜껑을 닫고 끓여 육수를 만든다.
12. 채소와 버섯을 볶았던 팬에 건새우를 넣는다.
13. 달군 팬에 다진 마늘, 약고추장을 넣어 볶는다.
14. 13에 쌀을 끓이던 물을 넣는다.
15. 14에 설탕을 넣는다.
16. 15에 참기름을 넣어 고추장 양념을 만든다.
17. 찜기의 보리굴비에 참기름을 뿌린다.
18. 전복에 뜨거운 물을 부어 데친다.
19. 압력솥에 물을 부어 식히며 김을 뺀다.
20. 찐 보리굴비의 살을 발라낸다.
21. 채소와 버섯이 담긴 팬에 액상조미료, 압력솥의 육수를 넣는다.
22. 끓인 쌀을 체에 밭쳐 건더기만 걸러낸 뒤 찬물에 헹군다.
23. 데친 전복의 껍데기를 제거한 뒤 잘게 썰어 육수에 넣는다.
24. 조리한 밥 위에 23를 붓는다.
25. 고추장 양념에 보리굴비 살, 잘게 썬 대파, 생강즙, 참깨를 넣고 버무린다.</v>
      </c>
    </row>
    <row r="976">
      <c r="A976" s="2" t="str">
        <f>recipe!C976
</f>
        <v>쌈밥의 여인♬</v>
      </c>
      <c r="B976" s="2" t="str">
        <f>IFERROR(__xludf.DUMMYFUNCTION("TRIM(
  REGEXEXTRACT(
    raw!A976,
    ""●\s*조리\s*방법([\s\S]*)""
  )
)
"),"1. 끓는 물에 바지락을 넣는다.
2. 레몬, 화이트와인, 다진 마늘을 넣고 삶는다.
3. 볼에 감자를 넣고 랩을 씌워 구멍을 뚫어준 뒤 즉석밥과 함께 전자레인지에 돌린다.
4. 얇게 썬 오이지를 물에 헹궈 짠맛을 뺀다.
5. 채 썬 파프리카, 고추를 팬에 넣는다.
6. 팬에 애호박 슬라이스를 넣고 올리브오일을 두른 뒤 굽는다.
7. 바지락 육수에 브로콜리를 데친다.
8. 삶은 바지락의 살만 발라낸다.
9. 데친 브로콜리의 송이부분을 잘게"&amp;" 썬다.
10. 냉동아보카도, 잘게 썬 브로콜리, 소금, 즉석밥을 섞어 브로콜리 밥을 만든다.
11. 기름을 두른 팬에 다진마늘, 소금, 완두콩, 닭육수을 넣고 볶아 뇨키 소스를 만든다.
12. 뇨키 소스에 바지락, 오이지를 넣는다.
13. 잘게 썬 애호박, 표고버섯을 팬에 넣는다.
14. 13에 된장을 넣고 볶은 뒤 바지락 살을 넣는다.
15. 핸드블렌더에 익은 감자, 밀가루, 슬라이스 치즈를 넣고 간다.
16. 15에 밀가루, 다진 바지"&amp;"락 살을 넣어 뇨키 반죽을 만든다.
17. 뇨키 반죽을 적당한 크기로 떼어내 포크로 모양을 내준 뒤 끓는 물에 익힌다.
18. 김발에 상추, 깻잎을 깔고 그 위에 브로콜리 밥을 올린다.
19. 밥 위에 구운 파프리카, 바지락 쌈장을 올린다.
20. 김발로 말아 낸 뒤 찜기에 찐다.
21. 뇨키 소스에 참깨소스, 버터를 넣고 끓인다.
22. 소스에 들깨가루를 넣고 끓인다.
23. 소스에 얇게 썬 고추, 전분물을 넣고 끓인다.
24. 뇨키를 "&amp;"소스에 넣은 뒤 잘게 썬 브로콜리, 구운 채소를 넣는다.
25. 접시에 바지락 뇨키를 담는다.
26. 바지락 쌈밥을 먹기 좋은 크기로 썬다.")</f>
        <v>1. 끓는 물에 바지락을 넣는다.
2. 레몬, 화이트와인, 다진 마늘을 넣고 삶는다.
3. 볼에 감자를 넣고 랩을 씌워 구멍을 뚫어준 뒤 즉석밥과 함께 전자레인지에 돌린다.
4. 얇게 썬 오이지를 물에 헹궈 짠맛을 뺀다.
5. 채 썬 파프리카, 고추를 팬에 넣는다.
6. 팬에 애호박 슬라이스를 넣고 올리브오일을 두른 뒤 굽는다.
7. 바지락 육수에 브로콜리를 데친다.
8. 삶은 바지락의 살만 발라낸다.
9. 데친 브로콜리의 송이부분을 잘게 썬다.
10. 냉동아보카도, 잘게 썬 브로콜리, 소금, 즉석밥을 섞어 브로콜리 밥을 만든다.
11. 기름을 두른 팬에 다진마늘, 소금, 완두콩, 닭육수을 넣고 볶아 뇨키 소스를 만든다.
12. 뇨키 소스에 바지락, 오이지를 넣는다.
13. 잘게 썬 애호박, 표고버섯을 팬에 넣는다.
14. 13에 된장을 넣고 볶은 뒤 바지락 살을 넣는다.
15. 핸드블렌더에 익은 감자, 밀가루, 슬라이스 치즈를 넣고 간다.
16. 15에 밀가루, 다진 바지락 살을 넣어 뇨키 반죽을 만든다.
17. 뇨키 반죽을 적당한 크기로 떼어내 포크로 모양을 내준 뒤 끓는 물에 익힌다.
18. 김발에 상추, 깻잎을 깔고 그 위에 브로콜리 밥을 올린다.
19. 밥 위에 구운 파프리카, 바지락 쌈장을 올린다.
20. 김발로 말아 낸 뒤 찜기에 찐다.
21. 뇨키 소스에 참깨소스, 버터를 넣고 끓인다.
22. 소스에 들깨가루를 넣고 끓인다.
23. 소스에 얇게 썬 고추, 전분물을 넣고 끓인다.
24. 뇨키를 소스에 넣은 뒤 잘게 썬 브로콜리, 구운 채소를 넣는다.
25. 접시에 바지락 뇨키를 담는다.
26. 바지락 쌈밥을 먹기 좋은 크기로 썬다.</v>
      </c>
    </row>
    <row r="977">
      <c r="A977" s="2" t="str">
        <f>recipe!C977
</f>
        <v>바지락상회</v>
      </c>
      <c r="B977" s="2" t="str">
        <f>IFERROR(__xludf.DUMMYFUNCTION("TRIM(
  REGEXEXTRACT(
    raw!A977,
    ""●\s*조리\s*방법([\s\S]*)""
  )
)
"),"1. 끓는 물에 바지락을 삶는다.
2. 국물백에 황태채, 국물용 새우, 국물용 멸치를 넣은 뒤 끓는 물에 박정수표 육수를 함께 넣는다.
3. 핸드블렌더에 매생이, 밀가루, 물을 넣고 갈아 매생이 만두피 반죽을 만든다.
4. 믹서기에 소고기 양지를 간다.
5. 간 소고기 양지에 간장소스, 다진마늘, 올리브오일, 다진 파를 넣고 버무린다.
6. 삶은 바지락의 살만 발라낸다. 7. 해물육수에 얇게 썬 애호박을 넣는다.
8. 양념된 양지에 바지락 살"&amp;", 간장소스를 넣고 버무려 만두소를 만든다.
9. 조기의 살만 발라낸다.
10. 핸드블렌더에 조기 살, 전분, 간장소스, 달걀물을 넣고 갈아 완자반죽을 만든다.
11. 완자반죽에 완두콩을 넣고 섞는다.
12. 매생이 만두피 반죽에 밀가루를 섞은 뒤 적당한 크기로 떼어낸다.
13. 밀가루 위에 매생이 만두피 반죽을 올린 뒤 밀대로 넓게 민다.
14. 만두피에 만두소를 넣어 만두를 빚는다.
15. 국물백을 건져낸 뒤 바지락 만두, 조기완자를 넣"&amp;"고 끓인다.
16. 바지락 만둣국에 맛간장을 넣는다.
17. 대파를 잘게 썬 뒤. 바지락 만둣국에 달걀물을 넣는다.
18. 바지락 만둣국을 그릇에 담는다.")</f>
        <v>1. 끓는 물에 바지락을 삶는다.
2. 국물백에 황태채, 국물용 새우, 국물용 멸치를 넣은 뒤 끓는 물에 박정수표 육수를 함께 넣는다.
3. 핸드블렌더에 매생이, 밀가루, 물을 넣고 갈아 매생이 만두피 반죽을 만든다.
4. 믹서기에 소고기 양지를 간다.
5. 간 소고기 양지에 간장소스, 다진마늘, 올리브오일, 다진 파를 넣고 버무린다.
6. 삶은 바지락의 살만 발라낸다. 7. 해물육수에 얇게 썬 애호박을 넣는다.
8. 양념된 양지에 바지락 살, 간장소스를 넣고 버무려 만두소를 만든다.
9. 조기의 살만 발라낸다.
10. 핸드블렌더에 조기 살, 전분, 간장소스, 달걀물을 넣고 갈아 완자반죽을 만든다.
11. 완자반죽에 완두콩을 넣고 섞는다.
12. 매생이 만두피 반죽에 밀가루를 섞은 뒤 적당한 크기로 떼어낸다.
13. 밀가루 위에 매생이 만두피 반죽을 올린 뒤 밀대로 넓게 민다.
14. 만두피에 만두소를 넣어 만두를 빚는다.
15. 국물백을 건져낸 뒤 바지락 만두, 조기완자를 넣고 끓인다.
16. 바지락 만둣국에 맛간장을 넣는다.
17. 대파를 잘게 썬 뒤. 바지락 만둣국에 달걀물을 넣는다.
18. 바지락 만둣국을 그릇에 담는다.</v>
      </c>
    </row>
    <row r="978">
      <c r="A978" s="2" t="str">
        <f>recipe!C978
</f>
        <v>옥돔이 뭐길래</v>
      </c>
      <c r="B978" s="2" t="str">
        <f>IFERROR(__xludf.DUMMYFUNCTION("TRIM(
  REGEXEXTRACT(
    raw!A978,
    ""●\s*조리\s*방법([\s\S]*)""
  )
)
"),"1. 볼에 감자를 넣고 랩을 씌워 구멍을 뚫어준 뒤 전자레인지에 돌린다.
2. 옥수수의 알을 발라낸 뒤 체에 밭쳐 끓는 물에 데친다.
3. 잘게 썬 양파, 파프리카를 팬에 볶는다.
4. 속을 발라낸 오이지를 잘게 썬 뒤 물에 담가 짠맛을 뺀다. 5. 옥돔의 살만 발라낸다.
6. 옥돔 살에 칼집을 낸 뒤 올리브오일을 두른 팬에 굽는다.
7. 익힌 감자에 냉동아보카도를 넣고 으깬다.
8. 물기를 짜낸 잘게 썬 오이지를 볶던 채소에 넣고 볶아준다."&amp;"
9. 데친 옥수수 알을 꺼낸다.
10. 믹서기에 데친 옥수수, 닭육수를 넣고 간다.
11. 으깬 감자아보카도에 마요네즈, 참깨소스를 넣고 섞는다.
12. 11에 소금, 날치알을 넣고 섞는다.
13. 팬에 옥수수 퓌레를 올린다.
14. 옥수수 퓌레에 소금, 버터를 넣고 섞어준다.
15. 감자아보카도 샐러드에 옥돔구이를 올린다.
16. 토치로 옥돔구이를 직화한다.
17. 접시에 옥수수 퓌레를 깔고 그 위에 옥돔구이를 올린 감자아보카도 샐러"&amp;"드를 올린다.
18. 속을 파낸 오이를 얇게 썬 뒤 접시에 올린다.
19. 레몬껍질을 갈아서 올린다.
20. 옥돔구이에 발사믹드레싱을 뿌려준다.
21. 그 위에 올리브오일을 뿌려준다.")</f>
        <v>1. 볼에 감자를 넣고 랩을 씌워 구멍을 뚫어준 뒤 전자레인지에 돌린다.
2. 옥수수의 알을 발라낸 뒤 체에 밭쳐 끓는 물에 데친다.
3. 잘게 썬 양파, 파프리카를 팬에 볶는다.
4. 속을 발라낸 오이지를 잘게 썬 뒤 물에 담가 짠맛을 뺀다. 5. 옥돔의 살만 발라낸다.
6. 옥돔 살에 칼집을 낸 뒤 올리브오일을 두른 팬에 굽는다.
7. 익힌 감자에 냉동아보카도를 넣고 으깬다.
8. 물기를 짜낸 잘게 썬 오이지를 볶던 채소에 넣고 볶아준다.
9. 데친 옥수수 알을 꺼낸다.
10. 믹서기에 데친 옥수수, 닭육수를 넣고 간다.
11. 으깬 감자아보카도에 마요네즈, 참깨소스를 넣고 섞는다.
12. 11에 소금, 날치알을 넣고 섞는다.
13. 팬에 옥수수 퓌레를 올린다.
14. 옥수수 퓌레에 소금, 버터를 넣고 섞어준다.
15. 감자아보카도 샐러드에 옥돔구이를 올린다.
16. 토치로 옥돔구이를 직화한다.
17. 접시에 옥수수 퓌레를 깔고 그 위에 옥돔구이를 올린 감자아보카도 샐러드를 올린다.
18. 속을 파낸 오이를 얇게 썬 뒤 접시에 올린다.
19. 레몬껍질을 갈아서 올린다.
20. 옥돔구이에 발사믹드레싱을 뿌려준다.
21. 그 위에 올리브오일을 뿌려준다.</v>
      </c>
    </row>
    <row r="979">
      <c r="A979" s="2" t="str">
        <f>recipe!C979
</f>
        <v>와인 아리랑</v>
      </c>
      <c r="B979" s="2" t="str">
        <f>IFERROR(__xludf.DUMMYFUNCTION("TRIM(
  REGEXEXTRACT(
    raw!A979,
    ""●\s*조리\s*방법([\s\S]*)""
  )
)
"),"1. 옥수수의 알을 발라낸 뒤 옥수수 대를 얇게 썬다.
2. 1에 물을 넣고 믹서기에 갈아 옥수수 물을 만든다.
3. 마늘초절임을 하나씩 떼어낸다.
4. 이베리코 목살에 다진생강, 간장소스를 넣고 버무린다.
5. 얇게 썬 양파, 파프리카에 오리엔탈드레싱을 넣고 팬에 볶는다.
6. 팬에 속을 파낸 고추를 넣고 함께 볶는다.
7. 속을 파낸 불린 오이지를 길게 썬 뒤 짠맛을 뺀다.
8. 참기름을 두른 팬에 오이지, 잘게 썬 대파를 볶는다.
9"&amp;". 양념된 이베리코 목살을 팬에 볶다가 맛술을 넣는다.
10. 불린 표고버섯을 얇게 썰어 물기를 제거한 뒤 올리브오일을 두른 팬에 굽는다.
11. 볶은 이베리코 목살을 오이지볶음에 섞은 뒤 참깨소스를 넣는다.
12. 옥수수 물에 설탕, 달걀을 넣어 옥수수 반죽을 만든다.
13. 기름을 두른 팬에 옥수수 반죽을 굽는다.
14. 김발에 옥수수전병을 깔고 오이지목살볶음을 올린 뒤 돌돌 만다.
15. 팬에 마늘초절임, 맛술을 넣고 볶는다.
16. "&amp;"볶은 채소를 잘게 썬다.
17. 옥수수전병말이를 먹기 좋은 크기로 썬다.
18. 팬에 마늘, 맛술, 식초, 설탕을 넣고 볶는다.
19. 접시에 잘게 썬 채소볶음, 옥수수전병말이를 올린다.
20. 마늘볶음을 접시에 올린다.
21. 얇게 썬 대파를 접시에 올린다.")</f>
        <v>1. 옥수수의 알을 발라낸 뒤 옥수수 대를 얇게 썬다.
2. 1에 물을 넣고 믹서기에 갈아 옥수수 물을 만든다.
3. 마늘초절임을 하나씩 떼어낸다.
4. 이베리코 목살에 다진생강, 간장소스를 넣고 버무린다.
5. 얇게 썬 양파, 파프리카에 오리엔탈드레싱을 넣고 팬에 볶는다.
6. 팬에 속을 파낸 고추를 넣고 함께 볶는다.
7. 속을 파낸 불린 오이지를 길게 썬 뒤 짠맛을 뺀다.
8. 참기름을 두른 팬에 오이지, 잘게 썬 대파를 볶는다.
9. 양념된 이베리코 목살을 팬에 볶다가 맛술을 넣는다.
10. 불린 표고버섯을 얇게 썰어 물기를 제거한 뒤 올리브오일을 두른 팬에 굽는다.
11. 볶은 이베리코 목살을 오이지볶음에 섞은 뒤 참깨소스를 넣는다.
12. 옥수수 물에 설탕, 달걀을 넣어 옥수수 반죽을 만든다.
13. 기름을 두른 팬에 옥수수 반죽을 굽는다.
14. 김발에 옥수수전병을 깔고 오이지목살볶음을 올린 뒤 돌돌 만다.
15. 팬에 마늘초절임, 맛술을 넣고 볶는다.
16. 볶은 채소를 잘게 썬다.
17. 옥수수전병말이를 먹기 좋은 크기로 썬다.
18. 팬에 마늘, 맛술, 식초, 설탕을 넣고 볶는다.
19. 접시에 잘게 썬 채소볶음, 옥수수전병말이를 올린다.
20. 마늘볶음을 접시에 올린다.
21. 얇게 썬 대파를 접시에 올린다.</v>
      </c>
    </row>
    <row r="980">
      <c r="A980" s="2" t="str">
        <f>recipe!C980
</f>
        <v>브루클린 바비큐</v>
      </c>
      <c r="B980" s="2" t="str">
        <f>IFERROR(__xludf.DUMMYFUNCTION("TRIM(
  REGEXEXTRACT(
    raw!A980,
    ""●\s*조리\s*방법([\s\S]*)""
  )
)
"),"1. 볼에 올리브오일, 라면 수프, 파슬리가루를 넣고 섞는다.
2. 비파잎을 잘게 부순 뒤 1에 넣는다.
3. 2에 다진 마늘, 머스터드, 간장을 넣어 양념을 만든다.
4. 소 등심, 소 안심에 올리브오일을 바른다.
5. 4의 소 등심, 소 안심을 돌판에 올려 양념을 발라 굽는다.
6. 팬에 닭가슴살 큐브와 올리브오일을 넣어 굽는다.
7. 6에 잘게 썬 양파, 케첩, 물엿, 식초, 다진 마늘, 다진 생강, 스테이크소스, 후추, 설탕, 파슬리가"&amp;"루를 넣어 소스를 만든다.
8. 꼬치에 닭가슴살 소시지&gt;방울토마토&gt;닭가슴살 큐브&gt;고구마큐브&gt;오이지물김치&gt;닭가슴살 소시지 순으로 꽂은 뒤 돌판에 올려 굽는다.
9. 돌판의 소 안심, 소 등심을 석쇠에 올려 직화한다.
10. 직화한 소 안심과 소 등심을 돌판↔석쇠에 번갈아가며 굽는다.
11. 밀가루, 달걀, 소금을 섞어 반죽을 만든다.
12. 반죽에 밀가루를 뿌린 뒤 T자 모양을 만든다.
13. T자 반죽을 기름에 튀긴다.
14. 스리라차소스,"&amp;" 마요네즈, 소금, 간장, 식초, 물엿을 섞어 샐러드 소스를 만든다.
15. 잘게 썬 양배추에 13의 소스를 버무려 샐러드를 만든다.
16. 얇게 썬 오이, 파프리카를 샐러드 위에 올린다.
17. 돌판에 쪽파를 올린 뒤 양념을 발라 굽는다.
18. 모닝빵을 반으로 썬 뒤 돌판에 올려 굽는다.
19. 튀긴 T자 반죽을 돌판에 올려 굽는다.
20. 돌판에 파프리카를 올려 굽는다.
21. 구운 모닝빵 위에 볶은 소스, 오이지물김치를 올린다.
2"&amp;"2. 구운 소 안심과 소 등심을 석쇠에 올려 한 번 더 직화한다.")</f>
        <v>1. 볼에 올리브오일, 라면 수프, 파슬리가루를 넣고 섞는다.
2. 비파잎을 잘게 부순 뒤 1에 넣는다.
3. 2에 다진 마늘, 머스터드, 간장을 넣어 양념을 만든다.
4. 소 등심, 소 안심에 올리브오일을 바른다.
5. 4의 소 등심, 소 안심을 돌판에 올려 양념을 발라 굽는다.
6. 팬에 닭가슴살 큐브와 올리브오일을 넣어 굽는다.
7. 6에 잘게 썬 양파, 케첩, 물엿, 식초, 다진 마늘, 다진 생강, 스테이크소스, 후추, 설탕, 파슬리가루를 넣어 소스를 만든다.
8. 꼬치에 닭가슴살 소시지&gt;방울토마토&gt;닭가슴살 큐브&gt;고구마큐브&gt;오이지물김치&gt;닭가슴살 소시지 순으로 꽂은 뒤 돌판에 올려 굽는다.
9. 돌판의 소 안심, 소 등심을 석쇠에 올려 직화한다.
10. 직화한 소 안심과 소 등심을 돌판↔석쇠에 번갈아가며 굽는다.
11. 밀가루, 달걀, 소금을 섞어 반죽을 만든다.
12. 반죽에 밀가루를 뿌린 뒤 T자 모양을 만든다.
13. T자 반죽을 기름에 튀긴다.
14. 스리라차소스, 마요네즈, 소금, 간장, 식초, 물엿을 섞어 샐러드 소스를 만든다.
15. 잘게 썬 양배추에 13의 소스를 버무려 샐러드를 만든다.
16. 얇게 썬 오이, 파프리카를 샐러드 위에 올린다.
17. 돌판에 쪽파를 올린 뒤 양념을 발라 굽는다.
18. 모닝빵을 반으로 썬 뒤 돌판에 올려 굽는다.
19. 튀긴 T자 반죽을 돌판에 올려 굽는다.
20. 돌판에 파프리카를 올려 굽는다.
21. 구운 모닝빵 위에 볶은 소스, 오이지물김치를 올린다.
22. 구운 소 안심과 소 등심을 석쇠에 올려 한 번 더 직화한다.</v>
      </c>
    </row>
    <row r="981">
      <c r="A981" s="2" t="str">
        <f>recipe!C981
</f>
        <v>오 나의 소고기님</v>
      </c>
      <c r="B981" s="2" t="str">
        <f>IFERROR(__xludf.DUMMYFUNCTION("TRIM(
  REGEXEXTRACT(
    raw!A981,
    ""●\s*조리\s*방법([\s\S]*)""
  )
)
"),"1. 올리브오일을 두른 팬에 파인애플, 양파, 파프리카를 굽는다.
2. 반으로 자른 모닝빵을 밀대로 얇게 민 뒤 팬에 굽는다.
3. 방울토마토, 아스파라거스, 쪽파를 잘게 썬다.
4. 구운 모닝빵을 접시에 담는다.
5. 소 안심에 후추, 소금, 올리브오일을 바른 뒤 팬에 굽는다.
6. 5에 잘게 썬 아스파라거스, 콩을 넣어 볶는다.
7. 구운 파인애플, 양파, 파프리카를 잘게 썬 뒤 잘게 썬 각종 채소와 함께 담는다.
8. 7에 다진 마늘,"&amp;" 올리브오일 토마토절임즙, 레몬즙. 라임즙, 소금, 청양고추, 올리브오일을 넣어 살사소스를 만든다.
9. 잘게 부순 비파잎을 냄비에 넣어 향을 낸다.
10. 9에 구운 소 안심, 아스파라거스, 콩을 넣어 훈연한다.
11. 청포도를 으깬다.
12. 11에 매실청을 넣은 뒤 체에 밭쳐 즙만 받아낸다.
13. 구운 모닝빵 위에 슬라이스 치즈를 잘게 찢어 올린다.
14. 훈연한 소 안심을 적당한 크기로 썬 뒤 13 위에 올린다.
15. 14 위에 "&amp;"구운 콩, 아스파라거스를 올린다.
16. 팬에 달걀을 올린 뒤 소금으로 간한다.
17. 달걀프라이를 토치로 가열한 뒤 모닝빵 위에 올린다.
18. 17 위에 살사소스, 다진 쪽파, 올리브오일, 소금을 넣는다.
19. 18 위에 리코타치즈를 올린 뒤 후추, 소금, 올리브오일을 뿌린다.
20. 컵에 비파잎, 청포도즙, 토닉워터, 즙을 짜낸 청포도를 넣어 청포도주스를 만든다.")</f>
        <v>1. 올리브오일을 두른 팬에 파인애플, 양파, 파프리카를 굽는다.
2. 반으로 자른 모닝빵을 밀대로 얇게 민 뒤 팬에 굽는다.
3. 방울토마토, 아스파라거스, 쪽파를 잘게 썬다.
4. 구운 모닝빵을 접시에 담는다.
5. 소 안심에 후추, 소금, 올리브오일을 바른 뒤 팬에 굽는다.
6. 5에 잘게 썬 아스파라거스, 콩을 넣어 볶는다.
7. 구운 파인애플, 양파, 파프리카를 잘게 썬 뒤 잘게 썬 각종 채소와 함께 담는다.
8. 7에 다진 마늘, 올리브오일 토마토절임즙, 레몬즙. 라임즙, 소금, 청양고추, 올리브오일을 넣어 살사소스를 만든다.
9. 잘게 부순 비파잎을 냄비에 넣어 향을 낸다.
10. 9에 구운 소 안심, 아스파라거스, 콩을 넣어 훈연한다.
11. 청포도를 으깬다.
12. 11에 매실청을 넣은 뒤 체에 밭쳐 즙만 받아낸다.
13. 구운 모닝빵 위에 슬라이스 치즈를 잘게 찢어 올린다.
14. 훈연한 소 안심을 적당한 크기로 썬 뒤 13 위에 올린다.
15. 14 위에 구운 콩, 아스파라거스를 올린다.
16. 팬에 달걀을 올린 뒤 소금으로 간한다.
17. 달걀프라이를 토치로 가열한 뒤 모닝빵 위에 올린다.
18. 17 위에 살사소스, 다진 쪽파, 올리브오일, 소금을 넣는다.
19. 18 위에 리코타치즈를 올린 뒤 후추, 소금, 올리브오일을 뿌린다.
20. 컵에 비파잎, 청포도즙, 토닉워터, 즙을 짜낸 청포도를 넣어 청포도주스를 만든다.</v>
      </c>
    </row>
    <row r="982">
      <c r="A982" s="2" t="str">
        <f>recipe!C982
</f>
        <v>그릇을 부딪치며 단짠짠♬</v>
      </c>
      <c r="B982" s="2" t="str">
        <f>IFERROR(__xludf.DUMMYFUNCTION("TRIM(
  REGEXEXTRACT(
    raw!A982,
    ""●\s*조리\s*방법([\s\S]*)""
  )
)
"),"1. 끓는 물에 설탕, 간장, 청양고추, 오이지물김치국물을 넣는다.
2. 1에 새우를 넣어 새우장을 만든다.
3. 새우장을 얼음 위에 올려 식힌다.
4. 복숭아를 잘게 썬다.
5. 복숭아에 설탕을 뿌린 뒤 오븐에 굽는다.
6. 핸드블렌더에 설탕을 넣고 레몬 껍질을 갈아 넣는다.
7. 6에 아스파라거스레몬절임의 레몬을 넣고 갈아 레몬커드를 만든다.
8. 레몬커드를 계속 저으며 중탕한다.
9. 밀대로 모닝빵을 얇게 민다.
10. 9에 쿠키맛"&amp;" 아이스크림을 넣어 적신다.
11. 쪽파김치를 물에 씻은 뒤 석쇠에 올려 토치로 직화하며 굽는다.
12. 핸드블렌더에 멸치볶음을 넣고 간다.
13. 핸드블렌더에 마늘, 홍고추를 넣고 간다.
14. 13과 간 멸치볶음을 기름을 두른 팬에 넣고 볶는다.
15. 14에 아스파라거스 레몬절임, 맛술을 넣는다.
16. 레몬커드에 레몬즙, 버터를 넣는다.
17. 양파를 얇게 썰어 볶던 팬에 넣는다.
18. 오이의 껍질을 얇게 벗긴다.
19. 볶던 "&amp;"재료에 올리브오일을 뿌린다.
20. 19에 채 썬 오이껍질, 공심채를 넣는다.
21. 20에 방울토마토를 넣는다.
22. 끓는 물에 우동면을 삶는다.
24. 구운 복숭아를 토치로 직화한다.
25. 구운 쪽파김치를 잘게 썬 뒤 볶던 재료에 넣는다.
26. 볶던 재료에 삶은 우동면, 식초, 굴소스를 넣는다.
27. 초코과자를 밀대로 민 뒤 아이스크림에 적신 모닝빵을 잘라 넣는다.
28. 27에 직화한 복숭아, 레몬커드를 올린다.
29. 볶음"&amp;"면 위에 새우장을 올린다.
30. 29에 참기름을 뿌린다.")</f>
        <v>1. 끓는 물에 설탕, 간장, 청양고추, 오이지물김치국물을 넣는다.
2. 1에 새우를 넣어 새우장을 만든다.
3. 새우장을 얼음 위에 올려 식힌다.
4. 복숭아를 잘게 썬다.
5. 복숭아에 설탕을 뿌린 뒤 오븐에 굽는다.
6. 핸드블렌더에 설탕을 넣고 레몬 껍질을 갈아 넣는다.
7. 6에 아스파라거스레몬절임의 레몬을 넣고 갈아 레몬커드를 만든다.
8. 레몬커드를 계속 저으며 중탕한다.
9. 밀대로 모닝빵을 얇게 민다.
10. 9에 쿠키맛 아이스크림을 넣어 적신다.
11. 쪽파김치를 물에 씻은 뒤 석쇠에 올려 토치로 직화하며 굽는다.
12. 핸드블렌더에 멸치볶음을 넣고 간다.
13. 핸드블렌더에 마늘, 홍고추를 넣고 간다.
14. 13과 간 멸치볶음을 기름을 두른 팬에 넣고 볶는다.
15. 14에 아스파라거스 레몬절임, 맛술을 넣는다.
16. 레몬커드에 레몬즙, 버터를 넣는다.
17. 양파를 얇게 썰어 볶던 팬에 넣는다.
18. 오이의 껍질을 얇게 벗긴다.
19. 볶던 재료에 올리브오일을 뿌린다.
20. 19에 채 썬 오이껍질, 공심채를 넣는다.
21. 20에 방울토마토를 넣는다.
22. 끓는 물에 우동면을 삶는다.
24. 구운 복숭아를 토치로 직화한다.
25. 구운 쪽파김치를 잘게 썬 뒤 볶던 재료에 넣는다.
26. 볶던 재료에 삶은 우동면, 식초, 굴소스를 넣는다.
27. 초코과자를 밀대로 민 뒤 아이스크림에 적신 모닝빵을 잘라 넣는다.
28. 27에 직화한 복숭아, 레몬커드를 올린다.
29. 볶음면 위에 새우장을 올린다.
30. 29에 참기름을 뿌린다.</v>
      </c>
    </row>
    <row r="983">
      <c r="A983" s="2" t="str">
        <f>recipe!C983
</f>
        <v>오징어가 왜 그럴까</v>
      </c>
      <c r="B983" s="2" t="str">
        <f>IFERROR(__xludf.DUMMYFUNCTION("TRIM(
  REGEXEXTRACT(
    raw!A983,
    ""●\s*조리\s*방법([\s\S]*)""
  )
)
"),"1. 파프리카를 토치로 직화한다.
2. 끓는 기름에 대파, 고춧가루, 베트남고추를 넣어 고추기름을 낸다.
3. 달걀, 전분, 밀가루를 섞어 달걀 반죽을 만든다.
4. 새싹보리분말, 전분, 밀가루를 섞어 새싹보리 반죽을 만든다.
5. 반죽이 잘 섞이게 저어준다..
6. 달걀 반죽을 체에 밭쳐 곱게 거른다.
7. 팬에 달걀 반죽을 부친다.
8. 고추기름을 체에 거르며 깨가 담긴 그릇에 담는다.
9. 새싹보리 반죽을 체에 밭쳐 곱게 거른 뒤 팬"&amp;"에 올려 부친다.
10. 방울토마토 매실절임에 타바스코소스, 스리라차소스를 넣는다.
11. 10에 복숭아, 다진 마늘, 굴소스를 넣고 믹서기로 간다.
12. 불린 반건조 오징어의 껍질을 제거한다.
13. 부친 달걀 반죽과 새싹보리 반죽을 여러 겹으로 접은 뒤 얇게 썰어 면을 만든다.
14. 반건조 오징어를 잘게 썬다.
15. 반건조 오징어에 맛술, 물을 넣는다.
16. 공심채를 적당한 크기로 썬 뒤 끓는 물에 데친다.
17. 데친 공심채를"&amp;" 얼음물에 식힌다.
18. 부친 면이 담긴 그릇에 얇게 썬 오이, 공심채, 반건조 오징어, 양념, 고추기름을 넣는다.
19. 18에 데친 새우살을 올린다.")</f>
        <v>1. 파프리카를 토치로 직화한다.
2. 끓는 기름에 대파, 고춧가루, 베트남고추를 넣어 고추기름을 낸다.
3. 달걀, 전분, 밀가루를 섞어 달걀 반죽을 만든다.
4. 새싹보리분말, 전분, 밀가루를 섞어 새싹보리 반죽을 만든다.
5. 반죽이 잘 섞이게 저어준다..
6. 달걀 반죽을 체에 밭쳐 곱게 거른다.
7. 팬에 달걀 반죽을 부친다.
8. 고추기름을 체에 거르며 깨가 담긴 그릇에 담는다.
9. 새싹보리 반죽을 체에 밭쳐 곱게 거른 뒤 팬에 올려 부친다.
10. 방울토마토 매실절임에 타바스코소스, 스리라차소스를 넣는다.
11. 10에 복숭아, 다진 마늘, 굴소스를 넣고 믹서기로 간다.
12. 불린 반건조 오징어의 껍질을 제거한다.
13. 부친 달걀 반죽과 새싹보리 반죽을 여러 겹으로 접은 뒤 얇게 썰어 면을 만든다.
14. 반건조 오징어를 잘게 썬다.
15. 반건조 오징어에 맛술, 물을 넣는다.
16. 공심채를 적당한 크기로 썬 뒤 끓는 물에 데친다.
17. 데친 공심채를 얼음물에 식힌다.
18. 부친 면이 담긴 그릇에 얇게 썬 오이, 공심채, 반건조 오징어, 양념, 고추기름을 넣는다.
19. 18에 데친 새우살을 올린다.</v>
      </c>
    </row>
    <row r="984">
      <c r="A984" s="2" t="str">
        <f>recipe!C984
</f>
        <v>삼치바라기</v>
      </c>
      <c r="B984" s="2" t="str">
        <f>IFERROR(__xludf.DUMMYFUNCTION("TRIM(
  REGEXEXTRACT(
    raw!A984,
    ""●\s*조리\s*방법([\s\S]*)""
  )
)
"),"1. 삼치를 손질해 몸통 살만 분리해낸다.
2. 올리브오일을 두른 팬에 고추를 굽는다.
3. 끓는 물에 달걀을 삶는다.
4. 다진마늘, 올리브오일에 버무려 재운 삼치 살을 고추를 굽던 팬에 함께 굽는다.
5. 구운 삼치 살에 후추로 간한다.
6. 볼에 레몬즙, 올리브오일을 넣은 뒤 삼치 살을 얇게 슬라이스한다.
7. 슬라이스한 삼치 살을 레몬즙, 올리브오일에 재운다.
8. 냄비에 버터, 밀가루, 우유를 넣고 끓여 루를 만든다.
9. 파르메"&amp;"산 치즈를 갈아준다.
10. 루에 파르메산 치즈가루를 넣고 섞는다.
11. 핸드블렌더에 깻잎, 바질페스토, 올리브오일을 넣고 간다.
12. 바질 소스에 바질페스토를 추가로 넣는다.
13. 얇게 썬 대파에 전분을 묻힌 뒤 끓는 기름에 튀긴다.
14. 볼에 올리브오일, 레몬, 설탕을 넣고 양상추를 버무린 뒤 후추로 간한다.
15. 올리브오일을 두른 팬에 얇게 썬 살라미를 굽는다.
16. 삶은 달걀의 껍데기를 벗긴다.
17. 올리브오일을 두른 "&amp;"팬에 얇게 썬 마늘, 레몬즙을 넣고 볶는다.
18. 삼치 살에 소금, 후추로 간한다.
19. 올리브오일을 두른 팬에 삼치 살을 굽는다.
20. 바질 소스에 삶은 달걀을 넣고 섞는다.
21. 구운 고추를 잘게 다진 뒤 맛간장, 올리브오일, 레몬즙을 넣는다.
22. 올리브오일을 두른 팬에 양상추를 굽는다.
23. 파르메산 치즈가루를 두른 팬에 양상추를 묻힌 뒤 파르메산 치즈가루를 뿌려 굽는다.
24. 삼치 카르파초를 접시에 담은 뒤 고추소스, "&amp;"튀긴 대파를 올려 후추를 뿌린다.
25. 접시에 구운 양상추, 삼치스테이크를 담는다.
26. 접시에 바질 소스를 올린다.
27. 접시에 볶은 마늘을 함께 올린다.
28. 삼치 카르파초에 루를 올린다.")</f>
        <v>1. 삼치를 손질해 몸통 살만 분리해낸다.
2. 올리브오일을 두른 팬에 고추를 굽는다.
3. 끓는 물에 달걀을 삶는다.
4. 다진마늘, 올리브오일에 버무려 재운 삼치 살을 고추를 굽던 팬에 함께 굽는다.
5. 구운 삼치 살에 후추로 간한다.
6. 볼에 레몬즙, 올리브오일을 넣은 뒤 삼치 살을 얇게 슬라이스한다.
7. 슬라이스한 삼치 살을 레몬즙, 올리브오일에 재운다.
8. 냄비에 버터, 밀가루, 우유를 넣고 끓여 루를 만든다.
9. 파르메산 치즈를 갈아준다.
10. 루에 파르메산 치즈가루를 넣고 섞는다.
11. 핸드블렌더에 깻잎, 바질페스토, 올리브오일을 넣고 간다.
12. 바질 소스에 바질페스토를 추가로 넣는다.
13. 얇게 썬 대파에 전분을 묻힌 뒤 끓는 기름에 튀긴다.
14. 볼에 올리브오일, 레몬, 설탕을 넣고 양상추를 버무린 뒤 후추로 간한다.
15. 올리브오일을 두른 팬에 얇게 썬 살라미를 굽는다.
16. 삶은 달걀의 껍데기를 벗긴다.
17. 올리브오일을 두른 팬에 얇게 썬 마늘, 레몬즙을 넣고 볶는다.
18. 삼치 살에 소금, 후추로 간한다.
19. 올리브오일을 두른 팬에 삼치 살을 굽는다.
20. 바질 소스에 삶은 달걀을 넣고 섞는다.
21. 구운 고추를 잘게 다진 뒤 맛간장, 올리브오일, 레몬즙을 넣는다.
22. 올리브오일을 두른 팬에 양상추를 굽는다.
23. 파르메산 치즈가루를 두른 팬에 양상추를 묻힌 뒤 파르메산 치즈가루를 뿌려 굽는다.
24. 삼치 카르파초를 접시에 담은 뒤 고추소스, 튀긴 대파를 올려 후추를 뿌린다.
25. 접시에 구운 양상추, 삼치스테이크를 담는다.
26. 접시에 바질 소스를 올린다.
27. 접시에 볶은 마늘을 함께 올린다.
28. 삼치 카르파초에 루를 올린다.</v>
      </c>
    </row>
    <row r="985">
      <c r="A985" s="2" t="str">
        <f>recipe!C985
</f>
        <v>삼치세끼</v>
      </c>
      <c r="B985" s="2" t="str">
        <f>IFERROR(__xludf.DUMMYFUNCTION("TRIM(
  REGEXEXTRACT(
    raw!A985,
    ""●\s*조리\s*방법([\s\S]*)""
  )
)
"),"1. 끓는 물에 전복을 데친다.
2. 삼치의 머리를 제거한다.
3. 삼치를 손질해 몸통 살만 분리해낸다.
4. 삼치 살에 소금, 후추로 간한다.
5. 기름을 두른 팬에 마늘을 튀긴다.
6. 끓는 물에 멸치액젓, 꿀, 맛간장을 넣고 조린다.
7. 데친 전복을 물에 씻어 내장을 제거한다.
8. 전복에 칼집을 낸 뒤 조림소스에 넣는다.
9. 표고버섯을 조림소스에 넣는다.
10. 먹기 좋은 크기로 썬 마를 조림소스에 넣는다.
11. 튀긴 마늘"&amp;"을 체에 밭쳐 건져낸다.
12. 마늘 기름에 삼치 살을 굽는다.
13. 강판에 배를 간다.
14. 끓는 기름에 대파, 고춧가루를 넣어 고추기름을 낸다.
15. 강판에 간 배를 팬에 끓인 뒤 조림소스를 넣고 조린다.
16. 찜기에 구운 삼치 살을 올린 뒤 튀긴 마늘을 넣어 훈연한다.
17. 기름을 두른 팬에 양상추, 양배추를 볶은 뒤 소금으로 간한다.
18. 전복 껍데기에 조린 전복을 올린 뒤 접시에 담는다.
19. 대파 흰 부분을 어슷하게"&amp;" 채 썬다.
20. 접시에 조림소스를 담는다.
21. 접시에 훈연한 삼치 살을 담는다.
22. 접시에 볶은 양배추, 양상추를 올린다.
23. 접시에 채 썬 대파를 올린 뒤 조림소스를 뿌려준다.")</f>
        <v>1. 끓는 물에 전복을 데친다.
2. 삼치의 머리를 제거한다.
3. 삼치를 손질해 몸통 살만 분리해낸다.
4. 삼치 살에 소금, 후추로 간한다.
5. 기름을 두른 팬에 마늘을 튀긴다.
6. 끓는 물에 멸치액젓, 꿀, 맛간장을 넣고 조린다.
7. 데친 전복을 물에 씻어 내장을 제거한다.
8. 전복에 칼집을 낸 뒤 조림소스에 넣는다.
9. 표고버섯을 조림소스에 넣는다.
10. 먹기 좋은 크기로 썬 마를 조림소스에 넣는다.
11. 튀긴 마늘을 체에 밭쳐 건져낸다.
12. 마늘 기름에 삼치 살을 굽는다.
13. 강판에 배를 간다.
14. 끓는 기름에 대파, 고춧가루를 넣어 고추기름을 낸다.
15. 강판에 간 배를 팬에 끓인 뒤 조림소스를 넣고 조린다.
16. 찜기에 구운 삼치 살을 올린 뒤 튀긴 마늘을 넣어 훈연한다.
17. 기름을 두른 팬에 양상추, 양배추를 볶은 뒤 소금으로 간한다.
18. 전복 껍데기에 조린 전복을 올린 뒤 접시에 담는다.
19. 대파 흰 부분을 어슷하게 채 썬다.
20. 접시에 조림소스를 담는다.
21. 접시에 훈연한 삼치 살을 담는다.
22. 접시에 볶은 양배추, 양상추를 올린다.
23. 접시에 채 썬 대파를 올린 뒤 조림소스를 뿌려준다.</v>
      </c>
    </row>
    <row r="986">
      <c r="A986" s="2" t="str">
        <f>recipe!C986
</f>
        <v>매일 메밀 기다려♬</v>
      </c>
      <c r="B986" s="2" t="str">
        <f>IFERROR(__xludf.DUMMYFUNCTION("TRIM(
  REGEXEXTRACT(
    raw!A986,
    ""●\s*조리\s*방법([\s\S]*)""
  )
)
"),"1. 참다랑어를 손질해 뱃살만 분리해낸다.
2. 참다랑어 뱃살을 석쇠에 올려 굽는다.
3. 끓는 물에 전복을 데친다.
4. 은어를 손질해 은어 살만 분리해낸다.
5. 끓는 물에 메밀 면을 삶는다.
6. 밀가루에 물을 섞어 튀김반죽을 만든 뒤 은어 살에 묻혀 기름에 튀긴다.
7. 구운 참다랑어 뱃살을 얼음물에 식힌다.
8. 기름을 두른 팬에 달걀물을 부어 달걀말이를 만든다.
9. 마, 양상추를 얇게 썬다.
10. 오이, 무를 채 썰고, 나"&amp;"머지 오이, 무를 강판에 간다.
11. 강판에 간 오이, 무를 섞은 뒤, 채 썬 오이, 무를 물에 씻어낸다.
12. 참다랑어 뱃살의 물기를 제거한 뒤 먹기 좋은 크기로 썬다.
13. 마요네즈에 고추냉이를 섞어준다.
14. 삶은 메밀면을 건져낸 뒤 얼음물에 넣어 식힌다.
15. 깻잎을 얇게 썬다.
16. 데친 전복을 물에 씻어 내장을 제거한 뒤 먹기 좋은 크기로 썰어 얼음물에 식힌다.
17. 김발 위에 김을 올린다.
18. 얼음물에 식힌 메"&amp;"밀면을 건져낸 뒤 물기를 뺀다.
19. 김 위에 메밀면, 얇게 썬 깻잎, 구운 참다랑어 뱃살을 올린다.
20. 그 위에 마요네즈 소스를 올린다.
21. 얇게 썬 마, 양상추, 마, 오이를 올린다.
22. 맛간장에 레몬즙을 섞어 간장소스를 만든다.
23. 김 위에 튀긴 은어, 달걀말이를 올린 뒤 돌돌 말아준다.
24. 강판에 간 오이, 무를 종지에 담는다.
25. 랩 위에 메밀 롤을 올린 뒤 돌돌 말아준다.
26. 간장소스를 오이, 무가 담"&amp;"긴 종지에 넣는다.
27. 먹기 좋은 크기로 썬 메밀 롤의 랩을 벗긴 뒤 접시에 담는다.")</f>
        <v>1. 참다랑어를 손질해 뱃살만 분리해낸다.
2. 참다랑어 뱃살을 석쇠에 올려 굽는다.
3. 끓는 물에 전복을 데친다.
4. 은어를 손질해 은어 살만 분리해낸다.
5. 끓는 물에 메밀 면을 삶는다.
6. 밀가루에 물을 섞어 튀김반죽을 만든 뒤 은어 살에 묻혀 기름에 튀긴다.
7. 구운 참다랑어 뱃살을 얼음물에 식힌다.
8. 기름을 두른 팬에 달걀물을 부어 달걀말이를 만든다.
9. 마, 양상추를 얇게 썬다.
10. 오이, 무를 채 썰고, 나머지 오이, 무를 강판에 간다.
11. 강판에 간 오이, 무를 섞은 뒤, 채 썬 오이, 무를 물에 씻어낸다.
12. 참다랑어 뱃살의 물기를 제거한 뒤 먹기 좋은 크기로 썬다.
13. 마요네즈에 고추냉이를 섞어준다.
14. 삶은 메밀면을 건져낸 뒤 얼음물에 넣어 식힌다.
15. 깻잎을 얇게 썬다.
16. 데친 전복을 물에 씻어 내장을 제거한 뒤 먹기 좋은 크기로 썰어 얼음물에 식힌다.
17. 김발 위에 김을 올린다.
18. 얼음물에 식힌 메밀면을 건져낸 뒤 물기를 뺀다.
19. 김 위에 메밀면, 얇게 썬 깻잎, 구운 참다랑어 뱃살을 올린다.
20. 그 위에 마요네즈 소스를 올린다.
21. 얇게 썬 마, 양상추, 마, 오이를 올린다.
22. 맛간장에 레몬즙을 섞어 간장소스를 만든다.
23. 김 위에 튀긴 은어, 달걀말이를 올린 뒤 돌돌 말아준다.
24. 강판에 간 오이, 무를 종지에 담는다.
25. 랩 위에 메밀 롤을 올린 뒤 돌돌 말아준다.
26. 간장소스를 오이, 무가 담긴 종지에 넣는다.
27. 먹기 좋은 크기로 썬 메밀 롤의 랩을 벗긴 뒤 접시에 담는다.</v>
      </c>
    </row>
    <row r="987">
      <c r="A987" s="2" t="str">
        <f>recipe!C987
</f>
        <v>메밀면 필 무렵</v>
      </c>
      <c r="B987" s="2" t="str">
        <f>IFERROR(__xludf.DUMMYFUNCTION("TRIM(
  REGEXEXTRACT(
    raw!A987,
    ""●\s*조리\s*방법([\s\S]*)""
  )
)
"),"1. 끓는 기름에 대파, 으깬 마늘을 넣는다.
2. 올리브오일을 두른 팬에 마늘을 넣고 볶는다.
3. 끓는 기름에 고춧가루를 넣어 고추기름을 낸다.
4. 지퍼백에 살치살을 넣은 뒤 고기망치로 두드린다.
5. 먹기 좋은 크기로 썬 살치살을 볼에 담는다.
6. 양파, 청양고추, 홍고추, 대파, 표고버섯을 썬 뒤 볼에 함께 넣는다.
7. 마늘기름을 볼에 담은 뒤, 고추기름을 체에 밭쳐 건더기를 걸러낸다.
8. 기름을 두른 팬에 양배추를 볶는다.
"&amp;"
9. 설탕, 맛간장, 간장, 다진마늘, 참기름, 후추를 섞어 양념을 만든 뒤 살치살을 무친다.
10. 끓는 물에 메밀면을 삶는다.
11. 전복에 뜨거운 물을 부어 데친 뒤 물에 씻어 내장을 제거한다.
12. 기름을 두른 팬에 양념된 살치살을 넣은 뒤, 얇게 썬 전복을 넣어 볶는다.
13. 볶던 팬에 먹태 불린 물을 조금 넣어준다.
14. 볼에 맛간장, 마요네즈, 설탕, 레몬즙, 다진 양파를 넣어 드레싱을 만든다.
15. 삶은 메밀면을 건져낸"&amp;" 뒤 얼음물에 식힌다.
16. 참다랑어를 손질해 등살만 분리해낸다.
17. 참다랑어 등살에 올리브오일, 소금을 뿌린 뒤 팬에 굽는다.
18. 볶은 마늘기름을 팬에 넣은 뒤 물기를 제거한 메밀면을 넣고 볶는다.
19. 메밀파스타에 맛간장, 소금으로 간한 뒤 접시에 담는다.
20. 메밀파스타에 김가루를 뿌려준다.
21. 샐러드 드레싱에 메밀면을 넣는다.
22. 볶던 재료에 로메인, 양배추를 넣고 볶는다.
23. 메밀 샐러드에 채 썬 양상추, "&amp;"파르메산 치즈가루를 넣는다.
24. 메밀 샐러드를 접시에 담는다.
25. 소금으로 간 한 메밀 파스타를 접시에 담은 뒤 고추기름을 뿌려준다.
26. 메밀파스타에 간장소스를 뿌려준다.
27. 구운 참다랑어 뱃살을 메밀 샐러드에 올린 뒤 파르메산 치즈가루, 레몬즙을 뿌려준다.")</f>
        <v>1. 끓는 기름에 대파, 으깬 마늘을 넣는다.
2. 올리브오일을 두른 팬에 마늘을 넣고 볶는다.
3. 끓는 기름에 고춧가루를 넣어 고추기름을 낸다.
4. 지퍼백에 살치살을 넣은 뒤 고기망치로 두드린다.
5. 먹기 좋은 크기로 썬 살치살을 볼에 담는다.
6. 양파, 청양고추, 홍고추, 대파, 표고버섯을 썬 뒤 볼에 함께 넣는다.
7. 마늘기름을 볼에 담은 뒤, 고추기름을 체에 밭쳐 건더기를 걸러낸다.
8. 기름을 두른 팬에 양배추를 볶는다.
9. 설탕, 맛간장, 간장, 다진마늘, 참기름, 후추를 섞어 양념을 만든 뒤 살치살을 무친다.
10. 끓는 물에 메밀면을 삶는다.
11. 전복에 뜨거운 물을 부어 데친 뒤 물에 씻어 내장을 제거한다.
12. 기름을 두른 팬에 양념된 살치살을 넣은 뒤, 얇게 썬 전복을 넣어 볶는다.
13. 볶던 팬에 먹태 불린 물을 조금 넣어준다.
14. 볼에 맛간장, 마요네즈, 설탕, 레몬즙, 다진 양파를 넣어 드레싱을 만든다.
15. 삶은 메밀면을 건져낸 뒤 얼음물에 식힌다.
16. 참다랑어를 손질해 등살만 분리해낸다.
17. 참다랑어 등살에 올리브오일, 소금을 뿌린 뒤 팬에 굽는다.
18. 볶은 마늘기름을 팬에 넣은 뒤 물기를 제거한 메밀면을 넣고 볶는다.
19. 메밀파스타에 맛간장, 소금으로 간한 뒤 접시에 담는다.
20. 메밀파스타에 김가루를 뿌려준다.
21. 샐러드 드레싱에 메밀면을 넣는다.
22. 볶던 재료에 로메인, 양배추를 넣고 볶는다.
23. 메밀 샐러드에 채 썬 양상추, 파르메산 치즈가루를 넣는다.
24. 메밀 샐러드를 접시에 담는다.
25. 소금으로 간 한 메밀 파스타를 접시에 담은 뒤 고추기름을 뿌려준다.
26. 메밀파스타에 간장소스를 뿌려준다.
27. 구운 참다랑어 뱃살을 메밀 샐러드에 올린 뒤 파르메산 치즈가루, 레몬즙을 뿌려준다.</v>
      </c>
    </row>
    <row r="988">
      <c r="A988" s="2" t="str">
        <f>recipe!C988
</f>
        <v>내가 공주라니!</v>
      </c>
      <c r="B988" s="2" t="str">
        <f>IFERROR(__xludf.DUMMYFUNCTION("TRIM(
  REGEXEXTRACT(
    raw!A988,
    ""●\s*조리\s*방법([\s\S]*)""
  )
)
"),"1. 핸드블렌더에 밀가루, 달걀, 강황가루를 넣고 갈아 라비올리 반죽을 만든다.
2. 볼에 씨를 파낸 단호박, 물을 넣고 랩을 씌워 전자레인지에 돌린다.
3. 핸드블렌더에 채끝살을 넣고 갈아 고기 완자를 만든다. 4. 핸드블렌더에 블루베리를 넣고 간다.
5. 건더기를 걸러낸 블루베리 소스를 끓인 뒤 요거트를 섞어 블루베리 요거트 소스를 만든다.
6. 올리브오일을 두른 팬에 애호박 껍질을 넣고 소금으로 간한다.
7. 간한 애호박을 핸드블렌더에 넣"&amp;"고 갈아 초록색소스를 만든다.
8. 게맛살을 얇게 찢는다.
9. 얇게 찢은 게맛살에 마요네즈를 섞는다.
10. 식빵을 원형틀로 찍어낸다.
11. 원형틀에 찍어낸 식빵을 올리브오일을 두른 팬에 굽는다.
12. 밀가루 위에 라비올리 반죽을 올린 뒤 밀대로 넓게 민다.
13. 라비올리 반죽을 직사각형 모양으로 썬다.
14. 동그랗게 뭉친 고기 완자를 올리브오일을 두른 팬에 굽는다.
15. 전자레인지에 익힌 단호박의 속을 파낸다.
16. 라비올"&amp;"리 반죽에 고구마를 넣은 뒤 사탕모양으로 빚는다.
17. 라비올리를 체에 밭쳐 데친다. 18. 데친 라비올리를 기름을 두른 팬에 굽는다.
19. 구운 식빵 위에 잘게 찢은 게맛살을 올린다.
20. 구운 식빵 위에 고기완자도 올린다.
21. 굴소스, 돈가스소스, 마요네즈를 섞어 갈색소스를 만든다.
22. 접시에 라비올리를 올린 뒤 갈색소스, 블루베리 요거트 소스를 뿌려준다.
23. 접시에 단호박을 올린 뒤 초록색소스, 블루베리소스를 뿌려준다.")</f>
        <v>1. 핸드블렌더에 밀가루, 달걀, 강황가루를 넣고 갈아 라비올리 반죽을 만든다.
2. 볼에 씨를 파낸 단호박, 물을 넣고 랩을 씌워 전자레인지에 돌린다.
3. 핸드블렌더에 채끝살을 넣고 갈아 고기 완자를 만든다. 4. 핸드블렌더에 블루베리를 넣고 간다.
5. 건더기를 걸러낸 블루베리 소스를 끓인 뒤 요거트를 섞어 블루베리 요거트 소스를 만든다.
6. 올리브오일을 두른 팬에 애호박 껍질을 넣고 소금으로 간한다.
7. 간한 애호박을 핸드블렌더에 넣고 갈아 초록색소스를 만든다.
8. 게맛살을 얇게 찢는다.
9. 얇게 찢은 게맛살에 마요네즈를 섞는다.
10. 식빵을 원형틀로 찍어낸다.
11. 원형틀에 찍어낸 식빵을 올리브오일을 두른 팬에 굽는다.
12. 밀가루 위에 라비올리 반죽을 올린 뒤 밀대로 넓게 민다.
13. 라비올리 반죽을 직사각형 모양으로 썬다.
14. 동그랗게 뭉친 고기 완자를 올리브오일을 두른 팬에 굽는다.
15. 전자레인지에 익힌 단호박의 속을 파낸다.
16. 라비올리 반죽에 고구마를 넣은 뒤 사탕모양으로 빚는다.
17. 라비올리를 체에 밭쳐 데친다. 18. 데친 라비올리를 기름을 두른 팬에 굽는다.
19. 구운 식빵 위에 잘게 찢은 게맛살을 올린다.
20. 구운 식빵 위에 고기완자도 올린다.
21. 굴소스, 돈가스소스, 마요네즈를 섞어 갈색소스를 만든다.
22. 접시에 라비올리를 올린 뒤 갈색소스, 블루베리 요거트 소스를 뿌려준다.
23. 접시에 단호박을 올린 뒤 초록색소스, 블루베리소스를 뿌려준다.</v>
      </c>
    </row>
    <row r="989">
      <c r="A989" s="2" t="str">
        <f>recipe!C989
</f>
        <v>라니공주와 올라프</v>
      </c>
      <c r="B989" s="2" t="str">
        <f>IFERROR(__xludf.DUMMYFUNCTION("TRIM(
  REGEXEXTRACT(
    raw!A989,
    ""●\s*조리\s*방법([\s\S]*)""
  )
)
"),"1. 즉석밥을 전자레인지에 돌린다.
2. 깨를 절구에 곱게 빻는다.
3. 핸드블렌더에 채끝살, 다진 새우버섯볶음, 치킨너깃에 넣고 간다.
4. 3에 소금으로 간한 뒤 밀가루, 달걀노른자를 넣는다.
5. 고기완자를 한입 크기로 떼어 동그랗게 뭉친 뒤 올리브오일을 두른 팬에 굽는다.
6. 김을 잘라 올라프의 눈동자, 눈썹, 입, 단추를 만든다.
7. 슬라이스치즈로 눈을 만들고 그 위에 김으로 만든 눈동자를 올린다. 8. 즉석밥에 소금, 곱게 빻은"&amp;" 깨, 참기름으로 간한다.
9. 육포를 잘라 올라프의 팔을 만든다.
10. 양념한 밥에 고기완자를 넣어 올라프 모양을 만든다.
11. 김으로 만든 올라프의 입을 붙인다.
12. 올라프의 눈을 붙인 뒤 육포로 만든 팔을 꽂는다.
13. 당근을 깎아 올라프 코를 만든다.
14. 접시에 고기완자와 고기완자가 들어간 주먹밥을 담는다.
15. 올라프에 김으로 만든 단추를 붙인다.")</f>
        <v>1. 즉석밥을 전자레인지에 돌린다.
2. 깨를 절구에 곱게 빻는다.
3. 핸드블렌더에 채끝살, 다진 새우버섯볶음, 치킨너깃에 넣고 간다.
4. 3에 소금으로 간한 뒤 밀가루, 달걀노른자를 넣는다.
5. 고기완자를 한입 크기로 떼어 동그랗게 뭉친 뒤 올리브오일을 두른 팬에 굽는다.
6. 김을 잘라 올라프의 눈동자, 눈썹, 입, 단추를 만든다.
7. 슬라이스치즈로 눈을 만들고 그 위에 김으로 만든 눈동자를 올린다. 8. 즉석밥에 소금, 곱게 빻은 깨, 참기름으로 간한다.
9. 육포를 잘라 올라프의 팔을 만든다.
10. 양념한 밥에 고기완자를 넣어 올라프 모양을 만든다.
11. 김으로 만든 올라프의 입을 붙인다.
12. 올라프의 눈을 붙인 뒤 육포로 만든 팔을 꽂는다.
13. 당근을 깎아 올라프 코를 만든다.
14. 접시에 고기완자와 고기완자가 들어간 주먹밥을 담는다.
15. 올라프에 김으로 만든 단추를 붙인다.</v>
      </c>
    </row>
    <row r="990">
      <c r="A990" s="2" t="str">
        <f>recipe!C990
</f>
        <v>문어 입떡</v>
      </c>
      <c r="B990" s="2" t="str">
        <f>IFERROR(__xludf.DUMMYFUNCTION("TRIM(
  REGEXEXTRACT(
    raw!A990,
    ""●\s*조리\s*방법([\s\S]*)""
  )
)
"),"1. 끓는 물에 디포리를 넣어 육수를 낸다.
2. 디포리 육수에 대파, 양파를 넣는다.
3. 육수에 문어를 넣고 살짝 데친다.
4. 데친 문어를 고기망치로 두드린다.
5. 압력솥에 데친 문어를 넣는다.
6. 압력솥에 청주를 넣은 뒤 뚜껑을 닫고 끓인다.
7. 팬에 육수, 볶음고추장, 고춧가루, 물엿, 다진마늘, 굴소스을 넣고 끓여 떡볶이 양념을 만든다.
8. 떡볶이 양념에 간장을 넣는다.
9. 자숙새우를 먹기 좋은 크기로 썬다.
10. "&amp;"애호박을 썬다.
11. 핸드블렌더에 만두소를 넣는다.
12. 핸드블랜더에 애호박을 추가해 김말이 속을 만든다.
13. 김말이 속에 자숙새우를 넣고 섞는다.
14. 직사각형으로 김을 자른 뒤 김말이 속, 쌀국수면을 넣고 돌돌 말아준다.
15. 떡볶이 양념에 가래떡, 대파를 넣고 끓인다.
16. 가래떡을 기름에 튀긴다.
17. 전분에 물을 섞어 튀김 반죽을 만든 뒤 김말이에 묻혀 기름에 튀긴다.
18. 가래떡 튀김을 건져낸다.
19. 김말이"&amp;"를 건져낸다.
20. 떡볶이에 어묵, 고추, 삶은 달걀을 넣은 뒤 후추로 간한다.
21. 압력솥에 삶은 문어를 전분에 묻혀 끓는 물에 한 번 더 데친다.
22. 데친 문어를 얼음물에 식힌 뒤 떡볶이에 넣고 끓인다.
23. 떡볶이에 전분물을 넣는다.
24. 그릇에 가래떡 튀김, 떡볶이를 담은 뒤 김말이를 올린다.")</f>
        <v>1. 끓는 물에 디포리를 넣어 육수를 낸다.
2. 디포리 육수에 대파, 양파를 넣는다.
3. 육수에 문어를 넣고 살짝 데친다.
4. 데친 문어를 고기망치로 두드린다.
5. 압력솥에 데친 문어를 넣는다.
6. 압력솥에 청주를 넣은 뒤 뚜껑을 닫고 끓인다.
7. 팬에 육수, 볶음고추장, 고춧가루, 물엿, 다진마늘, 굴소스을 넣고 끓여 떡볶이 양념을 만든다.
8. 떡볶이 양념에 간장을 넣는다.
9. 자숙새우를 먹기 좋은 크기로 썬다.
10. 애호박을 썬다.
11. 핸드블렌더에 만두소를 넣는다.
12. 핸드블랜더에 애호박을 추가해 김말이 속을 만든다.
13. 김말이 속에 자숙새우를 넣고 섞는다.
14. 직사각형으로 김을 자른 뒤 김말이 속, 쌀국수면을 넣고 돌돌 말아준다.
15. 떡볶이 양념에 가래떡, 대파를 넣고 끓인다.
16. 가래떡을 기름에 튀긴다.
17. 전분에 물을 섞어 튀김 반죽을 만든 뒤 김말이에 묻혀 기름에 튀긴다.
18. 가래떡 튀김을 건져낸다.
19. 김말이를 건져낸다.
20. 떡볶이에 어묵, 고추, 삶은 달걀을 넣은 뒤 후추로 간한다.
21. 압력솥에 삶은 문어를 전분에 묻혀 끓는 물에 한 번 더 데친다.
22. 데친 문어를 얼음물에 식힌 뒤 떡볶이에 넣고 끓인다.
23. 떡볶이에 전분물을 넣는다.
24. 그릇에 가래떡 튀김, 떡볶이를 담은 뒤 김말이를 올린다.</v>
      </c>
    </row>
    <row r="991">
      <c r="A991" s="2" t="str">
        <f>recipe!C991
</f>
        <v>문어밖에 난 몰라♬</v>
      </c>
      <c r="B991" s="2" t="str">
        <f>IFERROR(__xludf.DUMMYFUNCTION("TRIM(
  REGEXEXTRACT(
    raw!A991,
    ""●\s*조리\s*방법([\s\S]*)""
  )
)
"),"1. 끓는 물에 문어를 넣어 살짝 데친다.
2. 끓는 물에 무를 넣고 문어를 다시 익힌다.
3. 데친 문어를 얼음물에 식힌다.
4. 핸드블렌더에 불린 표고버섯을 넣는다.
5. 핸드블렌더에 데친 문어를 넣고 간다.
6. 핸드블랜더에 병아리콩을 추가한다.
7. 6에 채끝살도 넣고 함께 간다.
8. 떡갈비 반죽에 밀가루를 섞는다.
9. 밀가루를 묻힌 문어머리 속에 떡갈비 반죽을 넣는다.
10. 문어머리 끝을 자른 뒤 올리브오일을 두른 팬에 굽"&amp;"는다.
11. 문어떡갈비를 굽던 팬에 애호박슬라이스, 단호박을 같이 굽는다.
12. 냄비에 양파장아찌 국물, 간장, 설탕을 넣고 끓인다.
13. 볼에 잘게 다진 매실고추장장아찌, 초고추장, 양파를 넣어 비빔면 소스를 만든다.
14. 비빔면 소스에 레몬즙, 잣을 넣는다.
15. 문어를 데친 물에 소면을 삶는다.
16. 석쇠 사이에 대파를 넣은 뒤 석쇠 위에 문어를 올려 굽는다.
17. 구운 단호박, 애호박을 석쇠 위에 올려 같이 굽는다.
1"&amp;"8. 삶은 면을 건져낸다.
19. 지퍼백에 문어를 넣은 뒤 밀대로 두드린다.
20. 문어 떡갈비를 볼에 담은 뒤 전자레인지에 돌린다.
21. 삶은 면을 얼음물에 넣어 식힌 뒤 비빔면 소스에 넣는다.
22. 잘게 다진 미역, 문어를 팬에 넣고 볶다가 참기름을 넣는다.
23. 얇게 썬 청양고추를 비빔면에 넣는다.
24. 접시에 비빔면을 담는다.
25. 접시에 볶은 미역, 문어, 구운 애호박을 올린다.
26. 끓는 물에 가리비를 데친 뒤 가리비"&amp;" 살을 접시에 올린다.
27. 전자레인지에 돌린 문어떡갈비를 먹기 좋은 크기로 썰어 접시에 올린다.
28. 접시에 가리비 껍데기를 올려 플레이팅한다.")</f>
        <v>1. 끓는 물에 문어를 넣어 살짝 데친다.
2. 끓는 물에 무를 넣고 문어를 다시 익힌다.
3. 데친 문어를 얼음물에 식힌다.
4. 핸드블렌더에 불린 표고버섯을 넣는다.
5. 핸드블렌더에 데친 문어를 넣고 간다.
6. 핸드블랜더에 병아리콩을 추가한다.
7. 6에 채끝살도 넣고 함께 간다.
8. 떡갈비 반죽에 밀가루를 섞는다.
9. 밀가루를 묻힌 문어머리 속에 떡갈비 반죽을 넣는다.
10. 문어머리 끝을 자른 뒤 올리브오일을 두른 팬에 굽는다.
11. 문어떡갈비를 굽던 팬에 애호박슬라이스, 단호박을 같이 굽는다.
12. 냄비에 양파장아찌 국물, 간장, 설탕을 넣고 끓인다.
13. 볼에 잘게 다진 매실고추장장아찌, 초고추장, 양파를 넣어 비빔면 소스를 만든다.
14. 비빔면 소스에 레몬즙, 잣을 넣는다.
15. 문어를 데친 물에 소면을 삶는다.
16. 석쇠 사이에 대파를 넣은 뒤 석쇠 위에 문어를 올려 굽는다.
17. 구운 단호박, 애호박을 석쇠 위에 올려 같이 굽는다.
18. 삶은 면을 건져낸다.
19. 지퍼백에 문어를 넣은 뒤 밀대로 두드린다.
20. 문어 떡갈비를 볼에 담은 뒤 전자레인지에 돌린다.
21. 삶은 면을 얼음물에 넣어 식힌 뒤 비빔면 소스에 넣는다.
22. 잘게 다진 미역, 문어를 팬에 넣고 볶다가 참기름을 넣는다.
23. 얇게 썬 청양고추를 비빔면에 넣는다.
24. 접시에 비빔면을 담는다.
25. 접시에 볶은 미역, 문어, 구운 애호박을 올린다.
26. 끓는 물에 가리비를 데친 뒤 가리비 살을 접시에 올린다.
27. 전자레인지에 돌린 문어떡갈비를 먹기 좋은 크기로 썰어 접시에 올린다.
28. 접시에 가리비 껍데기를 올려 플레이팅한다.</v>
      </c>
    </row>
    <row r="992">
      <c r="A992" s="2" t="str">
        <f>recipe!C992
</f>
        <v>수상한 튀김</v>
      </c>
      <c r="B992" s="2" t="str">
        <f>IFERROR(__xludf.DUMMYFUNCTION("TRIM(
  REGEXEXTRACT(
    raw!A992,
    ""●\s*조리\s*방법([\s\S]*)""
  )
)
"),"1. 전자레인지에 즉석밥을 넣고 돌린다.
2. 팬에 새우장 국물, 길게 썬 무, 매실액, 청주, 식초를 넣어 조린다.
3. 청사과의 껍질을 벗긴다.
4. 데운 즉석밥에 참기름, 참깨, 쌈장을 넣고 섞은 뒤 식혀준다.
5. 믹서기에 청사과, 밤조림, 쌈장, 매실액을 넣어 소스를 만든다.
6. 5에 물을 넣는다.
7. 밀가루, 전분, 맥주, 튀김가루를 섞어 튀김옷을 만든다.
8. 적당한 크기로 썬 어묵을 튀김옷에 넣는다.
9. 8을 기름에 넣"&amp;"고 튀겨 어묵튀김을 만든다.
10. 올리브 오일을 두른 팬에 제육불고기를 굽는다.
11. 잘게 썬 청양고추를 10에 넣는다.
12. 김 위에 쌈장밥, 근대, 어묵튀김, 제육불고기를 올린다.
13. 12 위에 쌈장, 무김치를 올린 뒤 말아준다.
14. 적당한 크기로 썬 김밥에 튀김옷을 묻힌 뒤 기름에 튀긴다.
15. 김밥튀김을 체에 밭쳐 건져낸다.
16. 무조림을 체에 밭쳐 건져낸 뒤 밀가루를 묻힌다.
17. 16과 새우장의 새우에 튀김옷을"&amp;" 묻혀 기름에 튀긴다.
18. 근대를 원형틀로 찍어낸다.
19. 잘게 썬 양파, 청양고추를 무조림을 건져낸 국물에 넣어 양념장을 만든다.
20. 김밥튀김, 무조림튀김, 새우장튀김을 기름에 한 번 더 튀긴다.
21. 접시에 소스, 김밥튀김, 근대, 무조림튀김, 새우장튀김을 올린다.
22. 송이버섯을 적당한 크기로 썬 뒤 21에 올린다.")</f>
        <v>1. 전자레인지에 즉석밥을 넣고 돌린다.
2. 팬에 새우장 국물, 길게 썬 무, 매실액, 청주, 식초를 넣어 조린다.
3. 청사과의 껍질을 벗긴다.
4. 데운 즉석밥에 참기름, 참깨, 쌈장을 넣고 섞은 뒤 식혀준다.
5. 믹서기에 청사과, 밤조림, 쌈장, 매실액을 넣어 소스를 만든다.
6. 5에 물을 넣는다.
7. 밀가루, 전분, 맥주, 튀김가루를 섞어 튀김옷을 만든다.
8. 적당한 크기로 썬 어묵을 튀김옷에 넣는다.
9. 8을 기름에 넣고 튀겨 어묵튀김을 만든다.
10. 올리브 오일을 두른 팬에 제육불고기를 굽는다.
11. 잘게 썬 청양고추를 10에 넣는다.
12. 김 위에 쌈장밥, 근대, 어묵튀김, 제육불고기를 올린다.
13. 12 위에 쌈장, 무김치를 올린 뒤 말아준다.
14. 적당한 크기로 썬 김밥에 튀김옷을 묻힌 뒤 기름에 튀긴다.
15. 김밥튀김을 체에 밭쳐 건져낸다.
16. 무조림을 체에 밭쳐 건져낸 뒤 밀가루를 묻힌다.
17. 16과 새우장의 새우에 튀김옷을 묻혀 기름에 튀긴다.
18. 근대를 원형틀로 찍어낸다.
19. 잘게 썬 양파, 청양고추를 무조림을 건져낸 국물에 넣어 양념장을 만든다.
20. 김밥튀김, 무조림튀김, 새우장튀김을 기름에 한 번 더 튀긴다.
21. 접시에 소스, 김밥튀김, 근대, 무조림튀김, 새우장튀김을 올린다.
22. 송이버섯을 적당한 크기로 썬 뒤 21에 올린다.</v>
      </c>
    </row>
    <row r="993">
      <c r="A993" s="2" t="str">
        <f>recipe!C993
</f>
        <v>튀김의 신</v>
      </c>
      <c r="B993" s="2" t="str">
        <f>IFERROR(__xludf.DUMMYFUNCTION("TRIM(
  REGEXEXTRACT(
    raw!A993,
    ""●\s*조리\s*방법([\s\S]*)""
  )
)
"),"1. 핸드블렌더에 밀가루, 소금, 뜨거운 물을 넣고 익반죽해 만두피 반죽을 만든다.
2. 적당한 크기로 썬 돼지 목살과 소 등심, 짜장라면 수프, 다진 생강, 올리브 오일을 핸드블렌더에 넣고 갈아 짜장 만두소를 만든다.
3. 잘게 썬 애호박, 양배추, 대파를 2에 넣는다.
4. 소 등심을 적당한 크기로 썬 뒤 소금, 후추로 밑간한다.
5. 송이버섯의 머리 부분은 잘게 썰고 기둥 부분은 길게 썬다.
6. 밀가루, 전분, 물, 달걀, 식용유를 넣고"&amp;" 섞어 튀김옷을 만든다.
7. 튀김옷에 잘게 썬 송이버섯을 넣는다.
8. 만두피 반죽을 적당한 크기로 떼어낸 뒤 밀대로 밀어 만두피를 만든다.
9. 만두피에 짜장 만두소를 넣어 짜장만두를 만든다.
10. 짜장만두를 기름에 넣고 튀긴다.
11. 배추김치 위에 소 등심, 송이버섯을 넣고 말아준 뒤 밀가루&gt;튀김옷을 묻힌다.
12. 11을 기름에 넣고 튀겨 김치말이튀김을 만든다.
13. 아이용 간장, 고춧가루, 식초, 참기름에 잘게 썬 청양고추와 "&amp;"대파를 넣어 양념장을 만든다.
14. 김치말이튀김을 적당한 크기로 썬다.")</f>
        <v>1. 핸드블렌더에 밀가루, 소금, 뜨거운 물을 넣고 익반죽해 만두피 반죽을 만든다.
2. 적당한 크기로 썬 돼지 목살과 소 등심, 짜장라면 수프, 다진 생강, 올리브 오일을 핸드블렌더에 넣고 갈아 짜장 만두소를 만든다.
3. 잘게 썬 애호박, 양배추, 대파를 2에 넣는다.
4. 소 등심을 적당한 크기로 썬 뒤 소금, 후추로 밑간한다.
5. 송이버섯의 머리 부분은 잘게 썰고 기둥 부분은 길게 썬다.
6. 밀가루, 전분, 물, 달걀, 식용유를 넣고 섞어 튀김옷을 만든다.
7. 튀김옷에 잘게 썬 송이버섯을 넣는다.
8. 만두피 반죽을 적당한 크기로 떼어낸 뒤 밀대로 밀어 만두피를 만든다.
9. 만두피에 짜장 만두소를 넣어 짜장만두를 만든다.
10. 짜장만두를 기름에 넣고 튀긴다.
11. 배추김치 위에 소 등심, 송이버섯을 넣고 말아준 뒤 밀가루&gt;튀김옷을 묻힌다.
12. 11을 기름에 넣고 튀겨 김치말이튀김을 만든다.
13. 아이용 간장, 고춧가루, 식초, 참기름에 잘게 썬 청양고추와 대파를 넣어 양념장을 만든다.
14. 김치말이튀김을 적당한 크기로 썬다.</v>
      </c>
    </row>
    <row r="994">
      <c r="A994" s="2" t="str">
        <f>recipe!C994
</f>
        <v>맵지호?</v>
      </c>
      <c r="B994" s="2" t="str">
        <f>IFERROR(__xludf.DUMMYFUNCTION("TRIM(
  REGEXEXTRACT(
    raw!A994,
    ""●\s*조리\s*방법([\s\S]*)""
  )
)
"),"1. 대패삼겹살을 굽는다.
2. 석쇠에 홍고추, 청양고추를 올려 토치로 직화한다.
3. 핸드블렌더에 밀가루 강력분, 중력분, 뜨거운 물을 넣고 갈아 면 반죽을 만든 뒤 손으로 치댄다.
4. 적당한 크기로 썬 브로콜리를 뜨거운 물에 데친 뒤 표고버섯, 송이버섯, 잘게 썬 양배추, 양파와 함께 담아둔다.
5. 고춧가루, 다진 마늘, 간장, 맛술을 섞는다.
6. 5에 새우장의 새우, 뜨거운 기름을 넣어 양념장을 만든다.
7. 끓는 물에 콩나물을 넣"&amp;"어 삶는다.
8. 직화한 홍고추와 청양고추를 잘게 썰어 양념장에 넣는다.
9. 양념장에 잘게 썬 청양고추, 새우가루를 넣는다.
10. 불린 마른 오징어의 껍질을 벗긴다.
11. 10을 잘게 썬다.
12. 양념장에 11과 게맛살을 넣는다.
13. 밀가루 위에 면 반죽을 올린 뒤 밀대로 넓게 민다.
14. 면 반죽을 여러 겹으로 접은 뒤 적당한 크기로 썰어 끓는 물에 넣고 삶는다.
15. 달군 팬에 각종 채소, 구운 대패삼겹살을 넣고 볶는다."&amp;"
16. 팬에 양념장을 넣는다.
17. 16에 낙지젓을 넣고 볶는다.
18. 청양고추를 잘게 썬다.
19. 삶은 면을 건져낸 뒤 얼음물에 헹군다.
20. 볶던 양념에 콩나물, 새우장의 새우, 면을 넣어 볶는다.
21. 볶음면 위에 잘게 썬 청양고추를 올린다.")</f>
        <v>1. 대패삼겹살을 굽는다.
2. 석쇠에 홍고추, 청양고추를 올려 토치로 직화한다.
3. 핸드블렌더에 밀가루 강력분, 중력분, 뜨거운 물을 넣고 갈아 면 반죽을 만든 뒤 손으로 치댄다.
4. 적당한 크기로 썬 브로콜리를 뜨거운 물에 데친 뒤 표고버섯, 송이버섯, 잘게 썬 양배추, 양파와 함께 담아둔다.
5. 고춧가루, 다진 마늘, 간장, 맛술을 섞는다.
6. 5에 새우장의 새우, 뜨거운 기름을 넣어 양념장을 만든다.
7. 끓는 물에 콩나물을 넣어 삶는다.
8. 직화한 홍고추와 청양고추를 잘게 썰어 양념장에 넣는다.
9. 양념장에 잘게 썬 청양고추, 새우가루를 넣는다.
10. 불린 마른 오징어의 껍질을 벗긴다.
11. 10을 잘게 썬다.
12. 양념장에 11과 게맛살을 넣는다.
13. 밀가루 위에 면 반죽을 올린 뒤 밀대로 넓게 민다.
14. 면 반죽을 여러 겹으로 접은 뒤 적당한 크기로 썰어 끓는 물에 넣고 삶는다.
15. 달군 팬에 각종 채소, 구운 대패삼겹살을 넣고 볶는다.
16. 팬에 양념장을 넣는다.
17. 16에 낙지젓을 넣고 볶는다.
18. 청양고추를 잘게 썬다.
19. 삶은 면을 건져낸 뒤 얼음물에 헹군다.
20. 볶던 양념에 콩나물, 새우장의 새우, 면을 넣어 볶는다.
21. 볶음면 위에 잘게 썬 청양고추를 올린다.</v>
      </c>
    </row>
    <row r="995">
      <c r="A995" s="2" t="str">
        <f>recipe!C995
</f>
        <v>매워서 놀라지 마라</v>
      </c>
      <c r="B995" s="2" t="str">
        <f>IFERROR(__xludf.DUMMYFUNCTION("TRIM(
  REGEXEXTRACT(
    raw!A995,
    ""●\s*조리\s*방법([\s\S]*)""
  )
)
"),"1. 압력솥의 끓는 물에 옥수수, 대파, 국거리용 소고기, 청양고추, 마늘, 표고버섯, 건새우를 넣어 육수를 낸다.
2. 핸드블렌더에 된장, 마늘, 스리라차소스, 핫소스, 고춧가루를 넣고 갈아 된장 소스를 만든다.
3. 기름을 두른 팬에 버터를 넣는다.
4. 으깬 마늘을 버터를 넣은 팬에 넣는다.
5. 4에 다진 생강을 넣는다.
6. 5에 된장 소스를 넣고 끓인다.
7. 핸드블렌더에 전분, 밀가루를 넣는다.
8. 7에 물, 식용유를 넣고 갈"&amp;"아 면 반죽을 만든 뒤 손으로 치댄다.
9. 된장 소스에 대패삼겹살, 방울토마토, 표고버섯, 고춧가루, 게맛살을 넣어 마라 양념을 만든다.
10. 밀가루 위에 면 반죽을 올린 뒤 밀대로 넓게 민다.
11. 면 반죽을 여러 겹으로 접은 뒤 얇게 썬다.
12. 압력솥의 김을 뺀다.
13. 데친 콩나물, 양송이버섯, 압력솥의 육수를 마라 양념에 넣어 마라탕을 만든다.
14. 13에 육수의 국거리용 소고기, 소금을 넣는다.
15. 끓는 물에 면을 "&amp;"넣어 삶는다.
16. 청양고추를 잘게 썰어 마라탕에 넣는다.
17. 16에 잘게 썬 청양고추, 고춧가루를 넣는다.
18. 삶은 면을 건져낸 뒤 얼음물에 넣어 식힌다.")</f>
        <v>1. 압력솥의 끓는 물에 옥수수, 대파, 국거리용 소고기, 청양고추, 마늘, 표고버섯, 건새우를 넣어 육수를 낸다.
2. 핸드블렌더에 된장, 마늘, 스리라차소스, 핫소스, 고춧가루를 넣고 갈아 된장 소스를 만든다.
3. 기름을 두른 팬에 버터를 넣는다.
4. 으깬 마늘을 버터를 넣은 팬에 넣는다.
5. 4에 다진 생강을 넣는다.
6. 5에 된장 소스를 넣고 끓인다.
7. 핸드블렌더에 전분, 밀가루를 넣는다.
8. 7에 물, 식용유를 넣고 갈아 면 반죽을 만든 뒤 손으로 치댄다.
9. 된장 소스에 대패삼겹살, 방울토마토, 표고버섯, 고춧가루, 게맛살을 넣어 마라 양념을 만든다.
10. 밀가루 위에 면 반죽을 올린 뒤 밀대로 넓게 민다.
11. 면 반죽을 여러 겹으로 접은 뒤 얇게 썬다.
12. 압력솥의 김을 뺀다.
13. 데친 콩나물, 양송이버섯, 압력솥의 육수를 마라 양념에 넣어 마라탕을 만든다.
14. 13에 육수의 국거리용 소고기, 소금을 넣는다.
15. 끓는 물에 면을 넣어 삶는다.
16. 청양고추를 잘게 썰어 마라탕에 넣는다.
17. 16에 잘게 썬 청양고추, 고춧가루를 넣는다.
18. 삶은 면을 건져낸 뒤 얼음물에 넣어 식힌다.</v>
      </c>
    </row>
    <row r="996">
      <c r="A996" s="2" t="str">
        <f>recipe!C996
</f>
        <v>알 Killer♬</v>
      </c>
      <c r="B996" s="2" t="str">
        <f>IFERROR(__xludf.DUMMYFUNCTION("TRIM(
  REGEXEXTRACT(
    raw!A996,
    ""●\s*조리\s*방법([\s\S]*)""
  )
)
"),"1. 끓는 기름에 대파, 고춧가루를 넣어 고추기름을 낸다.
2. 핸드블렌더에 소등심, 마늘, 대파를 넣고 간다.
3. 라이스페이퍼를 잘게 찢는다.
4. 열빙어의 머리, 꼬리 부분을 자른다.
5. 밀가루, 물을 섞어 튀김반죽을 만든다.
6. 킹크랩 살을 발라낸다.
7. 열빙어, 킹크랩 살을 밀가루에 묻힌다.
8. 튀김반죽에 날치알, 명란젓을 섞는다.
9. 열빙어, 킹크랩을 튀김반죽 ? 라이스페이퍼 순으로 묻혀 기름에 튀긴다.
10. 고추기"&amp;"름을 체에 밭쳐 건더기를 걸러낸다.
11. 기름을 두른 팬에 양파, 고추기름, 간 고기, 굴소스를 넣고 볶는다.
12. 팬에 두반장, 설탕, 맛술을 넣고 끓인다.
13. 팬에 마라소스를 추가해 끓인다.
14. 열빙어 튀김, 킹크랩 튀김을 체에 올려 기름기를 뺀다.
15. 라이스페이퍼를 기름에 튀긴다.
16. 마라소스에 전분물을 넣고 끓인다.
17. 열빙어 튀김, 킹크랩 튀김을 다시 한 번 기름에 튀긴다.
18. 두 번 튀긴 열빙어 튀김, "&amp;"킹크랩 튀김을 체에 올려 기름기를 뺀다.
19. 접시에 튀긴 라이스페이퍼와 열빙어 튀김, 킹크랩 튀김을 올린다.
20. 튀김 위에 마라소스를 올린다.")</f>
        <v>1. 끓는 기름에 대파, 고춧가루를 넣어 고추기름을 낸다.
2. 핸드블렌더에 소등심, 마늘, 대파를 넣고 간다.
3. 라이스페이퍼를 잘게 찢는다.
4. 열빙어의 머리, 꼬리 부분을 자른다.
5. 밀가루, 물을 섞어 튀김반죽을 만든다.
6. 킹크랩 살을 발라낸다.
7. 열빙어, 킹크랩 살을 밀가루에 묻힌다.
8. 튀김반죽에 날치알, 명란젓을 섞는다.
9. 열빙어, 킹크랩을 튀김반죽 ? 라이스페이퍼 순으로 묻혀 기름에 튀긴다.
10. 고추기름을 체에 밭쳐 건더기를 걸러낸다.
11. 기름을 두른 팬에 양파, 고추기름, 간 고기, 굴소스를 넣고 볶는다.
12. 팬에 두반장, 설탕, 맛술을 넣고 끓인다.
13. 팬에 마라소스를 추가해 끓인다.
14. 열빙어 튀김, 킹크랩 튀김을 체에 올려 기름기를 뺀다.
15. 라이스페이퍼를 기름에 튀긴다.
16. 마라소스에 전분물을 넣고 끓인다.
17. 열빙어 튀김, 킹크랩 튀김을 다시 한 번 기름에 튀긴다.
18. 두 번 튀긴 열빙어 튀김, 킹크랩 튀김을 체에 올려 기름기를 뺀다.
19. 접시에 튀긴 라이스페이퍼와 열빙어 튀김, 킹크랩 튀김을 올린다.
20. 튀김 위에 마라소스를 올린다.</v>
      </c>
    </row>
    <row r="997">
      <c r="A997" s="2" t="str">
        <f>recipe!C997
</f>
        <v>비주알 센터</v>
      </c>
      <c r="B997" s="2" t="str">
        <f>IFERROR(__xludf.DUMMYFUNCTION("TRIM(
  REGEXEXTRACT(
    raw!A997,
    ""●\s*조리\s*방법([\s\S]*)""
  )
)
"),"1. 끓는 기름에 라이스페이퍼를 튀긴다.
2. 잣을 절구에 곱게 빻는다.
3. 아스파라거스, 홍고추에 올리브오일을 뿌린다.
4. 3과 열빙어에 소금, 후추, 레몬즙을 뿌린 뒤 레몬과 함께 팬에 굽는다.
5. 볼에 명란젓, 청양고추, 마요네즈를 넣은 뒤 곱게 빻은 잣, 요거트를 섞어 명란 잣 소스를 만든다.
6. 굽던 열빙어에 파프리카가루를 뿌려준다.
7. 찜기에 열빙어, 레몬을 올린 뒤 말린 귤껍질을 넣어 훈연한다.
8. 레몬을 반 잘라 팬"&amp;"에 굽는다.
9. 고추장아찌를 잘게 다진다.
10. 물에 불린 라이스페이퍼 위에 깻잎, 구운 아스파라거스, 홍고추, 다진 고추장아찌를 올린다.
11. 튀긴 라이스페이퍼를 잘게 부순다.
12. 라이스페이퍼 위에 잘게 부순 라이스페이퍼를 올린다. 13. 훈연한 열빙어의 머리, 꼬리 부분을 자른 뒤 라이스페이퍼 위에 올려 돌돌 만다.
14. 잘게 부순 튀긴 라이스페이퍼에 파슬리가루, 날치알을 섞은 뒤 월남쌈에 묻힌다.
15. 월남쌈에 올리브오일을 "&amp;"묻힌 뒤, 튀긴 라이스페이퍼를 접시에 올린다.
16. 월남쌈을 튀긴 라이스페이퍼 위에 올린 뒤 파슬리가루를 뿌린다.
17. 구운 레몬을 접시에 담는다.
18. 얇게 썬 홍고추를 명란 잣 소스 위에 올린다.")</f>
        <v>1. 끓는 기름에 라이스페이퍼를 튀긴다.
2. 잣을 절구에 곱게 빻는다.
3. 아스파라거스, 홍고추에 올리브오일을 뿌린다.
4. 3과 열빙어에 소금, 후추, 레몬즙을 뿌린 뒤 레몬과 함께 팬에 굽는다.
5. 볼에 명란젓, 청양고추, 마요네즈를 넣은 뒤 곱게 빻은 잣, 요거트를 섞어 명란 잣 소스를 만든다.
6. 굽던 열빙어에 파프리카가루를 뿌려준다.
7. 찜기에 열빙어, 레몬을 올린 뒤 말린 귤껍질을 넣어 훈연한다.
8. 레몬을 반 잘라 팬에 굽는다.
9. 고추장아찌를 잘게 다진다.
10. 물에 불린 라이스페이퍼 위에 깻잎, 구운 아스파라거스, 홍고추, 다진 고추장아찌를 올린다.
11. 튀긴 라이스페이퍼를 잘게 부순다.
12. 라이스페이퍼 위에 잘게 부순 라이스페이퍼를 올린다. 13. 훈연한 열빙어의 머리, 꼬리 부분을 자른 뒤 라이스페이퍼 위에 올려 돌돌 만다.
14. 잘게 부순 튀긴 라이스페이퍼에 파슬리가루, 날치알을 섞은 뒤 월남쌈에 묻힌다.
15. 월남쌈에 올리브오일을 묻힌 뒤, 튀긴 라이스페이퍼를 접시에 올린다.
16. 월남쌈을 튀긴 라이스페이퍼 위에 올린 뒤 파슬리가루를 뿌린다.
17. 구운 레몬을 접시에 담는다.
18. 얇게 썬 홍고추를 명란 잣 소스 위에 올린다.</v>
      </c>
    </row>
    <row r="998">
      <c r="A998" s="2" t="str">
        <f>recipe!C998
</f>
        <v>닭살돋자냐♡</v>
      </c>
      <c r="B998" s="2" t="str">
        <f>IFERROR(__xludf.DUMMYFUNCTION("TRIM(
  REGEXEXTRACT(
    raw!A998,
    ""●\s*조리\s*방법([\s\S]*)""
  )
)
"),"1. 애호박을 3등분해서 찜기에 흰 목이버섯과 함께 찐다.
2. 토종닭을 해체해 다리, 가슴 부위를 발골 한다.
3. 닭고기 살에 소금, 후추로 간한 뒤 올리브오일을 두른 팬에 냄비로 눌러 굽는다.
4. 올리브오일을 두른 팬에 애호박 슬라이스를 넣고 굽는다.
5. 닭 모래주머니, 양파, 대파, 청양고추, 홍고추를 썬 뒤 팬에 넣어 볶는다.
6. 팬에 먹기 좋은 크기로 썬 가래떡을 넣고 볶는다.
7. 얼갈이배추를 넣고 볶는다.
8. 다진마늘을"&amp;" 넣고 볶는다.
9. 볶던 재료에 깻잎, 뜨거운 물을 넣는다.
10. 찐 애호박의 속을 파낸다.
11. 라자냐 소스에 소금, 후추, 고춧가루, 설탕, 볶음고추장, 물엿을 넣고 끓인다.
12. 얇게 썬 애호박, 전분물, 얇게 썬 청양고추를 라자냐 소스에 넣는다.
13. 라자냐 소스를 그릇에 담은 뒤 스트링치즈를 올린다.
14. 스트링치즈를 올린 라자냐 소스를 오븐에 굽는다.
15. 속을 파낸 애호박에 애호박 뚜껑을 덮은 뒤 하트 모양의 깻잎을"&amp;" 올린다.
16. 구운 애호박 슬라이스를 잘게 썬다.
17. 구운 닭갈비의 가운데를 원형틀로 찍어낸 뒤 한 번 더 굽는다.
18. 오븐에 구운 라자냐 소스 위에 닭갈비를 올린 뒤 애호박을 가운데에 넣는다.
19. 잘게 썬 애호박, 찐 흰 목이버섯을 그릇에 올린다.")</f>
        <v>1. 애호박을 3등분해서 찜기에 흰 목이버섯과 함께 찐다.
2. 토종닭을 해체해 다리, 가슴 부위를 발골 한다.
3. 닭고기 살에 소금, 후추로 간한 뒤 올리브오일을 두른 팬에 냄비로 눌러 굽는다.
4. 올리브오일을 두른 팬에 애호박 슬라이스를 넣고 굽는다.
5. 닭 모래주머니, 양파, 대파, 청양고추, 홍고추를 썬 뒤 팬에 넣어 볶는다.
6. 팬에 먹기 좋은 크기로 썬 가래떡을 넣고 볶는다.
7. 얼갈이배추를 넣고 볶는다.
8. 다진마늘을 넣고 볶는다.
9. 볶던 재료에 깻잎, 뜨거운 물을 넣는다.
10. 찐 애호박의 속을 파낸다.
11. 라자냐 소스에 소금, 후추, 고춧가루, 설탕, 볶음고추장, 물엿을 넣고 끓인다.
12. 얇게 썬 애호박, 전분물, 얇게 썬 청양고추를 라자냐 소스에 넣는다.
13. 라자냐 소스를 그릇에 담은 뒤 스트링치즈를 올린다.
14. 스트링치즈를 올린 라자냐 소스를 오븐에 굽는다.
15. 속을 파낸 애호박에 애호박 뚜껑을 덮은 뒤 하트 모양의 깻잎을 올린다.
16. 구운 애호박 슬라이스를 잘게 썬다.
17. 구운 닭갈비의 가운데를 원형틀로 찍어낸 뒤 한 번 더 굽는다.
18. 오븐에 구운 라자냐 소스 위에 닭갈비를 올린 뒤 애호박을 가운데에 넣는다.
19. 잘게 썬 애호박, 찐 흰 목이버섯을 그릇에 올린다.</v>
      </c>
    </row>
    <row r="999">
      <c r="A999" s="2" t="str">
        <f>recipe!C999
</f>
        <v>닭파라치♬</v>
      </c>
      <c r="B999" s="2" t="str">
        <f>IFERROR(__xludf.DUMMYFUNCTION("TRIM(
  REGEXEXTRACT(
    raw!A999,
    ""●\s*조리\s*방법([\s\S]*)""
  )
)
"),"1. 토종닭을 해체해 다리 부위를 발골 한다.
2. 닭다리살을 하트 모양으로 만든다.
3. 하트 모양의 닭다리살을 밀가루에 묻힌다.
4. 밀가루에 묻힌 닭다리살을 기름에 튀긴다.
5. 끓는 물에 얼갈이배추를 데친다.
6. 호박잎을 찜기에 넣고 찐다.
7. 데친 얼갈이배추를 흐르는 물에 식힌다.
8. 볼에 삼발소스, 청양고추, 홍고추, 다진마늘, 파프리카 가루, 피넛소스를 섞어 가도가도 소스를 만든다.
9. 가도가도 소스에 레몬즙을 뿌린다."&amp;"
10. 가도가도 소스에 후추를 뿌린다.
11. 가도가도 소스에 설탕을 추가한다.
12. 가도가도 소스에 으깬 잣을 넣는다.
13. 데친 얼갈이배추를 잘게 썬 뒤 가도가도 소스를 무친다.
14. 닭다리살을 튀긴 기름에 말린 귤껍질을 넣는다.
15. 찜기에 찐 호박잎을 볼에 담는다.
16. 가도가도 소스를 접시 가장자리에 올린다.
17. 하트 모양의 치킨 스테이크를 접시에 담는다.
18. 호박잎쌈을 접시에 담는다.")</f>
        <v>1. 토종닭을 해체해 다리 부위를 발골 한다.
2. 닭다리살을 하트 모양으로 만든다.
3. 하트 모양의 닭다리살을 밀가루에 묻힌다.
4. 밀가루에 묻힌 닭다리살을 기름에 튀긴다.
5. 끓는 물에 얼갈이배추를 데친다.
6. 호박잎을 찜기에 넣고 찐다.
7. 데친 얼갈이배추를 흐르는 물에 식힌다.
8. 볼에 삼발소스, 청양고추, 홍고추, 다진마늘, 파프리카 가루, 피넛소스를 섞어 가도가도 소스를 만든다.
9. 가도가도 소스에 레몬즙을 뿌린다.
10. 가도가도 소스에 후추를 뿌린다.
11. 가도가도 소스에 설탕을 추가한다.
12. 가도가도 소스에 으깬 잣을 넣는다.
13. 데친 얼갈이배추를 잘게 썬 뒤 가도가도 소스를 무친다.
14. 닭다리살을 튀긴 기름에 말린 귤껍질을 넣는다.
15. 찜기에 찐 호박잎을 볼에 담는다.
16. 가도가도 소스를 접시 가장자리에 올린다.
17. 하트 모양의 치킨 스테이크를 접시에 담는다.
18. 호박잎쌈을 접시에 담는다.</v>
      </c>
    </row>
    <row r="1000">
      <c r="A1000" s="2" t="str">
        <f>recipe!C1000
</f>
        <v>고등램지</v>
      </c>
      <c r="B1000" s="2" t="str">
        <f>IFERROR(__xludf.DUMMYFUNCTION("TRIM(
  REGEXEXTRACT(
    raw!A1000,
    ""●\s*조리\s*방법([\s\S]*)""
  )
)
"),"1. 냄비에 황태채, 이유식용 육수, 통조림 꼬막, 뜨거운 물을 부어 육수를 낸다.
2. 끓는 물에 스파게티를 넣고 삶는다.
3. 올리브오일을 두른 팬에 빵가루, 마늘을 넣고 볶는다.
4. 얇게 슬라이스한 애호박에 칼집을 낸 뒤 올리브오일을 두른 팬에 넣고 후추, 소금을 뿌려 굽는다.
5. 4의 애호박을 그릴팬에 옮겨 굽는다.
6. 대파, 마늘, 베이컨, 청양고추, 고추장아찌를 잘게 썬 뒤 올리브오일을 두른 팬에 넣는다.
7. 6에 통조림 게"&amp;"살장, 후추, 케첩, 고춧가루, 황태채 육수를 넣어 소스를 만든다.
8. 7에 우유를 넣는다.
9. 그릴팬의 애호박을 뒤집어 굽는다.
10. 고등어를 손질한 뒤 소금, 후추를 뿌려 그릴팬에 굽는다.
11. 10에 화이트와인을 넣는다.
12. 구운 고등어를 소스에 넣는다.
13. 12에 고추장아찌의 국물, 페퍼페론치노를 넣는다.
14. 삶은 스파게티를 건져낸다.
15. 스파게티에 올리브오일을 뿌려둔다.
16. 볶은 빵가루를 접시에 담아둔다"&amp;".
17. 소스에 레몬즙을 넣는다.
18. 올리브오일을 두른 팬에 느타리버섯을 올린 뒤 소금, 후추를 뿌린다.
19. 소스에 구운 느타리버섯을 넣는다.
20. 소스에 파르메산 치즈가루, 고춧가루, 케첩을 넣는다.
21. 소스에 스파게티면을 넣고 볶은 뒤 접시에 올린다.
22. 21에 구운 애호박, 잘게 썬 시금치, 볶은 빵가루를 올린다.
23. 22에 파르메산 치즈가루를 뿌린다.")</f>
        <v>1. 냄비에 황태채, 이유식용 육수, 통조림 꼬막, 뜨거운 물을 부어 육수를 낸다.
2. 끓는 물에 스파게티를 넣고 삶는다.
3. 올리브오일을 두른 팬에 빵가루, 마늘을 넣고 볶는다.
4. 얇게 슬라이스한 애호박에 칼집을 낸 뒤 올리브오일을 두른 팬에 넣고 후추, 소금을 뿌려 굽는다.
5. 4의 애호박을 그릴팬에 옮겨 굽는다.
6. 대파, 마늘, 베이컨, 청양고추, 고추장아찌를 잘게 썬 뒤 올리브오일을 두른 팬에 넣는다.
7. 6에 통조림 게살장, 후추, 케첩, 고춧가루, 황태채 육수를 넣어 소스를 만든다.
8. 7에 우유를 넣는다.
9. 그릴팬의 애호박을 뒤집어 굽는다.
10. 고등어를 손질한 뒤 소금, 후추를 뿌려 그릴팬에 굽는다.
11. 10에 화이트와인을 넣는다.
12. 구운 고등어를 소스에 넣는다.
13. 12에 고추장아찌의 국물, 페퍼페론치노를 넣는다.
14. 삶은 스파게티를 건져낸다.
15. 스파게티에 올리브오일을 뿌려둔다.
16. 볶은 빵가루를 접시에 담아둔다.
17. 소스에 레몬즙을 넣는다.
18. 올리브오일을 두른 팬에 느타리버섯을 올린 뒤 소금, 후추를 뿌린다.
19. 소스에 구운 느타리버섯을 넣는다.
20. 소스에 파르메산 치즈가루, 고춧가루, 케첩을 넣는다.
21. 소스에 스파게티면을 넣고 볶은 뒤 접시에 올린다.
22. 21에 구운 애호박, 잘게 썬 시금치, 볶은 빵가루를 올린다.
23. 22에 파르메산 치즈가루를 뿌린다.</v>
      </c>
    </row>
    <row r="1001">
      <c r="A1001" s="2" t="str">
        <f>recipe!C1001
</f>
        <v>파스타 사랑해♬</v>
      </c>
      <c r="B1001" s="2" t="str">
        <f>IFERROR(__xludf.DUMMYFUNCTION("TRIM(
  REGEXEXTRACT(
    raw!A1001,
    ""●\s*조리\s*방법([\s\S]*)""
  )
)
"),"1. 달군 냄비에 다진 소고기를 넣고 볶는다.
2. 1에 올리브오일, 소금을 넣는다.
3. 2에 뜨거운 물을 넣어 고기 육수를 만든다.
4. 핸드블렌더에 밀가루, 달걀, 물을 넣고 갈아 면 반죽을 만든다.
5. 핸드블렌더에 블루베리를 넣고 간다.
6. 면 반죽에 밀가루를 묻힌 뒤 밀대로 넓게 민다.
7. 면 반죽을 여러 겹으로 접은 뒤 적당한 크기로 썬다.
8. 느타리버섯을 잘게 썰어 올리브오일을 두른 팬에 넣는다.
9. 핸드블렌더에 마늘"&amp;"을 넣고 간 뒤 8에 넣는다.
10. 통조림 꼬막을 잘게 썬 뒤 9에 넣는다.
11. 속을 파낸 에스카르고를 흐르는 물에 씻은 뒤 잘게 썰어 10에 넣는다.
12. 애호박을 잘게 썰어 11에 넣는다.
13. 12에 통조림 꼬막의 국물과 고기 육수를 넣어 소스를 만든다.
14. 냄비에 버터, 밀가루, 우유를 넣어 루를 만든다.
15. 14에 스모크치즈를 갈아 넣는다.
16. 15에 파르메산 치즈가루를 넣는다.
17. 올리브오일을 두른 팬에 "&amp;"버터, 빵가루, 간 마늘을 넣고 볶는다.
18. 끓는 물에 완두콩을 삶는다.
19. 볼에 레몬즙, 올리브오일, 삶은 완두콩을 함께 담아둔다.
20. 16의 크림을 소스에 넣는다.
21. 소스에 트러플 치즈크림소스를 넣는다.
22. 끓는 물에 면을 넣고 삶는다.
23. 소스에 고기 육수를 넣는다.
24. 올리브오일을 두른 팬에 깻잎의 순을 올린다.
25. 삶은 면을 소스에 넣는다.
26. 접시에 간 블루베리를 바른 뒤 파스타를 올린다.
"&amp;"27. 볶은 깻잎의 순을 삶은 완두콩에 넣고 버무린다.
28. 파스타에 볶은 빵가루, 깻잎의 순과 완두콩, 파르메산 치즈가루를 올린다.")</f>
        <v>1. 달군 냄비에 다진 소고기를 넣고 볶는다.
2. 1에 올리브오일, 소금을 넣는다.
3. 2에 뜨거운 물을 넣어 고기 육수를 만든다.
4. 핸드블렌더에 밀가루, 달걀, 물을 넣고 갈아 면 반죽을 만든다.
5. 핸드블렌더에 블루베리를 넣고 간다.
6. 면 반죽에 밀가루를 묻힌 뒤 밀대로 넓게 민다.
7. 면 반죽을 여러 겹으로 접은 뒤 적당한 크기로 썬다.
8. 느타리버섯을 잘게 썰어 올리브오일을 두른 팬에 넣는다.
9. 핸드블렌더에 마늘을 넣고 간 뒤 8에 넣는다.
10. 통조림 꼬막을 잘게 썬 뒤 9에 넣는다.
11. 속을 파낸 에스카르고를 흐르는 물에 씻은 뒤 잘게 썰어 10에 넣는다.
12. 애호박을 잘게 썰어 11에 넣는다.
13. 12에 통조림 꼬막의 국물과 고기 육수를 넣어 소스를 만든다.
14. 냄비에 버터, 밀가루, 우유를 넣어 루를 만든다.
15. 14에 스모크치즈를 갈아 넣는다.
16. 15에 파르메산 치즈가루를 넣는다.
17. 올리브오일을 두른 팬에 버터, 빵가루, 간 마늘을 넣고 볶는다.
18. 끓는 물에 완두콩을 삶는다.
19. 볼에 레몬즙, 올리브오일, 삶은 완두콩을 함께 담아둔다.
20. 16의 크림을 소스에 넣는다.
21. 소스에 트러플 치즈크림소스를 넣는다.
22. 끓는 물에 면을 넣고 삶는다.
23. 소스에 고기 육수를 넣는다.
24. 올리브오일을 두른 팬에 깻잎의 순을 올린다.
25. 삶은 면을 소스에 넣는다.
26. 접시에 간 블루베리를 바른 뒤 파스타를 올린다.
27. 볶은 깻잎의 순을 삶은 완두콩에 넣고 버무린다.
28. 파스타에 볶은 빵가루, 깻잎의 순과 완두콩, 파르메산 치즈가루를 올린다.</v>
      </c>
    </row>
    <row r="1002">
      <c r="A1002" s="2" t="str">
        <f>recipe!C1002
</f>
        <v>지구용사 산초맨</v>
      </c>
      <c r="B1002" s="2" t="str">
        <f>IFERROR(__xludf.DUMMYFUNCTION("TRIM(
  REGEXEXTRACT(
    raw!A1002,
    ""●\s*조리\s*방법([\s\S]*)""
  )
)
"),"1. 끓는 기름에 으깬 생강, 대파, 고춧가루를 넣어 고추기름을 낸다.
2. 소 등심에 칼집을 낸다.
3. 핸드블렌더로 설탕, 맛술, 간장을 섞어 간장 양념을 만든 뒤 소 등심에 발라준다.
4. 3에 참기름을 넣어 재워둔다.
5. 청양고추, 홍고추, 대파를 잘게 썬다.
6. 재워둔 소 등심을 체에 밭쳐 직화한다.
7. 6에 대파를 넣어 소 등심 밑에 깐 뒤 직화한다.
8. 느타리버섯, 새송이버섯을 적당한 크기로 썬다.
9. 팬에 잘게 썬 "&amp;"양파, 버터를 올린다.
10. 팬에 건더기를 걸러낸 고추기름, 페퍼론치노, 느타리버섯, 새송이버섯, 잘게 썬 각종 채소를 넣고 볶는다.
11. 직화한 소 등심에 간장 양념을 부은 뒤 다시 직화한다.
12. 볶던 재료에 굴소스, 뜨거운 물, 새우살을 넣고 볶는다.
13. 볶던 양파에 불린 어내토 시드를 걸러낸 물을 넣는다.
14. 어내토 시드 소스에 즉석밥을 넣고 볶아 리소토를 만든다.
15. 14에 고추기름, 간장 양념을 넣는다.
16. 볶"&amp;"던 재료에 고추기름을 넣는다.
17. 리소토에 산초가루를 넣는다.
18. 리소토에 버터, 고추기름을 넣는다.
19. 직화한 소 등심을 적당한 크기로 썬 뒤 볶던 재료에 넣고 산초가루를 넣는다.
20. 19에 고추기름을 넣는다.
21. 접시에 리소토를 담는다.
22. 산초 불고기에 참기름을 뿌린다.
23. 리소토 위에 산초 불고기를 담는다.")</f>
        <v>1. 끓는 기름에 으깬 생강, 대파, 고춧가루를 넣어 고추기름을 낸다.
2. 소 등심에 칼집을 낸다.
3. 핸드블렌더로 설탕, 맛술, 간장을 섞어 간장 양념을 만든 뒤 소 등심에 발라준다.
4. 3에 참기름을 넣어 재워둔다.
5. 청양고추, 홍고추, 대파를 잘게 썬다.
6. 재워둔 소 등심을 체에 밭쳐 직화한다.
7. 6에 대파를 넣어 소 등심 밑에 깐 뒤 직화한다.
8. 느타리버섯, 새송이버섯을 적당한 크기로 썬다.
9. 팬에 잘게 썬 양파, 버터를 올린다.
10. 팬에 건더기를 걸러낸 고추기름, 페퍼론치노, 느타리버섯, 새송이버섯, 잘게 썬 각종 채소를 넣고 볶는다.
11. 직화한 소 등심에 간장 양념을 부은 뒤 다시 직화한다.
12. 볶던 재료에 굴소스, 뜨거운 물, 새우살을 넣고 볶는다.
13. 볶던 양파에 불린 어내토 시드를 걸러낸 물을 넣는다.
14. 어내토 시드 소스에 즉석밥을 넣고 볶아 리소토를 만든다.
15. 14에 고추기름, 간장 양념을 넣는다.
16. 볶던 재료에 고추기름을 넣는다.
17. 리소토에 산초가루를 넣는다.
18. 리소토에 버터, 고추기름을 넣는다.
19. 직화한 소 등심을 적당한 크기로 썬 뒤 볶던 재료에 넣고 산초가루를 넣는다.
20. 19에 고추기름을 넣는다.
21. 접시에 리소토를 담는다.
22. 산초 불고기에 참기름을 뿌린다.
23. 리소토 위에 산초 불고기를 담는다.</v>
      </c>
    </row>
    <row r="1003">
      <c r="A1003" s="2" t="str">
        <f>recipe!C1003
</f>
        <v>마라왕 복탁구</v>
      </c>
      <c r="B1003" s="2" t="str">
        <f>IFERROR(__xludf.DUMMYFUNCTION("TRIM(
  REGEXEXTRACT(
    raw!A1003,
    ""●\s*조리\s*방법([\s\S]*)""
  )
)
"),"1. 끓는 기름에 대파, 고춧가루, 산초가루, 페퍼론치노를 넣어 산초고추기름을 낸다.
2. 고구마의 껍질을 벗겨낸 뒤 잘게 썰어 끓는 기름에 넣고 튀긴다.
3. 연두부를 적당한 크기로 썬 뒤 끓는 기름에 넣고 튀긴다.
4. 끓는 물에 황태채, 건새우, 국물용 멸치, 맛술, 소금을 넣어 육수를 만든다.
5. 돼지 안심을 얇게 썬다.
6. 돼지 안심에 전분&gt;달걀물 순으로 묻혀 기름에 화한다.
7. 끓는 물에 시금치, 청경채를 데친다.
8. 산초"&amp;"고추기름을 체에 밭쳐 걸러낸다.
9. 팬에 잘게 썬 대파, 양파와 으깬 마늘, 산초고추기름을 넣는다.
10. 에스카르고의 속을 파낸 뒤 9에 넣어 볶는다.
11. 끓는 물에 콩나물을 넣어 데친다.
12. 튀긴 고구마와 연두부를 건져낸다.
13. 느타리버섯과 새송이버섯을 적당한 크기로 썬 뒤 볶던 재료에 넣는다.
14. 13에 간장, 산초가루, 화한 돼지 안심, 육수를 넣어 마라탕을 만든다.
15. 마라탕에 새우살을 넣는다.
16. 마라탕에"&amp;" 산초가루를 더 넣는다.
17. 마라탕에 산초고추기름을 넣는다.
18. 접시에 각종 데친 채소, 튀긴 고구마를 담는다.
19. 마라탕에 잘게 썬 청양고추를 넣는다.
20. 각종 채소와 튀긴 고구마가 담긴 접시에 마라탕을 붓는다.
21. 마라탕에 튀긴 연두부를 올린다.")</f>
        <v>1. 끓는 기름에 대파, 고춧가루, 산초가루, 페퍼론치노를 넣어 산초고추기름을 낸다.
2. 고구마의 껍질을 벗겨낸 뒤 잘게 썰어 끓는 기름에 넣고 튀긴다.
3. 연두부를 적당한 크기로 썬 뒤 끓는 기름에 넣고 튀긴다.
4. 끓는 물에 황태채, 건새우, 국물용 멸치, 맛술, 소금을 넣어 육수를 만든다.
5. 돼지 안심을 얇게 썬다.
6. 돼지 안심에 전분&gt;달걀물 순으로 묻혀 기름에 화한다.
7. 끓는 물에 시금치, 청경채를 데친다.
8. 산초고추기름을 체에 밭쳐 걸러낸다.
9. 팬에 잘게 썬 대파, 양파와 으깬 마늘, 산초고추기름을 넣는다.
10. 에스카르고의 속을 파낸 뒤 9에 넣어 볶는다.
11. 끓는 물에 콩나물을 넣어 데친다.
12. 튀긴 고구마와 연두부를 건져낸다.
13. 느타리버섯과 새송이버섯을 적당한 크기로 썬 뒤 볶던 재료에 넣는다.
14. 13에 간장, 산초가루, 화한 돼지 안심, 육수를 넣어 마라탕을 만든다.
15. 마라탕에 새우살을 넣는다.
16. 마라탕에 산초가루를 더 넣는다.
17. 마라탕에 산초고추기름을 넣는다.
18. 접시에 각종 데친 채소, 튀긴 고구마를 담는다.
19. 마라탕에 잘게 썬 청양고추를 넣는다.
20. 각종 채소와 튀긴 고구마가 담긴 접시에 마라탕을 붓는다.
21. 마라탕에 튀긴 연두부를 올린다.</v>
      </c>
    </row>
    <row r="1004">
      <c r="A1004" s="2" t="str">
        <f>recipe!C1004
</f>
        <v>할리우드에서 미트볼을</v>
      </c>
      <c r="B1004" s="2" t="str">
        <f>IFERROR(__xludf.DUMMYFUNCTION("TRIM(
  REGEXEXTRACT(
    raw!A1004,
    ""●\s*조리\s*방법([\s\S]*)""
  )
)
"),"1. 끓는 물에 스파게티 면을 삶는다.
2. 소등심, 소안심, 드라이에이징 등심을 먹기 좋은 크기로 썬다.
3. 핸드블렌더에 세 가지 소고기, 베이컨, 홀그레인머스터드, 바질가루, 살사소스, 다진마늘, 후추를 넣고 간다.
4. 고기반죽에 부침가루를 넣고 손으로 치댄다.
5. 고기반죽 속에 스트링치즈, 그릴드치즈, 화이트 체다치즈를 넣어 미트볼을 만든다.
6. 미트볼을 기름에 튀긴다.
7. 양파, 마늘, 열무김치를 잘게 썬 뒤 올리브오일을 두른"&amp;" 팬에 넣고 볶는다.
8. 볶던 팬에 베이컨, 크림파스타소스를 넣는다.
9. 올리브오일을 두른 그릴 팬에 아스파라거스를 넣은 뒤 후추, 간장을 넣어 굽는다.
10. 리코타치즈 토마토소스, 체리토마토소스를 넣은 냄비에 미트볼을 넣고 익힌다.
11. 삶은 스파게티 면을 건져낸 뒤 올리브오일을 뿌려준다.
12. 파스타 소스에 살사소스, 바질가루를 넣는다.
13. 그릴드치즈, 비엔나소시지를 파스타 소스에 넣은 뒤 스파게티 면도 넣는다.
14. 접시"&amp;"에 미트볼을 담는다.
15. 접시에 구운 아스파라거스를 올린다.")</f>
        <v>1. 끓는 물에 스파게티 면을 삶는다.
2. 소등심, 소안심, 드라이에이징 등심을 먹기 좋은 크기로 썬다.
3. 핸드블렌더에 세 가지 소고기, 베이컨, 홀그레인머스터드, 바질가루, 살사소스, 다진마늘, 후추를 넣고 간다.
4. 고기반죽에 부침가루를 넣고 손으로 치댄다.
5. 고기반죽 속에 스트링치즈, 그릴드치즈, 화이트 체다치즈를 넣어 미트볼을 만든다.
6. 미트볼을 기름에 튀긴다.
7. 양파, 마늘, 열무김치를 잘게 썬 뒤 올리브오일을 두른 팬에 넣고 볶는다.
8. 볶던 팬에 베이컨, 크림파스타소스를 넣는다.
9. 올리브오일을 두른 그릴 팬에 아스파라거스를 넣은 뒤 후추, 간장을 넣어 굽는다.
10. 리코타치즈 토마토소스, 체리토마토소스를 넣은 냄비에 미트볼을 넣고 익힌다.
11. 삶은 스파게티 면을 건져낸 뒤 올리브오일을 뿌려준다.
12. 파스타 소스에 살사소스, 바질가루를 넣는다.
13. 그릴드치즈, 비엔나소시지를 파스타 소스에 넣은 뒤 스파게티 면도 넣는다.
14. 접시에 미트볼을 담는다.
15. 접시에 구운 아스파라거스를 올린다.</v>
      </c>
    </row>
    <row r="1005">
      <c r="A1005" s="2" t="str">
        <f>recipe!C1005
</f>
        <v>백 투 더 아메리카</v>
      </c>
      <c r="B1005" s="2" t="str">
        <f>IFERROR(__xludf.DUMMYFUNCTION("TRIM(
  REGEXEXTRACT(
    raw!A1005,
    ""●\s*조리\s*방법([\s\S]*)""
  )
)
"),"1. 올리브오일을 두른 팬 2개에 얇게 썬 양파를 볶는다.
2. 끓는 물에 파르펠레 면을 삶는다.
3. 베이컨, 소등심, 소안심을 먹기 좋은 크기로 썬다.
4. 양파를 볶던 팬 2개에 베이컨을 넣는다.
5. 베이컨을 볶는 한쪽 팬에 소등심을 넣고, 양쪽 팬에 버터를 넣는다.
6. 잘게 썬 청양고추를 베이컨이 들어간 팬에 넣는다.
7. 고기반죽에 소금으로 간한 뒤 달걀노른자, 밀가루를 넣는다.
8. 도넛모양의 패티를 소등심 볶던 팬에 넣고 굽"&amp;"는다.
9. 패티를 굽던 팬에 목이버섯을 넣는다.
10. 아스파라거스를 베이컨이 들어간 팬에 넣고 볶는다.
11. 양쪽 팬에 밀가루를 넣은 뒤 패티를 굽던 팬에 베트남 간장을 넣는다.
12. 베이컨이 들어간 팬에 인스턴트 삼계탕 국물을 넣고 끓인다.
13. 패티를 굽던 팬에 홀그레인머스터드, 체리토마토소스, 바질가루를 넣고 볶는다.
14. 베이컨이 들어간 팬에 우유를 넣고 끓여 크림소스를 만든다.
15. 패티를 굽던 팬에 크림파스타소스, 토"&amp;"마토파스타소스를 넣고 끓인다.
16. 크림소스에 화이트 체다치즈를 갈아 넣는다.
17. 크림소스에 스트링치즈를 추가해 끓인다.
18. 크림소스에 소금으로 간한다.
19. 삶은 파르펠레 면을 건져낸 뒤 크림소스에 넣어 파르펠레 크림파스타를 만든다.
20. 솔즈베리 스테이크에 버터를 넣고 끓인다.
21. 접시에 파르펠레 크림파스타를 담는다.")</f>
        <v>1. 올리브오일을 두른 팬 2개에 얇게 썬 양파를 볶는다.
2. 끓는 물에 파르펠레 면을 삶는다.
3. 베이컨, 소등심, 소안심을 먹기 좋은 크기로 썬다.
4. 양파를 볶던 팬 2개에 베이컨을 넣는다.
5. 베이컨을 볶는 한쪽 팬에 소등심을 넣고, 양쪽 팬에 버터를 넣는다.
6. 잘게 썬 청양고추를 베이컨이 들어간 팬에 넣는다.
7. 고기반죽에 소금으로 간한 뒤 달걀노른자, 밀가루를 넣는다.
8. 도넛모양의 패티를 소등심 볶던 팬에 넣고 굽는다.
9. 패티를 굽던 팬에 목이버섯을 넣는다.
10. 아스파라거스를 베이컨이 들어간 팬에 넣고 볶는다.
11. 양쪽 팬에 밀가루를 넣은 뒤 패티를 굽던 팬에 베트남 간장을 넣는다.
12. 베이컨이 들어간 팬에 인스턴트 삼계탕 국물을 넣고 끓인다.
13. 패티를 굽던 팬에 홀그레인머스터드, 체리토마토소스, 바질가루를 넣고 볶는다.
14. 베이컨이 들어간 팬에 우유를 넣고 끓여 크림소스를 만든다.
15. 패티를 굽던 팬에 크림파스타소스, 토마토파스타소스를 넣고 끓인다.
16. 크림소스에 화이트 체다치즈를 갈아 넣는다.
17. 크림소스에 스트링치즈를 추가해 끓인다.
18. 크림소스에 소금으로 간한다.
19. 삶은 파르펠레 면을 건져낸 뒤 크림소스에 넣어 파르펠레 크림파스타를 만든다.
20. 솔즈베리 스테이크에 버터를 넣고 끓인다.
21. 접시에 파르펠레 크림파스타를 담는다.</v>
      </c>
    </row>
    <row r="1006">
      <c r="A1006" s="2" t="str">
        <f>recipe!C1006
</f>
        <v>간장, 게 섰거라!</v>
      </c>
      <c r="B1006" s="2" t="str">
        <f>IFERROR(__xludf.DUMMYFUNCTION("TRIM(
  REGEXEXTRACT(
    raw!A1006,
    ""●\s*조리\s*방법([\s\S]*)""
  )
)
"),"1. 불린 쌀을 돌솥에 넣은 뒤 물을 넣는다.
2. 끓는 물에 전복을 데친다.
3. 찜기에 꽃게를 찐다.
4. 적당한 크기로 썬 소안심을 지퍼백에 넣은 뒤 고기망치로 두드린다.
5. 올리브오일을 두른 팬에 감자, 양파를 넣는다.
6. 팬에 당근을 넣고 볶는다.
7. 팬에 소안심을 넣고 볶는다.
8. 팬에 청주, 맛술을 넣는다.
9. 팬에 설탕을 넣는다.
10. 아보카도를 손질한 뒤 올리브오일을 두른 팬에 굽는다.
11. 데친 전복을 물"&amp;"에 씻어 내장을 제거 한 뒤 먹기 좋은 크기로 썬다.
12. 전복을 조림소스에 넣는다.
13. 조림소스에 간장, 반숙란을 넣고 조린다.
14. 밀대를 이용해 꽃게의 살을 발라낸다.
15. 돌솥밥에 꽃게살을 넣는다.
16. 소고기 간장조림에 후추로 간한 뒤 반숙란을 건져낸다.
17. 소고기 간장조림에 구운 아보카도, 고추장아찌 국물을 넣고 조린다.
18. 반숙란을 반으로 썬다.
19. 접시에 소고기 간장조림을 담은 뒤 반숙란을 올린다.
2"&amp;"0. 꽃게 솥밥에 버터를 올린 뒤 뚜껑을 닫는다.")</f>
        <v>1. 불린 쌀을 돌솥에 넣은 뒤 물을 넣는다.
2. 끓는 물에 전복을 데친다.
3. 찜기에 꽃게를 찐다.
4. 적당한 크기로 썬 소안심을 지퍼백에 넣은 뒤 고기망치로 두드린다.
5. 올리브오일을 두른 팬에 감자, 양파를 넣는다.
6. 팬에 당근을 넣고 볶는다.
7. 팬에 소안심을 넣고 볶는다.
8. 팬에 청주, 맛술을 넣는다.
9. 팬에 설탕을 넣는다.
10. 아보카도를 손질한 뒤 올리브오일을 두른 팬에 굽는다.
11. 데친 전복을 물에 씻어 내장을 제거 한 뒤 먹기 좋은 크기로 썬다.
12. 전복을 조림소스에 넣는다.
13. 조림소스에 간장, 반숙란을 넣고 조린다.
14. 밀대를 이용해 꽃게의 살을 발라낸다.
15. 돌솥밥에 꽃게살을 넣는다.
16. 소고기 간장조림에 후추로 간한 뒤 반숙란을 건져낸다.
17. 소고기 간장조림에 구운 아보카도, 고추장아찌 국물을 넣고 조린다.
18. 반숙란을 반으로 썬다.
19. 접시에 소고기 간장조림을 담은 뒤 반숙란을 올린다.
20. 꽃게 솥밥에 버터를 올린 뒤 뚜껑을 닫는다.</v>
      </c>
    </row>
    <row r="1007">
      <c r="A1007" s="2" t="str">
        <f>recipe!C1007
</f>
        <v>간장 보증수표</v>
      </c>
      <c r="B1007" s="2" t="str">
        <f>IFERROR(__xludf.DUMMYFUNCTION("TRIM(
  REGEXEXTRACT(
    raw!A1007,
    ""●\s*조리\s*방법([\s\S]*)""
  )
)
"),"1. 전복에 뜨거운 물을 부어 데친다.
2. 버터를 두른 팬에 베이컨을 볶는다.
3. 팬에 밀가루를 넣어 루를 만든다.
4. 팬에 우유를 넣고 끓인다.
5. 무늬오징어에 껍질을 벗긴 뒤 촘촘하게 칼집을 낸다.
6. 표고버섯, 아스파라거스, 브로콜리, 애호박을 먹기 좋은 크기로 썬다.
7. 데친 전복의 칼집을 낸 뒤 먹기 좋은 크기로 썬다.
8. 버터를 두른 팬에 무늬오징어, 마늘, 표고버섯, 백 목이버섯, 목이버섯을 넣고 볶는다.
9. 팬"&amp;"에 브로콜리, 애호박, 맛술, 간장을 넣고 볶는다.
10. 팬에 새우, 전복을 넣는다.
11. 루에 불린 누룽지를 넣고 섞는다.
12. 간장소스를 체에 밭쳐 팬에 걸러낸다.
13. 누룽지에 간장소스를 넣고 끓여 리소토를 만든다.
14. 볶던 재료에 아스파라거스를 넣은 뒤, 간장 소스에 버터를 녹인다.
15. 접시에 누룽지리소토를 담은 뒤 화이트 체다치즈를 갈아 넣는다.
16. 누룽지리소토 위에 볶던 재료를 올린다.
17. 볶던 재료에 간장"&amp;"버터소스를 올린다.
18. 후추로 간한다.")</f>
        <v>1. 전복에 뜨거운 물을 부어 데친다.
2. 버터를 두른 팬에 베이컨을 볶는다.
3. 팬에 밀가루를 넣어 루를 만든다.
4. 팬에 우유를 넣고 끓인다.
5. 무늬오징어에 껍질을 벗긴 뒤 촘촘하게 칼집을 낸다.
6. 표고버섯, 아스파라거스, 브로콜리, 애호박을 먹기 좋은 크기로 썬다.
7. 데친 전복의 칼집을 낸 뒤 먹기 좋은 크기로 썬다.
8. 버터를 두른 팬에 무늬오징어, 마늘, 표고버섯, 백 목이버섯, 목이버섯을 넣고 볶는다.
9. 팬에 브로콜리, 애호박, 맛술, 간장을 넣고 볶는다.
10. 팬에 새우, 전복을 넣는다.
11. 루에 불린 누룽지를 넣고 섞는다.
12. 간장소스를 체에 밭쳐 팬에 걸러낸다.
13. 누룽지에 간장소스를 넣고 끓여 리소토를 만든다.
14. 볶던 재료에 아스파라거스를 넣은 뒤, 간장 소스에 버터를 녹인다.
15. 접시에 누룽지리소토를 담은 뒤 화이트 체다치즈를 갈아 넣는다.
16. 누룽지리소토 위에 볶던 재료를 올린다.
17. 볶던 재료에 간장버터소스를 올린다.
18. 후추로 간한다.</v>
      </c>
    </row>
    <row r="1008">
      <c r="A1008" s="2" t="str">
        <f>recipe!C1008
</f>
        <v>복고풍 샐러드</v>
      </c>
      <c r="B1008" s="2" t="str">
        <f>IFERROR(__xludf.DUMMYFUNCTION("TRIM(
  REGEXEXTRACT(
    raw!A1008,
    ""●\s*조리\s*방법([\s\S]*)""
  )
)
"),"1. 끓는 물에 달걀, 소금, 식초를 넣고 삶는다.
2. 닭가슴살 패티를 반으로 가른 뒤 슬라이스치즈, 모차렐라 치즈를 넣고 감싼다.
3. 인스턴트 핫도그의 옷을 핸드블렌더에 넣고 간다.
4. 감싼 닭가슴살 패티에 밀가루&gt;달걀물&gt;간 핫도그 옷 순서로 묻힌다.
5. 훈제오리를 잘게 썰어 팬에 넣는다.
6. 5에 잘게 썬 양파, 다진 마늘, 버터, 소금을 넣어 볶는다.
7. 마요네즈, 연겨자, 무화과잼, 물엿, 설탕, 식초를 넣고 섞는다.
8."&amp;" 7에 볶은 재료를 넣어 소스를 만든다.
9. 삶은 달걀을 건져낸 뒤 반으로 가른다.
10. 소스에 삶은 달걀의 노른자를 넣어 섞는다.
11. 사과의 둥근 부분을 썬 뒤 속을 파내 꼬치를 꽂는다.
12. 오이와 로메인을 잘게 썬다.
13. 튀김옷을 묻힌 닭가슴살을 기름에 튀겨 치킨을 만든다.
14. 삶은 달걀을 반으로 썰어 썬 채소와 함께 담아둔다.
15. 핸드블렌더에 딸기, 우유, 딸기맛 아이스크림을 넣고 간 뒤 컵에 담는다.
16. 핸"&amp;"드블렌더에 소다맛 아이스크림을 넣는다.
17. 치킨을 건져낸다.
18. 소다맛 아이스크림이 담긴 핸드블렌더에 우유, 설탕을 넣고 간다.
19. 18을 컵에 담는다.
20. 꼬치에 꽂은 사과에 모양을 낸 뒤 파르페에 꽂는다.
21. 치킨을 적당한 크기로 썬 뒤 채소가 담긴 그릇에 올린다.
22. 21에 청포도를 올린다.")</f>
        <v>1. 끓는 물에 달걀, 소금, 식초를 넣고 삶는다.
2. 닭가슴살 패티를 반으로 가른 뒤 슬라이스치즈, 모차렐라 치즈를 넣고 감싼다.
3. 인스턴트 핫도그의 옷을 핸드블렌더에 넣고 간다.
4. 감싼 닭가슴살 패티에 밀가루&gt;달걀물&gt;간 핫도그 옷 순서로 묻힌다.
5. 훈제오리를 잘게 썰어 팬에 넣는다.
6. 5에 잘게 썬 양파, 다진 마늘, 버터, 소금을 넣어 볶는다.
7. 마요네즈, 연겨자, 무화과잼, 물엿, 설탕, 식초를 넣고 섞는다.
8. 7에 볶은 재료를 넣어 소스를 만든다.
9. 삶은 달걀을 건져낸 뒤 반으로 가른다.
10. 소스에 삶은 달걀의 노른자를 넣어 섞는다.
11. 사과의 둥근 부분을 썬 뒤 속을 파내 꼬치를 꽂는다.
12. 오이와 로메인을 잘게 썬다.
13. 튀김옷을 묻힌 닭가슴살을 기름에 튀겨 치킨을 만든다.
14. 삶은 달걀을 반으로 썰어 썬 채소와 함께 담아둔다.
15. 핸드블렌더에 딸기, 우유, 딸기맛 아이스크림을 넣고 간 뒤 컵에 담는다.
16. 핸드블렌더에 소다맛 아이스크림을 넣는다.
17. 치킨을 건져낸다.
18. 소다맛 아이스크림이 담긴 핸드블렌더에 우유, 설탕을 넣고 간다.
19. 18을 컵에 담는다.
20. 꼬치에 꽂은 사과에 모양을 낸 뒤 파르페에 꽂는다.
21. 치킨을 적당한 크기로 썬 뒤 채소가 담긴 그릇에 올린다.
22. 21에 청포도를 올린다.</v>
      </c>
    </row>
    <row r="1009">
      <c r="A1009" s="2" t="str">
        <f>recipe!C1009
</f>
        <v>이연복Go 연복Go♬</v>
      </c>
      <c r="B1009" s="2" t="str">
        <f>IFERROR(__xludf.DUMMYFUNCTION("TRIM(
  REGEXEXTRACT(
    raw!A1009,
    ""●\s*조리\s*방법([\s\S]*)""
  )
)
"),"1. 삼겹살을 비닐팩 안에 넣은 뒤 고기 망치로 두드린다.
2. 1에 전분을 묻힌 뒤 비닐팩을 덮고 고기망치로 두드린다.
3. 달걀에 소금을 넣어 달걀물을 만든 뒤 팬에 부어 지단을 만든다.
4. 3의 팬을 뒤집어 지단을 직화한 뒤 둥근 그릇에 담는다.
5. 달걀을 풀어 달걀물을 만든다.
6. 양파를 잘게 썬 뒤 물에 담가둔다.
7. 당근과 오이에 칼집을 낸다.
8. 삼겹살에 달걀물과 튀김가루를 묻힌다.
9. 8에 달걀물을 한 번 더 묻힌"&amp;"다.
10. 9를 기름에 넣고 튀겨 돈가스를 만든다.
11. 기름을 두른 팬에 삼겹살의 비계, 당근, 대파, 양파, 새우살, 즉석밥, 소금, 굴소스를 넣고 볶는다.
12. 오이와 로메인을 잘게 썬다.
13. 양파의 물기를 제거한 뒤, 손질한 채소에 케첩, 마요네즈를 뿌려 샐러드를 만든다.
14. 오므라이스에 케첩을 넣는다.
15. 샐러드에 오이와 당근을 올린다.
16. 오므라이스를 달걀이 담긴 그릇에 담은 뒤 접시에 뒤집어 올린다.
17."&amp;" 오므라이스에 케첩을 뿌리고 돈가스소스와 케첩을 섞는다.
18. 돈가스를 건져낸다.
19. 돈가스소스와 케첩을 섞은 소스를 돈가스 위에 바른다.")</f>
        <v>1. 삼겹살을 비닐팩 안에 넣은 뒤 고기 망치로 두드린다.
2. 1에 전분을 묻힌 뒤 비닐팩을 덮고 고기망치로 두드린다.
3. 달걀에 소금을 넣어 달걀물을 만든 뒤 팬에 부어 지단을 만든다.
4. 3의 팬을 뒤집어 지단을 직화한 뒤 둥근 그릇에 담는다.
5. 달걀을 풀어 달걀물을 만든다.
6. 양파를 잘게 썬 뒤 물에 담가둔다.
7. 당근과 오이에 칼집을 낸다.
8. 삼겹살에 달걀물과 튀김가루를 묻힌다.
9. 8에 달걀물을 한 번 더 묻힌다.
10. 9를 기름에 넣고 튀겨 돈가스를 만든다.
11. 기름을 두른 팬에 삼겹살의 비계, 당근, 대파, 양파, 새우살, 즉석밥, 소금, 굴소스를 넣고 볶는다.
12. 오이와 로메인을 잘게 썬다.
13. 양파의 물기를 제거한 뒤, 손질한 채소에 케첩, 마요네즈를 뿌려 샐러드를 만든다.
14. 오므라이스에 케첩을 넣는다.
15. 샐러드에 오이와 당근을 올린다.
16. 오므라이스를 달걀이 담긴 그릇에 담은 뒤 접시에 뒤집어 올린다.
17. 오므라이스에 케첩을 뿌리고 돈가스소스와 케첩을 섞는다.
18. 돈가스를 건져낸다.
19. 돈가스소스와 케첩을 섞은 소스를 돈가스 위에 바른다.</v>
      </c>
    </row>
    <row r="1010">
      <c r="A1010" s="2" t="str">
        <f>recipe!C1010
</f>
        <v>장칼국수는 장난이 아니야♬</v>
      </c>
      <c r="B1010" s="2" t="str">
        <f>IFERROR(__xludf.DUMMYFUNCTION("TRIM(
  REGEXEXTRACT(
    raw!A1010,
    ""●\s*조리\s*방법([\s\S]*)""
  )
)
"),"1. 믹서기에 취나물, 물을 넣고 간다..
2. 핸드블렌더에 밀가루, 소금, 1을 넣고 갈아 면 반죽을 만든다.
3. 면 반죽을 손으로 치댄다.
4. 끓는 물에 적당한 크기로 썬 무, 다시마, 국물용 멸치, 건표고버섯, 건새우, 시래기, 바지락살을 넣고 육수를 낸다.
5. 고춧가루를 면보에 넣고 감싼 뒤 찜기에 넣고 찐다.
6. 밀가루에 취나물을 간 물을 넣는다.
7. 취나물을 적당한 크기로 썬다.
8. 루콜라와 청양고추를 적당한 크기로 썬"&amp;"다.
9. 밀가루&amp;취나물 물이 담긴 볼에 손질한 채소를 넣는다.
10. 취나물을 간 물을 면 반죽에 넣는다.
11. 각종 채소가 든 볼에 밀가루를 넣는다.
12. 11에 잘게 썬 감자를 넣고 버무려 전 반죽을 만든다.
13. 팬에 전 반죽을 올려 굽는다.
14. 밀가루 위에 면 반죽을 올린 뒤 밀대로 넓게 민다.
15. 넓게 민 면 반죽의 테두리를 잘라낸 뒤 밀가루를 발라준다.
16. 면 반죽을 여러 겹으로 접는다.
17. 접은 면 반죽"&amp;"을 적당한 크기로 썰어 끓는 물에 넣고 삶는다.
18. 체에 밭친 취나물을 끓는 물에 넣고 빼기를 반복하며 데친다.
19. 데친 취나물을 흐르는 물에 씻으며 물기를 짠다.
20. 취나물을 적당한 크기로 썬 뒤 검정들깨기름, 들깨, 간장을 뿌려 무친다.
21. 강판에 무를 간다.
22. 간 무에 간장, 물을 섞은 뒤 체에 밭쳐 건더기를 걸러낸다.
23. 22에 간장, 검정들깨기름을 넣는다.
24. 23에 들깨, 잘게 썬 청양고추를 넣는다.
"&amp;"25. 찜기에 찐 고춧가루를 24에 넣는다.
26. 25를 접시에 담은 뒤 참기름을 뿌려 양념장을 만든다.
27. 핸드블렌더에 열무김치, 홍고추, 마늘을 넣고 간다.
28. 적당한 크기로 썬 로메인에 27을 넣어 로메인 겉절이를 만든다.
29. 삶은 면을 체에 밭쳐 건져낸다.
30. 면을 물에 씻은 뒤 그릇에 담고 양념한 취나물을 올린다.
31. 면 위에 적당한 크기로 썬 취나물전을 올리고 검정들깨기름을 뿌린다.
32. 주전자에 육수를 담는"&amp;"다.")</f>
        <v>1. 믹서기에 취나물, 물을 넣고 간다..
2. 핸드블렌더에 밀가루, 소금, 1을 넣고 갈아 면 반죽을 만든다.
3. 면 반죽을 손으로 치댄다.
4. 끓는 물에 적당한 크기로 썬 무, 다시마, 국물용 멸치, 건표고버섯, 건새우, 시래기, 바지락살을 넣고 육수를 낸다.
5. 고춧가루를 면보에 넣고 감싼 뒤 찜기에 넣고 찐다.
6. 밀가루에 취나물을 간 물을 넣는다.
7. 취나물을 적당한 크기로 썬다.
8. 루콜라와 청양고추를 적당한 크기로 썬다.
9. 밀가루&amp;취나물 물이 담긴 볼에 손질한 채소를 넣는다.
10. 취나물을 간 물을 면 반죽에 넣는다.
11. 각종 채소가 든 볼에 밀가루를 넣는다.
12. 11에 잘게 썬 감자를 넣고 버무려 전 반죽을 만든다.
13. 팬에 전 반죽을 올려 굽는다.
14. 밀가루 위에 면 반죽을 올린 뒤 밀대로 넓게 민다.
15. 넓게 민 면 반죽의 테두리를 잘라낸 뒤 밀가루를 발라준다.
16. 면 반죽을 여러 겹으로 접는다.
17. 접은 면 반죽을 적당한 크기로 썰어 끓는 물에 넣고 삶는다.
18. 체에 밭친 취나물을 끓는 물에 넣고 빼기를 반복하며 데친다.
19. 데친 취나물을 흐르는 물에 씻으며 물기를 짠다.
20. 취나물을 적당한 크기로 썬 뒤 검정들깨기름, 들깨, 간장을 뿌려 무친다.
21. 강판에 무를 간다.
22. 간 무에 간장, 물을 섞은 뒤 체에 밭쳐 건더기를 걸러낸다.
23. 22에 간장, 검정들깨기름을 넣는다.
24. 23에 들깨, 잘게 썬 청양고추를 넣는다.
25. 찜기에 찐 고춧가루를 24에 넣는다.
26. 25를 접시에 담은 뒤 참기름을 뿌려 양념장을 만든다.
27. 핸드블렌더에 열무김치, 홍고추, 마늘을 넣고 간다.
28. 적당한 크기로 썬 로메인에 27을 넣어 로메인 겉절이를 만든다.
29. 삶은 면을 체에 밭쳐 건져낸다.
30. 면을 물에 씻은 뒤 그릇에 담고 양념한 취나물을 올린다.
31. 면 위에 적당한 크기로 썬 취나물전을 올리고 검정들깨기름을 뿌린다.
32. 주전자에 육수를 담는다.</v>
      </c>
    </row>
    <row r="1011">
      <c r="A1011" s="2" t="str">
        <f>recipe!C1011
</f>
        <v>토르티야 먹을 사람 뉴~규?</v>
      </c>
      <c r="B1011" s="2" t="str">
        <f>IFERROR(__xludf.DUMMYFUNCTION("TRIM(
  REGEXEXTRACT(
    raw!A1011,
    ""●\s*조리\s*방법([\s\S]*)""
  )
)
"),"1. 핸드블렌더에 마늘, 올리브오일을 간다.
2. 팬에 1, 트러플크림소스을 넣는다.
3. 그릴팬에 양파를 올린 뒤 올리브오일, 소금을 뿌려 굽는다.
4. 취나물의 줄기 부분을 떼어낸다.
5. 새송이버섯을 잘게 썬 뒤 소스가 담긴 팬에 넣고 소금, 후추를 뿌려 볶는다.
6. 핸드블렌더에 마요네즈, 로메인, 레몬즙, 올리브오일을 넣고 갈아 로메인 소스를 만든다.
7. 잘게 썬 피클, 물엿을 로메인 소스에 넣는다.
8. 대파를 길게 썬 뒤 양파"&amp;"를 굽던 그릴팬에 올리고 올리브오일을 뿌려 함께 굽는다.
9. 발사믹식초, 레몬즙, 올리브오일을 섞어 발사믹 소스를 만든다.
10. 그릴팬에 취나물을 올려 굽는다.
11. 낙지를 잘게 썬다.
12. 낙지에 밀가루와 물을 섞은 튀김옷을 입힌 뒤 기름에 넣고 튀긴다.
13. 끓는 물에 달걀을 넣어 수란을 만든다.
14. 낙지튀김을 체에 밭쳐 건져낸다.
15. 수란을 건져낸다.
16. 접시에 양파, 발사믹 소스를 뿌린다.
17. 16 위에 볶"&amp;"은 버섯, 구운 취나물, 발사믹 소스를 올린다.
18. 접시에 로메인 소스를 올린다.
19. 팬에 토르티야를 굽는다.
20. 구운 대파에 발사믹 소스를 뿌린 뒤 적당한 크기로 썬 레몬을 함께 낸다.
21. 접시에 올리브오일, 볶은 버섯, 루콜라를 올린다.
22. 21에 발사믹 소스를 뿌린다.
23. 채소 위에 수란을 올린다.
24. 23 위에 소금을 뿌린다.")</f>
        <v>1. 핸드블렌더에 마늘, 올리브오일을 간다.
2. 팬에 1, 트러플크림소스을 넣는다.
3. 그릴팬에 양파를 올린 뒤 올리브오일, 소금을 뿌려 굽는다.
4. 취나물의 줄기 부분을 떼어낸다.
5. 새송이버섯을 잘게 썬 뒤 소스가 담긴 팬에 넣고 소금, 후추를 뿌려 볶는다.
6. 핸드블렌더에 마요네즈, 로메인, 레몬즙, 올리브오일을 넣고 갈아 로메인 소스를 만든다.
7. 잘게 썬 피클, 물엿을 로메인 소스에 넣는다.
8. 대파를 길게 썬 뒤 양파를 굽던 그릴팬에 올리고 올리브오일을 뿌려 함께 굽는다.
9. 발사믹식초, 레몬즙, 올리브오일을 섞어 발사믹 소스를 만든다.
10. 그릴팬에 취나물을 올려 굽는다.
11. 낙지를 잘게 썬다.
12. 낙지에 밀가루와 물을 섞은 튀김옷을 입힌 뒤 기름에 넣고 튀긴다.
13. 끓는 물에 달걀을 넣어 수란을 만든다.
14. 낙지튀김을 체에 밭쳐 건져낸다.
15. 수란을 건져낸다.
16. 접시에 양파, 발사믹 소스를 뿌린다.
17. 16 위에 볶은 버섯, 구운 취나물, 발사믹 소스를 올린다.
18. 접시에 로메인 소스를 올린다.
19. 팬에 토르티야를 굽는다.
20. 구운 대파에 발사믹 소스를 뿌린 뒤 적당한 크기로 썬 레몬을 함께 낸다.
21. 접시에 올리브오일, 볶은 버섯, 루콜라를 올린다.
22. 21에 발사믹 소스를 뿌린다.
23. 채소 위에 수란을 올린다.
24. 23 위에 소금을 뿌린다.</v>
      </c>
    </row>
    <row r="1012">
      <c r="A1012" s="2" t="str">
        <f>recipe!C1012
</f>
        <v>특수돼지 삼형제</v>
      </c>
      <c r="B1012" s="2" t="str">
        <f>IFERROR(__xludf.DUMMYFUNCTION("TRIM(
  REGEXEXTRACT(
    raw!A1012,
    ""●\s*조리\s*방법([\s\S]*)""
  )
)
"),"1. 압력솥의 끓는 물에 믹스베리, 캔맥주, 대파, 마늘, 청양고추, 후추를 넣는다.
2. 채칼을 이용해 양파, 적양파를 슬라이스 한 뒤 찬물에 담가둔다.
3. 압력솥에 소금, 설탕, 슬라이스한 적양파를 넣는다.
4. 3의 압력솥에 가오리살을 넣는다.
5. 압력솥의 뚜껑을 닫고 삶는다.
6. 삼각살에 잘게 칼집을 낸다.
7. 아스파라거스를 반으로 썰고 표고버섯을 반으로 가른다.
8. 삼각살, 아스파라거스, 표고버섯에 후추를 뿌린 뒤 올리브오"&amp;"일을 두른 팬에 굽는다.
9. 레몬을 반으로 가른 뒤 8에 올려 굽는다.
10. 볼에 된장, 꿀, 다진 마늘, 맛술을 넣고 섞은 뒤 모소리살에 발라준다.
11. 석쇠에 양념한 모소리살, 대파를 올려 직화한다.
12. 사과, 청사과를 채 썬다.
13. 찬물에 담가둔 양파, 적양파를 사과가 담긴 볼에 함께 넣은 뒤 소금, 레몬즙을 뿌린다.
14. 13에 올리브오일, 고수을 넣고 버무려 샐러드를 만든다.
15 구운 삼각살, 아스파라거스를 월계수잎"&amp;", 표고버섯 가루를 넣은 찜기에 올려 훈연한다.
16 접시에 샐러드, 직화한 모소리살, 구운 레몬을 올린다.
17 압력솥의 김을 뺀 뒤 가오리살 수육을 건져내 토치로 직화한다.
18. 접시에 구운 표고버섯, 가오리살 수육을 올린다.
19. 고추냉이맛 아몬드를 잘게 썬 뒤 소금, 고추냉이를 넣고 버무린다.
20. 훈연한 삼각살, 아스파라거스를 적당한 크기로 썰어 접시에 올리고 19를 올린다.")</f>
        <v>1. 압력솥의 끓는 물에 믹스베리, 캔맥주, 대파, 마늘, 청양고추, 후추를 넣는다.
2. 채칼을 이용해 양파, 적양파를 슬라이스 한 뒤 찬물에 담가둔다.
3. 압력솥에 소금, 설탕, 슬라이스한 적양파를 넣는다.
4. 3의 압력솥에 가오리살을 넣는다.
5. 압력솥의 뚜껑을 닫고 삶는다.
6. 삼각살에 잘게 칼집을 낸다.
7. 아스파라거스를 반으로 썰고 표고버섯을 반으로 가른다.
8. 삼각살, 아스파라거스, 표고버섯에 후추를 뿌린 뒤 올리브오일을 두른 팬에 굽는다.
9. 레몬을 반으로 가른 뒤 8에 올려 굽는다.
10. 볼에 된장, 꿀, 다진 마늘, 맛술을 넣고 섞은 뒤 모소리살에 발라준다.
11. 석쇠에 양념한 모소리살, 대파를 올려 직화한다.
12. 사과, 청사과를 채 썬다.
13. 찬물에 담가둔 양파, 적양파를 사과가 담긴 볼에 함께 넣은 뒤 소금, 레몬즙을 뿌린다.
14. 13에 올리브오일, 고수을 넣고 버무려 샐러드를 만든다.
15 구운 삼각살, 아스파라거스를 월계수잎, 표고버섯 가루를 넣은 찜기에 올려 훈연한다.
16 접시에 샐러드, 직화한 모소리살, 구운 레몬을 올린다.
17 압력솥의 김을 뺀 뒤 가오리살 수육을 건져내 토치로 직화한다.
18. 접시에 구운 표고버섯, 가오리살 수육을 올린다.
19. 고추냉이맛 아몬드를 잘게 썬 뒤 소금, 고추냉이를 넣고 버무린다.
20. 훈연한 삼각살, 아스파라거스를 적당한 크기로 썰어 접시에 올리고 19를 올린다.</v>
      </c>
    </row>
    <row r="1013">
      <c r="A1013" s="2" t="str">
        <f>recipe!C1013
</f>
        <v>돼지가 스튜에 빠진 날</v>
      </c>
      <c r="B1013" s="2" t="str">
        <f>IFERROR(__xludf.DUMMYFUNCTION("TRIM(
  REGEXEXTRACT(
    raw!A1013,
    ""●\s*조리\s*방법([\s\S]*)""
  )
)
"),"1. 기름을 두른 냄비에 닭다리, 양파, 마늘, 당근을 넣는다.
2. 1에 대파, 후추, 뜨거운 물을 넣어 육수를 낸다.
3. 핸드블렌더에 마늘을 넣고 간다.
4. 양파를 반으로 자르고 대파를 채 썬다.
5. 끓는 기름에 양파를 넣어 튀긴 뒤 건져낸다.
6. 끓는 기름에 채 썬 대파를 넣어 튀긴 뒤 건져낸다.
7. 삼각살을 잘게 썬 뒤 올리브오일을 넣은 팬에 간 마늘과 함께 볶는다.
8. 7에 후추, 소금, 간장을 넣는다.
9. 8에 표고"&amp;"버섯과 적양파를 잘게 썰어 넣는다.
10. 튀긴 양파에 삼각살과 함께 볶은 재료를 넣고 감싼 뒤 발사믹식초를 뿌린다.
11. 팬에 간 마늘, 올리브오일, 잘게 썬 표고버섯, 소금을 넣는다.
12. 11에 지방을 떼어낸 모소리살을 넣는다.
13. 12에 잘게 썬 대파, 트러플소스, 육수, 버터를 넣어 스튜를 만든다.
14. 가오리살에 칼집을 낸 뒤 끓는 기름에 넣어 튀긴다.
15. 찜기에 월계수 잎을 넣는다.
16. 튀긴 가오리살을 찜기에 넣"&amp;"어 훈연한다.
17. 아스파라거스를 잘게 썬 뒤 끓는 기름에 넣고 튀긴다.
18. 잘게 썬 고수, 간 마늘, 간 레몬 껍질, 올리브오일, 레몬즙, 그린 올리브, 소금, 후추를 넣는다.
19. 스튜를 접시에 담는다.
20. 훈연한 가오리살을 팬에 올려 굽는다.
21. 스튜에 양파로 감싼 삼각살 볶음, 남은 삼각살 볶음, 발사믹식초를 올린다.
22. 스튜에 튀긴 아스파라거스, 가오리살을 올린다.
23. 스튜에 양념한 고수, 튀긴 대파를 올린다.")</f>
        <v>1. 기름을 두른 냄비에 닭다리, 양파, 마늘, 당근을 넣는다.
2. 1에 대파, 후추, 뜨거운 물을 넣어 육수를 낸다.
3. 핸드블렌더에 마늘을 넣고 간다.
4. 양파를 반으로 자르고 대파를 채 썬다.
5. 끓는 기름에 양파를 넣어 튀긴 뒤 건져낸다.
6. 끓는 기름에 채 썬 대파를 넣어 튀긴 뒤 건져낸다.
7. 삼각살을 잘게 썬 뒤 올리브오일을 넣은 팬에 간 마늘과 함께 볶는다.
8. 7에 후추, 소금, 간장을 넣는다.
9. 8에 표고버섯과 적양파를 잘게 썰어 넣는다.
10. 튀긴 양파에 삼각살과 함께 볶은 재료를 넣고 감싼 뒤 발사믹식초를 뿌린다.
11. 팬에 간 마늘, 올리브오일, 잘게 썬 표고버섯, 소금을 넣는다.
12. 11에 지방을 떼어낸 모소리살을 넣는다.
13. 12에 잘게 썬 대파, 트러플소스, 육수, 버터를 넣어 스튜를 만든다.
14. 가오리살에 칼집을 낸 뒤 끓는 기름에 넣어 튀긴다.
15. 찜기에 월계수 잎을 넣는다.
16. 튀긴 가오리살을 찜기에 넣어 훈연한다.
17. 아스파라거스를 잘게 썬 뒤 끓는 기름에 넣고 튀긴다.
18. 잘게 썬 고수, 간 마늘, 간 레몬 껍질, 올리브오일, 레몬즙, 그린 올리브, 소금, 후추를 넣는다.
19. 스튜를 접시에 담는다.
20. 훈연한 가오리살을 팬에 올려 굽는다.
21. 스튜에 양파로 감싼 삼각살 볶음, 남은 삼각살 볶음, 발사믹식초를 올린다.
22. 스튜에 튀긴 아스파라거스, 가오리살을 올린다.
23. 스튜에 양념한 고수, 튀긴 대파를 올린다.</v>
      </c>
    </row>
    <row r="1014">
      <c r="A1014" s="2" t="str">
        <f>recipe!C1014
</f>
        <v>해산물 꼬치 피었습니다♬</v>
      </c>
      <c r="B1014" s="2" t="str">
        <f>IFERROR(__xludf.DUMMYFUNCTION("TRIM(
  REGEXEXTRACT(
    raw!A1014,
    ""●\s*조리\s*방법([\s\S]*)""
  )
)
"),"1. 끓는 물에 청주, 전복을 넣어 데친다.
2. 찜기에 가리비를 넣어 찐다.
3. 석쇠에 대파를 올려 굽는다.
4. 달걀노른자에 설탕, 식초를 넣어 중탕하며 저어준다.
5. 껍데기를 벗긴 새우를 꼬치에 끼운 뒤 소금을 뿌리고 석쇠의 대파 위에 올려 직화한다.
6. 껍데기를 벗긴 새우를 반으로 갈라 손질한 뒤 청주를 부은 팬에 올려 굽는다.
7. 핸드블렌더에 그린올리브, 대파를 넣고 간 뒤 새우를 구운 청주, 소금을 넣어 대파 소스를 만든다."&amp;"
8. 직화한 새우의 껍데기를 벗겨낸다.
9. 아보카도를 전자레인지에 넣고 돌린다.
10. 올리브오일을 두른 그릴팬에 직화한 새우를 올려 한 번 더 굽는다.
11. 찜기에 찐 가리비의 껍데기를 제거한다.
12. 데친 전복의 껍데기를 제거한다.
13. 전자레인지에 익힌 아보카도를 적당한 크기로 썬다.
14. 팬에 전복, 아보카도를 올려 굽는다.
16. 핸드블렌더에 전복 내장, 트러플소스, 마요네즈, 간장을 넣고 갈아 소스를 만든다.
17."&amp;" 달걀노른자 소스에 간장을 넣고 저어준다.
18. 가리비를 꼬치에 끼운 뒤 석쇠에 올려 직화한다.
19. 구운 새우를 석쇠에 올려 직화한다.
20. 관자에 버터를 발라준다.
21. 달걀노른자 소스를 접시에 올린다.
22. 21에 구운 새우를 올린다.
23. 석쇠에 아스파라거스를 올려 직화한다.
24. 접시에 구운 아보카도, 전복, 가리비를 올린다.
25. 관자 위에 대파 소스를 올린다.
26. 굽던 아스파라거스를 끓는 기름에 넣고 튀긴다"&amp;".
27. 아보카도와 전복에 전복내장소스를 올린다.
28. 기름에 튀긴 아스파라거스를 건져낸다.
29. 접시에 소금을 뿌린 뒤 적당한 크기로 썬 아스파라거스를 올린다.")</f>
        <v>1. 끓는 물에 청주, 전복을 넣어 데친다.
2. 찜기에 가리비를 넣어 찐다.
3. 석쇠에 대파를 올려 굽는다.
4. 달걀노른자에 설탕, 식초를 넣어 중탕하며 저어준다.
5. 껍데기를 벗긴 새우를 꼬치에 끼운 뒤 소금을 뿌리고 석쇠의 대파 위에 올려 직화한다.
6. 껍데기를 벗긴 새우를 반으로 갈라 손질한 뒤 청주를 부은 팬에 올려 굽는다.
7. 핸드블렌더에 그린올리브, 대파를 넣고 간 뒤 새우를 구운 청주, 소금을 넣어 대파 소스를 만든다.
8. 직화한 새우의 껍데기를 벗겨낸다.
9. 아보카도를 전자레인지에 넣고 돌린다.
10. 올리브오일을 두른 그릴팬에 직화한 새우를 올려 한 번 더 굽는다.
11. 찜기에 찐 가리비의 껍데기를 제거한다.
12. 데친 전복의 껍데기를 제거한다.
13. 전자레인지에 익힌 아보카도를 적당한 크기로 썬다.
14. 팬에 전복, 아보카도를 올려 굽는다.
16. 핸드블렌더에 전복 내장, 트러플소스, 마요네즈, 간장을 넣고 갈아 소스를 만든다.
17. 달걀노른자 소스에 간장을 넣고 저어준다.
18. 가리비를 꼬치에 끼운 뒤 석쇠에 올려 직화한다.
19. 구운 새우를 석쇠에 올려 직화한다.
20. 관자에 버터를 발라준다.
21. 달걀노른자 소스를 접시에 올린다.
22. 21에 구운 새우를 올린다.
23. 석쇠에 아스파라거스를 올려 직화한다.
24. 접시에 구운 아보카도, 전복, 가리비를 올린다.
25. 관자 위에 대파 소스를 올린다.
26. 굽던 아스파라거스를 끓는 기름에 넣고 튀긴다.
27. 아보카도와 전복에 전복내장소스를 올린다.
28. 기름에 튀긴 아스파라거스를 건져낸다.
29. 접시에 소금을 뿌린 뒤 적당한 크기로 썬 아스파라거스를 올린다.</v>
      </c>
    </row>
    <row r="1015">
      <c r="A1015" s="2" t="str">
        <f>recipe!C1015
</f>
        <v>동고샤 돌격 앞으로!</v>
      </c>
      <c r="B1015" s="2" t="str">
        <f>IFERROR(__xludf.DUMMYFUNCTION("TRIM(
  REGEXEXTRACT(
    raw!A1015,
    ""●\s*조리\s*방법([\s\S]*)""
  )
)
"),"1. 끓는 물에 전복을 넣어 데친다.
2. 끓는 기름에 적당한 크기로 썬 대파, 생강을 넣는다.
3. 2에 고춧가루를 넣어 고추기름을 낸다.
4. 새우의 껍데기를 벗긴다.
5. 끓는 물에 황태채, 표고버섯가루, 새우 껍데기, 맛술을 넣어 육수를 낸다.
6. 표고버섯을 얇게 자른 뒤 칼집을 잘게 낸다.
7. 관자에 칼집을 내 반으로 가른다.
8. 데친 전복을 건져낸다.
9. 낙지를 끓는 물에 넣고 데친다.
10. 오징어에 잘게 칼집을 낸 "&amp;"뒤 9에 넣고 데친다.
11. 전복의 껍데기와 내장을 제거한 뒤 잘게 썬다.
12. 표고버섯을 잘게 썬다.
13. 마늘을 으깬 뒤 잘게 썬다.
14. 대파를 잘게 썬다.
15. 데친 낙지를 적당한 크기로 썬다.
16. 아스파라거스를 잘게 썬다.
17. 새우를 으깬 뒤 잘게 다진다.
18. 전복을 잘게 다진다.
19. 다진 새우와 전복에 소금, 밀가루, 달걀흰자를 넣고 버무려 동고샤 소를 만든다.
20. 고추기름을 체에 밭쳐 걸러낸다.
"&amp;"
21. 전분을 묻힌 표고버섯에 동고샤 소를 넣고 감싼 뒤 꼬치로 고정한다.
22. 칼집을 낸 관자에 전분을 묻힌 뒤 동고샤 소를 넣는다.
23. 소를 채운 표고버섯과 관자에 튀김옷을 뿌린 뒤 기름에 넣고 튀긴다.
24. 소 등심을 잘게 썬 뒤 핸드블렌더에 넣고 간다.
25. 고추기름, 대파, 잘게 썬 아스파라거스, 간 소등심을 넣고 볶는다.
26. 25에 간장, 맛술, 육수, 통조림 골뱅이 국물을 넣는다.
27. 국물에 데친 낙지와 오징어,"&amp;" 관자를 넣는다.
28. 27에 소금을 넣는다.
29. 28에 전분물을 넣는다.
30. 29를 뚝배기에 담은 뒤 관자튀김, 튀긴 동고샤를 넣는다.
31. 30에 잘게 썬 고수를 올린다.")</f>
        <v>1. 끓는 물에 전복을 넣어 데친다.
2. 끓는 기름에 적당한 크기로 썬 대파, 생강을 넣는다.
3. 2에 고춧가루를 넣어 고추기름을 낸다.
4. 새우의 껍데기를 벗긴다.
5. 끓는 물에 황태채, 표고버섯가루, 새우 껍데기, 맛술을 넣어 육수를 낸다.
6. 표고버섯을 얇게 자른 뒤 칼집을 잘게 낸다.
7. 관자에 칼집을 내 반으로 가른다.
8. 데친 전복을 건져낸다.
9. 낙지를 끓는 물에 넣고 데친다.
10. 오징어에 잘게 칼집을 낸 뒤 9에 넣고 데친다.
11. 전복의 껍데기와 내장을 제거한 뒤 잘게 썬다.
12. 표고버섯을 잘게 썬다.
13. 마늘을 으깬 뒤 잘게 썬다.
14. 대파를 잘게 썬다.
15. 데친 낙지를 적당한 크기로 썬다.
16. 아스파라거스를 잘게 썬다.
17. 새우를 으깬 뒤 잘게 다진다.
18. 전복을 잘게 다진다.
19. 다진 새우와 전복에 소금, 밀가루, 달걀흰자를 넣고 버무려 동고샤 소를 만든다.
20. 고추기름을 체에 밭쳐 걸러낸다.
21. 전분을 묻힌 표고버섯에 동고샤 소를 넣고 감싼 뒤 꼬치로 고정한다.
22. 칼집을 낸 관자에 전분을 묻힌 뒤 동고샤 소를 넣는다.
23. 소를 채운 표고버섯과 관자에 튀김옷을 뿌린 뒤 기름에 넣고 튀긴다.
24. 소 등심을 잘게 썬 뒤 핸드블렌더에 넣고 간다.
25. 고추기름, 대파, 잘게 썬 아스파라거스, 간 소등심을 넣고 볶는다.
26. 25에 간장, 맛술, 육수, 통조림 골뱅이 국물을 넣는다.
27. 국물에 데친 낙지와 오징어, 관자를 넣는다.
28. 27에 소금을 넣는다.
29. 28에 전분물을 넣는다.
30. 29를 뚝배기에 담은 뒤 관자튀김, 튀긴 동고샤를 넣는다.
31. 30에 잘게 썬 고수를 올린다.</v>
      </c>
    </row>
    <row r="1016">
      <c r="A1016" s="2" t="str">
        <f>recipe!C1016
</f>
        <v>봉주르 캐비지</v>
      </c>
      <c r="B1016" s="2" t="str">
        <f>IFERROR(__xludf.DUMMYFUNCTION("TRIM(
  REGEXEXTRACT(
    raw!A1016,
    ""●\s*조리\s*방법([\s\S]*)""
  )
)
"),"1. 핸드블렌더에 양파, 대파를 넣고 간다.
2. 간 재료를 소등심에 버무려 재워둔다.
3. 냄비에 버터, 레몬, 꿀을 넣고 끓인다.
4. 핸드블렌더에 인스턴트 만두, 뜨거운 물을 넣고 간 뒤 냄비에 넣고 끓인다.
5. 올리브오일을 두른 양배추, 적양배추를 팬에 굽는다.
6. 양배추, 적양배추를 굽던 팬에 꽈리고추를 같이 굽는다.
7. 얇게 썬 고추, 양파, 대파를 올리브오일을 두른 팬에 넣은 뒤 소금으로 간한다.
8. 7에 애호박 슬라이스"&amp;", 어린잎채소, 부추를 넣고 볶는다.
9. 통마늘장아찌의 껍질을 깐다.
10. 믹서기에 볶은 채소, 마늘장아찌를 넣고 갈아 녹색소스를 만든다.
11. 석쇠에 올린 미니 파프리카를 토치로 직화한다.
12. 재워둔 소등심에 후추, 소금으로 간한 뒤 팬에 굽는다.
13. 소시지, 마늘, 양파, 방울토마토, 구운 파프리카를 팬에 넣은 뒤 통조림 옥수수를 넣는다.
14. 팬에 구운 양배추를 추가해 볶는다.
15. 팬에 깐호두를 추가해 볶는다.
16"&amp;". 소등심 스테이크를 버터소스에 넣은 뒤 저온으로 익힌다.
17. 만두 육수를 볶던 채소에 넣는다.
18. 버터소스에 익힌 소등심 스테이크를 석쇠에 올려 직화한다.
19. 직화한 소등심 스테이크를 버터소스에 한 번 더 넣어 익힌다.
20. 볶던 채소에 녹색소스, 버터를 넣고 볶는다.
21. 접시에 원형틀을 올린 뒤 구운 양배추 요리를 담는다.
22. 부추를 잘게 썬다.
23. 접시에 채소 가니시를 담는다.
24. 먹기 좋은 크기로 썬 소등"&amp;"심 스테이크를 접시에 올린 뒤 잘게 썬 부추를 뿌린다.")</f>
        <v>1. 핸드블렌더에 양파, 대파를 넣고 간다.
2. 간 재료를 소등심에 버무려 재워둔다.
3. 냄비에 버터, 레몬, 꿀을 넣고 끓인다.
4. 핸드블렌더에 인스턴트 만두, 뜨거운 물을 넣고 간 뒤 냄비에 넣고 끓인다.
5. 올리브오일을 두른 양배추, 적양배추를 팬에 굽는다.
6. 양배추, 적양배추를 굽던 팬에 꽈리고추를 같이 굽는다.
7. 얇게 썬 고추, 양파, 대파를 올리브오일을 두른 팬에 넣은 뒤 소금으로 간한다.
8. 7에 애호박 슬라이스, 어린잎채소, 부추를 넣고 볶는다.
9. 통마늘장아찌의 껍질을 깐다.
10. 믹서기에 볶은 채소, 마늘장아찌를 넣고 갈아 녹색소스를 만든다.
11. 석쇠에 올린 미니 파프리카를 토치로 직화한다.
12. 재워둔 소등심에 후추, 소금으로 간한 뒤 팬에 굽는다.
13. 소시지, 마늘, 양파, 방울토마토, 구운 파프리카를 팬에 넣은 뒤 통조림 옥수수를 넣는다.
14. 팬에 구운 양배추를 추가해 볶는다.
15. 팬에 깐호두를 추가해 볶는다.
16. 소등심 스테이크를 버터소스에 넣은 뒤 저온으로 익힌다.
17. 만두 육수를 볶던 채소에 넣는다.
18. 버터소스에 익힌 소등심 스테이크를 석쇠에 올려 직화한다.
19. 직화한 소등심 스테이크를 버터소스에 한 번 더 넣어 익힌다.
20. 볶던 채소에 녹색소스, 버터를 넣고 볶는다.
21. 접시에 원형틀을 올린 뒤 구운 양배추 요리를 담는다.
22. 부추를 잘게 썬다.
23. 접시에 채소 가니시를 담는다.
24. 먹기 좋은 크기로 썬 소등심 스테이크를 접시에 올린 뒤 잘게 썬 부추를 뿌린다.</v>
      </c>
    </row>
    <row r="1017">
      <c r="A1017" s="2" t="str">
        <f>recipe!C1017
</f>
        <v>캐비지 돌풍!</v>
      </c>
      <c r="B1017" s="2" t="str">
        <f>IFERROR(__xludf.DUMMYFUNCTION("TRIM(
  REGEXEXTRACT(
    raw!A1017,
    ""●\s*조리\s*방법([\s\S]*)""
  )
)
"),"1. 밀가루를 묻힌 양배추를 기름을 두른 팬에 뚜껑을 덮어 굽는다.
2. 냄비에 버터, 다진마늘, 소금을 넣고 끓인다.
3. 핸드블렌더에 소시지를 넣고 간다.
4. 갈아놓은 소시지를 버터마늘소스에 넣는다.
5. 버터마늘소스를 구운 양배추에 끼얹는다.
6. 양배추 스테이크에 후추로 간한다.
7. 양배추 스테이크에 파르메산 치즈를 뿌린 뒤 방울토마토를 넣고 같이 굽는다.
8. 먹기 좋은 크기로 썬 채끝살에 달걀흰자, 전분을 넣고 버무린다.
9"&amp;". 기름을 두른 팬에 8을 넣고 튀기듯 굽는다.
10. 구운 채끝살을 체에 밭쳐 기름을 걸러낸다.
11. 기름을 두른 팬에 다진마늘, 간 표고버섯, 굴소스, 다진 파를 넣고 볶는다.
12. 팬에 스테이크소스, 구운 소고기를 넣고 볶는다.
13. 팬에 꿀, 부추를 넣고 볶는다.
14. 소고기 부추 볶음에 전분 물을 넣는다.
15. 양배추 스테이크에 슬라이스 체다치즈를 올려 녹인 뒤 구운 방울토마토와 함께 접시에 담는다.
16. 접시에 소고기 "&amp;"부추볶음을 담는다.
17. 양배추 스테이크와 소고기 부추볶음을 토치로 직화한다.")</f>
        <v>1. 밀가루를 묻힌 양배추를 기름을 두른 팬에 뚜껑을 덮어 굽는다.
2. 냄비에 버터, 다진마늘, 소금을 넣고 끓인다.
3. 핸드블렌더에 소시지를 넣고 간다.
4. 갈아놓은 소시지를 버터마늘소스에 넣는다.
5. 버터마늘소스를 구운 양배추에 끼얹는다.
6. 양배추 스테이크에 후추로 간한다.
7. 양배추 스테이크에 파르메산 치즈를 뿌린 뒤 방울토마토를 넣고 같이 굽는다.
8. 먹기 좋은 크기로 썬 채끝살에 달걀흰자, 전분을 넣고 버무린다.
9. 기름을 두른 팬에 8을 넣고 튀기듯 굽는다.
10. 구운 채끝살을 체에 밭쳐 기름을 걸러낸다.
11. 기름을 두른 팬에 다진마늘, 간 표고버섯, 굴소스, 다진 파를 넣고 볶는다.
12. 팬에 스테이크소스, 구운 소고기를 넣고 볶는다.
13. 팬에 꿀, 부추를 넣고 볶는다.
14. 소고기 부추 볶음에 전분 물을 넣는다.
15. 양배추 스테이크에 슬라이스 체다치즈를 올려 녹인 뒤 구운 방울토마토와 함께 접시에 담는다.
16. 접시에 소고기 부추볶음을 담는다.
17. 양배추 스테이크와 소고기 부추볶음을 토치로 직화한다.</v>
      </c>
    </row>
    <row r="1018">
      <c r="A1018" s="2" t="str">
        <f>recipe!C1018
</f>
        <v>피시 앤 만두</v>
      </c>
      <c r="B1018" s="2" t="str">
        <f>IFERROR(__xludf.DUMMYFUNCTION("TRIM(
  REGEXEXTRACT(
    raw!A1018,
    ""●\s*조리\s*방법([\s\S]*)""
  )
)
"),"1. 양파를 얇게 슬라이스한다.
2. 핸드블렌더에 밀가루, 뜨거운 물을 넣고 갈아 만두피 반죽을 만든다.
3. 조기, 가자미를 손질해 몸통 살만 분리한 뒤 기름에 튀긴다.
4. 끓는 기름에 대파를 넣는다.
5. 지퍼백에 자숙새우를 넣은 뒤 고기망치로 으깬다.
6. 핸드블렌더에 튀긴 생선, 으깬 새우, 김, 마요네즈를 넣고 갈아 만두소를 만든다.
7. 만두소에 다진 파김치, 생강즙을 넣고 버무린다.
8. 밀가루 위에 만두피 반죽을 올린 뒤 밀"&amp;"대로 넓게 민다.
9. 만두피에 만두소를 넣어 만두를 빚는다.
10. 기름을 두른 팬에 만두를 굽다가 물을 넣고 뚜껑을 닫는다.
11. 부추, 양파, 표고버섯을 먹기 좋은 크기로 썬다.
12. 대파를 넣은 기름에 고춧가루를 넣어 고추기름을 낸다. 13. 기름을 두른 팬에 양파, 표고버섯, 다진마늘, 굴소스, 부추, 참기름을 넣고 볶는다.
14. 볼에 간장, 식초를 넣는다.
15. 볼에 설탕을 추가한 뒤 홍고추, 고추를 썬다.
16. 썬 홍고"&amp;"추, 고추, 양파와 간장소스를 지퍼백에 넣어 섞는다.
17. 구운 만두를 부추볶음 위에 올린다.
18. 만두 위에 양파무침을 올린 뒤 고추기름을 뿌린다.")</f>
        <v>1. 양파를 얇게 슬라이스한다.
2. 핸드블렌더에 밀가루, 뜨거운 물을 넣고 갈아 만두피 반죽을 만든다.
3. 조기, 가자미를 손질해 몸통 살만 분리한 뒤 기름에 튀긴다.
4. 끓는 기름에 대파를 넣는다.
5. 지퍼백에 자숙새우를 넣은 뒤 고기망치로 으깬다.
6. 핸드블렌더에 튀긴 생선, 으깬 새우, 김, 마요네즈를 넣고 갈아 만두소를 만든다.
7. 만두소에 다진 파김치, 생강즙을 넣고 버무린다.
8. 밀가루 위에 만두피 반죽을 올린 뒤 밀대로 넓게 민다.
9. 만두피에 만두소를 넣어 만두를 빚는다.
10. 기름을 두른 팬에 만두를 굽다가 물을 넣고 뚜껑을 닫는다.
11. 부추, 양파, 표고버섯을 먹기 좋은 크기로 썬다.
12. 대파를 넣은 기름에 고춧가루를 넣어 고추기름을 낸다. 13. 기름을 두른 팬에 양파, 표고버섯, 다진마늘, 굴소스, 부추, 참기름을 넣고 볶는다.
14. 볼에 간장, 식초를 넣는다.
15. 볼에 설탕을 추가한 뒤 홍고추, 고추를 썬다.
16. 썬 홍고추, 고추, 양파와 간장소스를 지퍼백에 넣어 섞는다.
17. 구운 만두를 부추볶음 위에 올린다.
18. 만두 위에 양파무침을 올린 뒤 고추기름을 뿌린다.</v>
      </c>
    </row>
    <row r="1019">
      <c r="A1019" s="2" t="str">
        <f>recipe!C1019
</f>
        <v>만두 만두 만두 눈꽃만두♬</v>
      </c>
      <c r="B1019" s="2" t="str">
        <f>IFERROR(__xludf.DUMMYFUNCTION("TRIM(
  REGEXEXTRACT(
    raw!A1019,
    ""●\s*조리\s*방법([\s\S]*)""
  )
)
"),"1. 핸드블렌더에 밀가루, 트러플 소금을 넣는다. 2. 1에 물을 넣고 갈아 만두피 반죽을 만든다.
3. 끓는 물에 설탕, 고추장아찌 국물, 맛술을 넣고 끓인다.
4. 팬에 소등심, 배추김치를 올린 뒤 소등심에 후추, 트러플 오일을 뿌려 굽는다.
5. 인스턴트 만두의 만두소만 분리해낸다.
6. 간장소스에 양파, 새송이버섯, 트러플 오일, 설탕을 넣고 끓인다.
7. 구운 김치를 잘게 다진다.
8. 소등심 스테이크를 다진 구운 김치와 함께 만두소"&amp;"에 넣은 뒤 트러플 오일을 뿌린다.
9. 전분 물을 팬에 튀겨 눈꽃 모양을 만든다.
10. 먹기 좋은 크기로 썬 가래떡을 떡볶이 양념에 넣고 끓인다.
11. 적당한 크기로 떼어낸 만두피 반죽을 밀대로 넓게 민다.
12. 만두소를 넣은 뒤 만두피 끝에 전분 물을 묻혀 만두를 빚는다.
13. 만두를 찜기에 찐다.
14. 파프리카, 애호박, 아스파라거스를 궁중 떡볶이에 넣는다.
15. 궁중 떡볶이에 전분물, 부추를 넣는다.
16. 궁중 떡볶이에"&amp;" 물엿, 깨, 참깨소스를 넣는다.
17. 잘게 썬 팽이버섯에 트러플 오일을 뿌린다.
18. 궁중 떡볶이에 마늘즙을 뿌린다.
19. 접시에 궁중 떡볶이를 담은 뒤 팽이버섯을 뿌린다.
20. 눈꽃 튀일 위에 찐 만두를 올린다.
21. 궁중 떡볶이 위에 눈꽃 만두를 올린다.")</f>
        <v>1. 핸드블렌더에 밀가루, 트러플 소금을 넣는다. 2. 1에 물을 넣고 갈아 만두피 반죽을 만든다.
3. 끓는 물에 설탕, 고추장아찌 국물, 맛술을 넣고 끓인다.
4. 팬에 소등심, 배추김치를 올린 뒤 소등심에 후추, 트러플 오일을 뿌려 굽는다.
5. 인스턴트 만두의 만두소만 분리해낸다.
6. 간장소스에 양파, 새송이버섯, 트러플 오일, 설탕을 넣고 끓인다.
7. 구운 김치를 잘게 다진다.
8. 소등심 스테이크를 다진 구운 김치와 함께 만두소에 넣은 뒤 트러플 오일을 뿌린다.
9. 전분 물을 팬에 튀겨 눈꽃 모양을 만든다.
10. 먹기 좋은 크기로 썬 가래떡을 떡볶이 양념에 넣고 끓인다.
11. 적당한 크기로 떼어낸 만두피 반죽을 밀대로 넓게 민다.
12. 만두소를 넣은 뒤 만두피 끝에 전분 물을 묻혀 만두를 빚는다.
13. 만두를 찜기에 찐다.
14. 파프리카, 애호박, 아스파라거스를 궁중 떡볶이에 넣는다.
15. 궁중 떡볶이에 전분물, 부추를 넣는다.
16. 궁중 떡볶이에 물엿, 깨, 참깨소스를 넣는다.
17. 잘게 썬 팽이버섯에 트러플 오일을 뿌린다.
18. 궁중 떡볶이에 마늘즙을 뿌린다.
19. 접시에 궁중 떡볶이를 담은 뒤 팽이버섯을 뿌린다.
20. 눈꽃 튀일 위에 찐 만두를 올린다.
21. 궁중 떡볶이 위에 눈꽃 만두를 올린다.</v>
      </c>
    </row>
    <row r="1020">
      <c r="A1020" s="2" t="str">
        <f>recipe!C1020
</f>
        <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1276</v>
      </c>
      <c r="B1" s="1" t="s">
        <v>1277</v>
      </c>
    </row>
    <row r="2">
      <c r="A2" s="2" t="str">
        <f>IFERROR(__xludf.DUMMYFUNCTION("ARRAYFORMULA(
  QUERY(
    SPLIT(
      FLATTEN(
        ingredient!A2:A17495 &amp;
        ""♦"" &amp;
        TRIM(SPLIT(ingredient!B2:B17495, "",""))
      ),
      ""♦""
    ),
    ""where Col1 is not null and Col2 is not null"",
    0
  )
)
"),"치킨 밀푀유")</f>
        <v>치킨 밀푀유</v>
      </c>
      <c r="B2" s="2" t="str">
        <f>IFERROR(__xludf.DUMMYFUNCTION("""COMPUTED_VALUE"""),"닭가슴살")</f>
        <v>닭가슴살</v>
      </c>
    </row>
    <row r="3">
      <c r="A3" s="2" t="str">
        <f>IFERROR(__xludf.DUMMYFUNCTION("""COMPUTED_VALUE"""),"치킨 밀푀유")</f>
        <v>치킨 밀푀유</v>
      </c>
      <c r="B3" s="2" t="str">
        <f>IFERROR(__xludf.DUMMYFUNCTION("""COMPUTED_VALUE"""),"슬라이스햄")</f>
        <v>슬라이스햄</v>
      </c>
    </row>
    <row r="4">
      <c r="A4" s="2" t="str">
        <f>IFERROR(__xludf.DUMMYFUNCTION("""COMPUTED_VALUE"""),"치킨 밀푀유")</f>
        <v>치킨 밀푀유</v>
      </c>
      <c r="B4" s="2" t="str">
        <f>IFERROR(__xludf.DUMMYFUNCTION("""COMPUTED_VALUE"""),"양파")</f>
        <v>양파</v>
      </c>
    </row>
    <row r="5">
      <c r="A5" s="2" t="str">
        <f>IFERROR(__xludf.DUMMYFUNCTION("""COMPUTED_VALUE"""),"치킨 밀푀유")</f>
        <v>치킨 밀푀유</v>
      </c>
      <c r="B5" s="2" t="str">
        <f>IFERROR(__xludf.DUMMYFUNCTION("""COMPUTED_VALUE"""),"양배추")</f>
        <v>양배추</v>
      </c>
    </row>
    <row r="6">
      <c r="A6" s="2" t="str">
        <f>IFERROR(__xludf.DUMMYFUNCTION("""COMPUTED_VALUE"""),"치킨 밀푀유")</f>
        <v>치킨 밀푀유</v>
      </c>
      <c r="B6" s="2" t="str">
        <f>IFERROR(__xludf.DUMMYFUNCTION("""COMPUTED_VALUE"""),"파프리카")</f>
        <v>파프리카</v>
      </c>
    </row>
    <row r="7">
      <c r="A7" s="2" t="str">
        <f>IFERROR(__xludf.DUMMYFUNCTION("""COMPUTED_VALUE"""),"치킨 밀푀유")</f>
        <v>치킨 밀푀유</v>
      </c>
      <c r="B7" s="2" t="str">
        <f>IFERROR(__xludf.DUMMYFUNCTION("""COMPUTED_VALUE"""),"바게트")</f>
        <v>바게트</v>
      </c>
    </row>
    <row r="8">
      <c r="A8" s="2" t="str">
        <f>IFERROR(__xludf.DUMMYFUNCTION("""COMPUTED_VALUE"""),"치킨 밀푀유")</f>
        <v>치킨 밀푀유</v>
      </c>
      <c r="B8" s="2" t="str">
        <f>IFERROR(__xludf.DUMMYFUNCTION("""COMPUTED_VALUE"""),"다진마늘")</f>
        <v>다진마늘</v>
      </c>
    </row>
    <row r="9">
      <c r="A9" s="2" t="str">
        <f>IFERROR(__xludf.DUMMYFUNCTION("""COMPUTED_VALUE"""),"치킨 밀푀유")</f>
        <v>치킨 밀푀유</v>
      </c>
      <c r="B9" s="2" t="str">
        <f>IFERROR(__xludf.DUMMYFUNCTION("""COMPUTED_VALUE"""),"크림소스")</f>
        <v>크림소스</v>
      </c>
    </row>
    <row r="10">
      <c r="A10" s="2" t="str">
        <f>IFERROR(__xludf.DUMMYFUNCTION("""COMPUTED_VALUE"""),"치킨 밀푀유")</f>
        <v>치킨 밀푀유</v>
      </c>
      <c r="B10" s="2" t="str">
        <f>IFERROR(__xludf.DUMMYFUNCTION("""COMPUTED_VALUE"""),"우유")</f>
        <v>우유</v>
      </c>
    </row>
    <row r="11">
      <c r="A11" s="2" t="str">
        <f>IFERROR(__xludf.DUMMYFUNCTION("""COMPUTED_VALUE"""),"치킨 밀푀유")</f>
        <v>치킨 밀푀유</v>
      </c>
      <c r="B11" s="2" t="str">
        <f>IFERROR(__xludf.DUMMYFUNCTION("""COMPUTED_VALUE"""),"통후추")</f>
        <v>통후추</v>
      </c>
    </row>
    <row r="12">
      <c r="A12" s="2" t="str">
        <f>IFERROR(__xludf.DUMMYFUNCTION("""COMPUTED_VALUE"""),"치킨 밀푀유")</f>
        <v>치킨 밀푀유</v>
      </c>
      <c r="B12" s="2" t="str">
        <f>IFERROR(__xludf.DUMMYFUNCTION("""COMPUTED_VALUE"""),"소금")</f>
        <v>소금</v>
      </c>
    </row>
    <row r="13">
      <c r="A13" s="2" t="str">
        <f>IFERROR(__xludf.DUMMYFUNCTION("""COMPUTED_VALUE"""),"치킨 밀푀유")</f>
        <v>치킨 밀푀유</v>
      </c>
      <c r="B13" s="2" t="str">
        <f>IFERROR(__xludf.DUMMYFUNCTION("""COMPUTED_VALUE"""),"토마토소스")</f>
        <v>토마토소스</v>
      </c>
    </row>
    <row r="14">
      <c r="A14" s="2" t="str">
        <f>IFERROR(__xludf.DUMMYFUNCTION("""COMPUTED_VALUE"""),"취닭거리")</f>
        <v>취닭거리</v>
      </c>
      <c r="B14" s="2" t="str">
        <f>IFERROR(__xludf.DUMMYFUNCTION("""COMPUTED_VALUE"""),"닭죽")</f>
        <v>닭죽</v>
      </c>
    </row>
    <row r="15">
      <c r="A15" s="2" t="str">
        <f>IFERROR(__xludf.DUMMYFUNCTION("""COMPUTED_VALUE"""),"취닭거리")</f>
        <v>취닭거리</v>
      </c>
      <c r="B15" s="2" t="str">
        <f>IFERROR(__xludf.DUMMYFUNCTION("""COMPUTED_VALUE"""),"라조장")</f>
        <v>라조장</v>
      </c>
    </row>
    <row r="16">
      <c r="A16" s="2" t="str">
        <f>IFERROR(__xludf.DUMMYFUNCTION("""COMPUTED_VALUE"""),"취닭거리")</f>
        <v>취닭거리</v>
      </c>
      <c r="B16" s="2" t="str">
        <f>IFERROR(__xludf.DUMMYFUNCTION("""COMPUTED_VALUE"""),"취두부")</f>
        <v>취두부</v>
      </c>
    </row>
    <row r="17">
      <c r="A17" s="2" t="str">
        <f>IFERROR(__xludf.DUMMYFUNCTION("""COMPUTED_VALUE"""),"취닭거리")</f>
        <v>취닭거리</v>
      </c>
      <c r="B17" s="2" t="str">
        <f>IFERROR(__xludf.DUMMYFUNCTION("""COMPUTED_VALUE"""),"족발")</f>
        <v>족발</v>
      </c>
    </row>
    <row r="18">
      <c r="A18" s="2" t="str">
        <f>IFERROR(__xludf.DUMMYFUNCTION("""COMPUTED_VALUE"""),"취닭거리")</f>
        <v>취닭거리</v>
      </c>
      <c r="B18" s="2" t="str">
        <f>IFERROR(__xludf.DUMMYFUNCTION("""COMPUTED_VALUE"""),"버터")</f>
        <v>버터</v>
      </c>
    </row>
    <row r="19">
      <c r="A19" s="2" t="str">
        <f>IFERROR(__xludf.DUMMYFUNCTION("""COMPUTED_VALUE"""),"닭딸")</f>
        <v>닭딸</v>
      </c>
      <c r="B19" s="2" t="str">
        <f>IFERROR(__xludf.DUMMYFUNCTION("""COMPUTED_VALUE"""),"복분자")</f>
        <v>복분자</v>
      </c>
    </row>
    <row r="20">
      <c r="A20" s="2" t="str">
        <f>IFERROR(__xludf.DUMMYFUNCTION("""COMPUTED_VALUE"""),"닭딸")</f>
        <v>닭딸</v>
      </c>
      <c r="B20" s="2" t="str">
        <f>IFERROR(__xludf.DUMMYFUNCTION("""COMPUTED_VALUE"""),"바게트")</f>
        <v>바게트</v>
      </c>
    </row>
    <row r="21">
      <c r="A21" s="2" t="str">
        <f>IFERROR(__xludf.DUMMYFUNCTION("""COMPUTED_VALUE"""),"닭딸")</f>
        <v>닭딸</v>
      </c>
      <c r="B21" s="2" t="str">
        <f>IFERROR(__xludf.DUMMYFUNCTION("""COMPUTED_VALUE"""),"닭가슴살")</f>
        <v>닭가슴살</v>
      </c>
    </row>
    <row r="22">
      <c r="A22" s="2" t="str">
        <f>IFERROR(__xludf.DUMMYFUNCTION("""COMPUTED_VALUE"""),"닭딸")</f>
        <v>닭딸</v>
      </c>
      <c r="B22" s="2" t="str">
        <f>IFERROR(__xludf.DUMMYFUNCTION("""COMPUTED_VALUE"""),"우유")</f>
        <v>우유</v>
      </c>
    </row>
    <row r="23">
      <c r="A23" s="2" t="str">
        <f>IFERROR(__xludf.DUMMYFUNCTION("""COMPUTED_VALUE"""),"닭딸")</f>
        <v>닭딸</v>
      </c>
      <c r="B23" s="2" t="str">
        <f>IFERROR(__xludf.DUMMYFUNCTION("""COMPUTED_VALUE"""),"레몬즙")</f>
        <v>레몬즙</v>
      </c>
    </row>
    <row r="24">
      <c r="A24" s="2" t="str">
        <f>IFERROR(__xludf.DUMMYFUNCTION("""COMPUTED_VALUE"""),"닭딸")</f>
        <v>닭딸</v>
      </c>
      <c r="B24" s="2" t="str">
        <f>IFERROR(__xludf.DUMMYFUNCTION("""COMPUTED_VALUE"""),"소금")</f>
        <v>소금</v>
      </c>
    </row>
    <row r="25">
      <c r="A25" s="2" t="str">
        <f>IFERROR(__xludf.DUMMYFUNCTION("""COMPUTED_VALUE"""),"닭딸")</f>
        <v>닭딸</v>
      </c>
      <c r="B25" s="2" t="str">
        <f>IFERROR(__xludf.DUMMYFUNCTION("""COMPUTED_VALUE"""),"후추")</f>
        <v>후추</v>
      </c>
    </row>
    <row r="26">
      <c r="A26" s="2" t="str">
        <f>IFERROR(__xludf.DUMMYFUNCTION("""COMPUTED_VALUE"""),"닭딸")</f>
        <v>닭딸</v>
      </c>
      <c r="B26" s="2" t="str">
        <f>IFERROR(__xludf.DUMMYFUNCTION("""COMPUTED_VALUE"""),"마늘")</f>
        <v>마늘</v>
      </c>
    </row>
    <row r="27">
      <c r="A27" s="2" t="str">
        <f>IFERROR(__xludf.DUMMYFUNCTION("""COMPUTED_VALUE"""),"어머니 맛 풍족밥")</f>
        <v>어머니 맛 풍족밥</v>
      </c>
      <c r="B27" s="2" t="str">
        <f>IFERROR(__xludf.DUMMYFUNCTION("""COMPUTED_VALUE"""),"치킨")</f>
        <v>치킨</v>
      </c>
    </row>
    <row r="28">
      <c r="A28" s="2" t="str">
        <f>IFERROR(__xludf.DUMMYFUNCTION("""COMPUTED_VALUE"""),"어머니 맛 풍족밥")</f>
        <v>어머니 맛 풍족밥</v>
      </c>
      <c r="B28" s="2" t="str">
        <f>IFERROR(__xludf.DUMMYFUNCTION("""COMPUTED_VALUE"""),"족발")</f>
        <v>족발</v>
      </c>
    </row>
    <row r="29">
      <c r="A29" s="2" t="str">
        <f>IFERROR(__xludf.DUMMYFUNCTION("""COMPUTED_VALUE"""),"어머니 맛 풍족밥")</f>
        <v>어머니 맛 풍족밥</v>
      </c>
      <c r="B29" s="2" t="str">
        <f>IFERROR(__xludf.DUMMYFUNCTION("""COMPUTED_VALUE"""),"두반장")</f>
        <v>두반장</v>
      </c>
    </row>
    <row r="30">
      <c r="A30" s="2" t="str">
        <f>IFERROR(__xludf.DUMMYFUNCTION("""COMPUTED_VALUE"""),"어머니 맛 풍족밥")</f>
        <v>어머니 맛 풍족밥</v>
      </c>
      <c r="B30" s="2" t="str">
        <f>IFERROR(__xludf.DUMMYFUNCTION("""COMPUTED_VALUE"""),"라조장")</f>
        <v>라조장</v>
      </c>
    </row>
    <row r="31">
      <c r="A31" s="2" t="str">
        <f>IFERROR(__xludf.DUMMYFUNCTION("""COMPUTED_VALUE"""),"어머니 맛 풍족밥")</f>
        <v>어머니 맛 풍족밥</v>
      </c>
      <c r="B31" s="2" t="str">
        <f>IFERROR(__xludf.DUMMYFUNCTION("""COMPUTED_VALUE"""),"유자청")</f>
        <v>유자청</v>
      </c>
    </row>
    <row r="32">
      <c r="A32" s="2" t="str">
        <f>IFERROR(__xludf.DUMMYFUNCTION("""COMPUTED_VALUE"""),"어머니 맛 풍족밥")</f>
        <v>어머니 맛 풍족밥</v>
      </c>
      <c r="B32" s="2" t="str">
        <f>IFERROR(__xludf.DUMMYFUNCTION("""COMPUTED_VALUE"""),"밀가루")</f>
        <v>밀가루</v>
      </c>
    </row>
    <row r="33">
      <c r="A33" s="2" t="str">
        <f>IFERROR(__xludf.DUMMYFUNCTION("""COMPUTED_VALUE"""),"어머니 맛 풍족밥")</f>
        <v>어머니 맛 풍족밥</v>
      </c>
      <c r="B33" s="2" t="str">
        <f>IFERROR(__xludf.DUMMYFUNCTION("""COMPUTED_VALUE"""),"밥")</f>
        <v>밥</v>
      </c>
    </row>
    <row r="34">
      <c r="A34" s="2" t="str">
        <f>IFERROR(__xludf.DUMMYFUNCTION("""COMPUTED_VALUE"""),"치킨 요로케")</f>
        <v>치킨 요로케</v>
      </c>
      <c r="B34" s="2" t="str">
        <f>IFERROR(__xludf.DUMMYFUNCTION("""COMPUTED_VALUE"""),"닭가슴살")</f>
        <v>닭가슴살</v>
      </c>
    </row>
    <row r="35">
      <c r="A35" s="2" t="str">
        <f>IFERROR(__xludf.DUMMYFUNCTION("""COMPUTED_VALUE"""),"치킨 요로케")</f>
        <v>치킨 요로케</v>
      </c>
      <c r="B35" s="2" t="str">
        <f>IFERROR(__xludf.DUMMYFUNCTION("""COMPUTED_VALUE"""),"소금")</f>
        <v>소금</v>
      </c>
    </row>
    <row r="36">
      <c r="A36" s="2" t="str">
        <f>IFERROR(__xludf.DUMMYFUNCTION("""COMPUTED_VALUE"""),"치킨 요로케")</f>
        <v>치킨 요로케</v>
      </c>
      <c r="B36" s="2" t="str">
        <f>IFERROR(__xludf.DUMMYFUNCTION("""COMPUTED_VALUE"""),"후추")</f>
        <v>후추</v>
      </c>
    </row>
    <row r="37">
      <c r="A37" s="2" t="str">
        <f>IFERROR(__xludf.DUMMYFUNCTION("""COMPUTED_VALUE"""),"치킨 요로케")</f>
        <v>치킨 요로케</v>
      </c>
      <c r="B37" s="2" t="str">
        <f>IFERROR(__xludf.DUMMYFUNCTION("""COMPUTED_VALUE"""),"밀가루")</f>
        <v>밀가루</v>
      </c>
    </row>
    <row r="38">
      <c r="A38" s="2" t="str">
        <f>IFERROR(__xludf.DUMMYFUNCTION("""COMPUTED_VALUE"""),"치킨 요로케")</f>
        <v>치킨 요로케</v>
      </c>
      <c r="B38" s="2" t="str">
        <f>IFERROR(__xludf.DUMMYFUNCTION("""COMPUTED_VALUE"""),"양파")</f>
        <v>양파</v>
      </c>
    </row>
    <row r="39">
      <c r="A39" s="2" t="str">
        <f>IFERROR(__xludf.DUMMYFUNCTION("""COMPUTED_VALUE"""),"치킨 요로케")</f>
        <v>치킨 요로케</v>
      </c>
      <c r="B39" s="2" t="str">
        <f>IFERROR(__xludf.DUMMYFUNCTION("""COMPUTED_VALUE"""),"햄")</f>
        <v>햄</v>
      </c>
    </row>
    <row r="40">
      <c r="A40" s="2" t="str">
        <f>IFERROR(__xludf.DUMMYFUNCTION("""COMPUTED_VALUE"""),"치킨 요로케")</f>
        <v>치킨 요로케</v>
      </c>
      <c r="B40" s="2" t="str">
        <f>IFERROR(__xludf.DUMMYFUNCTION("""COMPUTED_VALUE"""),"토마토 소스")</f>
        <v>토마토 소스</v>
      </c>
    </row>
    <row r="41">
      <c r="A41" s="2" t="str">
        <f>IFERROR(__xludf.DUMMYFUNCTION("""COMPUTED_VALUE"""),"치킨 요로케")</f>
        <v>치킨 요로케</v>
      </c>
      <c r="B41" s="2" t="str">
        <f>IFERROR(__xludf.DUMMYFUNCTION("""COMPUTED_VALUE"""),"파마산 치즈")</f>
        <v>파마산 치즈</v>
      </c>
    </row>
    <row r="42">
      <c r="A42" s="2" t="str">
        <f>IFERROR(__xludf.DUMMYFUNCTION("""COMPUTED_VALUE"""),"치킨 요로케")</f>
        <v>치킨 요로케</v>
      </c>
      <c r="B42" s="2" t="str">
        <f>IFERROR(__xludf.DUMMYFUNCTION("""COMPUTED_VALUE"""),"모짜렐라 치츠")</f>
        <v>모짜렐라 치츠</v>
      </c>
    </row>
    <row r="43">
      <c r="A43" s="2" t="str">
        <f>IFERROR(__xludf.DUMMYFUNCTION("""COMPUTED_VALUE"""),"치킨 요로케")</f>
        <v>치킨 요로케</v>
      </c>
      <c r="B43" s="2" t="str">
        <f>IFERROR(__xludf.DUMMYFUNCTION("""COMPUTED_VALUE"""),"올리브유")</f>
        <v>올리브유</v>
      </c>
    </row>
    <row r="44">
      <c r="A44" s="2" t="str">
        <f>IFERROR(__xludf.DUMMYFUNCTION("""COMPUTED_VALUE"""),"포크 미트볼")</f>
        <v>포크 미트볼</v>
      </c>
      <c r="B44" s="2" t="str">
        <f>IFERROR(__xludf.DUMMYFUNCTION("""COMPUTED_VALUE"""),"김치")</f>
        <v>김치</v>
      </c>
    </row>
    <row r="45">
      <c r="A45" s="2" t="str">
        <f>IFERROR(__xludf.DUMMYFUNCTION("""COMPUTED_VALUE"""),"포크 미트볼")</f>
        <v>포크 미트볼</v>
      </c>
      <c r="B45" s="2" t="str">
        <f>IFERROR(__xludf.DUMMYFUNCTION("""COMPUTED_VALUE"""),"달걀")</f>
        <v>달걀</v>
      </c>
    </row>
    <row r="46">
      <c r="A46" s="2" t="str">
        <f>IFERROR(__xludf.DUMMYFUNCTION("""COMPUTED_VALUE"""),"포크 미트볼")</f>
        <v>포크 미트볼</v>
      </c>
      <c r="B46" s="2" t="str">
        <f>IFERROR(__xludf.DUMMYFUNCTION("""COMPUTED_VALUE"""),"햄")</f>
        <v>햄</v>
      </c>
    </row>
    <row r="47">
      <c r="A47" s="2" t="str">
        <f>IFERROR(__xludf.DUMMYFUNCTION("""COMPUTED_VALUE"""),"포크 미트볼")</f>
        <v>포크 미트볼</v>
      </c>
      <c r="B47" s="2" t="str">
        <f>IFERROR(__xludf.DUMMYFUNCTION("""COMPUTED_VALUE"""),"밥")</f>
        <v>밥</v>
      </c>
    </row>
    <row r="48">
      <c r="A48" s="2" t="str">
        <f>IFERROR(__xludf.DUMMYFUNCTION("""COMPUTED_VALUE"""),"만두부인 육수터졌네")</f>
        <v>만두부인 육수터졌네</v>
      </c>
      <c r="B48" s="2" t="str">
        <f>IFERROR(__xludf.DUMMYFUNCTION("""COMPUTED_VALUE"""),"냉동만두")</f>
        <v>냉동만두</v>
      </c>
    </row>
    <row r="49">
      <c r="A49" s="2" t="str">
        <f>IFERROR(__xludf.DUMMYFUNCTION("""COMPUTED_VALUE"""),"만두부인 육수터졌네")</f>
        <v>만두부인 육수터졌네</v>
      </c>
      <c r="B49" s="2" t="str">
        <f>IFERROR(__xludf.DUMMYFUNCTION("""COMPUTED_VALUE"""),"사골육수")</f>
        <v>사골육수</v>
      </c>
    </row>
    <row r="50">
      <c r="A50" s="2" t="str">
        <f>IFERROR(__xludf.DUMMYFUNCTION("""COMPUTED_VALUE"""),"만두부인 육수터졌네")</f>
        <v>만두부인 육수터졌네</v>
      </c>
      <c r="B50" s="2" t="str">
        <f>IFERROR(__xludf.DUMMYFUNCTION("""COMPUTED_VALUE"""),"토마토")</f>
        <v>토마토</v>
      </c>
    </row>
    <row r="51">
      <c r="A51" s="2" t="str">
        <f>IFERROR(__xludf.DUMMYFUNCTION("""COMPUTED_VALUE"""),"만두부인 육수터졌네")</f>
        <v>만두부인 육수터졌네</v>
      </c>
      <c r="B51" s="2" t="str">
        <f>IFERROR(__xludf.DUMMYFUNCTION("""COMPUTED_VALUE"""),"발사믹 소스")</f>
        <v>발사믹 소스</v>
      </c>
    </row>
    <row r="52">
      <c r="A52" s="2" t="str">
        <f>IFERROR(__xludf.DUMMYFUNCTION("""COMPUTED_VALUE"""),"만두부인 육수터졌네")</f>
        <v>만두부인 육수터졌네</v>
      </c>
      <c r="B52" s="2" t="str">
        <f>IFERROR(__xludf.DUMMYFUNCTION("""COMPUTED_VALUE"""),"버터")</f>
        <v>버터</v>
      </c>
    </row>
    <row r="53">
      <c r="A53" s="2" t="str">
        <f>IFERROR(__xludf.DUMMYFUNCTION("""COMPUTED_VALUE"""),"만두부인 육수터졌네")</f>
        <v>만두부인 육수터졌네</v>
      </c>
      <c r="B53" s="2" t="str">
        <f>IFERROR(__xludf.DUMMYFUNCTION("""COMPUTED_VALUE"""),"다진마늘")</f>
        <v>다진마늘</v>
      </c>
    </row>
    <row r="54">
      <c r="A54" s="2" t="str">
        <f>IFERROR(__xludf.DUMMYFUNCTION("""COMPUTED_VALUE"""),"만두부인 육수터졌네")</f>
        <v>만두부인 육수터졌네</v>
      </c>
      <c r="B54" s="2" t="str">
        <f>IFERROR(__xludf.DUMMYFUNCTION("""COMPUTED_VALUE"""),"고추냉이")</f>
        <v>고추냉이</v>
      </c>
    </row>
    <row r="55">
      <c r="A55" s="2" t="str">
        <f>IFERROR(__xludf.DUMMYFUNCTION("""COMPUTED_VALUE"""),"만두부인 육수터졌네")</f>
        <v>만두부인 육수터졌네</v>
      </c>
      <c r="B55" s="2" t="str">
        <f>IFERROR(__xludf.DUMMYFUNCTION("""COMPUTED_VALUE"""),"올리브오일")</f>
        <v>올리브오일</v>
      </c>
    </row>
    <row r="56">
      <c r="A56" s="2" t="str">
        <f>IFERROR(__xludf.DUMMYFUNCTION("""COMPUTED_VALUE"""),"만두부인 육수터졌네")</f>
        <v>만두부인 육수터졌네</v>
      </c>
      <c r="B56" s="2" t="str">
        <f>IFERROR(__xludf.DUMMYFUNCTION("""COMPUTED_VALUE"""),"프로슈토햄")</f>
        <v>프로슈토햄</v>
      </c>
    </row>
    <row r="57">
      <c r="A57" s="2" t="str">
        <f>IFERROR(__xludf.DUMMYFUNCTION("""COMPUTED_VALUE"""),"만두부인 육수터졌네")</f>
        <v>만두부인 육수터졌네</v>
      </c>
      <c r="B57" s="2" t="str">
        <f>IFERROR(__xludf.DUMMYFUNCTION("""COMPUTED_VALUE"""),"그뤼에르 치즈")</f>
        <v>그뤼에르 치즈</v>
      </c>
    </row>
    <row r="58">
      <c r="A58" s="2" t="str">
        <f>IFERROR(__xludf.DUMMYFUNCTION("""COMPUTED_VALUE"""),"심쿵 오믈렛")</f>
        <v>심쿵 오믈렛</v>
      </c>
      <c r="B58" s="2" t="str">
        <f>IFERROR(__xludf.DUMMYFUNCTION("""COMPUTED_VALUE"""),"달걀")</f>
        <v>달걀</v>
      </c>
    </row>
    <row r="59">
      <c r="A59" s="2" t="str">
        <f>IFERROR(__xludf.DUMMYFUNCTION("""COMPUTED_VALUE"""),"심쿵 오믈렛")</f>
        <v>심쿵 오믈렛</v>
      </c>
      <c r="B59" s="2" t="str">
        <f>IFERROR(__xludf.DUMMYFUNCTION("""COMPUTED_VALUE"""),"연어")</f>
        <v>연어</v>
      </c>
    </row>
    <row r="60">
      <c r="A60" s="2" t="str">
        <f>IFERROR(__xludf.DUMMYFUNCTION("""COMPUTED_VALUE"""),"심쿵 오믈렛")</f>
        <v>심쿵 오믈렛</v>
      </c>
      <c r="B60" s="2" t="str">
        <f>IFERROR(__xludf.DUMMYFUNCTION("""COMPUTED_VALUE"""),"양파잼")</f>
        <v>양파잼</v>
      </c>
    </row>
    <row r="61">
      <c r="A61" s="2" t="str">
        <f>IFERROR(__xludf.DUMMYFUNCTION("""COMPUTED_VALUE"""),"심쿵 오믈렛")</f>
        <v>심쿵 오믈렛</v>
      </c>
      <c r="B61" s="2" t="str">
        <f>IFERROR(__xludf.DUMMYFUNCTION("""COMPUTED_VALUE"""),"버터")</f>
        <v>버터</v>
      </c>
    </row>
    <row r="62">
      <c r="A62" s="2" t="str">
        <f>IFERROR(__xludf.DUMMYFUNCTION("""COMPUTED_VALUE"""),"심쿵 오믈렛")</f>
        <v>심쿵 오믈렛</v>
      </c>
      <c r="B62" s="2" t="str">
        <f>IFERROR(__xludf.DUMMYFUNCTION("""COMPUTED_VALUE"""),"브로콜리")</f>
        <v>브로콜리</v>
      </c>
    </row>
    <row r="63">
      <c r="A63" s="2" t="str">
        <f>IFERROR(__xludf.DUMMYFUNCTION("""COMPUTED_VALUE"""),"심쿵 오믈렛")</f>
        <v>심쿵 오믈렛</v>
      </c>
      <c r="B63" s="2" t="str">
        <f>IFERROR(__xludf.DUMMYFUNCTION("""COMPUTED_VALUE"""),"소금")</f>
        <v>소금</v>
      </c>
    </row>
    <row r="64">
      <c r="A64" s="2" t="str">
        <f>IFERROR(__xludf.DUMMYFUNCTION("""COMPUTED_VALUE"""),"심쿵 오믈렛")</f>
        <v>심쿵 오믈렛</v>
      </c>
      <c r="B64" s="2" t="str">
        <f>IFERROR(__xludf.DUMMYFUNCTION("""COMPUTED_VALUE"""),"후추")</f>
        <v>후추</v>
      </c>
    </row>
    <row r="65">
      <c r="A65" s="2" t="str">
        <f>IFERROR(__xludf.DUMMYFUNCTION("""COMPUTED_VALUE"""),"심쿵 오믈렛")</f>
        <v>심쿵 오믈렛</v>
      </c>
      <c r="B65" s="2" t="str">
        <f>IFERROR(__xludf.DUMMYFUNCTION("""COMPUTED_VALUE"""),"케찹")</f>
        <v>케찹</v>
      </c>
    </row>
    <row r="66">
      <c r="A66" s="2" t="str">
        <f>IFERROR(__xludf.DUMMYFUNCTION("""COMPUTED_VALUE"""),"엔초비 파스타")</f>
        <v>엔초비 파스타</v>
      </c>
      <c r="B66" s="2" t="str">
        <f>IFERROR(__xludf.DUMMYFUNCTION("""COMPUTED_VALUE"""),"파스타면")</f>
        <v>파스타면</v>
      </c>
    </row>
    <row r="67">
      <c r="A67" s="2" t="str">
        <f>IFERROR(__xludf.DUMMYFUNCTION("""COMPUTED_VALUE"""),"엔초비 파스타")</f>
        <v>엔초비 파스타</v>
      </c>
      <c r="B67" s="2" t="str">
        <f>IFERROR(__xludf.DUMMYFUNCTION("""COMPUTED_VALUE"""),"바게트빵")</f>
        <v>바게트빵</v>
      </c>
    </row>
    <row r="68">
      <c r="A68" s="2" t="str">
        <f>IFERROR(__xludf.DUMMYFUNCTION("""COMPUTED_VALUE"""),"엔초비 파스타")</f>
        <v>엔초비 파스타</v>
      </c>
      <c r="B68" s="2" t="str">
        <f>IFERROR(__xludf.DUMMYFUNCTION("""COMPUTED_VALUE"""),"올리브오일")</f>
        <v>올리브오일</v>
      </c>
    </row>
    <row r="69">
      <c r="A69" s="2" t="str">
        <f>IFERROR(__xludf.DUMMYFUNCTION("""COMPUTED_VALUE"""),"엔초비 파스타")</f>
        <v>엔초비 파스타</v>
      </c>
      <c r="B69" s="2" t="str">
        <f>IFERROR(__xludf.DUMMYFUNCTION("""COMPUTED_VALUE"""),"파슬리")</f>
        <v>파슬리</v>
      </c>
    </row>
    <row r="70">
      <c r="A70" s="2" t="str">
        <f>IFERROR(__xludf.DUMMYFUNCTION("""COMPUTED_VALUE"""),"엔초비 파스타")</f>
        <v>엔초비 파스타</v>
      </c>
      <c r="B70" s="2" t="str">
        <f>IFERROR(__xludf.DUMMYFUNCTION("""COMPUTED_VALUE"""),"다진마늘")</f>
        <v>다진마늘</v>
      </c>
    </row>
    <row r="71">
      <c r="A71" s="2" t="str">
        <f>IFERROR(__xludf.DUMMYFUNCTION("""COMPUTED_VALUE"""),"엔초비 파스타")</f>
        <v>엔초비 파스타</v>
      </c>
      <c r="B71" s="2" t="str">
        <f>IFERROR(__xludf.DUMMYFUNCTION("""COMPUTED_VALUE"""),"애호박")</f>
        <v>애호박</v>
      </c>
    </row>
    <row r="72">
      <c r="A72" s="2" t="str">
        <f>IFERROR(__xludf.DUMMYFUNCTION("""COMPUTED_VALUE"""),"엔초비 파스타")</f>
        <v>엔초비 파스타</v>
      </c>
      <c r="B72" s="2" t="str">
        <f>IFERROR(__xludf.DUMMYFUNCTION("""COMPUTED_VALUE"""),"페페로치노")</f>
        <v>페페로치노</v>
      </c>
    </row>
    <row r="73">
      <c r="A73" s="2" t="str">
        <f>IFERROR(__xludf.DUMMYFUNCTION("""COMPUTED_VALUE"""),"엔초비 파스타")</f>
        <v>엔초비 파스타</v>
      </c>
      <c r="B73" s="2" t="str">
        <f>IFERROR(__xludf.DUMMYFUNCTION("""COMPUTED_VALUE"""),"엔초비")</f>
        <v>엔초비</v>
      </c>
    </row>
    <row r="74">
      <c r="A74" s="2" t="str">
        <f>IFERROR(__xludf.DUMMYFUNCTION("""COMPUTED_VALUE"""),"고기와 썸타는 떡국떡 삼합")</f>
        <v>고기와 썸타는 떡국떡 삼합</v>
      </c>
      <c r="B74" s="2" t="str">
        <f>IFERROR(__xludf.DUMMYFUNCTION("""COMPUTED_VALUE"""),"맥주")</f>
        <v>맥주</v>
      </c>
    </row>
    <row r="75">
      <c r="A75" s="2" t="str">
        <f>IFERROR(__xludf.DUMMYFUNCTION("""COMPUTED_VALUE"""),"고기와 썸타는 떡국떡 삼합")</f>
        <v>고기와 썸타는 떡국떡 삼합</v>
      </c>
      <c r="B75" s="2" t="str">
        <f>IFERROR(__xludf.DUMMYFUNCTION("""COMPUTED_VALUE"""),"삼겹살")</f>
        <v>삼겹살</v>
      </c>
    </row>
    <row r="76">
      <c r="A76" s="2" t="str">
        <f>IFERROR(__xludf.DUMMYFUNCTION("""COMPUTED_VALUE"""),"고기와 썸타는 떡국떡 삼합")</f>
        <v>고기와 썸타는 떡국떡 삼합</v>
      </c>
      <c r="B76" s="2" t="str">
        <f>IFERROR(__xludf.DUMMYFUNCTION("""COMPUTED_VALUE"""),"김치")</f>
        <v>김치</v>
      </c>
    </row>
    <row r="77">
      <c r="A77" s="2" t="str">
        <f>IFERROR(__xludf.DUMMYFUNCTION("""COMPUTED_VALUE"""),"고기와 썸타는 떡국떡 삼합")</f>
        <v>고기와 썸타는 떡국떡 삼합</v>
      </c>
      <c r="B77" s="2" t="str">
        <f>IFERROR(__xludf.DUMMYFUNCTION("""COMPUTED_VALUE"""),"케찹")</f>
        <v>케찹</v>
      </c>
    </row>
    <row r="78">
      <c r="A78" s="2" t="str">
        <f>IFERROR(__xludf.DUMMYFUNCTION("""COMPUTED_VALUE"""),"고기와 썸타는 떡국떡 삼합")</f>
        <v>고기와 썸타는 떡국떡 삼합</v>
      </c>
      <c r="B78" s="2" t="str">
        <f>IFERROR(__xludf.DUMMYFUNCTION("""COMPUTED_VALUE"""),"고추장")</f>
        <v>고추장</v>
      </c>
    </row>
    <row r="79">
      <c r="A79" s="2" t="str">
        <f>IFERROR(__xludf.DUMMYFUNCTION("""COMPUTED_VALUE"""),"고기와 썸타는 떡국떡 삼합")</f>
        <v>고기와 썸타는 떡국떡 삼합</v>
      </c>
      <c r="B79" s="2" t="str">
        <f>IFERROR(__xludf.DUMMYFUNCTION("""COMPUTED_VALUE"""),"방울토마토")</f>
        <v>방울토마토</v>
      </c>
    </row>
    <row r="80">
      <c r="A80" s="2" t="str">
        <f>IFERROR(__xludf.DUMMYFUNCTION("""COMPUTED_VALUE"""),"고기와 썸타는 떡국떡 삼합")</f>
        <v>고기와 썸타는 떡국떡 삼합</v>
      </c>
      <c r="B80" s="2" t="str">
        <f>IFERROR(__xludf.DUMMYFUNCTION("""COMPUTED_VALUE"""),"떡국떡")</f>
        <v>떡국떡</v>
      </c>
    </row>
    <row r="81">
      <c r="A81" s="2" t="str">
        <f>IFERROR(__xludf.DUMMYFUNCTION("""COMPUTED_VALUE"""),"고기와 썸타는 떡국떡 삼합")</f>
        <v>고기와 썸타는 떡국떡 삼합</v>
      </c>
      <c r="B81" s="2" t="str">
        <f>IFERROR(__xludf.DUMMYFUNCTION("""COMPUTED_VALUE"""),"올리브오일")</f>
        <v>올리브오일</v>
      </c>
    </row>
    <row r="82">
      <c r="A82" s="2" t="str">
        <f>IFERROR(__xludf.DUMMYFUNCTION("""COMPUTED_VALUE"""),"와닭")</f>
        <v>와닭</v>
      </c>
      <c r="B82" s="2" t="str">
        <f>IFERROR(__xludf.DUMMYFUNCTION("""COMPUTED_VALUE"""),"생닭")</f>
        <v>생닭</v>
      </c>
    </row>
    <row r="83">
      <c r="A83" s="2" t="str">
        <f>IFERROR(__xludf.DUMMYFUNCTION("""COMPUTED_VALUE"""),"와닭")</f>
        <v>와닭</v>
      </c>
      <c r="B83" s="2" t="str">
        <f>IFERROR(__xludf.DUMMYFUNCTION("""COMPUTED_VALUE"""),"마늘")</f>
        <v>마늘</v>
      </c>
    </row>
    <row r="84">
      <c r="A84" s="2" t="str">
        <f>IFERROR(__xludf.DUMMYFUNCTION("""COMPUTED_VALUE"""),"와닭")</f>
        <v>와닭</v>
      </c>
      <c r="B84" s="2" t="str">
        <f>IFERROR(__xludf.DUMMYFUNCTION("""COMPUTED_VALUE"""),"양파")</f>
        <v>양파</v>
      </c>
    </row>
    <row r="85">
      <c r="A85" s="2" t="str">
        <f>IFERROR(__xludf.DUMMYFUNCTION("""COMPUTED_VALUE"""),"와닭")</f>
        <v>와닭</v>
      </c>
      <c r="B85" s="2" t="str">
        <f>IFERROR(__xludf.DUMMYFUNCTION("""COMPUTED_VALUE"""),"아티초크")</f>
        <v>아티초크</v>
      </c>
    </row>
    <row r="86">
      <c r="A86" s="2" t="str">
        <f>IFERROR(__xludf.DUMMYFUNCTION("""COMPUTED_VALUE"""),"와닭")</f>
        <v>와닭</v>
      </c>
      <c r="B86" s="2" t="str">
        <f>IFERROR(__xludf.DUMMYFUNCTION("""COMPUTED_VALUE"""),"토마토 소스")</f>
        <v>토마토 소스</v>
      </c>
    </row>
    <row r="87">
      <c r="A87" s="2" t="str">
        <f>IFERROR(__xludf.DUMMYFUNCTION("""COMPUTED_VALUE"""),"와닭")</f>
        <v>와닭</v>
      </c>
      <c r="B87" s="2" t="str">
        <f>IFERROR(__xludf.DUMMYFUNCTION("""COMPUTED_VALUE"""),"적포도")</f>
        <v>적포도</v>
      </c>
    </row>
    <row r="88">
      <c r="A88" s="2" t="str">
        <f>IFERROR(__xludf.DUMMYFUNCTION("""COMPUTED_VALUE"""),"와닭")</f>
        <v>와닭</v>
      </c>
      <c r="B88" s="2" t="str">
        <f>IFERROR(__xludf.DUMMYFUNCTION("""COMPUTED_VALUE"""),"사골육수")</f>
        <v>사골육수</v>
      </c>
    </row>
    <row r="89">
      <c r="A89" s="2" t="str">
        <f>IFERROR(__xludf.DUMMYFUNCTION("""COMPUTED_VALUE"""),"브로콜리 치킨")</f>
        <v>브로콜리 치킨</v>
      </c>
      <c r="B89" s="2" t="str">
        <f>IFERROR(__xludf.DUMMYFUNCTION("""COMPUTED_VALUE"""),"닭가슴살")</f>
        <v>닭가슴살</v>
      </c>
    </row>
    <row r="90">
      <c r="A90" s="2" t="str">
        <f>IFERROR(__xludf.DUMMYFUNCTION("""COMPUTED_VALUE"""),"브로콜리 치킨")</f>
        <v>브로콜리 치킨</v>
      </c>
      <c r="B90" s="2" t="str">
        <f>IFERROR(__xludf.DUMMYFUNCTION("""COMPUTED_VALUE"""),"브로콜리")</f>
        <v>브로콜리</v>
      </c>
    </row>
    <row r="91">
      <c r="A91" s="2" t="str">
        <f>IFERROR(__xludf.DUMMYFUNCTION("""COMPUTED_VALUE"""),"브로콜리 치킨")</f>
        <v>브로콜리 치킨</v>
      </c>
      <c r="B91" s="2" t="str">
        <f>IFERROR(__xludf.DUMMYFUNCTION("""COMPUTED_VALUE"""),"슬라이스 치즈")</f>
        <v>슬라이스 치즈</v>
      </c>
    </row>
    <row r="92">
      <c r="A92" s="2" t="str">
        <f>IFERROR(__xludf.DUMMYFUNCTION("""COMPUTED_VALUE"""),"브로콜리 치킨")</f>
        <v>브로콜리 치킨</v>
      </c>
      <c r="B92" s="2" t="str">
        <f>IFERROR(__xludf.DUMMYFUNCTION("""COMPUTED_VALUE"""),"파프리카")</f>
        <v>파프리카</v>
      </c>
    </row>
    <row r="93">
      <c r="A93" s="2" t="str">
        <f>IFERROR(__xludf.DUMMYFUNCTION("""COMPUTED_VALUE"""),"브로콜리 치킨")</f>
        <v>브로콜리 치킨</v>
      </c>
      <c r="B93" s="2" t="str">
        <f>IFERROR(__xludf.DUMMYFUNCTION("""COMPUTED_VALUE"""),"방울토마토")</f>
        <v>방울토마토</v>
      </c>
    </row>
    <row r="94">
      <c r="A94" s="2" t="str">
        <f>IFERROR(__xludf.DUMMYFUNCTION("""COMPUTED_VALUE"""),"브로콜리 치킨")</f>
        <v>브로콜리 치킨</v>
      </c>
      <c r="B94" s="2" t="str">
        <f>IFERROR(__xludf.DUMMYFUNCTION("""COMPUTED_VALUE"""),"버터")</f>
        <v>버터</v>
      </c>
    </row>
    <row r="95">
      <c r="A95" s="2" t="str">
        <f>IFERROR(__xludf.DUMMYFUNCTION("""COMPUTED_VALUE"""),"브로콜리 치킨")</f>
        <v>브로콜리 치킨</v>
      </c>
      <c r="B95" s="2" t="str">
        <f>IFERROR(__xludf.DUMMYFUNCTION("""COMPUTED_VALUE"""),"소금")</f>
        <v>소금</v>
      </c>
    </row>
    <row r="96">
      <c r="A96" s="2" t="str">
        <f>IFERROR(__xludf.DUMMYFUNCTION("""COMPUTED_VALUE"""),"브로콜리 치킨")</f>
        <v>브로콜리 치킨</v>
      </c>
      <c r="B96" s="2" t="str">
        <f>IFERROR(__xludf.DUMMYFUNCTION("""COMPUTED_VALUE"""),"후추")</f>
        <v>후추</v>
      </c>
    </row>
    <row r="97">
      <c r="A97" s="2" t="str">
        <f>IFERROR(__xludf.DUMMYFUNCTION("""COMPUTED_VALUE"""),"삼겹살 플레이트")</f>
        <v>삼겹살 플레이트</v>
      </c>
      <c r="B97" s="2" t="str">
        <f>IFERROR(__xludf.DUMMYFUNCTION("""COMPUTED_VALUE"""),"삼겹살")</f>
        <v>삼겹살</v>
      </c>
    </row>
    <row r="98">
      <c r="A98" s="2" t="str">
        <f>IFERROR(__xludf.DUMMYFUNCTION("""COMPUTED_VALUE"""),"삼겹살 플레이트")</f>
        <v>삼겹살 플레이트</v>
      </c>
      <c r="B98" s="2" t="str">
        <f>IFERROR(__xludf.DUMMYFUNCTION("""COMPUTED_VALUE"""),"양파")</f>
        <v>양파</v>
      </c>
    </row>
    <row r="99">
      <c r="A99" s="2" t="str">
        <f>IFERROR(__xludf.DUMMYFUNCTION("""COMPUTED_VALUE"""),"삼겹살 플레이트")</f>
        <v>삼겹살 플레이트</v>
      </c>
      <c r="B99" s="2" t="str">
        <f>IFERROR(__xludf.DUMMYFUNCTION("""COMPUTED_VALUE"""),"알배추")</f>
        <v>알배추</v>
      </c>
    </row>
    <row r="100">
      <c r="A100" s="2" t="str">
        <f>IFERROR(__xludf.DUMMYFUNCTION("""COMPUTED_VALUE"""),"삼겹살 플레이트")</f>
        <v>삼겹살 플레이트</v>
      </c>
      <c r="B100" s="2" t="str">
        <f>IFERROR(__xludf.DUMMYFUNCTION("""COMPUTED_VALUE"""),"밥")</f>
        <v>밥</v>
      </c>
    </row>
    <row r="101">
      <c r="A101" s="2" t="str">
        <f>IFERROR(__xludf.DUMMYFUNCTION("""COMPUTED_VALUE"""),"삼겹살 플레이트")</f>
        <v>삼겹살 플레이트</v>
      </c>
      <c r="B101" s="2" t="str">
        <f>IFERROR(__xludf.DUMMYFUNCTION("""COMPUTED_VALUE"""),"버터")</f>
        <v>버터</v>
      </c>
    </row>
    <row r="102">
      <c r="A102" s="2" t="str">
        <f>IFERROR(__xludf.DUMMYFUNCTION("""COMPUTED_VALUE"""),"삼겹살 플레이트")</f>
        <v>삼겹살 플레이트</v>
      </c>
      <c r="B102" s="2" t="str">
        <f>IFERROR(__xludf.DUMMYFUNCTION("""COMPUTED_VALUE"""),"통마늘")</f>
        <v>통마늘</v>
      </c>
    </row>
    <row r="103">
      <c r="A103" s="2" t="str">
        <f>IFERROR(__xludf.DUMMYFUNCTION("""COMPUTED_VALUE"""),"삼겹살 플레이트")</f>
        <v>삼겹살 플레이트</v>
      </c>
      <c r="B103" s="2" t="str">
        <f>IFERROR(__xludf.DUMMYFUNCTION("""COMPUTED_VALUE"""),"간장")</f>
        <v>간장</v>
      </c>
    </row>
    <row r="104">
      <c r="A104" s="2" t="str">
        <f>IFERROR(__xludf.DUMMYFUNCTION("""COMPUTED_VALUE"""),"삼겹살 플레이트")</f>
        <v>삼겹살 플레이트</v>
      </c>
      <c r="B104" s="2" t="str">
        <f>IFERROR(__xludf.DUMMYFUNCTION("""COMPUTED_VALUE"""),"미림")</f>
        <v>미림</v>
      </c>
    </row>
    <row r="105">
      <c r="A105" s="2" t="str">
        <f>IFERROR(__xludf.DUMMYFUNCTION("""COMPUTED_VALUE"""),"삼겹살 플레이트")</f>
        <v>삼겹살 플레이트</v>
      </c>
      <c r="B105" s="2" t="str">
        <f>IFERROR(__xludf.DUMMYFUNCTION("""COMPUTED_VALUE"""),"청주")</f>
        <v>청주</v>
      </c>
    </row>
    <row r="106">
      <c r="A106" s="2" t="str">
        <f>IFERROR(__xludf.DUMMYFUNCTION("""COMPUTED_VALUE"""),"삼겹살 플레이트")</f>
        <v>삼겹살 플레이트</v>
      </c>
      <c r="B106" s="2" t="str">
        <f>IFERROR(__xludf.DUMMYFUNCTION("""COMPUTED_VALUE"""),"커피가루")</f>
        <v>커피가루</v>
      </c>
    </row>
    <row r="107">
      <c r="A107" s="2" t="str">
        <f>IFERROR(__xludf.DUMMYFUNCTION("""COMPUTED_VALUE"""),"삼겹살 플레이트")</f>
        <v>삼겹살 플레이트</v>
      </c>
      <c r="B107" s="2" t="str">
        <f>IFERROR(__xludf.DUMMYFUNCTION("""COMPUTED_VALUE"""),"다진 마늘")</f>
        <v>다진 마늘</v>
      </c>
    </row>
    <row r="108">
      <c r="A108" s="2" t="str">
        <f>IFERROR(__xludf.DUMMYFUNCTION("""COMPUTED_VALUE"""),"삼겹살 플레이트")</f>
        <v>삼겹살 플레이트</v>
      </c>
      <c r="B108" s="2" t="str">
        <f>IFERROR(__xludf.DUMMYFUNCTION("""COMPUTED_VALUE"""),"다진 생강")</f>
        <v>다진 생강</v>
      </c>
    </row>
    <row r="109">
      <c r="A109" s="2" t="str">
        <f>IFERROR(__xludf.DUMMYFUNCTION("""COMPUTED_VALUE"""),"강남비빔면")</f>
        <v>강남비빔면</v>
      </c>
      <c r="B109" s="2" t="str">
        <f>IFERROR(__xludf.DUMMYFUNCTION("""COMPUTED_VALUE"""),"생칼국수면")</f>
        <v>생칼국수면</v>
      </c>
    </row>
    <row r="110">
      <c r="A110" s="2" t="str">
        <f>IFERROR(__xludf.DUMMYFUNCTION("""COMPUTED_VALUE"""),"강남비빔면")</f>
        <v>강남비빔면</v>
      </c>
      <c r="B110" s="2" t="str">
        <f>IFERROR(__xludf.DUMMYFUNCTION("""COMPUTED_VALUE"""),"삼겹살")</f>
        <v>삼겹살</v>
      </c>
    </row>
    <row r="111">
      <c r="A111" s="2" t="str">
        <f>IFERROR(__xludf.DUMMYFUNCTION("""COMPUTED_VALUE"""),"강남비빔면")</f>
        <v>강남비빔면</v>
      </c>
      <c r="B111" s="2" t="str">
        <f>IFERROR(__xludf.DUMMYFUNCTION("""COMPUTED_VALUE"""),"새우젓")</f>
        <v>새우젓</v>
      </c>
    </row>
    <row r="112">
      <c r="A112" s="2" t="str">
        <f>IFERROR(__xludf.DUMMYFUNCTION("""COMPUTED_VALUE"""),"강남비빔면")</f>
        <v>강남비빔면</v>
      </c>
      <c r="B112" s="2" t="str">
        <f>IFERROR(__xludf.DUMMYFUNCTION("""COMPUTED_VALUE"""),"고추장")</f>
        <v>고추장</v>
      </c>
    </row>
    <row r="113">
      <c r="A113" s="2" t="str">
        <f>IFERROR(__xludf.DUMMYFUNCTION("""COMPUTED_VALUE"""),"강남비빔면")</f>
        <v>강남비빔면</v>
      </c>
      <c r="B113" s="2" t="str">
        <f>IFERROR(__xludf.DUMMYFUNCTION("""COMPUTED_VALUE"""),"딸기잼")</f>
        <v>딸기잼</v>
      </c>
    </row>
    <row r="114">
      <c r="A114" s="2" t="str">
        <f>IFERROR(__xludf.DUMMYFUNCTION("""COMPUTED_VALUE"""),"강남비빔면")</f>
        <v>강남비빔면</v>
      </c>
      <c r="B114" s="2" t="str">
        <f>IFERROR(__xludf.DUMMYFUNCTION("""COMPUTED_VALUE"""),"참기름")</f>
        <v>참기름</v>
      </c>
    </row>
    <row r="115">
      <c r="A115" s="2" t="str">
        <f>IFERROR(__xludf.DUMMYFUNCTION("""COMPUTED_VALUE"""),"강남비빔면")</f>
        <v>강남비빔면</v>
      </c>
      <c r="B115" s="2" t="str">
        <f>IFERROR(__xludf.DUMMYFUNCTION("""COMPUTED_VALUE"""),"고추냉이")</f>
        <v>고추냉이</v>
      </c>
    </row>
    <row r="116">
      <c r="A116" s="2" t="str">
        <f>IFERROR(__xludf.DUMMYFUNCTION("""COMPUTED_VALUE"""),"나 또 브리또")</f>
        <v>나 또 브리또</v>
      </c>
      <c r="B116" s="2" t="str">
        <f>IFERROR(__xludf.DUMMYFUNCTION("""COMPUTED_VALUE"""),"냉동새우 볶음밥")</f>
        <v>냉동새우 볶음밥</v>
      </c>
    </row>
    <row r="117">
      <c r="A117" s="2" t="str">
        <f>IFERROR(__xludf.DUMMYFUNCTION("""COMPUTED_VALUE"""),"나 또 브리또")</f>
        <v>나 또 브리또</v>
      </c>
      <c r="B117" s="2" t="str">
        <f>IFERROR(__xludf.DUMMYFUNCTION("""COMPUTED_VALUE"""),"소고기")</f>
        <v>소고기</v>
      </c>
    </row>
    <row r="118">
      <c r="A118" s="2" t="str">
        <f>IFERROR(__xludf.DUMMYFUNCTION("""COMPUTED_VALUE"""),"나 또 브리또")</f>
        <v>나 또 브리또</v>
      </c>
      <c r="B118" s="2" t="str">
        <f>IFERROR(__xludf.DUMMYFUNCTION("""COMPUTED_VALUE"""),"간장")</f>
        <v>간장</v>
      </c>
    </row>
    <row r="119">
      <c r="A119" s="2" t="str">
        <f>IFERROR(__xludf.DUMMYFUNCTION("""COMPUTED_VALUE"""),"나 또 브리또")</f>
        <v>나 또 브리또</v>
      </c>
      <c r="B119" s="2" t="str">
        <f>IFERROR(__xludf.DUMMYFUNCTION("""COMPUTED_VALUE"""),"미림")</f>
        <v>미림</v>
      </c>
    </row>
    <row r="120">
      <c r="A120" s="2" t="str">
        <f>IFERROR(__xludf.DUMMYFUNCTION("""COMPUTED_VALUE"""),"나 또 브리또")</f>
        <v>나 또 브리또</v>
      </c>
      <c r="B120" s="2" t="str">
        <f>IFERROR(__xludf.DUMMYFUNCTION("""COMPUTED_VALUE"""),"다진 마늘")</f>
        <v>다진 마늘</v>
      </c>
    </row>
    <row r="121">
      <c r="A121" s="2" t="str">
        <f>IFERROR(__xludf.DUMMYFUNCTION("""COMPUTED_VALUE"""),"나 또 브리또")</f>
        <v>나 또 브리또</v>
      </c>
      <c r="B121" s="2" t="str">
        <f>IFERROR(__xludf.DUMMYFUNCTION("""COMPUTED_VALUE"""),"후추")</f>
        <v>후추</v>
      </c>
    </row>
    <row r="122">
      <c r="A122" s="2" t="str">
        <f>IFERROR(__xludf.DUMMYFUNCTION("""COMPUTED_VALUE"""),"나 또 브리또")</f>
        <v>나 또 브리또</v>
      </c>
      <c r="B122" s="2" t="str">
        <f>IFERROR(__xludf.DUMMYFUNCTION("""COMPUTED_VALUE"""),"대파")</f>
        <v>대파</v>
      </c>
    </row>
    <row r="123">
      <c r="A123" s="2" t="str">
        <f>IFERROR(__xludf.DUMMYFUNCTION("""COMPUTED_VALUE"""),"나 또 브리또")</f>
        <v>나 또 브리또</v>
      </c>
      <c r="B123" s="2" t="str">
        <f>IFERROR(__xludf.DUMMYFUNCTION("""COMPUTED_VALUE"""),"타이 칠리소스")</f>
        <v>타이 칠리소스</v>
      </c>
    </row>
    <row r="124">
      <c r="A124" s="2" t="str">
        <f>IFERROR(__xludf.DUMMYFUNCTION("""COMPUTED_VALUE"""),"나 또 브리또")</f>
        <v>나 또 브리또</v>
      </c>
      <c r="B124" s="2" t="str">
        <f>IFERROR(__xludf.DUMMYFUNCTION("""COMPUTED_VALUE"""),"낫토")</f>
        <v>낫토</v>
      </c>
    </row>
    <row r="125">
      <c r="A125" s="2" t="str">
        <f>IFERROR(__xludf.DUMMYFUNCTION("""COMPUTED_VALUE"""),"나 또 브리또")</f>
        <v>나 또 브리또</v>
      </c>
      <c r="B125" s="2" t="str">
        <f>IFERROR(__xludf.DUMMYFUNCTION("""COMPUTED_VALUE"""),"버터")</f>
        <v>버터</v>
      </c>
    </row>
    <row r="126">
      <c r="A126" s="2" t="str">
        <f>IFERROR(__xludf.DUMMYFUNCTION("""COMPUTED_VALUE"""),"나 또 브리또")</f>
        <v>나 또 브리또</v>
      </c>
      <c r="B126" s="2" t="str">
        <f>IFERROR(__xludf.DUMMYFUNCTION("""COMPUTED_VALUE"""),"플레인 요거트")</f>
        <v>플레인 요거트</v>
      </c>
    </row>
    <row r="127">
      <c r="A127" s="2" t="str">
        <f>IFERROR(__xludf.DUMMYFUNCTION("""COMPUTED_VALUE"""),"나 또 브리또")</f>
        <v>나 또 브리또</v>
      </c>
      <c r="B127" s="2" t="str">
        <f>IFERROR(__xludf.DUMMYFUNCTION("""COMPUTED_VALUE"""),"레몬즙")</f>
        <v>레몬즙</v>
      </c>
    </row>
    <row r="128">
      <c r="A128" s="2" t="str">
        <f>IFERROR(__xludf.DUMMYFUNCTION("""COMPUTED_VALUE"""),"갸루상 케이크")</f>
        <v>갸루상 케이크</v>
      </c>
      <c r="B128" s="2" t="str">
        <f>IFERROR(__xludf.DUMMYFUNCTION("""COMPUTED_VALUE"""),"또띠아")</f>
        <v>또띠아</v>
      </c>
    </row>
    <row r="129">
      <c r="A129" s="2" t="str">
        <f>IFERROR(__xludf.DUMMYFUNCTION("""COMPUTED_VALUE"""),"갸루상 케이크")</f>
        <v>갸루상 케이크</v>
      </c>
      <c r="B129" s="2" t="str">
        <f>IFERROR(__xludf.DUMMYFUNCTION("""COMPUTED_VALUE"""),"달걀")</f>
        <v>달걀</v>
      </c>
    </row>
    <row r="130">
      <c r="A130" s="2" t="str">
        <f>IFERROR(__xludf.DUMMYFUNCTION("""COMPUTED_VALUE"""),"갸루상 케이크")</f>
        <v>갸루상 케이크</v>
      </c>
      <c r="B130" s="2" t="str">
        <f>IFERROR(__xludf.DUMMYFUNCTION("""COMPUTED_VALUE"""),"설탕")</f>
        <v>설탕</v>
      </c>
    </row>
    <row r="131">
      <c r="A131" s="2" t="str">
        <f>IFERROR(__xludf.DUMMYFUNCTION("""COMPUTED_VALUE"""),"갸루상 케이크")</f>
        <v>갸루상 케이크</v>
      </c>
      <c r="B131" s="2" t="str">
        <f>IFERROR(__xludf.DUMMYFUNCTION("""COMPUTED_VALUE"""),"우유")</f>
        <v>우유</v>
      </c>
    </row>
    <row r="132">
      <c r="A132" s="2" t="str">
        <f>IFERROR(__xludf.DUMMYFUNCTION("""COMPUTED_VALUE"""),"갸루상 케이크")</f>
        <v>갸루상 케이크</v>
      </c>
      <c r="B132" s="2" t="str">
        <f>IFERROR(__xludf.DUMMYFUNCTION("""COMPUTED_VALUE"""),"바닐라 아이스크림")</f>
        <v>바닐라 아이스크림</v>
      </c>
    </row>
    <row r="133">
      <c r="A133" s="2" t="str">
        <f>IFERROR(__xludf.DUMMYFUNCTION("""COMPUTED_VALUE"""),"갸루상 케이크")</f>
        <v>갸루상 케이크</v>
      </c>
      <c r="B133" s="2" t="str">
        <f>IFERROR(__xludf.DUMMYFUNCTION("""COMPUTED_VALUE"""),"밀가루")</f>
        <v>밀가루</v>
      </c>
    </row>
    <row r="134">
      <c r="A134" s="2" t="str">
        <f>IFERROR(__xludf.DUMMYFUNCTION("""COMPUTED_VALUE"""),"갸루상 케이크")</f>
        <v>갸루상 케이크</v>
      </c>
      <c r="B134" s="2" t="str">
        <f>IFERROR(__xludf.DUMMYFUNCTION("""COMPUTED_VALUE"""),"딸기")</f>
        <v>딸기</v>
      </c>
    </row>
    <row r="135">
      <c r="A135" s="2" t="str">
        <f>IFERROR(__xludf.DUMMYFUNCTION("""COMPUTED_VALUE"""),"PLETKA")</f>
        <v>PLETKA</v>
      </c>
      <c r="B135" s="2" t="str">
        <f>IFERROR(__xludf.DUMMYFUNCTION("""COMPUTED_VALUE"""),"돼지고기 안심")</f>
        <v>돼지고기 안심</v>
      </c>
    </row>
    <row r="136">
      <c r="A136" s="2" t="str">
        <f>IFERROR(__xludf.DUMMYFUNCTION("""COMPUTED_VALUE"""),"PLETKA")</f>
        <v>PLETKA</v>
      </c>
      <c r="B136" s="2" t="str">
        <f>IFERROR(__xludf.DUMMYFUNCTION("""COMPUTED_VALUE"""),"베이컨")</f>
        <v>베이컨</v>
      </c>
    </row>
    <row r="137">
      <c r="A137" s="2" t="str">
        <f>IFERROR(__xludf.DUMMYFUNCTION("""COMPUTED_VALUE"""),"PLETKA")</f>
        <v>PLETKA</v>
      </c>
      <c r="B137" s="2" t="str">
        <f>IFERROR(__xludf.DUMMYFUNCTION("""COMPUTED_VALUE"""),"김치")</f>
        <v>김치</v>
      </c>
    </row>
    <row r="138">
      <c r="A138" s="2" t="str">
        <f>IFERROR(__xludf.DUMMYFUNCTION("""COMPUTED_VALUE"""),"PLETKA")</f>
        <v>PLETKA</v>
      </c>
      <c r="B138" s="2" t="str">
        <f>IFERROR(__xludf.DUMMYFUNCTION("""COMPUTED_VALUE"""),"밥")</f>
        <v>밥</v>
      </c>
    </row>
    <row r="139">
      <c r="A139" s="2" t="str">
        <f>IFERROR(__xludf.DUMMYFUNCTION("""COMPUTED_VALUE"""),"PLETKA")</f>
        <v>PLETKA</v>
      </c>
      <c r="B139" s="2" t="str">
        <f>IFERROR(__xludf.DUMMYFUNCTION("""COMPUTED_VALUE"""),"당근")</f>
        <v>당근</v>
      </c>
    </row>
    <row r="140">
      <c r="A140" s="2" t="str">
        <f>IFERROR(__xludf.DUMMYFUNCTION("""COMPUTED_VALUE"""),"PLETKA")</f>
        <v>PLETKA</v>
      </c>
      <c r="B140" s="2" t="str">
        <f>IFERROR(__xludf.DUMMYFUNCTION("""COMPUTED_VALUE"""),"양파")</f>
        <v>양파</v>
      </c>
    </row>
    <row r="141">
      <c r="A141" s="2" t="str">
        <f>IFERROR(__xludf.DUMMYFUNCTION("""COMPUTED_VALUE"""),"PLETKA")</f>
        <v>PLETKA</v>
      </c>
      <c r="B141" s="2" t="str">
        <f>IFERROR(__xludf.DUMMYFUNCTION("""COMPUTED_VALUE"""),"소주")</f>
        <v>소주</v>
      </c>
    </row>
    <row r="142">
      <c r="A142" s="2" t="str">
        <f>IFERROR(__xludf.DUMMYFUNCTION("""COMPUTED_VALUE"""),"PLETKA")</f>
        <v>PLETKA</v>
      </c>
      <c r="B142" s="2" t="str">
        <f>IFERROR(__xludf.DUMMYFUNCTION("""COMPUTED_VALUE"""),"부추")</f>
        <v>부추</v>
      </c>
    </row>
    <row r="143">
      <c r="A143" s="2" t="str">
        <f>IFERROR(__xludf.DUMMYFUNCTION("""COMPUTED_VALUE"""),"다 줄게라면")</f>
        <v>다 줄게라면</v>
      </c>
      <c r="B143" s="2" t="str">
        <f>IFERROR(__xludf.DUMMYFUNCTION("""COMPUTED_VALUE"""),"삼겹살")</f>
        <v>삼겹살</v>
      </c>
    </row>
    <row r="144">
      <c r="A144" s="2" t="str">
        <f>IFERROR(__xludf.DUMMYFUNCTION("""COMPUTED_VALUE"""),"다 줄게라면")</f>
        <v>다 줄게라면</v>
      </c>
      <c r="B144" s="2" t="str">
        <f>IFERROR(__xludf.DUMMYFUNCTION("""COMPUTED_VALUE"""),"복분자주")</f>
        <v>복분자주</v>
      </c>
    </row>
    <row r="145">
      <c r="A145" s="2" t="str">
        <f>IFERROR(__xludf.DUMMYFUNCTION("""COMPUTED_VALUE"""),"다 줄게라면")</f>
        <v>다 줄게라면</v>
      </c>
      <c r="B145" s="2" t="str">
        <f>IFERROR(__xludf.DUMMYFUNCTION("""COMPUTED_VALUE"""),"김치")</f>
        <v>김치</v>
      </c>
    </row>
    <row r="146">
      <c r="A146" s="2" t="str">
        <f>IFERROR(__xludf.DUMMYFUNCTION("""COMPUTED_VALUE"""),"다 줄게라면")</f>
        <v>다 줄게라면</v>
      </c>
      <c r="B146" s="2" t="str">
        <f>IFERROR(__xludf.DUMMYFUNCTION("""COMPUTED_VALUE"""),"어묵 통조림")</f>
        <v>어묵 통조림</v>
      </c>
    </row>
    <row r="147">
      <c r="A147" s="2" t="str">
        <f>IFERROR(__xludf.DUMMYFUNCTION("""COMPUTED_VALUE"""),"다 줄게라면")</f>
        <v>다 줄게라면</v>
      </c>
      <c r="B147" s="2" t="str">
        <f>IFERROR(__xludf.DUMMYFUNCTION("""COMPUTED_VALUE"""),"알배추")</f>
        <v>알배추</v>
      </c>
    </row>
    <row r="148">
      <c r="A148" s="2" t="str">
        <f>IFERROR(__xludf.DUMMYFUNCTION("""COMPUTED_VALUE"""),"다 줄게라면")</f>
        <v>다 줄게라면</v>
      </c>
      <c r="B148" s="2" t="str">
        <f>IFERROR(__xludf.DUMMYFUNCTION("""COMPUTED_VALUE"""),"라면")</f>
        <v>라면</v>
      </c>
    </row>
    <row r="149">
      <c r="A149" s="2" t="str">
        <f>IFERROR(__xludf.DUMMYFUNCTION("""COMPUTED_VALUE"""),"다 줄게라면")</f>
        <v>다 줄게라면</v>
      </c>
      <c r="B149" s="2" t="str">
        <f>IFERROR(__xludf.DUMMYFUNCTION("""COMPUTED_VALUE"""),"매운 미소소스")</f>
        <v>매운 미소소스</v>
      </c>
    </row>
    <row r="150">
      <c r="A150" s="2" t="str">
        <f>IFERROR(__xludf.DUMMYFUNCTION("""COMPUTED_VALUE"""),"우리집에 오.새.요")</f>
        <v>우리집에 오.새.요</v>
      </c>
      <c r="B150" s="2" t="str">
        <f>IFERROR(__xludf.DUMMYFUNCTION("""COMPUTED_VALUE"""),"청주")</f>
        <v>청주</v>
      </c>
    </row>
    <row r="151">
      <c r="A151" s="2" t="str">
        <f>IFERROR(__xludf.DUMMYFUNCTION("""COMPUTED_VALUE"""),"우리집에 오.새.요")</f>
        <v>우리집에 오.새.요</v>
      </c>
      <c r="B151" s="2" t="str">
        <f>IFERROR(__xludf.DUMMYFUNCTION("""COMPUTED_VALUE"""),"미림")</f>
        <v>미림</v>
      </c>
    </row>
    <row r="152">
      <c r="A152" s="2" t="str">
        <f>IFERROR(__xludf.DUMMYFUNCTION("""COMPUTED_VALUE"""),"우리집에 오.새.요")</f>
        <v>우리집에 오.새.요</v>
      </c>
      <c r="B152" s="2" t="str">
        <f>IFERROR(__xludf.DUMMYFUNCTION("""COMPUTED_VALUE"""),"양조간장")</f>
        <v>양조간장</v>
      </c>
    </row>
    <row r="153">
      <c r="A153" s="2" t="str">
        <f>IFERROR(__xludf.DUMMYFUNCTION("""COMPUTED_VALUE"""),"우리집에 오.새.요")</f>
        <v>우리집에 오.새.요</v>
      </c>
      <c r="B153" s="2" t="str">
        <f>IFERROR(__xludf.DUMMYFUNCTION("""COMPUTED_VALUE"""),"국수장국")</f>
        <v>국수장국</v>
      </c>
    </row>
    <row r="154">
      <c r="A154" s="2" t="str">
        <f>IFERROR(__xludf.DUMMYFUNCTION("""COMPUTED_VALUE"""),"우리집에 오.새.요")</f>
        <v>우리집에 오.새.요</v>
      </c>
      <c r="B154" s="2" t="str">
        <f>IFERROR(__xludf.DUMMYFUNCTION("""COMPUTED_VALUE"""),"오징어")</f>
        <v>오징어</v>
      </c>
    </row>
    <row r="155">
      <c r="A155" s="2" t="str">
        <f>IFERROR(__xludf.DUMMYFUNCTION("""COMPUTED_VALUE"""),"우리집에 오.새.요")</f>
        <v>우리집에 오.새.요</v>
      </c>
      <c r="B155" s="2" t="str">
        <f>IFERROR(__xludf.DUMMYFUNCTION("""COMPUTED_VALUE"""),"칵테일 새우")</f>
        <v>칵테일 새우</v>
      </c>
    </row>
    <row r="156">
      <c r="A156" s="2" t="str">
        <f>IFERROR(__xludf.DUMMYFUNCTION("""COMPUTED_VALUE"""),"우리집에 오.새.요")</f>
        <v>우리집에 오.새.요</v>
      </c>
      <c r="B156" s="2" t="str">
        <f>IFERROR(__xludf.DUMMYFUNCTION("""COMPUTED_VALUE"""),"다진 마늘")</f>
        <v>다진 마늘</v>
      </c>
    </row>
    <row r="157">
      <c r="A157" s="2" t="str">
        <f>IFERROR(__xludf.DUMMYFUNCTION("""COMPUTED_VALUE"""),"우리집에 오.새.요")</f>
        <v>우리집에 오.새.요</v>
      </c>
      <c r="B157" s="2" t="str">
        <f>IFERROR(__xludf.DUMMYFUNCTION("""COMPUTED_VALUE"""),"당근")</f>
        <v>당근</v>
      </c>
    </row>
    <row r="158">
      <c r="A158" s="2" t="str">
        <f>IFERROR(__xludf.DUMMYFUNCTION("""COMPUTED_VALUE"""),"우리집에 오.새.요")</f>
        <v>우리집에 오.새.요</v>
      </c>
      <c r="B158" s="2" t="str">
        <f>IFERROR(__xludf.DUMMYFUNCTION("""COMPUTED_VALUE"""),"양파")</f>
        <v>양파</v>
      </c>
    </row>
    <row r="159">
      <c r="A159" s="2" t="str">
        <f>IFERROR(__xludf.DUMMYFUNCTION("""COMPUTED_VALUE"""),"우리집에 오.새.요")</f>
        <v>우리집에 오.새.요</v>
      </c>
      <c r="B159" s="2" t="str">
        <f>IFERROR(__xludf.DUMMYFUNCTION("""COMPUTED_VALUE"""),"박력분")</f>
        <v>박력분</v>
      </c>
    </row>
    <row r="160">
      <c r="A160" s="2" t="str">
        <f>IFERROR(__xludf.DUMMYFUNCTION("""COMPUTED_VALUE"""),"우리집에 오.새.요")</f>
        <v>우리집에 오.새.요</v>
      </c>
      <c r="B160" s="2" t="str">
        <f>IFERROR(__xludf.DUMMYFUNCTION("""COMPUTED_VALUE"""),"전분")</f>
        <v>전분</v>
      </c>
    </row>
    <row r="161">
      <c r="A161" s="2" t="str">
        <f>IFERROR(__xludf.DUMMYFUNCTION("""COMPUTED_VALUE"""),"우리집에 오.새.요")</f>
        <v>우리집에 오.새.요</v>
      </c>
      <c r="B161" s="2" t="str">
        <f>IFERROR(__xludf.DUMMYFUNCTION("""COMPUTED_VALUE"""),"얼음")</f>
        <v>얼음</v>
      </c>
    </row>
    <row r="162">
      <c r="A162" s="2" t="str">
        <f>IFERROR(__xludf.DUMMYFUNCTION("""COMPUTED_VALUE"""),"우리집에 오.새.요")</f>
        <v>우리집에 오.새.요</v>
      </c>
      <c r="B162" s="2" t="str">
        <f>IFERROR(__xludf.DUMMYFUNCTION("""COMPUTED_VALUE"""),"대파")</f>
        <v>대파</v>
      </c>
    </row>
    <row r="163">
      <c r="A163" s="2" t="str">
        <f>IFERROR(__xludf.DUMMYFUNCTION("""COMPUTED_VALUE"""),"우리집에 오.새.요")</f>
        <v>우리집에 오.새.요</v>
      </c>
      <c r="B163" s="2" t="str">
        <f>IFERROR(__xludf.DUMMYFUNCTION("""COMPUTED_VALUE"""),"무")</f>
        <v>무</v>
      </c>
    </row>
    <row r="164">
      <c r="A164" s="2" t="str">
        <f>IFERROR(__xludf.DUMMYFUNCTION("""COMPUTED_VALUE"""),"Mr.콩chu~♥")</f>
        <v>Mr.콩chu~♥</v>
      </c>
      <c r="B164" s="2" t="str">
        <f>IFERROR(__xludf.DUMMYFUNCTION("""COMPUTED_VALUE"""),"버터")</f>
        <v>버터</v>
      </c>
    </row>
    <row r="165">
      <c r="A165" s="2" t="str">
        <f>IFERROR(__xludf.DUMMYFUNCTION("""COMPUTED_VALUE"""),"Mr.콩chu~♥")</f>
        <v>Mr.콩chu~♥</v>
      </c>
      <c r="B165" s="2" t="str">
        <f>IFERROR(__xludf.DUMMYFUNCTION("""COMPUTED_VALUE"""),"밀가루")</f>
        <v>밀가루</v>
      </c>
    </row>
    <row r="166">
      <c r="A166" s="2" t="str">
        <f>IFERROR(__xludf.DUMMYFUNCTION("""COMPUTED_VALUE"""),"Mr.콩chu~♥")</f>
        <v>Mr.콩chu~♥</v>
      </c>
      <c r="B166" s="2" t="str">
        <f>IFERROR(__xludf.DUMMYFUNCTION("""COMPUTED_VALUE"""),"두유")</f>
        <v>두유</v>
      </c>
    </row>
    <row r="167">
      <c r="A167" s="2" t="str">
        <f>IFERROR(__xludf.DUMMYFUNCTION("""COMPUTED_VALUE"""),"Mr.콩chu~♥")</f>
        <v>Mr.콩chu~♥</v>
      </c>
      <c r="B167" s="2" t="str">
        <f>IFERROR(__xludf.DUMMYFUNCTION("""COMPUTED_VALUE"""),"두부")</f>
        <v>두부</v>
      </c>
    </row>
    <row r="168">
      <c r="A168" s="2" t="str">
        <f>IFERROR(__xludf.DUMMYFUNCTION("""COMPUTED_VALUE"""),"Mr.콩chu~♥")</f>
        <v>Mr.콩chu~♥</v>
      </c>
      <c r="B168" s="2" t="str">
        <f>IFERROR(__xludf.DUMMYFUNCTION("""COMPUTED_VALUE"""),"전분")</f>
        <v>전분</v>
      </c>
    </row>
    <row r="169">
      <c r="A169" s="2" t="str">
        <f>IFERROR(__xludf.DUMMYFUNCTION("""COMPUTED_VALUE"""),"Mr.콩chu~♥")</f>
        <v>Mr.콩chu~♥</v>
      </c>
      <c r="B169" s="2" t="str">
        <f>IFERROR(__xludf.DUMMYFUNCTION("""COMPUTED_VALUE"""),"계피맛 쿠키")</f>
        <v>계피맛 쿠키</v>
      </c>
    </row>
    <row r="170">
      <c r="A170" s="2" t="str">
        <f>IFERROR(__xludf.DUMMYFUNCTION("""COMPUTED_VALUE"""),"Mr.콩chu~♥")</f>
        <v>Mr.콩chu~♥</v>
      </c>
      <c r="B170" s="2" t="str">
        <f>IFERROR(__xludf.DUMMYFUNCTION("""COMPUTED_VALUE"""),"설탕")</f>
        <v>설탕</v>
      </c>
    </row>
    <row r="171">
      <c r="A171" s="2" t="str">
        <f>IFERROR(__xludf.DUMMYFUNCTION("""COMPUTED_VALUE"""),"Mr.콩chu~♥")</f>
        <v>Mr.콩chu~♥</v>
      </c>
      <c r="B171" s="2" t="str">
        <f>IFERROR(__xludf.DUMMYFUNCTION("""COMPUTED_VALUE"""),"초콜릿")</f>
        <v>초콜릿</v>
      </c>
    </row>
    <row r="172">
      <c r="A172" s="2" t="str">
        <f>IFERROR(__xludf.DUMMYFUNCTION("""COMPUTED_VALUE"""),"For덕")</f>
        <v>For덕</v>
      </c>
      <c r="B172" s="2" t="str">
        <f>IFERROR(__xludf.DUMMYFUNCTION("""COMPUTED_VALUE"""),"가지")</f>
        <v>가지</v>
      </c>
    </row>
    <row r="173">
      <c r="A173" s="2" t="str">
        <f>IFERROR(__xludf.DUMMYFUNCTION("""COMPUTED_VALUE"""),"For덕")</f>
        <v>For덕</v>
      </c>
      <c r="B173" s="2" t="str">
        <f>IFERROR(__xludf.DUMMYFUNCTION("""COMPUTED_VALUE"""),"계란흰자 통조림")</f>
        <v>계란흰자 통조림</v>
      </c>
    </row>
    <row r="174">
      <c r="A174" s="2" t="str">
        <f>IFERROR(__xludf.DUMMYFUNCTION("""COMPUTED_VALUE"""),"For덕")</f>
        <v>For덕</v>
      </c>
      <c r="B174" s="2" t="str">
        <f>IFERROR(__xludf.DUMMYFUNCTION("""COMPUTED_VALUE"""),"토마토")</f>
        <v>토마토</v>
      </c>
    </row>
    <row r="175">
      <c r="A175" s="2" t="str">
        <f>IFERROR(__xludf.DUMMYFUNCTION("""COMPUTED_VALUE"""),"For덕")</f>
        <v>For덕</v>
      </c>
      <c r="B175" s="2" t="str">
        <f>IFERROR(__xludf.DUMMYFUNCTION("""COMPUTED_VALUE"""),"파프리카")</f>
        <v>파프리카</v>
      </c>
    </row>
    <row r="176">
      <c r="A176" s="2" t="str">
        <f>IFERROR(__xludf.DUMMYFUNCTION("""COMPUTED_VALUE"""),"For덕")</f>
        <v>For덕</v>
      </c>
      <c r="B176" s="2" t="str">
        <f>IFERROR(__xludf.DUMMYFUNCTION("""COMPUTED_VALUE"""),"고추장아찌")</f>
        <v>고추장아찌</v>
      </c>
    </row>
    <row r="177">
      <c r="A177" s="2" t="str">
        <f>IFERROR(__xludf.DUMMYFUNCTION("""COMPUTED_VALUE"""),"For덕")</f>
        <v>For덕</v>
      </c>
      <c r="B177" s="2" t="str">
        <f>IFERROR(__xludf.DUMMYFUNCTION("""COMPUTED_VALUE"""),"토마토 소스")</f>
        <v>토마토 소스</v>
      </c>
    </row>
    <row r="178">
      <c r="A178" s="2" t="str">
        <f>IFERROR(__xludf.DUMMYFUNCTION("""COMPUTED_VALUE"""),"For덕")</f>
        <v>For덕</v>
      </c>
      <c r="B178" s="2" t="str">
        <f>IFERROR(__xludf.DUMMYFUNCTION("""COMPUTED_VALUE"""),"올리브유")</f>
        <v>올리브유</v>
      </c>
    </row>
    <row r="179">
      <c r="A179" s="2" t="str">
        <f>IFERROR(__xludf.DUMMYFUNCTION("""COMPUTED_VALUE"""),"For덕")</f>
        <v>For덕</v>
      </c>
      <c r="B179" s="2" t="str">
        <f>IFERROR(__xludf.DUMMYFUNCTION("""COMPUTED_VALUE"""),"소금")</f>
        <v>소금</v>
      </c>
    </row>
    <row r="180">
      <c r="A180" s="2" t="str">
        <f>IFERROR(__xludf.DUMMYFUNCTION("""COMPUTED_VALUE"""),"For덕")</f>
        <v>For덕</v>
      </c>
      <c r="B180" s="2" t="str">
        <f>IFERROR(__xludf.DUMMYFUNCTION("""COMPUTED_VALUE"""),"후추")</f>
        <v>후추</v>
      </c>
    </row>
    <row r="181">
      <c r="A181" s="2" t="str">
        <f>IFERROR(__xludf.DUMMYFUNCTION("""COMPUTED_VALUE"""),"프로틴 스틱")</f>
        <v>프로틴 스틱</v>
      </c>
      <c r="B181" s="2" t="str">
        <f>IFERROR(__xludf.DUMMYFUNCTION("""COMPUTED_VALUE"""),"계란흰자 통조림")</f>
        <v>계란흰자 통조림</v>
      </c>
    </row>
    <row r="182">
      <c r="A182" s="2" t="str">
        <f>IFERROR(__xludf.DUMMYFUNCTION("""COMPUTED_VALUE"""),"프로틴 스틱")</f>
        <v>프로틴 스틱</v>
      </c>
      <c r="B182" s="2" t="str">
        <f>IFERROR(__xludf.DUMMYFUNCTION("""COMPUTED_VALUE"""),"닭가슴살")</f>
        <v>닭가슴살</v>
      </c>
    </row>
    <row r="183">
      <c r="A183" s="2" t="str">
        <f>IFERROR(__xludf.DUMMYFUNCTION("""COMPUTED_VALUE"""),"프로틴 스틱")</f>
        <v>프로틴 스틱</v>
      </c>
      <c r="B183" s="2" t="str">
        <f>IFERROR(__xludf.DUMMYFUNCTION("""COMPUTED_VALUE"""),"파프리카")</f>
        <v>파프리카</v>
      </c>
    </row>
    <row r="184">
      <c r="A184" s="2" t="str">
        <f>IFERROR(__xludf.DUMMYFUNCTION("""COMPUTED_VALUE"""),"프로틴 스틱")</f>
        <v>프로틴 스틱</v>
      </c>
      <c r="B184" s="2" t="str">
        <f>IFERROR(__xludf.DUMMYFUNCTION("""COMPUTED_VALUE"""),"양파")</f>
        <v>양파</v>
      </c>
    </row>
    <row r="185">
      <c r="A185" s="2" t="str">
        <f>IFERROR(__xludf.DUMMYFUNCTION("""COMPUTED_VALUE"""),"프로틴 스틱")</f>
        <v>프로틴 스틱</v>
      </c>
      <c r="B185" s="2" t="str">
        <f>IFERROR(__xludf.DUMMYFUNCTION("""COMPUTED_VALUE"""),"당근")</f>
        <v>당근</v>
      </c>
    </row>
    <row r="186">
      <c r="A186" s="2" t="str">
        <f>IFERROR(__xludf.DUMMYFUNCTION("""COMPUTED_VALUE"""),"프로틴 스틱")</f>
        <v>프로틴 스틱</v>
      </c>
      <c r="B186" s="2" t="str">
        <f>IFERROR(__xludf.DUMMYFUNCTION("""COMPUTED_VALUE"""),"사과")</f>
        <v>사과</v>
      </c>
    </row>
    <row r="187">
      <c r="A187" s="2" t="str">
        <f>IFERROR(__xludf.DUMMYFUNCTION("""COMPUTED_VALUE"""),"프로틴 스틱")</f>
        <v>프로틴 스틱</v>
      </c>
      <c r="B187" s="2" t="str">
        <f>IFERROR(__xludf.DUMMYFUNCTION("""COMPUTED_VALUE"""),"견과류")</f>
        <v>견과류</v>
      </c>
    </row>
    <row r="188">
      <c r="A188" s="2" t="str">
        <f>IFERROR(__xludf.DUMMYFUNCTION("""COMPUTED_VALUE"""),"프로틴 스틱")</f>
        <v>프로틴 스틱</v>
      </c>
      <c r="B188" s="2" t="str">
        <f>IFERROR(__xludf.DUMMYFUNCTION("""COMPUTED_VALUE"""),"대파")</f>
        <v>대파</v>
      </c>
    </row>
    <row r="189">
      <c r="A189" s="2" t="str">
        <f>IFERROR(__xludf.DUMMYFUNCTION("""COMPUTED_VALUE"""),"프로틴 스틱")</f>
        <v>프로틴 스틱</v>
      </c>
      <c r="B189" s="2" t="str">
        <f>IFERROR(__xludf.DUMMYFUNCTION("""COMPUTED_VALUE"""),"식초")</f>
        <v>식초</v>
      </c>
    </row>
    <row r="190">
      <c r="A190" s="2" t="str">
        <f>IFERROR(__xludf.DUMMYFUNCTION("""COMPUTED_VALUE"""),"프로틴 스틱")</f>
        <v>프로틴 스틱</v>
      </c>
      <c r="B190" s="2" t="str">
        <f>IFERROR(__xludf.DUMMYFUNCTION("""COMPUTED_VALUE"""),"올리브유")</f>
        <v>올리브유</v>
      </c>
    </row>
    <row r="191">
      <c r="A191" s="2" t="str">
        <f>IFERROR(__xludf.DUMMYFUNCTION("""COMPUTED_VALUE"""),"불닭 소시지")</f>
        <v>불닭 소시지</v>
      </c>
      <c r="B191" s="2" t="str">
        <f>IFERROR(__xludf.DUMMYFUNCTION("""COMPUTED_VALUE"""),"소시지")</f>
        <v>소시지</v>
      </c>
    </row>
    <row r="192">
      <c r="A192" s="2" t="str">
        <f>IFERROR(__xludf.DUMMYFUNCTION("""COMPUTED_VALUE"""),"불닭 소시지")</f>
        <v>불닭 소시지</v>
      </c>
      <c r="B192" s="2" t="str">
        <f>IFERROR(__xludf.DUMMYFUNCTION("""COMPUTED_VALUE"""),"매운라면 소스")</f>
        <v>매운라면 소스</v>
      </c>
    </row>
    <row r="193">
      <c r="A193" s="2" t="str">
        <f>IFERROR(__xludf.DUMMYFUNCTION("""COMPUTED_VALUE"""),"불닭 소시지")</f>
        <v>불닭 소시지</v>
      </c>
      <c r="B193" s="2" t="str">
        <f>IFERROR(__xludf.DUMMYFUNCTION("""COMPUTED_VALUE"""),"당면라면")</f>
        <v>당면라면</v>
      </c>
    </row>
    <row r="194">
      <c r="A194" s="2" t="str">
        <f>IFERROR(__xludf.DUMMYFUNCTION("""COMPUTED_VALUE"""),"불닭 소시지")</f>
        <v>불닭 소시지</v>
      </c>
      <c r="B194" s="2" t="str">
        <f>IFERROR(__xludf.DUMMYFUNCTION("""COMPUTED_VALUE"""),"청양고추")</f>
        <v>청양고추</v>
      </c>
    </row>
    <row r="195">
      <c r="A195" s="2" t="str">
        <f>IFERROR(__xludf.DUMMYFUNCTION("""COMPUTED_VALUE"""),"불닭 소시지")</f>
        <v>불닭 소시지</v>
      </c>
      <c r="B195" s="2" t="str">
        <f>IFERROR(__xludf.DUMMYFUNCTION("""COMPUTED_VALUE"""),"상추")</f>
        <v>상추</v>
      </c>
    </row>
    <row r="196">
      <c r="A196" s="2" t="str">
        <f>IFERROR(__xludf.DUMMYFUNCTION("""COMPUTED_VALUE"""),"매우면 참치 &amp; 쏘루아밀크")</f>
        <v>매우면 참치 &amp; 쏘루아밀크</v>
      </c>
      <c r="B196" s="2" t="str">
        <f>IFERROR(__xludf.DUMMYFUNCTION("""COMPUTED_VALUE"""),"참치")</f>
        <v>참치</v>
      </c>
    </row>
    <row r="197">
      <c r="A197" s="2" t="str">
        <f>IFERROR(__xludf.DUMMYFUNCTION("""COMPUTED_VALUE"""),"매우면 참치 &amp; 쏘루아밀크")</f>
        <v>매우면 참치 &amp; 쏘루아밀크</v>
      </c>
      <c r="B197" s="2" t="str">
        <f>IFERROR(__xludf.DUMMYFUNCTION("""COMPUTED_VALUE"""),"식빵")</f>
        <v>식빵</v>
      </c>
    </row>
    <row r="198">
      <c r="A198" s="2" t="str">
        <f>IFERROR(__xludf.DUMMYFUNCTION("""COMPUTED_VALUE"""),"매우면 참치 &amp; 쏘루아밀크")</f>
        <v>매우면 참치 &amp; 쏘루아밀크</v>
      </c>
      <c r="B198" s="2" t="str">
        <f>IFERROR(__xludf.DUMMYFUNCTION("""COMPUTED_VALUE"""),"토마토")</f>
        <v>토마토</v>
      </c>
    </row>
    <row r="199">
      <c r="A199" s="2" t="str">
        <f>IFERROR(__xludf.DUMMYFUNCTION("""COMPUTED_VALUE"""),"매우면 참치 &amp; 쏘루아밀크")</f>
        <v>매우면 참치 &amp; 쏘루아밀크</v>
      </c>
      <c r="B199" s="2" t="str">
        <f>IFERROR(__xludf.DUMMYFUNCTION("""COMPUTED_VALUE"""),"버터")</f>
        <v>버터</v>
      </c>
    </row>
    <row r="200">
      <c r="A200" s="2" t="str">
        <f>IFERROR(__xludf.DUMMYFUNCTION("""COMPUTED_VALUE"""),"매우면 참치 &amp; 쏘루아밀크")</f>
        <v>매우면 참치 &amp; 쏘루아밀크</v>
      </c>
      <c r="B200" s="2" t="str">
        <f>IFERROR(__xludf.DUMMYFUNCTION("""COMPUTED_VALUE"""),"고춧가루")</f>
        <v>고춧가루</v>
      </c>
    </row>
    <row r="201">
      <c r="A201" s="2" t="str">
        <f>IFERROR(__xludf.DUMMYFUNCTION("""COMPUTED_VALUE"""),"매우면 참치 &amp; 쏘루아밀크")</f>
        <v>매우면 참치 &amp; 쏘루아밀크</v>
      </c>
      <c r="B201" s="2" t="str">
        <f>IFERROR(__xludf.DUMMYFUNCTION("""COMPUTED_VALUE"""),"소금")</f>
        <v>소금</v>
      </c>
    </row>
    <row r="202">
      <c r="A202" s="2" t="str">
        <f>IFERROR(__xludf.DUMMYFUNCTION("""COMPUTED_VALUE"""),"매우면 참치 &amp; 쏘루아밀크")</f>
        <v>매우면 참치 &amp; 쏘루아밀크</v>
      </c>
      <c r="B202" s="2" t="str">
        <f>IFERROR(__xludf.DUMMYFUNCTION("""COMPUTED_VALUE"""),"소주")</f>
        <v>소주</v>
      </c>
    </row>
    <row r="203">
      <c r="A203" s="2" t="str">
        <f>IFERROR(__xludf.DUMMYFUNCTION("""COMPUTED_VALUE"""),"매우면 참치 &amp; 쏘루아밀크")</f>
        <v>매우면 참치 &amp; 쏘루아밀크</v>
      </c>
      <c r="B203" s="2" t="str">
        <f>IFERROR(__xludf.DUMMYFUNCTION("""COMPUTED_VALUE"""),"인스턴트 커피")</f>
        <v>인스턴트 커피</v>
      </c>
    </row>
    <row r="204">
      <c r="A204" s="2" t="str">
        <f>IFERROR(__xludf.DUMMYFUNCTION("""COMPUTED_VALUE"""),"매우면 참치 &amp; 쏘루아밀크")</f>
        <v>매우면 참치 &amp; 쏘루아밀크</v>
      </c>
      <c r="B204" s="2" t="str">
        <f>IFERROR(__xludf.DUMMYFUNCTION("""COMPUTED_VALUE"""),"흰우유")</f>
        <v>흰우유</v>
      </c>
    </row>
    <row r="205">
      <c r="A205" s="2" t="str">
        <f>IFERROR(__xludf.DUMMYFUNCTION("""COMPUTED_VALUE"""),"삼층돈탑")</f>
        <v>삼층돈탑</v>
      </c>
      <c r="B205" s="2" t="str">
        <f>IFERROR(__xludf.DUMMYFUNCTION("""COMPUTED_VALUE"""),"알배추")</f>
        <v>알배추</v>
      </c>
    </row>
    <row r="206">
      <c r="A206" s="2" t="str">
        <f>IFERROR(__xludf.DUMMYFUNCTION("""COMPUTED_VALUE"""),"삼층돈탑")</f>
        <v>삼층돈탑</v>
      </c>
      <c r="B206" s="2" t="str">
        <f>IFERROR(__xludf.DUMMYFUNCTION("""COMPUTED_VALUE"""),"대파")</f>
        <v>대파</v>
      </c>
    </row>
    <row r="207">
      <c r="A207" s="2" t="str">
        <f>IFERROR(__xludf.DUMMYFUNCTION("""COMPUTED_VALUE"""),"삼층돈탑")</f>
        <v>삼층돈탑</v>
      </c>
      <c r="B207" s="2" t="str">
        <f>IFERROR(__xludf.DUMMYFUNCTION("""COMPUTED_VALUE"""),"목살")</f>
        <v>목살</v>
      </c>
    </row>
    <row r="208">
      <c r="A208" s="2" t="str">
        <f>IFERROR(__xludf.DUMMYFUNCTION("""COMPUTED_VALUE"""),"삼층돈탑")</f>
        <v>삼층돈탑</v>
      </c>
      <c r="B208" s="2" t="str">
        <f>IFERROR(__xludf.DUMMYFUNCTION("""COMPUTED_VALUE"""),"다진 고추 장아찌")</f>
        <v>다진 고추 장아찌</v>
      </c>
    </row>
    <row r="209">
      <c r="A209" s="2" t="str">
        <f>IFERROR(__xludf.DUMMYFUNCTION("""COMPUTED_VALUE"""),"삼층돈탑")</f>
        <v>삼층돈탑</v>
      </c>
      <c r="B209" s="2" t="str">
        <f>IFERROR(__xludf.DUMMYFUNCTION("""COMPUTED_VALUE"""),"설탕")</f>
        <v>설탕</v>
      </c>
    </row>
    <row r="210">
      <c r="A210" s="2" t="str">
        <f>IFERROR(__xludf.DUMMYFUNCTION("""COMPUTED_VALUE"""),"삼층돈탑")</f>
        <v>삼층돈탑</v>
      </c>
      <c r="B210" s="2" t="str">
        <f>IFERROR(__xludf.DUMMYFUNCTION("""COMPUTED_VALUE"""),"스테이크 소스")</f>
        <v>스테이크 소스</v>
      </c>
    </row>
    <row r="211">
      <c r="A211" s="2" t="str">
        <f>IFERROR(__xludf.DUMMYFUNCTION("""COMPUTED_VALUE"""),"삼층돈탑")</f>
        <v>삼층돈탑</v>
      </c>
      <c r="B211" s="2" t="str">
        <f>IFERROR(__xludf.DUMMYFUNCTION("""COMPUTED_VALUE"""),"올리고당")</f>
        <v>올리고당</v>
      </c>
    </row>
    <row r="212">
      <c r="A212" s="2" t="str">
        <f>IFERROR(__xludf.DUMMYFUNCTION("""COMPUTED_VALUE"""),"엠티 오후의 라면")</f>
        <v>엠티 오후의 라면</v>
      </c>
      <c r="B212" s="2" t="str">
        <f>IFERROR(__xludf.DUMMYFUNCTION("""COMPUTED_VALUE"""),"라면")</f>
        <v>라면</v>
      </c>
    </row>
    <row r="213">
      <c r="A213" s="2" t="str">
        <f>IFERROR(__xludf.DUMMYFUNCTION("""COMPUTED_VALUE"""),"엠티 오후의 라면")</f>
        <v>엠티 오후의 라면</v>
      </c>
      <c r="B213" s="2" t="str">
        <f>IFERROR(__xludf.DUMMYFUNCTION("""COMPUTED_VALUE"""),"밀가루")</f>
        <v>밀가루</v>
      </c>
    </row>
    <row r="214">
      <c r="A214" s="2" t="str">
        <f>IFERROR(__xludf.DUMMYFUNCTION("""COMPUTED_VALUE"""),"엠티 오후의 라면")</f>
        <v>엠티 오후의 라면</v>
      </c>
      <c r="B214" s="2" t="str">
        <f>IFERROR(__xludf.DUMMYFUNCTION("""COMPUTED_VALUE"""),"쇠고기 스프")</f>
        <v>쇠고기 스프</v>
      </c>
    </row>
    <row r="215">
      <c r="A215" s="2" t="str">
        <f>IFERROR(__xludf.DUMMYFUNCTION("""COMPUTED_VALUE"""),"엠티 오후의 라면")</f>
        <v>엠티 오후의 라면</v>
      </c>
      <c r="B215" s="2" t="str">
        <f>IFERROR(__xludf.DUMMYFUNCTION("""COMPUTED_VALUE"""),"오징어")</f>
        <v>오징어</v>
      </c>
    </row>
    <row r="216">
      <c r="A216" s="2" t="str">
        <f>IFERROR(__xludf.DUMMYFUNCTION("""COMPUTED_VALUE"""),"엠티 오후의 라면")</f>
        <v>엠티 오후의 라면</v>
      </c>
      <c r="B216" s="2" t="str">
        <f>IFERROR(__xludf.DUMMYFUNCTION("""COMPUTED_VALUE"""),"계란")</f>
        <v>계란</v>
      </c>
    </row>
    <row r="217">
      <c r="A217" s="2" t="str">
        <f>IFERROR(__xludf.DUMMYFUNCTION("""COMPUTED_VALUE"""),"봉선아 시집가자미")</f>
        <v>봉선아 시집가자미</v>
      </c>
      <c r="B217" s="2" t="str">
        <f>IFERROR(__xludf.DUMMYFUNCTION("""COMPUTED_VALUE"""),"가자미")</f>
        <v>가자미</v>
      </c>
    </row>
    <row r="218">
      <c r="A218" s="2" t="str">
        <f>IFERROR(__xludf.DUMMYFUNCTION("""COMPUTED_VALUE"""),"봉선아 시집가자미")</f>
        <v>봉선아 시집가자미</v>
      </c>
      <c r="B218" s="2" t="str">
        <f>IFERROR(__xludf.DUMMYFUNCTION("""COMPUTED_VALUE"""),"양송이 버섯")</f>
        <v>양송이 버섯</v>
      </c>
    </row>
    <row r="219">
      <c r="A219" s="2" t="str">
        <f>IFERROR(__xludf.DUMMYFUNCTION("""COMPUTED_VALUE"""),"봉선아 시집가자미")</f>
        <v>봉선아 시집가자미</v>
      </c>
      <c r="B219" s="2" t="str">
        <f>IFERROR(__xludf.DUMMYFUNCTION("""COMPUTED_VALUE"""),"복분자 엑기스")</f>
        <v>복분자 엑기스</v>
      </c>
    </row>
    <row r="220">
      <c r="A220" s="2" t="str">
        <f>IFERROR(__xludf.DUMMYFUNCTION("""COMPUTED_VALUE"""),"봉선아 시집가자미")</f>
        <v>봉선아 시집가자미</v>
      </c>
      <c r="B220" s="2" t="str">
        <f>IFERROR(__xludf.DUMMYFUNCTION("""COMPUTED_VALUE"""),"대파")</f>
        <v>대파</v>
      </c>
    </row>
    <row r="221">
      <c r="A221" s="2" t="str">
        <f>IFERROR(__xludf.DUMMYFUNCTION("""COMPUTED_VALUE"""),"봉선아 시집가자미")</f>
        <v>봉선아 시집가자미</v>
      </c>
      <c r="B221" s="2" t="str">
        <f>IFERROR(__xludf.DUMMYFUNCTION("""COMPUTED_VALUE"""),"소금")</f>
        <v>소금</v>
      </c>
    </row>
    <row r="222">
      <c r="A222" s="2" t="str">
        <f>IFERROR(__xludf.DUMMYFUNCTION("""COMPUTED_VALUE"""),"봉선아 시집가자미")</f>
        <v>봉선아 시집가자미</v>
      </c>
      <c r="B222" s="2" t="str">
        <f>IFERROR(__xludf.DUMMYFUNCTION("""COMPUTED_VALUE"""),"후추")</f>
        <v>후추</v>
      </c>
    </row>
    <row r="223">
      <c r="A223" s="2" t="str">
        <f>IFERROR(__xludf.DUMMYFUNCTION("""COMPUTED_VALUE"""),"봉선아 시집가자미")</f>
        <v>봉선아 시집가자미</v>
      </c>
      <c r="B223" s="2" t="str">
        <f>IFERROR(__xludf.DUMMYFUNCTION("""COMPUTED_VALUE"""),"밀가루")</f>
        <v>밀가루</v>
      </c>
    </row>
    <row r="224">
      <c r="A224" s="2" t="str">
        <f>IFERROR(__xludf.DUMMYFUNCTION("""COMPUTED_VALUE"""),"봉선아 시집가자미")</f>
        <v>봉선아 시집가자미</v>
      </c>
      <c r="B224" s="2" t="str">
        <f>IFERROR(__xludf.DUMMYFUNCTION("""COMPUTED_VALUE"""),"화이트 와인")</f>
        <v>화이트 와인</v>
      </c>
    </row>
    <row r="225">
      <c r="A225" s="2" t="str">
        <f>IFERROR(__xludf.DUMMYFUNCTION("""COMPUTED_VALUE"""),"봉선아 시집가자미")</f>
        <v>봉선아 시집가자미</v>
      </c>
      <c r="B225" s="2" t="str">
        <f>IFERROR(__xludf.DUMMYFUNCTION("""COMPUTED_VALUE"""),"버터")</f>
        <v>버터</v>
      </c>
    </row>
    <row r="226">
      <c r="A226" s="2" t="str">
        <f>IFERROR(__xludf.DUMMYFUNCTION("""COMPUTED_VALUE"""),"스키니 신")</f>
        <v>스키니 신</v>
      </c>
      <c r="B226" s="2" t="str">
        <f>IFERROR(__xludf.DUMMYFUNCTION("""COMPUTED_VALUE"""),"키조개 관자")</f>
        <v>키조개 관자</v>
      </c>
    </row>
    <row r="227">
      <c r="A227" s="2" t="str">
        <f>IFERROR(__xludf.DUMMYFUNCTION("""COMPUTED_VALUE"""),"스키니 신")</f>
        <v>스키니 신</v>
      </c>
      <c r="B227" s="2" t="str">
        <f>IFERROR(__xludf.DUMMYFUNCTION("""COMPUTED_VALUE"""),"단감")</f>
        <v>단감</v>
      </c>
    </row>
    <row r="228">
      <c r="A228" s="2" t="str">
        <f>IFERROR(__xludf.DUMMYFUNCTION("""COMPUTED_VALUE"""),"스키니 신")</f>
        <v>스키니 신</v>
      </c>
      <c r="B228" s="2" t="str">
        <f>IFERROR(__xludf.DUMMYFUNCTION("""COMPUTED_VALUE"""),"양상추")</f>
        <v>양상추</v>
      </c>
    </row>
    <row r="229">
      <c r="A229" s="2" t="str">
        <f>IFERROR(__xludf.DUMMYFUNCTION("""COMPUTED_VALUE"""),"스키니 신")</f>
        <v>스키니 신</v>
      </c>
      <c r="B229" s="2" t="str">
        <f>IFERROR(__xludf.DUMMYFUNCTION("""COMPUTED_VALUE"""),"양파")</f>
        <v>양파</v>
      </c>
    </row>
    <row r="230">
      <c r="A230" s="2" t="str">
        <f>IFERROR(__xludf.DUMMYFUNCTION("""COMPUTED_VALUE"""),"스키니 신")</f>
        <v>스키니 신</v>
      </c>
      <c r="B230" s="2" t="str">
        <f>IFERROR(__xludf.DUMMYFUNCTION("""COMPUTED_VALUE"""),"고구마")</f>
        <v>고구마</v>
      </c>
    </row>
    <row r="231">
      <c r="A231" s="2" t="str">
        <f>IFERROR(__xludf.DUMMYFUNCTION("""COMPUTED_VALUE"""),"스키니 신")</f>
        <v>스키니 신</v>
      </c>
      <c r="B231" s="2" t="str">
        <f>IFERROR(__xludf.DUMMYFUNCTION("""COMPUTED_VALUE"""),"감자")</f>
        <v>감자</v>
      </c>
    </row>
    <row r="232">
      <c r="A232" s="2" t="str">
        <f>IFERROR(__xludf.DUMMYFUNCTION("""COMPUTED_VALUE"""),"스키니 신")</f>
        <v>스키니 신</v>
      </c>
      <c r="B232" s="2" t="str">
        <f>IFERROR(__xludf.DUMMYFUNCTION("""COMPUTED_VALUE"""),"올리브유")</f>
        <v>올리브유</v>
      </c>
    </row>
    <row r="233">
      <c r="A233" s="2" t="str">
        <f>IFERROR(__xludf.DUMMYFUNCTION("""COMPUTED_VALUE"""),"파티비프")</f>
        <v>파티비프</v>
      </c>
      <c r="B233" s="2" t="str">
        <f>IFERROR(__xludf.DUMMYFUNCTION("""COMPUTED_VALUE"""),"밥")</f>
        <v>밥</v>
      </c>
    </row>
    <row r="234">
      <c r="A234" s="2" t="str">
        <f>IFERROR(__xludf.DUMMYFUNCTION("""COMPUTED_VALUE"""),"파티비프")</f>
        <v>파티비프</v>
      </c>
      <c r="B234" s="2" t="str">
        <f>IFERROR(__xludf.DUMMYFUNCTION("""COMPUTED_VALUE"""),"등심")</f>
        <v>등심</v>
      </c>
    </row>
    <row r="235">
      <c r="A235" s="2" t="str">
        <f>IFERROR(__xludf.DUMMYFUNCTION("""COMPUTED_VALUE"""),"파티비프")</f>
        <v>파티비프</v>
      </c>
      <c r="B235" s="2" t="str">
        <f>IFERROR(__xludf.DUMMYFUNCTION("""COMPUTED_VALUE"""),"느타리 버섯")</f>
        <v>느타리 버섯</v>
      </c>
    </row>
    <row r="236">
      <c r="A236" s="2" t="str">
        <f>IFERROR(__xludf.DUMMYFUNCTION("""COMPUTED_VALUE"""),"파티비프")</f>
        <v>파티비프</v>
      </c>
      <c r="B236" s="2" t="str">
        <f>IFERROR(__xludf.DUMMYFUNCTION("""COMPUTED_VALUE"""),"양송이 버섯")</f>
        <v>양송이 버섯</v>
      </c>
    </row>
    <row r="237">
      <c r="A237" s="2" t="str">
        <f>IFERROR(__xludf.DUMMYFUNCTION("""COMPUTED_VALUE"""),"파티비프")</f>
        <v>파티비프</v>
      </c>
      <c r="B237" s="2" t="str">
        <f>IFERROR(__xludf.DUMMYFUNCTION("""COMPUTED_VALUE"""),"양상추")</f>
        <v>양상추</v>
      </c>
    </row>
    <row r="238">
      <c r="A238" s="2" t="str">
        <f>IFERROR(__xludf.DUMMYFUNCTION("""COMPUTED_VALUE"""),"파티비프")</f>
        <v>파티비프</v>
      </c>
      <c r="B238" s="2" t="str">
        <f>IFERROR(__xludf.DUMMYFUNCTION("""COMPUTED_VALUE"""),"양파")</f>
        <v>양파</v>
      </c>
    </row>
    <row r="239">
      <c r="A239" s="2" t="str">
        <f>IFERROR(__xludf.DUMMYFUNCTION("""COMPUTED_VALUE"""),"파티비프")</f>
        <v>파티비프</v>
      </c>
      <c r="B239" s="2" t="str">
        <f>IFERROR(__xludf.DUMMYFUNCTION("""COMPUTED_VALUE"""),"총각김치")</f>
        <v>총각김치</v>
      </c>
    </row>
    <row r="240">
      <c r="A240" s="2" t="str">
        <f>IFERROR(__xludf.DUMMYFUNCTION("""COMPUTED_VALUE"""),"파티비프")</f>
        <v>파티비프</v>
      </c>
      <c r="B240" s="2" t="str">
        <f>IFERROR(__xludf.DUMMYFUNCTION("""COMPUTED_VALUE"""),"쌈장")</f>
        <v>쌈장</v>
      </c>
    </row>
    <row r="241">
      <c r="A241" s="2" t="str">
        <f>IFERROR(__xludf.DUMMYFUNCTION("""COMPUTED_VALUE"""),"파티비프")</f>
        <v>파티비프</v>
      </c>
      <c r="B241" s="2" t="str">
        <f>IFERROR(__xludf.DUMMYFUNCTION("""COMPUTED_VALUE"""),"생크림")</f>
        <v>생크림</v>
      </c>
    </row>
    <row r="242">
      <c r="A242" s="2" t="str">
        <f>IFERROR(__xludf.DUMMYFUNCTION("""COMPUTED_VALUE"""),"아이러브유부")</f>
        <v>아이러브유부</v>
      </c>
      <c r="B242" s="2" t="str">
        <f>IFERROR(__xludf.DUMMYFUNCTION("""COMPUTED_VALUE"""),"삼겹살")</f>
        <v>삼겹살</v>
      </c>
    </row>
    <row r="243">
      <c r="A243" s="2" t="str">
        <f>IFERROR(__xludf.DUMMYFUNCTION("""COMPUTED_VALUE"""),"아이러브유부")</f>
        <v>아이러브유부</v>
      </c>
      <c r="B243" s="2" t="str">
        <f>IFERROR(__xludf.DUMMYFUNCTION("""COMPUTED_VALUE"""),"생크림")</f>
        <v>생크림</v>
      </c>
    </row>
    <row r="244">
      <c r="A244" s="2" t="str">
        <f>IFERROR(__xludf.DUMMYFUNCTION("""COMPUTED_VALUE"""),"아이러브유부")</f>
        <v>아이러브유부</v>
      </c>
      <c r="B244" s="2" t="str">
        <f>IFERROR(__xludf.DUMMYFUNCTION("""COMPUTED_VALUE"""),"달걀")</f>
        <v>달걀</v>
      </c>
    </row>
    <row r="245">
      <c r="A245" s="2" t="str">
        <f>IFERROR(__xludf.DUMMYFUNCTION("""COMPUTED_VALUE"""),"아이러브유부")</f>
        <v>아이러브유부</v>
      </c>
      <c r="B245" s="2" t="str">
        <f>IFERROR(__xludf.DUMMYFUNCTION("""COMPUTED_VALUE"""),"통마늘")</f>
        <v>통마늘</v>
      </c>
    </row>
    <row r="246">
      <c r="A246" s="2" t="str">
        <f>IFERROR(__xludf.DUMMYFUNCTION("""COMPUTED_VALUE"""),"아이러브유부")</f>
        <v>아이러브유부</v>
      </c>
      <c r="B246" s="2" t="str">
        <f>IFERROR(__xludf.DUMMYFUNCTION("""COMPUTED_VALUE"""),"잣")</f>
        <v>잣</v>
      </c>
    </row>
    <row r="247">
      <c r="A247" s="2" t="str">
        <f>IFERROR(__xludf.DUMMYFUNCTION("""COMPUTED_VALUE"""),"아이러브유부")</f>
        <v>아이러브유부</v>
      </c>
      <c r="B247" s="2" t="str">
        <f>IFERROR(__xludf.DUMMYFUNCTION("""COMPUTED_VALUE"""),"양파")</f>
        <v>양파</v>
      </c>
    </row>
    <row r="248">
      <c r="A248" s="2" t="str">
        <f>IFERROR(__xludf.DUMMYFUNCTION("""COMPUTED_VALUE"""),"아이러브유부")</f>
        <v>아이러브유부</v>
      </c>
      <c r="B248" s="2" t="str">
        <f>IFERROR(__xludf.DUMMYFUNCTION("""COMPUTED_VALUE"""),"두반장")</f>
        <v>두반장</v>
      </c>
    </row>
    <row r="249">
      <c r="A249" s="2" t="str">
        <f>IFERROR(__xludf.DUMMYFUNCTION("""COMPUTED_VALUE"""),"아이러브유부")</f>
        <v>아이러브유부</v>
      </c>
      <c r="B249" s="2" t="str">
        <f>IFERROR(__xludf.DUMMYFUNCTION("""COMPUTED_VALUE"""),"굴소스")</f>
        <v>굴소스</v>
      </c>
    </row>
    <row r="250">
      <c r="A250" s="2" t="str">
        <f>IFERROR(__xludf.DUMMYFUNCTION("""COMPUTED_VALUE"""),"아이러브유부")</f>
        <v>아이러브유부</v>
      </c>
      <c r="B250" s="2" t="str">
        <f>IFERROR(__xludf.DUMMYFUNCTION("""COMPUTED_VALUE"""),"고추장아찌 국물")</f>
        <v>고추장아찌 국물</v>
      </c>
    </row>
    <row r="251">
      <c r="A251" s="2" t="str">
        <f>IFERROR(__xludf.DUMMYFUNCTION("""COMPUTED_VALUE"""),"아이러브유부")</f>
        <v>아이러브유부</v>
      </c>
      <c r="B251" s="2" t="str">
        <f>IFERROR(__xludf.DUMMYFUNCTION("""COMPUTED_VALUE"""),"핫소스")</f>
        <v>핫소스</v>
      </c>
    </row>
    <row r="252">
      <c r="A252" s="2" t="str">
        <f>IFERROR(__xludf.DUMMYFUNCTION("""COMPUTED_VALUE"""),"곤약 봉골레 곤봉")</f>
        <v>곤약 봉골레 곤봉</v>
      </c>
      <c r="B252" s="2" t="str">
        <f>IFERROR(__xludf.DUMMYFUNCTION("""COMPUTED_VALUE"""),"곤약")</f>
        <v>곤약</v>
      </c>
    </row>
    <row r="253">
      <c r="A253" s="2" t="str">
        <f>IFERROR(__xludf.DUMMYFUNCTION("""COMPUTED_VALUE"""),"곤약 봉골레 곤봉")</f>
        <v>곤약 봉골레 곤봉</v>
      </c>
      <c r="B253" s="2" t="str">
        <f>IFERROR(__xludf.DUMMYFUNCTION("""COMPUTED_VALUE"""),"파프리카")</f>
        <v>파프리카</v>
      </c>
    </row>
    <row r="254">
      <c r="A254" s="2" t="str">
        <f>IFERROR(__xludf.DUMMYFUNCTION("""COMPUTED_VALUE"""),"곤약 봉골레 곤봉")</f>
        <v>곤약 봉골레 곤봉</v>
      </c>
      <c r="B254" s="2" t="str">
        <f>IFERROR(__xludf.DUMMYFUNCTION("""COMPUTED_VALUE"""),"바지락")</f>
        <v>바지락</v>
      </c>
    </row>
    <row r="255">
      <c r="A255" s="2" t="str">
        <f>IFERROR(__xludf.DUMMYFUNCTION("""COMPUTED_VALUE"""),"곤약 봉골레 곤봉")</f>
        <v>곤약 봉골레 곤봉</v>
      </c>
      <c r="B255" s="2" t="str">
        <f>IFERROR(__xludf.DUMMYFUNCTION("""COMPUTED_VALUE"""),"올리브 오일")</f>
        <v>올리브 오일</v>
      </c>
    </row>
    <row r="256">
      <c r="A256" s="2" t="str">
        <f>IFERROR(__xludf.DUMMYFUNCTION("""COMPUTED_VALUE"""),"곤약 봉골레 곤봉")</f>
        <v>곤약 봉골레 곤봉</v>
      </c>
      <c r="B256" s="2" t="str">
        <f>IFERROR(__xludf.DUMMYFUNCTION("""COMPUTED_VALUE"""),"마늘")</f>
        <v>마늘</v>
      </c>
    </row>
    <row r="257">
      <c r="A257" s="2" t="str">
        <f>IFERROR(__xludf.DUMMYFUNCTION("""COMPUTED_VALUE"""),"곤약 봉골레 곤봉")</f>
        <v>곤약 봉골레 곤봉</v>
      </c>
      <c r="B257" s="2" t="str">
        <f>IFERROR(__xludf.DUMMYFUNCTION("""COMPUTED_VALUE"""),"소금")</f>
        <v>소금</v>
      </c>
    </row>
    <row r="258">
      <c r="A258" s="2" t="str">
        <f>IFERROR(__xludf.DUMMYFUNCTION("""COMPUTED_VALUE"""),"곤약 봉골레 곤봉")</f>
        <v>곤약 봉골레 곤봉</v>
      </c>
      <c r="B258" s="2" t="str">
        <f>IFERROR(__xludf.DUMMYFUNCTION("""COMPUTED_VALUE"""),"후추")</f>
        <v>후추</v>
      </c>
    </row>
    <row r="259">
      <c r="A259" s="2" t="str">
        <f>IFERROR(__xludf.DUMMYFUNCTION("""COMPUTED_VALUE"""),"렛잇컵")</f>
        <v>렛잇컵</v>
      </c>
      <c r="B259" s="2" t="str">
        <f>IFERROR(__xludf.DUMMYFUNCTION("""COMPUTED_VALUE"""),"찐고구마")</f>
        <v>찐고구마</v>
      </c>
    </row>
    <row r="260">
      <c r="A260" s="2" t="str">
        <f>IFERROR(__xludf.DUMMYFUNCTION("""COMPUTED_VALUE"""),"렛잇컵")</f>
        <v>렛잇컵</v>
      </c>
      <c r="B260" s="2" t="str">
        <f>IFERROR(__xludf.DUMMYFUNCTION("""COMPUTED_VALUE"""),"두유")</f>
        <v>두유</v>
      </c>
    </row>
    <row r="261">
      <c r="A261" s="2" t="str">
        <f>IFERROR(__xludf.DUMMYFUNCTION("""COMPUTED_VALUE"""),"렛잇컵")</f>
        <v>렛잇컵</v>
      </c>
      <c r="B261" s="2" t="str">
        <f>IFERROR(__xludf.DUMMYFUNCTION("""COMPUTED_VALUE"""),"딸기")</f>
        <v>딸기</v>
      </c>
    </row>
    <row r="262">
      <c r="A262" s="2" t="str">
        <f>IFERROR(__xludf.DUMMYFUNCTION("""COMPUTED_VALUE"""),"렛잇컵")</f>
        <v>렛잇컵</v>
      </c>
      <c r="B262" s="2" t="str">
        <f>IFERROR(__xludf.DUMMYFUNCTION("""COMPUTED_VALUE"""),"키위")</f>
        <v>키위</v>
      </c>
    </row>
    <row r="263">
      <c r="A263" s="2" t="str">
        <f>IFERROR(__xludf.DUMMYFUNCTION("""COMPUTED_VALUE"""),"렛잇컵")</f>
        <v>렛잇컵</v>
      </c>
      <c r="B263" s="2" t="str">
        <f>IFERROR(__xludf.DUMMYFUNCTION("""COMPUTED_VALUE"""),"사과")</f>
        <v>사과</v>
      </c>
    </row>
    <row r="264">
      <c r="A264" s="2" t="str">
        <f>IFERROR(__xludf.DUMMYFUNCTION("""COMPUTED_VALUE"""),"렛잇컵")</f>
        <v>렛잇컵</v>
      </c>
      <c r="B264" s="2" t="str">
        <f>IFERROR(__xludf.DUMMYFUNCTION("""COMPUTED_VALUE"""),"홍시")</f>
        <v>홍시</v>
      </c>
    </row>
    <row r="265">
      <c r="A265" s="2" t="str">
        <f>IFERROR(__xludf.DUMMYFUNCTION("""COMPUTED_VALUE"""),"렛잇컵")</f>
        <v>렛잇컵</v>
      </c>
      <c r="B265" s="2" t="str">
        <f>IFERROR(__xludf.DUMMYFUNCTION("""COMPUTED_VALUE"""),"플레인 요거트")</f>
        <v>플레인 요거트</v>
      </c>
    </row>
    <row r="266">
      <c r="A266" s="2" t="str">
        <f>IFERROR(__xludf.DUMMYFUNCTION("""COMPUTED_VALUE"""),"렛잇컵")</f>
        <v>렛잇컵</v>
      </c>
      <c r="B266" s="2" t="str">
        <f>IFERROR(__xludf.DUMMYFUNCTION("""COMPUTED_VALUE"""),"생고구마")</f>
        <v>생고구마</v>
      </c>
    </row>
    <row r="267">
      <c r="A267" s="2" t="str">
        <f>IFERROR(__xludf.DUMMYFUNCTION("""COMPUTED_VALUE"""),"마이 러블리 튀밥")</f>
        <v>마이 러블리 튀밥</v>
      </c>
      <c r="B267" s="2" t="str">
        <f>IFERROR(__xludf.DUMMYFUNCTION("""COMPUTED_VALUE"""),"파프리카")</f>
        <v>파프리카</v>
      </c>
    </row>
    <row r="268">
      <c r="A268" s="2" t="str">
        <f>IFERROR(__xludf.DUMMYFUNCTION("""COMPUTED_VALUE"""),"마이 러블리 튀밥")</f>
        <v>마이 러블리 튀밥</v>
      </c>
      <c r="B268" s="2" t="str">
        <f>IFERROR(__xludf.DUMMYFUNCTION("""COMPUTED_VALUE"""),"버섯")</f>
        <v>버섯</v>
      </c>
    </row>
    <row r="269">
      <c r="A269" s="2" t="str">
        <f>IFERROR(__xludf.DUMMYFUNCTION("""COMPUTED_VALUE"""),"마이 러블리 튀밥")</f>
        <v>마이 러블리 튀밥</v>
      </c>
      <c r="B269" s="2" t="str">
        <f>IFERROR(__xludf.DUMMYFUNCTION("""COMPUTED_VALUE"""),"양파")</f>
        <v>양파</v>
      </c>
    </row>
    <row r="270">
      <c r="A270" s="2" t="str">
        <f>IFERROR(__xludf.DUMMYFUNCTION("""COMPUTED_VALUE"""),"마이 러블리 튀밥")</f>
        <v>마이 러블리 튀밥</v>
      </c>
      <c r="B270" s="2" t="str">
        <f>IFERROR(__xludf.DUMMYFUNCTION("""COMPUTED_VALUE"""),"명란젓")</f>
        <v>명란젓</v>
      </c>
    </row>
    <row r="271">
      <c r="A271" s="2" t="str">
        <f>IFERROR(__xludf.DUMMYFUNCTION("""COMPUTED_VALUE"""),"마이 러블리 튀밥")</f>
        <v>마이 러블리 튀밥</v>
      </c>
      <c r="B271" s="2" t="str">
        <f>IFERROR(__xludf.DUMMYFUNCTION("""COMPUTED_VALUE"""),"대파")</f>
        <v>대파</v>
      </c>
    </row>
    <row r="272">
      <c r="A272" s="2" t="str">
        <f>IFERROR(__xludf.DUMMYFUNCTION("""COMPUTED_VALUE"""),"마이 러블리 튀밥")</f>
        <v>마이 러블리 튀밥</v>
      </c>
      <c r="B272" s="2" t="str">
        <f>IFERROR(__xludf.DUMMYFUNCTION("""COMPUTED_VALUE"""),"즉석밥")</f>
        <v>즉석밥</v>
      </c>
    </row>
    <row r="273">
      <c r="A273" s="2" t="str">
        <f>IFERROR(__xludf.DUMMYFUNCTION("""COMPUTED_VALUE"""),"마이 러블리 튀밥")</f>
        <v>마이 러블리 튀밥</v>
      </c>
      <c r="B273" s="2" t="str">
        <f>IFERROR(__xludf.DUMMYFUNCTION("""COMPUTED_VALUE"""),"참기름")</f>
        <v>참기름</v>
      </c>
    </row>
    <row r="274">
      <c r="A274" s="2" t="str">
        <f>IFERROR(__xludf.DUMMYFUNCTION("""COMPUTED_VALUE"""),"마이 러블리 튀밥")</f>
        <v>마이 러블리 튀밥</v>
      </c>
      <c r="B274" s="2" t="str">
        <f>IFERROR(__xludf.DUMMYFUNCTION("""COMPUTED_VALUE"""),"치즈")</f>
        <v>치즈</v>
      </c>
    </row>
    <row r="275">
      <c r="A275" s="2" t="str">
        <f>IFERROR(__xludf.DUMMYFUNCTION("""COMPUTED_VALUE"""),"마이 러블리 튀밥")</f>
        <v>마이 러블리 튀밥</v>
      </c>
      <c r="B275" s="2" t="str">
        <f>IFERROR(__xludf.DUMMYFUNCTION("""COMPUTED_VALUE"""),"소금")</f>
        <v>소금</v>
      </c>
    </row>
    <row r="276">
      <c r="A276" s="2" t="str">
        <f>IFERROR(__xludf.DUMMYFUNCTION("""COMPUTED_VALUE"""),"마이 러블리 튀밥")</f>
        <v>마이 러블리 튀밥</v>
      </c>
      <c r="B276" s="2" t="str">
        <f>IFERROR(__xludf.DUMMYFUNCTION("""COMPUTED_VALUE"""),"후추")</f>
        <v>후추</v>
      </c>
    </row>
    <row r="277">
      <c r="A277" s="2" t="str">
        <f>IFERROR(__xludf.DUMMYFUNCTION("""COMPUTED_VALUE"""),"마이 러블리 튀밥")</f>
        <v>마이 러블리 튀밥</v>
      </c>
      <c r="B277" s="2" t="str">
        <f>IFERROR(__xludf.DUMMYFUNCTION("""COMPUTED_VALUE"""),"올리브유")</f>
        <v>올리브유</v>
      </c>
    </row>
    <row r="278">
      <c r="A278" s="2" t="str">
        <f>IFERROR(__xludf.DUMMYFUNCTION("""COMPUTED_VALUE"""),"마이 러블리 튀밥")</f>
        <v>마이 러블리 튀밥</v>
      </c>
      <c r="B278" s="2" t="str">
        <f>IFERROR(__xludf.DUMMYFUNCTION("""COMPUTED_VALUE"""),"마늘")</f>
        <v>마늘</v>
      </c>
    </row>
    <row r="279">
      <c r="A279" s="2" t="str">
        <f>IFERROR(__xludf.DUMMYFUNCTION("""COMPUTED_VALUE"""),"마이 러블리 튀밥")</f>
        <v>마이 러블리 튀밥</v>
      </c>
      <c r="B279" s="2" t="str">
        <f>IFERROR(__xludf.DUMMYFUNCTION("""COMPUTED_VALUE"""),"블랙올리브")</f>
        <v>블랙올리브</v>
      </c>
    </row>
    <row r="280">
      <c r="A280" s="2" t="str">
        <f>IFERROR(__xludf.DUMMYFUNCTION("""COMPUTED_VALUE"""),"마이 러블리 튀밥")</f>
        <v>마이 러블리 튀밥</v>
      </c>
      <c r="B280" s="2" t="str">
        <f>IFERROR(__xludf.DUMMYFUNCTION("""COMPUTED_VALUE"""),"홍고추")</f>
        <v>홍고추</v>
      </c>
    </row>
    <row r="281">
      <c r="A281" s="2" t="str">
        <f>IFERROR(__xludf.DUMMYFUNCTION("""COMPUTED_VALUE"""),"마이 러블리 튀밥")</f>
        <v>마이 러블리 튀밥</v>
      </c>
      <c r="B281" s="2" t="str">
        <f>IFERROR(__xludf.DUMMYFUNCTION("""COMPUTED_VALUE"""),"방울토마토")</f>
        <v>방울토마토</v>
      </c>
    </row>
    <row r="282">
      <c r="A282" s="2" t="str">
        <f>IFERROR(__xludf.DUMMYFUNCTION("""COMPUTED_VALUE"""),"마이 러블리 튀밥")</f>
        <v>마이 러블리 튀밥</v>
      </c>
      <c r="B282" s="2" t="str">
        <f>IFERROR(__xludf.DUMMYFUNCTION("""COMPUTED_VALUE"""),"토마토소스")</f>
        <v>토마토소스</v>
      </c>
    </row>
    <row r="283">
      <c r="A283" s="2" t="str">
        <f>IFERROR(__xludf.DUMMYFUNCTION("""COMPUTED_VALUE"""),"마이 러블리 튀밥")</f>
        <v>마이 러블리 튀밥</v>
      </c>
      <c r="B283" s="2" t="str">
        <f>IFERROR(__xludf.DUMMYFUNCTION("""COMPUTED_VALUE"""),"밀가루")</f>
        <v>밀가루</v>
      </c>
    </row>
    <row r="284">
      <c r="A284" s="2" t="str">
        <f>IFERROR(__xludf.DUMMYFUNCTION("""COMPUTED_VALUE"""),"마이 러블리 튀밥")</f>
        <v>마이 러블리 튀밥</v>
      </c>
      <c r="B284" s="2" t="str">
        <f>IFERROR(__xludf.DUMMYFUNCTION("""COMPUTED_VALUE"""),"달걀")</f>
        <v>달걀</v>
      </c>
    </row>
    <row r="285">
      <c r="A285" s="2" t="str">
        <f>IFERROR(__xludf.DUMMYFUNCTION("""COMPUTED_VALUE"""),"마이 러블리 튀밥")</f>
        <v>마이 러블리 튀밥</v>
      </c>
      <c r="B285" s="2" t="str">
        <f>IFERROR(__xludf.DUMMYFUNCTION("""COMPUTED_VALUE"""),"빵가루")</f>
        <v>빵가루</v>
      </c>
    </row>
    <row r="286">
      <c r="A286" s="2" t="str">
        <f>IFERROR(__xludf.DUMMYFUNCTION("""COMPUTED_VALUE"""),"마이 러블리 튀밥")</f>
        <v>마이 러블리 튀밥</v>
      </c>
      <c r="B286" s="2" t="str">
        <f>IFERROR(__xludf.DUMMYFUNCTION("""COMPUTED_VALUE"""),"식용유")</f>
        <v>식용유</v>
      </c>
    </row>
    <row r="287">
      <c r="A287" s="2" t="str">
        <f>IFERROR(__xludf.DUMMYFUNCTION("""COMPUTED_VALUE"""),"마이 러블리 튀밥")</f>
        <v>마이 러블리 튀밥</v>
      </c>
      <c r="B287" s="2" t="str">
        <f>IFERROR(__xludf.DUMMYFUNCTION("""COMPUTED_VALUE"""),"파슬리")</f>
        <v>파슬리</v>
      </c>
    </row>
    <row r="288">
      <c r="A288" s="2" t="str">
        <f>IFERROR(__xludf.DUMMYFUNCTION("""COMPUTED_VALUE"""),"자투리타타")</f>
        <v>자투리타타</v>
      </c>
      <c r="B288" s="2" t="str">
        <f>IFERROR(__xludf.DUMMYFUNCTION("""COMPUTED_VALUE"""),"파프리카")</f>
        <v>파프리카</v>
      </c>
    </row>
    <row r="289">
      <c r="A289" s="2" t="str">
        <f>IFERROR(__xludf.DUMMYFUNCTION("""COMPUTED_VALUE"""),"자투리타타")</f>
        <v>자투리타타</v>
      </c>
      <c r="B289" s="2" t="str">
        <f>IFERROR(__xludf.DUMMYFUNCTION("""COMPUTED_VALUE"""),"양파")</f>
        <v>양파</v>
      </c>
    </row>
    <row r="290">
      <c r="A290" s="2" t="str">
        <f>IFERROR(__xludf.DUMMYFUNCTION("""COMPUTED_VALUE"""),"자투리타타")</f>
        <v>자투리타타</v>
      </c>
      <c r="B290" s="2" t="str">
        <f>IFERROR(__xludf.DUMMYFUNCTION("""COMPUTED_VALUE"""),"버섯")</f>
        <v>버섯</v>
      </c>
    </row>
    <row r="291">
      <c r="A291" s="2" t="str">
        <f>IFERROR(__xludf.DUMMYFUNCTION("""COMPUTED_VALUE"""),"자투리타타")</f>
        <v>자투리타타</v>
      </c>
      <c r="B291" s="2" t="str">
        <f>IFERROR(__xludf.DUMMYFUNCTION("""COMPUTED_VALUE"""),"명란젓")</f>
        <v>명란젓</v>
      </c>
    </row>
    <row r="292">
      <c r="A292" s="2" t="str">
        <f>IFERROR(__xludf.DUMMYFUNCTION("""COMPUTED_VALUE"""),"자투리타타")</f>
        <v>자투리타타</v>
      </c>
      <c r="B292" s="2" t="str">
        <f>IFERROR(__xludf.DUMMYFUNCTION("""COMPUTED_VALUE"""),"달걀")</f>
        <v>달걀</v>
      </c>
    </row>
    <row r="293">
      <c r="A293" s="2" t="str">
        <f>IFERROR(__xludf.DUMMYFUNCTION("""COMPUTED_VALUE"""),"자투리타타")</f>
        <v>자투리타타</v>
      </c>
      <c r="B293" s="2" t="str">
        <f>IFERROR(__xludf.DUMMYFUNCTION("""COMPUTED_VALUE"""),"올리브유")</f>
        <v>올리브유</v>
      </c>
    </row>
    <row r="294">
      <c r="A294" s="2" t="str">
        <f>IFERROR(__xludf.DUMMYFUNCTION("""COMPUTED_VALUE"""),"자투리타타")</f>
        <v>자투리타타</v>
      </c>
      <c r="B294" s="2" t="str">
        <f>IFERROR(__xludf.DUMMYFUNCTION("""COMPUTED_VALUE"""),"방울토마토")</f>
        <v>방울토마토</v>
      </c>
    </row>
    <row r="295">
      <c r="A295" s="2" t="str">
        <f>IFERROR(__xludf.DUMMYFUNCTION("""COMPUTED_VALUE"""),"자투리타타")</f>
        <v>자투리타타</v>
      </c>
      <c r="B295" s="2" t="str">
        <f>IFERROR(__xludf.DUMMYFUNCTION("""COMPUTED_VALUE"""),"마늘")</f>
        <v>마늘</v>
      </c>
    </row>
    <row r="296">
      <c r="A296" s="2" t="str">
        <f>IFERROR(__xludf.DUMMYFUNCTION("""COMPUTED_VALUE"""),"자투리타타")</f>
        <v>자투리타타</v>
      </c>
      <c r="B296" s="2" t="str">
        <f>IFERROR(__xludf.DUMMYFUNCTION("""COMPUTED_VALUE"""),"팽이버섯")</f>
        <v>팽이버섯</v>
      </c>
    </row>
    <row r="297">
      <c r="A297" s="2" t="str">
        <f>IFERROR(__xludf.DUMMYFUNCTION("""COMPUTED_VALUE"""),"자투리타타")</f>
        <v>자투리타타</v>
      </c>
      <c r="B297" s="2" t="str">
        <f>IFERROR(__xludf.DUMMYFUNCTION("""COMPUTED_VALUE"""),"베이컨")</f>
        <v>베이컨</v>
      </c>
    </row>
    <row r="298">
      <c r="A298" s="2" t="str">
        <f>IFERROR(__xludf.DUMMYFUNCTION("""COMPUTED_VALUE"""),"괜찮아, 목심이야")</f>
        <v>괜찮아, 목심이야</v>
      </c>
      <c r="B298" s="2" t="str">
        <f>IFERROR(__xludf.DUMMYFUNCTION("""COMPUTED_VALUE"""),"돼지고기 목심")</f>
        <v>돼지고기 목심</v>
      </c>
    </row>
    <row r="299">
      <c r="A299" s="2" t="str">
        <f>IFERROR(__xludf.DUMMYFUNCTION("""COMPUTED_VALUE"""),"괜찮아, 목심이야")</f>
        <v>괜찮아, 목심이야</v>
      </c>
      <c r="B299" s="2" t="str">
        <f>IFERROR(__xludf.DUMMYFUNCTION("""COMPUTED_VALUE"""),"양파")</f>
        <v>양파</v>
      </c>
    </row>
    <row r="300">
      <c r="A300" s="2" t="str">
        <f>IFERROR(__xludf.DUMMYFUNCTION("""COMPUTED_VALUE"""),"괜찮아, 목심이야")</f>
        <v>괜찮아, 목심이야</v>
      </c>
      <c r="B300" s="2" t="str">
        <f>IFERROR(__xludf.DUMMYFUNCTION("""COMPUTED_VALUE"""),"당근")</f>
        <v>당근</v>
      </c>
    </row>
    <row r="301">
      <c r="A301" s="2" t="str">
        <f>IFERROR(__xludf.DUMMYFUNCTION("""COMPUTED_VALUE"""),"괜찮아, 목심이야")</f>
        <v>괜찮아, 목심이야</v>
      </c>
      <c r="B301" s="2" t="str">
        <f>IFERROR(__xludf.DUMMYFUNCTION("""COMPUTED_VALUE"""),"양상추")</f>
        <v>양상추</v>
      </c>
    </row>
    <row r="302">
      <c r="A302" s="2" t="str">
        <f>IFERROR(__xludf.DUMMYFUNCTION("""COMPUTED_VALUE"""),"괜찮아, 목심이야")</f>
        <v>괜찮아, 목심이야</v>
      </c>
      <c r="B302" s="2" t="str">
        <f>IFERROR(__xludf.DUMMYFUNCTION("""COMPUTED_VALUE"""),"사과")</f>
        <v>사과</v>
      </c>
    </row>
    <row r="303">
      <c r="A303" s="2" t="str">
        <f>IFERROR(__xludf.DUMMYFUNCTION("""COMPUTED_VALUE"""),"괜찮아, 목심이야")</f>
        <v>괜찮아, 목심이야</v>
      </c>
      <c r="B303" s="2" t="str">
        <f>IFERROR(__xludf.DUMMYFUNCTION("""COMPUTED_VALUE"""),"전분")</f>
        <v>전분</v>
      </c>
    </row>
    <row r="304">
      <c r="A304" s="2" t="str">
        <f>IFERROR(__xludf.DUMMYFUNCTION("""COMPUTED_VALUE"""),"괜찮아, 목심이야")</f>
        <v>괜찮아, 목심이야</v>
      </c>
      <c r="B304" s="2" t="str">
        <f>IFERROR(__xludf.DUMMYFUNCTION("""COMPUTED_VALUE"""),"소금")</f>
        <v>소금</v>
      </c>
    </row>
    <row r="305">
      <c r="A305" s="2" t="str">
        <f>IFERROR(__xludf.DUMMYFUNCTION("""COMPUTED_VALUE"""),"괜찮아, 목심이야")</f>
        <v>괜찮아, 목심이야</v>
      </c>
      <c r="B305" s="2" t="str">
        <f>IFERROR(__xludf.DUMMYFUNCTION("""COMPUTED_VALUE"""),"후추")</f>
        <v>후추</v>
      </c>
    </row>
    <row r="306">
      <c r="A306" s="2" t="str">
        <f>IFERROR(__xludf.DUMMYFUNCTION("""COMPUTED_VALUE"""),"괜찮아, 목심이야")</f>
        <v>괜찮아, 목심이야</v>
      </c>
      <c r="B306" s="2" t="str">
        <f>IFERROR(__xludf.DUMMYFUNCTION("""COMPUTED_VALUE"""),"오리엔탈 소스")</f>
        <v>오리엔탈 소스</v>
      </c>
    </row>
    <row r="307">
      <c r="A307" s="2" t="str">
        <f>IFERROR(__xludf.DUMMYFUNCTION("""COMPUTED_VALUE"""),"괜찮아, 목심이야")</f>
        <v>괜찮아, 목심이야</v>
      </c>
      <c r="B307" s="2" t="str">
        <f>IFERROR(__xludf.DUMMYFUNCTION("""COMPUTED_VALUE"""),"식초")</f>
        <v>식초</v>
      </c>
    </row>
    <row r="308">
      <c r="A308" s="2" t="str">
        <f>IFERROR(__xludf.DUMMYFUNCTION("""COMPUTED_VALUE"""),"괜찮아, 목심이야")</f>
        <v>괜찮아, 목심이야</v>
      </c>
      <c r="B308" s="2" t="str">
        <f>IFERROR(__xludf.DUMMYFUNCTION("""COMPUTED_VALUE"""),"설탕")</f>
        <v>설탕</v>
      </c>
    </row>
    <row r="309">
      <c r="A309" s="2" t="str">
        <f>IFERROR(__xludf.DUMMYFUNCTION("""COMPUTED_VALUE"""),"마이 스위트 베이비")</f>
        <v>마이 스위트 베이비</v>
      </c>
      <c r="B309" s="2" t="str">
        <f>IFERROR(__xludf.DUMMYFUNCTION("""COMPUTED_VALUE"""),"소고기 등심")</f>
        <v>소고기 등심</v>
      </c>
    </row>
    <row r="310">
      <c r="A310" s="2" t="str">
        <f>IFERROR(__xludf.DUMMYFUNCTION("""COMPUTED_VALUE"""),"마이 스위트 베이비")</f>
        <v>마이 스위트 베이비</v>
      </c>
      <c r="B310" s="2" t="str">
        <f>IFERROR(__xludf.DUMMYFUNCTION("""COMPUTED_VALUE"""),"사과")</f>
        <v>사과</v>
      </c>
    </row>
    <row r="311">
      <c r="A311" s="2" t="str">
        <f>IFERROR(__xludf.DUMMYFUNCTION("""COMPUTED_VALUE"""),"마이 스위트 베이비")</f>
        <v>마이 스위트 베이비</v>
      </c>
      <c r="B311" s="2" t="str">
        <f>IFERROR(__xludf.DUMMYFUNCTION("""COMPUTED_VALUE"""),"레드와인")</f>
        <v>레드와인</v>
      </c>
    </row>
    <row r="312">
      <c r="A312" s="2" t="str">
        <f>IFERROR(__xludf.DUMMYFUNCTION("""COMPUTED_VALUE"""),"마이 스위트 베이비")</f>
        <v>마이 스위트 베이비</v>
      </c>
      <c r="B312" s="2" t="str">
        <f>IFERROR(__xludf.DUMMYFUNCTION("""COMPUTED_VALUE"""),"흑설탕")</f>
        <v>흑설탕</v>
      </c>
    </row>
    <row r="313">
      <c r="A313" s="2" t="str">
        <f>IFERROR(__xludf.DUMMYFUNCTION("""COMPUTED_VALUE"""),"마이 스위트 베이비")</f>
        <v>마이 스위트 베이비</v>
      </c>
      <c r="B313" s="2" t="str">
        <f>IFERROR(__xludf.DUMMYFUNCTION("""COMPUTED_VALUE"""),"소금")</f>
        <v>소금</v>
      </c>
    </row>
    <row r="314">
      <c r="A314" s="2" t="str">
        <f>IFERROR(__xludf.DUMMYFUNCTION("""COMPUTED_VALUE"""),"마이 스위트 베이비")</f>
        <v>마이 스위트 베이비</v>
      </c>
      <c r="B314" s="2" t="str">
        <f>IFERROR(__xludf.DUMMYFUNCTION("""COMPUTED_VALUE"""),"후추")</f>
        <v>후추</v>
      </c>
    </row>
    <row r="315">
      <c r="A315" s="2" t="str">
        <f>IFERROR(__xludf.DUMMYFUNCTION("""COMPUTED_VALUE"""),"어란대첩")</f>
        <v>어란대첩</v>
      </c>
      <c r="B315" s="2" t="str">
        <f>IFERROR(__xludf.DUMMYFUNCTION("""COMPUTED_VALUE"""),"파스타면(엔젤헤어)")</f>
        <v>파스타면(엔젤헤어)</v>
      </c>
    </row>
    <row r="316">
      <c r="A316" s="2" t="str">
        <f>IFERROR(__xludf.DUMMYFUNCTION("""COMPUTED_VALUE"""),"어란대첩")</f>
        <v>어란대첩</v>
      </c>
      <c r="B316" s="2" t="str">
        <f>IFERROR(__xludf.DUMMYFUNCTION("""COMPUTED_VALUE"""),"무")</f>
        <v>무</v>
      </c>
    </row>
    <row r="317">
      <c r="A317" s="2" t="str">
        <f>IFERROR(__xludf.DUMMYFUNCTION("""COMPUTED_VALUE"""),"어란대첩")</f>
        <v>어란대첩</v>
      </c>
      <c r="B317" s="2" t="str">
        <f>IFERROR(__xludf.DUMMYFUNCTION("""COMPUTED_VALUE"""),"어란")</f>
        <v>어란</v>
      </c>
    </row>
    <row r="318">
      <c r="A318" s="2" t="str">
        <f>IFERROR(__xludf.DUMMYFUNCTION("""COMPUTED_VALUE"""),"어란대첩")</f>
        <v>어란대첩</v>
      </c>
      <c r="B318" s="2" t="str">
        <f>IFERROR(__xludf.DUMMYFUNCTION("""COMPUTED_VALUE"""),"올리브유")</f>
        <v>올리브유</v>
      </c>
    </row>
    <row r="319">
      <c r="A319" s="2" t="str">
        <f>IFERROR(__xludf.DUMMYFUNCTION("""COMPUTED_VALUE"""),"어란대첩")</f>
        <v>어란대첩</v>
      </c>
      <c r="B319" s="2" t="str">
        <f>IFERROR(__xludf.DUMMYFUNCTION("""COMPUTED_VALUE"""),"쯔유")</f>
        <v>쯔유</v>
      </c>
    </row>
    <row r="320">
      <c r="A320" s="2" t="str">
        <f>IFERROR(__xludf.DUMMYFUNCTION("""COMPUTED_VALUE"""),"어란대첩")</f>
        <v>어란대첩</v>
      </c>
      <c r="B320" s="2" t="str">
        <f>IFERROR(__xludf.DUMMYFUNCTION("""COMPUTED_VALUE"""),"소금")</f>
        <v>소금</v>
      </c>
    </row>
    <row r="321">
      <c r="A321" s="2" t="str">
        <f>IFERROR(__xludf.DUMMYFUNCTION("""COMPUTED_VALUE"""),"어란대첩")</f>
        <v>어란대첩</v>
      </c>
      <c r="B321" s="2" t="str">
        <f>IFERROR(__xludf.DUMMYFUNCTION("""COMPUTED_VALUE"""),"후추")</f>
        <v>후추</v>
      </c>
    </row>
    <row r="322">
      <c r="A322" s="2" t="str">
        <f>IFERROR(__xludf.DUMMYFUNCTION("""COMPUTED_VALUE"""),"뉴타운 달팽이")</f>
        <v>뉴타운 달팽이</v>
      </c>
      <c r="B322" s="2" t="str">
        <f>IFERROR(__xludf.DUMMYFUNCTION("""COMPUTED_VALUE"""),"달팽이")</f>
        <v>달팽이</v>
      </c>
    </row>
    <row r="323">
      <c r="A323" s="2" t="str">
        <f>IFERROR(__xludf.DUMMYFUNCTION("""COMPUTED_VALUE"""),"뉴타운 달팽이")</f>
        <v>뉴타운 달팽이</v>
      </c>
      <c r="B323" s="2" t="str">
        <f>IFERROR(__xludf.DUMMYFUNCTION("""COMPUTED_VALUE"""),"양파")</f>
        <v>양파</v>
      </c>
    </row>
    <row r="324">
      <c r="A324" s="2" t="str">
        <f>IFERROR(__xludf.DUMMYFUNCTION("""COMPUTED_VALUE"""),"뉴타운 달팽이")</f>
        <v>뉴타운 달팽이</v>
      </c>
      <c r="B324" s="2" t="str">
        <f>IFERROR(__xludf.DUMMYFUNCTION("""COMPUTED_VALUE"""),"버터")</f>
        <v>버터</v>
      </c>
    </row>
    <row r="325">
      <c r="A325" s="2" t="str">
        <f>IFERROR(__xludf.DUMMYFUNCTION("""COMPUTED_VALUE"""),"뉴타운 달팽이")</f>
        <v>뉴타운 달팽이</v>
      </c>
      <c r="B325" s="2" t="str">
        <f>IFERROR(__xludf.DUMMYFUNCTION("""COMPUTED_VALUE"""),"매시드 포테이토 분말")</f>
        <v>매시드 포테이토 분말</v>
      </c>
    </row>
    <row r="326">
      <c r="A326" s="2" t="str">
        <f>IFERROR(__xludf.DUMMYFUNCTION("""COMPUTED_VALUE"""),"뉴타운 달팽이")</f>
        <v>뉴타운 달팽이</v>
      </c>
      <c r="B326" s="2" t="str">
        <f>IFERROR(__xludf.DUMMYFUNCTION("""COMPUTED_VALUE"""),"레드와인")</f>
        <v>레드와인</v>
      </c>
    </row>
    <row r="327">
      <c r="A327" s="2" t="str">
        <f>IFERROR(__xludf.DUMMYFUNCTION("""COMPUTED_VALUE"""),"뉴타운 달팽이")</f>
        <v>뉴타운 달팽이</v>
      </c>
      <c r="B327" s="2" t="str">
        <f>IFERROR(__xludf.DUMMYFUNCTION("""COMPUTED_VALUE"""),"시금치")</f>
        <v>시금치</v>
      </c>
    </row>
    <row r="328">
      <c r="A328" s="2" t="str">
        <f>IFERROR(__xludf.DUMMYFUNCTION("""COMPUTED_VALUE"""),"삼국회담")</f>
        <v>삼국회담</v>
      </c>
      <c r="B328" s="2" t="str">
        <f>IFERROR(__xludf.DUMMYFUNCTION("""COMPUTED_VALUE"""),"양갈비")</f>
        <v>양갈비</v>
      </c>
    </row>
    <row r="329">
      <c r="A329" s="2" t="str">
        <f>IFERROR(__xludf.DUMMYFUNCTION("""COMPUTED_VALUE"""),"삼국회담")</f>
        <v>삼국회담</v>
      </c>
      <c r="B329" s="2" t="str">
        <f>IFERROR(__xludf.DUMMYFUNCTION("""COMPUTED_VALUE"""),"쌀국수면")</f>
        <v>쌀국수면</v>
      </c>
    </row>
    <row r="330">
      <c r="A330" s="2" t="str">
        <f>IFERROR(__xludf.DUMMYFUNCTION("""COMPUTED_VALUE"""),"삼국회담")</f>
        <v>삼국회담</v>
      </c>
      <c r="B330" s="2" t="str">
        <f>IFERROR(__xludf.DUMMYFUNCTION("""COMPUTED_VALUE"""),"커민")</f>
        <v>커민</v>
      </c>
    </row>
    <row r="331">
      <c r="A331" s="2" t="str">
        <f>IFERROR(__xludf.DUMMYFUNCTION("""COMPUTED_VALUE"""),"삼국회담")</f>
        <v>삼국회담</v>
      </c>
      <c r="B331" s="2" t="str">
        <f>IFERROR(__xludf.DUMMYFUNCTION("""COMPUTED_VALUE"""),"마늘")</f>
        <v>마늘</v>
      </c>
    </row>
    <row r="332">
      <c r="A332" s="2" t="str">
        <f>IFERROR(__xludf.DUMMYFUNCTION("""COMPUTED_VALUE"""),"삼국회담")</f>
        <v>삼국회담</v>
      </c>
      <c r="B332" s="2" t="str">
        <f>IFERROR(__xludf.DUMMYFUNCTION("""COMPUTED_VALUE"""),"중국 고추소스")</f>
        <v>중국 고추소스</v>
      </c>
    </row>
    <row r="333">
      <c r="A333" s="2" t="str">
        <f>IFERROR(__xludf.DUMMYFUNCTION("""COMPUTED_VALUE"""),"삼국회담")</f>
        <v>삼국회담</v>
      </c>
      <c r="B333" s="2" t="str">
        <f>IFERROR(__xludf.DUMMYFUNCTION("""COMPUTED_VALUE"""),"코코넛 밀크")</f>
        <v>코코넛 밀크</v>
      </c>
    </row>
    <row r="334">
      <c r="A334" s="2" t="str">
        <f>IFERROR(__xludf.DUMMYFUNCTION("""COMPUTED_VALUE"""),"삼국회담")</f>
        <v>삼국회담</v>
      </c>
      <c r="B334" s="2" t="str">
        <f>IFERROR(__xludf.DUMMYFUNCTION("""COMPUTED_VALUE"""),"새우젓")</f>
        <v>새우젓</v>
      </c>
    </row>
    <row r="335">
      <c r="A335" s="2" t="str">
        <f>IFERROR(__xludf.DUMMYFUNCTION("""COMPUTED_VALUE"""),"삼국회담")</f>
        <v>삼국회담</v>
      </c>
      <c r="B335" s="2" t="str">
        <f>IFERROR(__xludf.DUMMYFUNCTION("""COMPUTED_VALUE"""),"말린 양파")</f>
        <v>말린 양파</v>
      </c>
    </row>
    <row r="336">
      <c r="A336" s="2" t="str">
        <f>IFERROR(__xludf.DUMMYFUNCTION("""COMPUTED_VALUE"""),"삼국회담")</f>
        <v>삼국회담</v>
      </c>
      <c r="B336" s="2" t="str">
        <f>IFERROR(__xludf.DUMMYFUNCTION("""COMPUTED_VALUE"""),"피쉬소스")</f>
        <v>피쉬소스</v>
      </c>
    </row>
    <row r="337">
      <c r="A337" s="2" t="str">
        <f>IFERROR(__xludf.DUMMYFUNCTION("""COMPUTED_VALUE"""),"삼국회담")</f>
        <v>삼국회담</v>
      </c>
      <c r="B337" s="2" t="str">
        <f>IFERROR(__xludf.DUMMYFUNCTION("""COMPUTED_VALUE"""),"동치미 국물")</f>
        <v>동치미 국물</v>
      </c>
    </row>
    <row r="338">
      <c r="A338" s="2" t="str">
        <f>IFERROR(__xludf.DUMMYFUNCTION("""COMPUTED_VALUE"""),"삼국회담")</f>
        <v>삼국회담</v>
      </c>
      <c r="B338" s="2" t="str">
        <f>IFERROR(__xludf.DUMMYFUNCTION("""COMPUTED_VALUE"""),"탄산수")</f>
        <v>탄산수</v>
      </c>
    </row>
    <row r="339">
      <c r="A339" s="2" t="str">
        <f>IFERROR(__xludf.DUMMYFUNCTION("""COMPUTED_VALUE"""),"삼국회담")</f>
        <v>삼국회담</v>
      </c>
      <c r="B339" s="2" t="str">
        <f>IFERROR(__xludf.DUMMYFUNCTION("""COMPUTED_VALUE"""),"참기름")</f>
        <v>참기름</v>
      </c>
    </row>
    <row r="340">
      <c r="A340" s="2" t="str">
        <f>IFERROR(__xludf.DUMMYFUNCTION("""COMPUTED_VALUE"""),"로맨티스튜~♡")</f>
        <v>로맨티스튜~♡</v>
      </c>
      <c r="B340" s="2" t="str">
        <f>IFERROR(__xludf.DUMMYFUNCTION("""COMPUTED_VALUE"""),"한우 등심")</f>
        <v>한우 등심</v>
      </c>
    </row>
    <row r="341">
      <c r="A341" s="2" t="str">
        <f>IFERROR(__xludf.DUMMYFUNCTION("""COMPUTED_VALUE"""),"로맨티스튜~♡")</f>
        <v>로맨티스튜~♡</v>
      </c>
      <c r="B341" s="2" t="str">
        <f>IFERROR(__xludf.DUMMYFUNCTION("""COMPUTED_VALUE"""),"밀가루")</f>
        <v>밀가루</v>
      </c>
    </row>
    <row r="342">
      <c r="A342" s="2" t="str">
        <f>IFERROR(__xludf.DUMMYFUNCTION("""COMPUTED_VALUE"""),"로맨티스튜~♡")</f>
        <v>로맨티스튜~♡</v>
      </c>
      <c r="B342" s="2" t="str">
        <f>IFERROR(__xludf.DUMMYFUNCTION("""COMPUTED_VALUE"""),"베이컨")</f>
        <v>베이컨</v>
      </c>
    </row>
    <row r="343">
      <c r="A343" s="2" t="str">
        <f>IFERROR(__xludf.DUMMYFUNCTION("""COMPUTED_VALUE"""),"로맨티스튜~♡")</f>
        <v>로맨티스튜~♡</v>
      </c>
      <c r="B343" s="2" t="str">
        <f>IFERROR(__xludf.DUMMYFUNCTION("""COMPUTED_VALUE"""),"양파")</f>
        <v>양파</v>
      </c>
    </row>
    <row r="344">
      <c r="A344" s="2" t="str">
        <f>IFERROR(__xludf.DUMMYFUNCTION("""COMPUTED_VALUE"""),"로맨티스튜~♡")</f>
        <v>로맨티스튜~♡</v>
      </c>
      <c r="B344" s="2" t="str">
        <f>IFERROR(__xludf.DUMMYFUNCTION("""COMPUTED_VALUE"""),"토마토")</f>
        <v>토마토</v>
      </c>
    </row>
    <row r="345">
      <c r="A345" s="2" t="str">
        <f>IFERROR(__xludf.DUMMYFUNCTION("""COMPUTED_VALUE"""),"로맨티스튜~♡")</f>
        <v>로맨티스튜~♡</v>
      </c>
      <c r="B345" s="2" t="str">
        <f>IFERROR(__xludf.DUMMYFUNCTION("""COMPUTED_VALUE"""),"생크림")</f>
        <v>생크림</v>
      </c>
    </row>
    <row r="346">
      <c r="A346" s="2" t="str">
        <f>IFERROR(__xludf.DUMMYFUNCTION("""COMPUTED_VALUE"""),"로맨티스튜~♡")</f>
        <v>로맨티스튜~♡</v>
      </c>
      <c r="B346" s="2" t="str">
        <f>IFERROR(__xludf.DUMMYFUNCTION("""COMPUTED_VALUE"""),"코코넛 밀크")</f>
        <v>코코넛 밀크</v>
      </c>
    </row>
    <row r="347">
      <c r="A347" s="2" t="str">
        <f>IFERROR(__xludf.DUMMYFUNCTION("""COMPUTED_VALUE"""),"로맨티스튜~♡")</f>
        <v>로맨티스튜~♡</v>
      </c>
      <c r="B347" s="2" t="str">
        <f>IFERROR(__xludf.DUMMYFUNCTION("""COMPUTED_VALUE"""),"커리 페이스트")</f>
        <v>커리 페이스트</v>
      </c>
    </row>
    <row r="348">
      <c r="A348" s="2" t="str">
        <f>IFERROR(__xludf.DUMMYFUNCTION("""COMPUTED_VALUE"""),"로맨티스튜~♡")</f>
        <v>로맨티스튜~♡</v>
      </c>
      <c r="B348" s="2" t="str">
        <f>IFERROR(__xludf.DUMMYFUNCTION("""COMPUTED_VALUE"""),"양배추")</f>
        <v>양배추</v>
      </c>
    </row>
    <row r="349">
      <c r="A349" s="2" t="str">
        <f>IFERROR(__xludf.DUMMYFUNCTION("""COMPUTED_VALUE"""),"로맨티스튜~♡")</f>
        <v>로맨티스튜~♡</v>
      </c>
      <c r="B349" s="2" t="str">
        <f>IFERROR(__xludf.DUMMYFUNCTION("""COMPUTED_VALUE"""),"밥")</f>
        <v>밥</v>
      </c>
    </row>
    <row r="350">
      <c r="A350" s="2" t="str">
        <f>IFERROR(__xludf.DUMMYFUNCTION("""COMPUTED_VALUE"""),"로맨티스튜~♡")</f>
        <v>로맨티스튜~♡</v>
      </c>
      <c r="B350" s="2" t="str">
        <f>IFERROR(__xludf.DUMMYFUNCTION("""COMPUTED_VALUE"""),"레몬즙")</f>
        <v>레몬즙</v>
      </c>
    </row>
    <row r="351">
      <c r="A351" s="2" t="str">
        <f>IFERROR(__xludf.DUMMYFUNCTION("""COMPUTED_VALUE"""),"로맨티스튜~♡")</f>
        <v>로맨티스튜~♡</v>
      </c>
      <c r="B351" s="2" t="str">
        <f>IFERROR(__xludf.DUMMYFUNCTION("""COMPUTED_VALUE"""),"고수")</f>
        <v>고수</v>
      </c>
    </row>
    <row r="352">
      <c r="A352" s="2" t="str">
        <f>IFERROR(__xludf.DUMMYFUNCTION("""COMPUTED_VALUE"""),"로맨티스튜~♡")</f>
        <v>로맨티스튜~♡</v>
      </c>
      <c r="B352" s="2" t="str">
        <f>IFERROR(__xludf.DUMMYFUNCTION("""COMPUTED_VALUE"""),"홍고추")</f>
        <v>홍고추</v>
      </c>
    </row>
    <row r="353">
      <c r="A353" s="2" t="str">
        <f>IFERROR(__xludf.DUMMYFUNCTION("""COMPUTED_VALUE"""),"로맨티스튜~♡")</f>
        <v>로맨티스튜~♡</v>
      </c>
      <c r="B353" s="2" t="str">
        <f>IFERROR(__xludf.DUMMYFUNCTION("""COMPUTED_VALUE"""),"청고추")</f>
        <v>청고추</v>
      </c>
    </row>
    <row r="354">
      <c r="A354" s="2" t="str">
        <f>IFERROR(__xludf.DUMMYFUNCTION("""COMPUTED_VALUE"""),"로맨티스튜~♡")</f>
        <v>로맨티스튜~♡</v>
      </c>
      <c r="B354" s="2" t="str">
        <f>IFERROR(__xludf.DUMMYFUNCTION("""COMPUTED_VALUE"""),"올리브유")</f>
        <v>올리브유</v>
      </c>
    </row>
    <row r="355">
      <c r="A355" s="2" t="str">
        <f>IFERROR(__xludf.DUMMYFUNCTION("""COMPUTED_VALUE"""),"섹시 한 컵")</f>
        <v>섹시 한 컵</v>
      </c>
      <c r="B355" s="2" t="str">
        <f>IFERROR(__xludf.DUMMYFUNCTION("""COMPUTED_VALUE"""),"통조림햄")</f>
        <v>통조림햄</v>
      </c>
    </row>
    <row r="356">
      <c r="A356" s="2" t="str">
        <f>IFERROR(__xludf.DUMMYFUNCTION("""COMPUTED_VALUE"""),"섹시 한 컵")</f>
        <v>섹시 한 컵</v>
      </c>
      <c r="B356" s="2" t="str">
        <f>IFERROR(__xludf.DUMMYFUNCTION("""COMPUTED_VALUE"""),"슬라이스 치즈")</f>
        <v>슬라이스 치즈</v>
      </c>
    </row>
    <row r="357">
      <c r="A357" s="2" t="str">
        <f>IFERROR(__xludf.DUMMYFUNCTION("""COMPUTED_VALUE"""),"섹시 한 컵")</f>
        <v>섹시 한 컵</v>
      </c>
      <c r="B357" s="2" t="str">
        <f>IFERROR(__xludf.DUMMYFUNCTION("""COMPUTED_VALUE"""),"바질페스토")</f>
        <v>바질페스토</v>
      </c>
    </row>
    <row r="358">
      <c r="A358" s="2" t="str">
        <f>IFERROR(__xludf.DUMMYFUNCTION("""COMPUTED_VALUE"""),"섹시 한 컵")</f>
        <v>섹시 한 컵</v>
      </c>
      <c r="B358" s="2" t="str">
        <f>IFERROR(__xludf.DUMMYFUNCTION("""COMPUTED_VALUE"""),"달걀")</f>
        <v>달걀</v>
      </c>
    </row>
    <row r="359">
      <c r="A359" s="2" t="str">
        <f>IFERROR(__xludf.DUMMYFUNCTION("""COMPUTED_VALUE"""),"섹시 한 컵")</f>
        <v>섹시 한 컵</v>
      </c>
      <c r="B359" s="2" t="str">
        <f>IFERROR(__xludf.DUMMYFUNCTION("""COMPUTED_VALUE"""),"할라피뇨")</f>
        <v>할라피뇨</v>
      </c>
    </row>
    <row r="360">
      <c r="A360" s="2" t="str">
        <f>IFERROR(__xludf.DUMMYFUNCTION("""COMPUTED_VALUE"""),"가희에게 반하나")</f>
        <v>가희에게 반하나</v>
      </c>
      <c r="B360" s="2" t="str">
        <f>IFERROR(__xludf.DUMMYFUNCTION("""COMPUTED_VALUE"""),"달걀")</f>
        <v>달걀</v>
      </c>
    </row>
    <row r="361">
      <c r="A361" s="2" t="str">
        <f>IFERROR(__xludf.DUMMYFUNCTION("""COMPUTED_VALUE"""),"가희에게 반하나")</f>
        <v>가희에게 반하나</v>
      </c>
      <c r="B361" s="2" t="str">
        <f>IFERROR(__xludf.DUMMYFUNCTION("""COMPUTED_VALUE"""),"탄산수")</f>
        <v>탄산수</v>
      </c>
    </row>
    <row r="362">
      <c r="A362" s="2" t="str">
        <f>IFERROR(__xludf.DUMMYFUNCTION("""COMPUTED_VALUE"""),"가희에게 반하나")</f>
        <v>가희에게 반하나</v>
      </c>
      <c r="B362" s="2" t="str">
        <f>IFERROR(__xludf.DUMMYFUNCTION("""COMPUTED_VALUE"""),"바나나")</f>
        <v>바나나</v>
      </c>
    </row>
    <row r="363">
      <c r="A363" s="2" t="str">
        <f>IFERROR(__xludf.DUMMYFUNCTION("""COMPUTED_VALUE"""),"가희에게 반하나")</f>
        <v>가희에게 반하나</v>
      </c>
      <c r="B363" s="2" t="str">
        <f>IFERROR(__xludf.DUMMYFUNCTION("""COMPUTED_VALUE"""),"초콜릿 잼")</f>
        <v>초콜릿 잼</v>
      </c>
    </row>
    <row r="364">
      <c r="A364" s="2" t="str">
        <f>IFERROR(__xludf.DUMMYFUNCTION("""COMPUTED_VALUE"""),"가희에게 반하나")</f>
        <v>가희에게 반하나</v>
      </c>
      <c r="B364" s="2" t="str">
        <f>IFERROR(__xludf.DUMMYFUNCTION("""COMPUTED_VALUE"""),"견과류")</f>
        <v>견과류</v>
      </c>
    </row>
    <row r="365">
      <c r="A365" s="2" t="str">
        <f>IFERROR(__xludf.DUMMYFUNCTION("""COMPUTED_VALUE"""),"가희에게 반하나")</f>
        <v>가희에게 반하나</v>
      </c>
      <c r="B365" s="2" t="str">
        <f>IFERROR(__xludf.DUMMYFUNCTION("""COMPUTED_VALUE"""),"블루베리")</f>
        <v>블루베리</v>
      </c>
    </row>
    <row r="366">
      <c r="A366" s="2" t="str">
        <f>IFERROR(__xludf.DUMMYFUNCTION("""COMPUTED_VALUE"""),"엑소 떡볶이")</f>
        <v>엑소 떡볶이</v>
      </c>
      <c r="B366" s="2" t="str">
        <f>IFERROR(__xludf.DUMMYFUNCTION("""COMPUTED_VALUE"""),"인스턴트 떡볶이")</f>
        <v>인스턴트 떡볶이</v>
      </c>
    </row>
    <row r="367">
      <c r="A367" s="2" t="str">
        <f>IFERROR(__xludf.DUMMYFUNCTION("""COMPUTED_VALUE"""),"엑소 떡볶이")</f>
        <v>엑소 떡볶이</v>
      </c>
      <c r="B367" s="2" t="str">
        <f>IFERROR(__xludf.DUMMYFUNCTION("""COMPUTED_VALUE"""),"굴소스")</f>
        <v>굴소스</v>
      </c>
    </row>
    <row r="368">
      <c r="A368" s="2" t="str">
        <f>IFERROR(__xludf.DUMMYFUNCTION("""COMPUTED_VALUE"""),"엑소 떡볶이")</f>
        <v>엑소 떡볶이</v>
      </c>
      <c r="B368" s="2" t="str">
        <f>IFERROR(__xludf.DUMMYFUNCTION("""COMPUTED_VALUE"""),"XO소스")</f>
        <v>XO소스</v>
      </c>
    </row>
    <row r="369">
      <c r="A369" s="2" t="str">
        <f>IFERROR(__xludf.DUMMYFUNCTION("""COMPUTED_VALUE"""),"엑소 떡볶이")</f>
        <v>엑소 떡볶이</v>
      </c>
      <c r="B369" s="2" t="str">
        <f>IFERROR(__xludf.DUMMYFUNCTION("""COMPUTED_VALUE"""),"양배추")</f>
        <v>양배추</v>
      </c>
    </row>
    <row r="370">
      <c r="A370" s="2" t="str">
        <f>IFERROR(__xludf.DUMMYFUNCTION("""COMPUTED_VALUE"""),"엑소 떡볶이")</f>
        <v>엑소 떡볶이</v>
      </c>
      <c r="B370" s="2" t="str">
        <f>IFERROR(__xludf.DUMMYFUNCTION("""COMPUTED_VALUE"""),"로메인 상추")</f>
        <v>로메인 상추</v>
      </c>
    </row>
    <row r="371">
      <c r="A371" s="2" t="str">
        <f>IFERROR(__xludf.DUMMYFUNCTION("""COMPUTED_VALUE"""),"한 뚝볶이 하실래예?")</f>
        <v>한 뚝볶이 하실래예?</v>
      </c>
      <c r="B371" s="2" t="str">
        <f>IFERROR(__xludf.DUMMYFUNCTION("""COMPUTED_VALUE"""),"떡국떡")</f>
        <v>떡국떡</v>
      </c>
    </row>
    <row r="372">
      <c r="A372" s="2" t="str">
        <f>IFERROR(__xludf.DUMMYFUNCTION("""COMPUTED_VALUE"""),"한 뚝볶이 하실래예?")</f>
        <v>한 뚝볶이 하실래예?</v>
      </c>
      <c r="B372" s="2" t="str">
        <f>IFERROR(__xludf.DUMMYFUNCTION("""COMPUTED_VALUE"""),"감자")</f>
        <v>감자</v>
      </c>
    </row>
    <row r="373">
      <c r="A373" s="2" t="str">
        <f>IFERROR(__xludf.DUMMYFUNCTION("""COMPUTED_VALUE"""),"한 뚝볶이 하실래예?")</f>
        <v>한 뚝볶이 하실래예?</v>
      </c>
      <c r="B373" s="2" t="str">
        <f>IFERROR(__xludf.DUMMYFUNCTION("""COMPUTED_VALUE"""),"냉동만두")</f>
        <v>냉동만두</v>
      </c>
    </row>
    <row r="374">
      <c r="A374" s="2" t="str">
        <f>IFERROR(__xludf.DUMMYFUNCTION("""COMPUTED_VALUE"""),"한 뚝볶이 하실래예?")</f>
        <v>한 뚝볶이 하실래예?</v>
      </c>
      <c r="B374" s="2" t="str">
        <f>IFERROR(__xludf.DUMMYFUNCTION("""COMPUTED_VALUE"""),"페페로치노")</f>
        <v>페페로치노</v>
      </c>
    </row>
    <row r="375">
      <c r="A375" s="2" t="str">
        <f>IFERROR(__xludf.DUMMYFUNCTION("""COMPUTED_VALUE"""),"굴로장생")</f>
        <v>굴로장생</v>
      </c>
      <c r="B375" s="2" t="str">
        <f>IFERROR(__xludf.DUMMYFUNCTION("""COMPUTED_VALUE"""),"멸치가루")</f>
        <v>멸치가루</v>
      </c>
    </row>
    <row r="376">
      <c r="A376" s="2" t="str">
        <f>IFERROR(__xludf.DUMMYFUNCTION("""COMPUTED_VALUE"""),"굴로장생")</f>
        <v>굴로장생</v>
      </c>
      <c r="B376" s="2" t="str">
        <f>IFERROR(__xludf.DUMMYFUNCTION("""COMPUTED_VALUE"""),"굴비")</f>
        <v>굴비</v>
      </c>
    </row>
    <row r="377">
      <c r="A377" s="2" t="str">
        <f>IFERROR(__xludf.DUMMYFUNCTION("""COMPUTED_VALUE"""),"굴로장생")</f>
        <v>굴로장생</v>
      </c>
      <c r="B377" s="2" t="str">
        <f>IFERROR(__xludf.DUMMYFUNCTION("""COMPUTED_VALUE"""),"호두오일")</f>
        <v>호두오일</v>
      </c>
    </row>
    <row r="378">
      <c r="A378" s="2" t="str">
        <f>IFERROR(__xludf.DUMMYFUNCTION("""COMPUTED_VALUE"""),"굴로장생")</f>
        <v>굴로장생</v>
      </c>
      <c r="B378" s="2" t="str">
        <f>IFERROR(__xludf.DUMMYFUNCTION("""COMPUTED_VALUE"""),"레몬")</f>
        <v>레몬</v>
      </c>
    </row>
    <row r="379">
      <c r="A379" s="2" t="str">
        <f>IFERROR(__xludf.DUMMYFUNCTION("""COMPUTED_VALUE"""),"굴로장생")</f>
        <v>굴로장생</v>
      </c>
      <c r="B379" s="2" t="str">
        <f>IFERROR(__xludf.DUMMYFUNCTION("""COMPUTED_VALUE"""),"느타리버섯")</f>
        <v>느타리버섯</v>
      </c>
    </row>
    <row r="380">
      <c r="A380" s="2" t="str">
        <f>IFERROR(__xludf.DUMMYFUNCTION("""COMPUTED_VALUE"""),"굴로장생")</f>
        <v>굴로장생</v>
      </c>
      <c r="B380" s="2" t="str">
        <f>IFERROR(__xludf.DUMMYFUNCTION("""COMPUTED_VALUE"""),"그라나파다노 치즈")</f>
        <v>그라나파다노 치즈</v>
      </c>
    </row>
    <row r="381">
      <c r="A381" s="2" t="str">
        <f>IFERROR(__xludf.DUMMYFUNCTION("""COMPUTED_VALUE"""),"굴로장생")</f>
        <v>굴로장생</v>
      </c>
      <c r="B381" s="2" t="str">
        <f>IFERROR(__xludf.DUMMYFUNCTION("""COMPUTED_VALUE"""),"후추")</f>
        <v>후추</v>
      </c>
    </row>
    <row r="382">
      <c r="A382" s="2" t="str">
        <f>IFERROR(__xludf.DUMMYFUNCTION("""COMPUTED_VALUE"""),"굴로장생")</f>
        <v>굴로장생</v>
      </c>
      <c r="B382" s="2" t="str">
        <f>IFERROR(__xludf.DUMMYFUNCTION("""COMPUTED_VALUE"""),"고추장")</f>
        <v>고추장</v>
      </c>
    </row>
    <row r="383">
      <c r="A383" s="2" t="str">
        <f>IFERROR(__xludf.DUMMYFUNCTION("""COMPUTED_VALUE"""),"굴로장생")</f>
        <v>굴로장생</v>
      </c>
      <c r="B383" s="2" t="str">
        <f>IFERROR(__xludf.DUMMYFUNCTION("""COMPUTED_VALUE"""),"양파")</f>
        <v>양파</v>
      </c>
    </row>
    <row r="384">
      <c r="A384" s="2" t="str">
        <f>IFERROR(__xludf.DUMMYFUNCTION("""COMPUTED_VALUE"""),"굴로장생")</f>
        <v>굴로장생</v>
      </c>
      <c r="B384" s="2" t="str">
        <f>IFERROR(__xludf.DUMMYFUNCTION("""COMPUTED_VALUE"""),"마늘")</f>
        <v>마늘</v>
      </c>
    </row>
    <row r="385">
      <c r="A385" s="2" t="str">
        <f>IFERROR(__xludf.DUMMYFUNCTION("""COMPUTED_VALUE"""),"굴로장생")</f>
        <v>굴로장생</v>
      </c>
      <c r="B385" s="2" t="str">
        <f>IFERROR(__xludf.DUMMYFUNCTION("""COMPUTED_VALUE"""),"소금")</f>
        <v>소금</v>
      </c>
    </row>
    <row r="386">
      <c r="A386" s="2" t="str">
        <f>IFERROR(__xludf.DUMMYFUNCTION("""COMPUTED_VALUE"""),"굴로장생")</f>
        <v>굴로장생</v>
      </c>
      <c r="B386" s="2" t="str">
        <f>IFERROR(__xludf.DUMMYFUNCTION("""COMPUTED_VALUE"""),"후추")</f>
        <v>후추</v>
      </c>
    </row>
    <row r="387">
      <c r="A387" s="2" t="str">
        <f>IFERROR(__xludf.DUMMYFUNCTION("""COMPUTED_VALUE"""),"굴로장생")</f>
        <v>굴로장생</v>
      </c>
      <c r="B387" s="2" t="str">
        <f>IFERROR(__xludf.DUMMYFUNCTION("""COMPUTED_VALUE"""),"버터")</f>
        <v>버터</v>
      </c>
    </row>
    <row r="388">
      <c r="A388" s="2" t="str">
        <f>IFERROR(__xludf.DUMMYFUNCTION("""COMPUTED_VALUE"""),"낙지 호로록")</f>
        <v>낙지 호로록</v>
      </c>
      <c r="B388" s="2" t="str">
        <f>IFERROR(__xludf.DUMMYFUNCTION("""COMPUTED_VALUE"""),"낙지")</f>
        <v>낙지</v>
      </c>
    </row>
    <row r="389">
      <c r="A389" s="2" t="str">
        <f>IFERROR(__xludf.DUMMYFUNCTION("""COMPUTED_VALUE"""),"낙지 호로록")</f>
        <v>낙지 호로록</v>
      </c>
      <c r="B389" s="2" t="str">
        <f>IFERROR(__xludf.DUMMYFUNCTION("""COMPUTED_VALUE"""),"돌나물")</f>
        <v>돌나물</v>
      </c>
    </row>
    <row r="390">
      <c r="A390" s="2" t="str">
        <f>IFERROR(__xludf.DUMMYFUNCTION("""COMPUTED_VALUE"""),"낙지 호로록")</f>
        <v>낙지 호로록</v>
      </c>
      <c r="B390" s="2" t="str">
        <f>IFERROR(__xludf.DUMMYFUNCTION("""COMPUTED_VALUE"""),"레몬청")</f>
        <v>레몬청</v>
      </c>
    </row>
    <row r="391">
      <c r="A391" s="2" t="str">
        <f>IFERROR(__xludf.DUMMYFUNCTION("""COMPUTED_VALUE"""),"낙지 호로록")</f>
        <v>낙지 호로록</v>
      </c>
      <c r="B391" s="2" t="str">
        <f>IFERROR(__xludf.DUMMYFUNCTION("""COMPUTED_VALUE"""),"레몬")</f>
        <v>레몬</v>
      </c>
    </row>
    <row r="392">
      <c r="A392" s="2" t="str">
        <f>IFERROR(__xludf.DUMMYFUNCTION("""COMPUTED_VALUE"""),"낙지 호로록")</f>
        <v>낙지 호로록</v>
      </c>
      <c r="B392" s="2" t="str">
        <f>IFERROR(__xludf.DUMMYFUNCTION("""COMPUTED_VALUE"""),"청양고추")</f>
        <v>청양고추</v>
      </c>
    </row>
    <row r="393">
      <c r="A393" s="2" t="str">
        <f>IFERROR(__xludf.DUMMYFUNCTION("""COMPUTED_VALUE"""),"낙지 호로록")</f>
        <v>낙지 호로록</v>
      </c>
      <c r="B393" s="2" t="str">
        <f>IFERROR(__xludf.DUMMYFUNCTION("""COMPUTED_VALUE"""),"페페로치노")</f>
        <v>페페로치노</v>
      </c>
    </row>
    <row r="394">
      <c r="A394" s="2" t="str">
        <f>IFERROR(__xludf.DUMMYFUNCTION("""COMPUTED_VALUE"""),"낙지 호로록")</f>
        <v>낙지 호로록</v>
      </c>
      <c r="B394" s="2" t="str">
        <f>IFERROR(__xludf.DUMMYFUNCTION("""COMPUTED_VALUE"""),"소금")</f>
        <v>소금</v>
      </c>
    </row>
    <row r="395">
      <c r="A395" s="2" t="str">
        <f>IFERROR(__xludf.DUMMYFUNCTION("""COMPUTED_VALUE"""),"낙지 호로록")</f>
        <v>낙지 호로록</v>
      </c>
      <c r="B395" s="2" t="str">
        <f>IFERROR(__xludf.DUMMYFUNCTION("""COMPUTED_VALUE"""),"양파")</f>
        <v>양파</v>
      </c>
    </row>
    <row r="396">
      <c r="A396" s="2" t="str">
        <f>IFERROR(__xludf.DUMMYFUNCTION("""COMPUTED_VALUE"""),"낙지 호로록")</f>
        <v>낙지 호로록</v>
      </c>
      <c r="B396" s="2" t="str">
        <f>IFERROR(__xludf.DUMMYFUNCTION("""COMPUTED_VALUE"""),"식초")</f>
        <v>식초</v>
      </c>
    </row>
    <row r="397">
      <c r="A397" s="2" t="str">
        <f>IFERROR(__xludf.DUMMYFUNCTION("""COMPUTED_VALUE"""),"낙지 호로록")</f>
        <v>낙지 호로록</v>
      </c>
      <c r="B397" s="2" t="str">
        <f>IFERROR(__xludf.DUMMYFUNCTION("""COMPUTED_VALUE"""),"설탕")</f>
        <v>설탕</v>
      </c>
    </row>
    <row r="398">
      <c r="A398" s="2" t="str">
        <f>IFERROR(__xludf.DUMMYFUNCTION("""COMPUTED_VALUE"""),"낙지 호로록")</f>
        <v>낙지 호로록</v>
      </c>
      <c r="B398" s="2" t="str">
        <f>IFERROR(__xludf.DUMMYFUNCTION("""COMPUTED_VALUE"""),"다진 마늘")</f>
        <v>다진 마늘</v>
      </c>
    </row>
    <row r="399">
      <c r="A399" s="2" t="str">
        <f>IFERROR(__xludf.DUMMYFUNCTION("""COMPUTED_VALUE"""),"낙지 호로록")</f>
        <v>낙지 호로록</v>
      </c>
      <c r="B399" s="2" t="str">
        <f>IFERROR(__xludf.DUMMYFUNCTION("""COMPUTED_VALUE"""),"참기름")</f>
        <v>참기름</v>
      </c>
    </row>
    <row r="400">
      <c r="A400" s="2" t="str">
        <f>IFERROR(__xludf.DUMMYFUNCTION("""COMPUTED_VALUE"""),"낙지 호로록")</f>
        <v>낙지 호로록</v>
      </c>
      <c r="B400" s="2" t="str">
        <f>IFERROR(__xludf.DUMMYFUNCTION("""COMPUTED_VALUE"""),"깨")</f>
        <v>깨</v>
      </c>
    </row>
    <row r="401">
      <c r="A401" s="2" t="str">
        <f>IFERROR(__xludf.DUMMYFUNCTION("""COMPUTED_VALUE"""),"달.고.나")</f>
        <v>달.고.나</v>
      </c>
      <c r="B401" s="2" t="str">
        <f>IFERROR(__xludf.DUMMYFUNCTION("""COMPUTED_VALUE"""),"돼지고기 앞다리살")</f>
        <v>돼지고기 앞다리살</v>
      </c>
    </row>
    <row r="402">
      <c r="A402" s="2" t="str">
        <f>IFERROR(__xludf.DUMMYFUNCTION("""COMPUTED_VALUE"""),"달.고.나")</f>
        <v>달.고.나</v>
      </c>
      <c r="B402" s="2" t="str">
        <f>IFERROR(__xludf.DUMMYFUNCTION("""COMPUTED_VALUE"""),"마살라")</f>
        <v>마살라</v>
      </c>
    </row>
    <row r="403">
      <c r="A403" s="2" t="str">
        <f>IFERROR(__xludf.DUMMYFUNCTION("""COMPUTED_VALUE"""),"달.고.나")</f>
        <v>달.고.나</v>
      </c>
      <c r="B403" s="2" t="str">
        <f>IFERROR(__xludf.DUMMYFUNCTION("""COMPUTED_VALUE"""),"양파")</f>
        <v>양파</v>
      </c>
    </row>
    <row r="404">
      <c r="A404" s="2" t="str">
        <f>IFERROR(__xludf.DUMMYFUNCTION("""COMPUTED_VALUE"""),"달.고.나")</f>
        <v>달.고.나</v>
      </c>
      <c r="B404" s="2" t="str">
        <f>IFERROR(__xludf.DUMMYFUNCTION("""COMPUTED_VALUE"""),"당근")</f>
        <v>당근</v>
      </c>
    </row>
    <row r="405">
      <c r="A405" s="2" t="str">
        <f>IFERROR(__xludf.DUMMYFUNCTION("""COMPUTED_VALUE"""),"달.고.나")</f>
        <v>달.고.나</v>
      </c>
      <c r="B405" s="2" t="str">
        <f>IFERROR(__xludf.DUMMYFUNCTION("""COMPUTED_VALUE"""),"밀가루")</f>
        <v>밀가루</v>
      </c>
    </row>
    <row r="406">
      <c r="A406" s="2" t="str">
        <f>IFERROR(__xludf.DUMMYFUNCTION("""COMPUTED_VALUE"""),"달.고.나")</f>
        <v>달.고.나</v>
      </c>
      <c r="B406" s="2" t="str">
        <f>IFERROR(__xludf.DUMMYFUNCTION("""COMPUTED_VALUE"""),"버터")</f>
        <v>버터</v>
      </c>
    </row>
    <row r="407">
      <c r="A407" s="2" t="str">
        <f>IFERROR(__xludf.DUMMYFUNCTION("""COMPUTED_VALUE"""),"달.고.나")</f>
        <v>달.고.나</v>
      </c>
      <c r="B407" s="2" t="str">
        <f>IFERROR(__xludf.DUMMYFUNCTION("""COMPUTED_VALUE"""),"쪽파")</f>
        <v>쪽파</v>
      </c>
    </row>
    <row r="408">
      <c r="A408" s="2" t="str">
        <f>IFERROR(__xludf.DUMMYFUNCTION("""COMPUTED_VALUE"""),"오순도순")</f>
        <v>오순도순</v>
      </c>
      <c r="B408" s="2" t="str">
        <f>IFERROR(__xludf.DUMMYFUNCTION("""COMPUTED_VALUE"""),"오징어")</f>
        <v>오징어</v>
      </c>
    </row>
    <row r="409">
      <c r="A409" s="2" t="str">
        <f>IFERROR(__xludf.DUMMYFUNCTION("""COMPUTED_VALUE"""),"오순도순")</f>
        <v>오순도순</v>
      </c>
      <c r="B409" s="2" t="str">
        <f>IFERROR(__xludf.DUMMYFUNCTION("""COMPUTED_VALUE"""),"청양고추")</f>
        <v>청양고추</v>
      </c>
    </row>
    <row r="410">
      <c r="A410" s="2" t="str">
        <f>IFERROR(__xludf.DUMMYFUNCTION("""COMPUTED_VALUE"""),"오순도순")</f>
        <v>오순도순</v>
      </c>
      <c r="B410" s="2" t="str">
        <f>IFERROR(__xludf.DUMMYFUNCTION("""COMPUTED_VALUE"""),"쌈채소")</f>
        <v>쌈채소</v>
      </c>
    </row>
    <row r="411">
      <c r="A411" s="2" t="str">
        <f>IFERROR(__xludf.DUMMYFUNCTION("""COMPUTED_VALUE"""),"오순도순")</f>
        <v>오순도순</v>
      </c>
      <c r="B411" s="2" t="str">
        <f>IFERROR(__xludf.DUMMYFUNCTION("""COMPUTED_VALUE"""),"토마토")</f>
        <v>토마토</v>
      </c>
    </row>
    <row r="412">
      <c r="A412" s="2" t="str">
        <f>IFERROR(__xludf.DUMMYFUNCTION("""COMPUTED_VALUE"""),"오순도순")</f>
        <v>오순도순</v>
      </c>
      <c r="B412" s="2" t="str">
        <f>IFERROR(__xludf.DUMMYFUNCTION("""COMPUTED_VALUE"""),"레몬")</f>
        <v>레몬</v>
      </c>
    </row>
    <row r="413">
      <c r="A413" s="2" t="str">
        <f>IFERROR(__xludf.DUMMYFUNCTION("""COMPUTED_VALUE"""),"오순도순")</f>
        <v>오순도순</v>
      </c>
      <c r="B413" s="2" t="str">
        <f>IFERROR(__xludf.DUMMYFUNCTION("""COMPUTED_VALUE"""),"케이퍼")</f>
        <v>케이퍼</v>
      </c>
    </row>
    <row r="414">
      <c r="A414" s="2" t="str">
        <f>IFERROR(__xludf.DUMMYFUNCTION("""COMPUTED_VALUE"""),"오순도순")</f>
        <v>오순도순</v>
      </c>
      <c r="B414" s="2" t="str">
        <f>IFERROR(__xludf.DUMMYFUNCTION("""COMPUTED_VALUE"""),"그라나파다노 치즈")</f>
        <v>그라나파다노 치즈</v>
      </c>
    </row>
    <row r="415">
      <c r="A415" s="2" t="str">
        <f>IFERROR(__xludf.DUMMYFUNCTION("""COMPUTED_VALUE"""),"오순도순")</f>
        <v>오순도순</v>
      </c>
      <c r="B415" s="2" t="str">
        <f>IFERROR(__xludf.DUMMYFUNCTION("""COMPUTED_VALUE"""),"양파")</f>
        <v>양파</v>
      </c>
    </row>
    <row r="416">
      <c r="A416" s="2" t="str">
        <f>IFERROR(__xludf.DUMMYFUNCTION("""COMPUTED_VALUE"""),"오순도순")</f>
        <v>오순도순</v>
      </c>
      <c r="B416" s="2" t="str">
        <f>IFERROR(__xludf.DUMMYFUNCTION("""COMPUTED_VALUE"""),"대파")</f>
        <v>대파</v>
      </c>
    </row>
    <row r="417">
      <c r="A417" s="2" t="str">
        <f>IFERROR(__xludf.DUMMYFUNCTION("""COMPUTED_VALUE"""),"오순도순")</f>
        <v>오순도순</v>
      </c>
      <c r="B417" s="2" t="str">
        <f>IFERROR(__xludf.DUMMYFUNCTION("""COMPUTED_VALUE"""),"밥")</f>
        <v>밥</v>
      </c>
    </row>
    <row r="418">
      <c r="A418" s="2" t="str">
        <f>IFERROR(__xludf.DUMMYFUNCTION("""COMPUTED_VALUE"""),"오순도순")</f>
        <v>오순도순</v>
      </c>
      <c r="B418" s="2" t="str">
        <f>IFERROR(__xludf.DUMMYFUNCTION("""COMPUTED_VALUE"""),"쌈장")</f>
        <v>쌈장</v>
      </c>
    </row>
    <row r="419">
      <c r="A419" s="2" t="str">
        <f>IFERROR(__xludf.DUMMYFUNCTION("""COMPUTED_VALUE"""),"굴링굴링")</f>
        <v>굴링굴링</v>
      </c>
      <c r="B419" s="2" t="str">
        <f>IFERROR(__xludf.DUMMYFUNCTION("""COMPUTED_VALUE"""),"굴")</f>
        <v>굴</v>
      </c>
    </row>
    <row r="420">
      <c r="A420" s="2" t="str">
        <f>IFERROR(__xludf.DUMMYFUNCTION("""COMPUTED_VALUE"""),"굴링굴링")</f>
        <v>굴링굴링</v>
      </c>
      <c r="B420" s="2" t="str">
        <f>IFERROR(__xludf.DUMMYFUNCTION("""COMPUTED_VALUE"""),"우스터소스")</f>
        <v>우스터소스</v>
      </c>
    </row>
    <row r="421">
      <c r="A421" s="2" t="str">
        <f>IFERROR(__xludf.DUMMYFUNCTION("""COMPUTED_VALUE"""),"굴링굴링")</f>
        <v>굴링굴링</v>
      </c>
      <c r="B421" s="2" t="str">
        <f>IFERROR(__xludf.DUMMYFUNCTION("""COMPUTED_VALUE"""),"굴소스")</f>
        <v>굴소스</v>
      </c>
    </row>
    <row r="422">
      <c r="A422" s="2" t="str">
        <f>IFERROR(__xludf.DUMMYFUNCTION("""COMPUTED_VALUE"""),"굴링굴링")</f>
        <v>굴링굴링</v>
      </c>
      <c r="B422" s="2" t="str">
        <f>IFERROR(__xludf.DUMMYFUNCTION("""COMPUTED_VALUE"""),"매실장아찌")</f>
        <v>매실장아찌</v>
      </c>
    </row>
    <row r="423">
      <c r="A423" s="2" t="str">
        <f>IFERROR(__xludf.DUMMYFUNCTION("""COMPUTED_VALUE"""),"굴링굴링")</f>
        <v>굴링굴링</v>
      </c>
      <c r="B423" s="2" t="str">
        <f>IFERROR(__xludf.DUMMYFUNCTION("""COMPUTED_VALUE"""),"소금")</f>
        <v>소금</v>
      </c>
    </row>
    <row r="424">
      <c r="A424" s="2" t="str">
        <f>IFERROR(__xludf.DUMMYFUNCTION("""COMPUTED_VALUE"""),"굴링굴링")</f>
        <v>굴링굴링</v>
      </c>
      <c r="B424" s="2" t="str">
        <f>IFERROR(__xludf.DUMMYFUNCTION("""COMPUTED_VALUE"""),"식초")</f>
        <v>식초</v>
      </c>
    </row>
    <row r="425">
      <c r="A425" s="2" t="str">
        <f>IFERROR(__xludf.DUMMYFUNCTION("""COMPUTED_VALUE"""),"굴링굴링")</f>
        <v>굴링굴링</v>
      </c>
      <c r="B425" s="2" t="str">
        <f>IFERROR(__xludf.DUMMYFUNCTION("""COMPUTED_VALUE"""),"설탕")</f>
        <v>설탕</v>
      </c>
    </row>
    <row r="426">
      <c r="A426" s="2" t="str">
        <f>IFERROR(__xludf.DUMMYFUNCTION("""COMPUTED_VALUE"""),"굴링굴링")</f>
        <v>굴링굴링</v>
      </c>
      <c r="B426" s="2" t="str">
        <f>IFERROR(__xludf.DUMMYFUNCTION("""COMPUTED_VALUE"""),"간장")</f>
        <v>간장</v>
      </c>
    </row>
    <row r="427">
      <c r="A427" s="2" t="str">
        <f>IFERROR(__xludf.DUMMYFUNCTION("""COMPUTED_VALUE"""),"굴링굴링")</f>
        <v>굴링굴링</v>
      </c>
      <c r="B427" s="2" t="str">
        <f>IFERROR(__xludf.DUMMYFUNCTION("""COMPUTED_VALUE"""),"국수장국")</f>
        <v>국수장국</v>
      </c>
    </row>
    <row r="428">
      <c r="A428" s="2" t="str">
        <f>IFERROR(__xludf.DUMMYFUNCTION("""COMPUTED_VALUE"""),"굴링굴링")</f>
        <v>굴링굴링</v>
      </c>
      <c r="B428" s="2" t="str">
        <f>IFERROR(__xludf.DUMMYFUNCTION("""COMPUTED_VALUE"""),"연겨자")</f>
        <v>연겨자</v>
      </c>
    </row>
    <row r="429">
      <c r="A429" s="2" t="str">
        <f>IFERROR(__xludf.DUMMYFUNCTION("""COMPUTED_VALUE"""),"굴링굴링")</f>
        <v>굴링굴링</v>
      </c>
      <c r="B429" s="2" t="str">
        <f>IFERROR(__xludf.DUMMYFUNCTION("""COMPUTED_VALUE"""),"전분")</f>
        <v>전분</v>
      </c>
    </row>
    <row r="430">
      <c r="A430" s="2" t="str">
        <f>IFERROR(__xludf.DUMMYFUNCTION("""COMPUTED_VALUE"""),"굴링굴링")</f>
        <v>굴링굴링</v>
      </c>
      <c r="B430" s="2" t="str">
        <f>IFERROR(__xludf.DUMMYFUNCTION("""COMPUTED_VALUE"""),"양차")</f>
        <v>양차</v>
      </c>
    </row>
    <row r="431">
      <c r="A431" s="2" t="str">
        <f>IFERROR(__xludf.DUMMYFUNCTION("""COMPUTED_VALUE"""),"굴링굴링")</f>
        <v>굴링굴링</v>
      </c>
      <c r="B431" s="2" t="str">
        <f>IFERROR(__xludf.DUMMYFUNCTION("""COMPUTED_VALUE"""),"고추")</f>
        <v>고추</v>
      </c>
    </row>
    <row r="432">
      <c r="A432" s="2" t="str">
        <f>IFERROR(__xludf.DUMMYFUNCTION("""COMPUTED_VALUE"""),"굴링굴링")</f>
        <v>굴링굴링</v>
      </c>
      <c r="B432" s="2" t="str">
        <f>IFERROR(__xludf.DUMMYFUNCTION("""COMPUTED_VALUE"""),"쪽파")</f>
        <v>쪽파</v>
      </c>
    </row>
    <row r="433">
      <c r="A433" s="2" t="str">
        <f>IFERROR(__xludf.DUMMYFUNCTION("""COMPUTED_VALUE"""),"보굴보굴")</f>
        <v>보굴보굴</v>
      </c>
      <c r="B433" s="2" t="str">
        <f>IFERROR(__xludf.DUMMYFUNCTION("""COMPUTED_VALUE"""),"굴")</f>
        <v>굴</v>
      </c>
    </row>
    <row r="434">
      <c r="A434" s="2" t="str">
        <f>IFERROR(__xludf.DUMMYFUNCTION("""COMPUTED_VALUE"""),"보굴보굴")</f>
        <v>보굴보굴</v>
      </c>
      <c r="B434" s="2" t="str">
        <f>IFERROR(__xludf.DUMMYFUNCTION("""COMPUTED_VALUE"""),"미역")</f>
        <v>미역</v>
      </c>
    </row>
    <row r="435">
      <c r="A435" s="2" t="str">
        <f>IFERROR(__xludf.DUMMYFUNCTION("""COMPUTED_VALUE"""),"보굴보굴")</f>
        <v>보굴보굴</v>
      </c>
      <c r="B435" s="2" t="str">
        <f>IFERROR(__xludf.DUMMYFUNCTION("""COMPUTED_VALUE"""),"우유")</f>
        <v>우유</v>
      </c>
    </row>
    <row r="436">
      <c r="A436" s="2" t="str">
        <f>IFERROR(__xludf.DUMMYFUNCTION("""COMPUTED_VALUE"""),"보굴보굴")</f>
        <v>보굴보굴</v>
      </c>
      <c r="B436" s="2" t="str">
        <f>IFERROR(__xludf.DUMMYFUNCTION("""COMPUTED_VALUE"""),"양파")</f>
        <v>양파</v>
      </c>
    </row>
    <row r="437">
      <c r="A437" s="2" t="str">
        <f>IFERROR(__xludf.DUMMYFUNCTION("""COMPUTED_VALUE"""),"보굴보굴")</f>
        <v>보굴보굴</v>
      </c>
      <c r="B437" s="2" t="str">
        <f>IFERROR(__xludf.DUMMYFUNCTION("""COMPUTED_VALUE"""),"버터")</f>
        <v>버터</v>
      </c>
    </row>
    <row r="438">
      <c r="A438" s="2" t="str">
        <f>IFERROR(__xludf.DUMMYFUNCTION("""COMPUTED_VALUE"""),"보굴보굴")</f>
        <v>보굴보굴</v>
      </c>
      <c r="B438" s="2" t="str">
        <f>IFERROR(__xludf.DUMMYFUNCTION("""COMPUTED_VALUE"""),"밀가루")</f>
        <v>밀가루</v>
      </c>
    </row>
    <row r="439">
      <c r="A439" s="2" t="str">
        <f>IFERROR(__xludf.DUMMYFUNCTION("""COMPUTED_VALUE"""),"보굴보굴")</f>
        <v>보굴보굴</v>
      </c>
      <c r="B439" s="2" t="str">
        <f>IFERROR(__xludf.DUMMYFUNCTION("""COMPUTED_VALUE"""),"참기름")</f>
        <v>참기름</v>
      </c>
    </row>
    <row r="440">
      <c r="A440" s="2" t="str">
        <f>IFERROR(__xludf.DUMMYFUNCTION("""COMPUTED_VALUE"""),"보굴보굴")</f>
        <v>보굴보굴</v>
      </c>
      <c r="B440" s="2" t="str">
        <f>IFERROR(__xludf.DUMMYFUNCTION("""COMPUTED_VALUE"""),"마늘")</f>
        <v>마늘</v>
      </c>
    </row>
    <row r="441">
      <c r="A441" s="2" t="str">
        <f>IFERROR(__xludf.DUMMYFUNCTION("""COMPUTED_VALUE"""),"허풍찜닭밥")</f>
        <v>허풍찜닭밥</v>
      </c>
      <c r="B441" s="2" t="str">
        <f>IFERROR(__xludf.DUMMYFUNCTION("""COMPUTED_VALUE"""),"닭가슴살 통조림")</f>
        <v>닭가슴살 통조림</v>
      </c>
    </row>
    <row r="442">
      <c r="A442" s="2" t="str">
        <f>IFERROR(__xludf.DUMMYFUNCTION("""COMPUTED_VALUE"""),"허풍찜닭밥")</f>
        <v>허풍찜닭밥</v>
      </c>
      <c r="B442" s="2" t="str">
        <f>IFERROR(__xludf.DUMMYFUNCTION("""COMPUTED_VALUE"""),"참치 통조림")</f>
        <v>참치 통조림</v>
      </c>
    </row>
    <row r="443">
      <c r="A443" s="2" t="str">
        <f>IFERROR(__xludf.DUMMYFUNCTION("""COMPUTED_VALUE"""),"허풍찜닭밥")</f>
        <v>허풍찜닭밥</v>
      </c>
      <c r="B443" s="2" t="str">
        <f>IFERROR(__xludf.DUMMYFUNCTION("""COMPUTED_VALUE"""),"우스터소스")</f>
        <v>우스터소스</v>
      </c>
    </row>
    <row r="444">
      <c r="A444" s="2" t="str">
        <f>IFERROR(__xludf.DUMMYFUNCTION("""COMPUTED_VALUE"""),"허풍찜닭밥")</f>
        <v>허풍찜닭밥</v>
      </c>
      <c r="B444" s="2" t="str">
        <f>IFERROR(__xludf.DUMMYFUNCTION("""COMPUTED_VALUE"""),"김치")</f>
        <v>김치</v>
      </c>
    </row>
    <row r="445">
      <c r="A445" s="2" t="str">
        <f>IFERROR(__xludf.DUMMYFUNCTION("""COMPUTED_VALUE"""),"허풍찜닭밥")</f>
        <v>허풍찜닭밥</v>
      </c>
      <c r="B445" s="2" t="str">
        <f>IFERROR(__xludf.DUMMYFUNCTION("""COMPUTED_VALUE"""),"카레가루")</f>
        <v>카레가루</v>
      </c>
    </row>
    <row r="446">
      <c r="A446" s="2" t="str">
        <f>IFERROR(__xludf.DUMMYFUNCTION("""COMPUTED_VALUE"""),"허풍찜닭밥")</f>
        <v>허풍찜닭밥</v>
      </c>
      <c r="B446" s="2" t="str">
        <f>IFERROR(__xludf.DUMMYFUNCTION("""COMPUTED_VALUE"""),"달걀")</f>
        <v>달걀</v>
      </c>
    </row>
    <row r="447">
      <c r="A447" s="2" t="str">
        <f>IFERROR(__xludf.DUMMYFUNCTION("""COMPUTED_VALUE"""),"허풍찜닭밥")</f>
        <v>허풍찜닭밥</v>
      </c>
      <c r="B447" s="2" t="str">
        <f>IFERROR(__xludf.DUMMYFUNCTION("""COMPUTED_VALUE"""),"토마토")</f>
        <v>토마토</v>
      </c>
    </row>
    <row r="448">
      <c r="A448" s="2" t="str">
        <f>IFERROR(__xludf.DUMMYFUNCTION("""COMPUTED_VALUE"""),"허풍찜닭밥")</f>
        <v>허풍찜닭밥</v>
      </c>
      <c r="B448" s="2" t="str">
        <f>IFERROR(__xludf.DUMMYFUNCTION("""COMPUTED_VALUE"""),"레몬즙")</f>
        <v>레몬즙</v>
      </c>
    </row>
    <row r="449">
      <c r="A449" s="2" t="str">
        <f>IFERROR(__xludf.DUMMYFUNCTION("""COMPUTED_VALUE"""),"허풍찜닭밥")</f>
        <v>허풍찜닭밥</v>
      </c>
      <c r="B449" s="2" t="str">
        <f>IFERROR(__xludf.DUMMYFUNCTION("""COMPUTED_VALUE"""),"굴소스")</f>
        <v>굴소스</v>
      </c>
    </row>
    <row r="450">
      <c r="A450" s="2" t="str">
        <f>IFERROR(__xludf.DUMMYFUNCTION("""COMPUTED_VALUE"""),"허풍찜닭밥")</f>
        <v>허풍찜닭밥</v>
      </c>
      <c r="B450" s="2" t="str">
        <f>IFERROR(__xludf.DUMMYFUNCTION("""COMPUTED_VALUE"""),"양파")</f>
        <v>양파</v>
      </c>
    </row>
    <row r="451">
      <c r="A451" s="2" t="str">
        <f>IFERROR(__xludf.DUMMYFUNCTION("""COMPUTED_VALUE"""),"허풍찜닭밥")</f>
        <v>허풍찜닭밥</v>
      </c>
      <c r="B451" s="2" t="str">
        <f>IFERROR(__xludf.DUMMYFUNCTION("""COMPUTED_VALUE"""),"소금")</f>
        <v>소금</v>
      </c>
    </row>
    <row r="452">
      <c r="A452" s="2" t="str">
        <f>IFERROR(__xludf.DUMMYFUNCTION("""COMPUTED_VALUE"""),"허풍찜닭밥")</f>
        <v>허풍찜닭밥</v>
      </c>
      <c r="B452" s="2" t="str">
        <f>IFERROR(__xludf.DUMMYFUNCTION("""COMPUTED_VALUE"""),"후추")</f>
        <v>후추</v>
      </c>
    </row>
    <row r="453">
      <c r="A453" s="2" t="str">
        <f>IFERROR(__xludf.DUMMYFUNCTION("""COMPUTED_VALUE"""),"허풍찜닭밥")</f>
        <v>허풍찜닭밥</v>
      </c>
      <c r="B453" s="2" t="str">
        <f>IFERROR(__xludf.DUMMYFUNCTION("""COMPUTED_VALUE"""),"밥")</f>
        <v>밥</v>
      </c>
    </row>
    <row r="454">
      <c r="A454" s="2" t="str">
        <f>IFERROR(__xludf.DUMMYFUNCTION("""COMPUTED_VALUE"""),"허풍찜닭밥")</f>
        <v>허풍찜닭밥</v>
      </c>
      <c r="B454" s="2" t="str">
        <f>IFERROR(__xludf.DUMMYFUNCTION("""COMPUTED_VALUE"""),"전분")</f>
        <v>전분</v>
      </c>
    </row>
    <row r="455">
      <c r="A455" s="2" t="str">
        <f>IFERROR(__xludf.DUMMYFUNCTION("""COMPUTED_VALUE"""),"허풍찜닭밥")</f>
        <v>허풍찜닭밥</v>
      </c>
      <c r="B455" s="2" t="str">
        <f>IFERROR(__xludf.DUMMYFUNCTION("""COMPUTED_VALUE"""),"설탕")</f>
        <v>설탕</v>
      </c>
    </row>
    <row r="456">
      <c r="A456" s="2" t="str">
        <f>IFERROR(__xludf.DUMMYFUNCTION("""COMPUTED_VALUE"""),"허달달")</f>
        <v>허달달</v>
      </c>
      <c r="B456" s="2" t="str">
        <f>IFERROR(__xludf.DUMMYFUNCTION("""COMPUTED_VALUE"""),"치킨 비프볼")</f>
        <v>치킨 비프볼</v>
      </c>
    </row>
    <row r="457">
      <c r="A457" s="2" t="str">
        <f>IFERROR(__xludf.DUMMYFUNCTION("""COMPUTED_VALUE"""),"허달달")</f>
        <v>허달달</v>
      </c>
      <c r="B457" s="2" t="str">
        <f>IFERROR(__xludf.DUMMYFUNCTION("""COMPUTED_VALUE"""),"굴소스")</f>
        <v>굴소스</v>
      </c>
    </row>
    <row r="458">
      <c r="A458" s="2" t="str">
        <f>IFERROR(__xludf.DUMMYFUNCTION("""COMPUTED_VALUE"""),"허달달")</f>
        <v>허달달</v>
      </c>
      <c r="B458" s="2" t="str">
        <f>IFERROR(__xludf.DUMMYFUNCTION("""COMPUTED_VALUE"""),"달걀")</f>
        <v>달걀</v>
      </c>
    </row>
    <row r="459">
      <c r="A459" s="2" t="str">
        <f>IFERROR(__xludf.DUMMYFUNCTION("""COMPUTED_VALUE"""),"허달달")</f>
        <v>허달달</v>
      </c>
      <c r="B459" s="2" t="str">
        <f>IFERROR(__xludf.DUMMYFUNCTION("""COMPUTED_VALUE"""),"우유")</f>
        <v>우유</v>
      </c>
    </row>
    <row r="460">
      <c r="A460" s="2" t="str">
        <f>IFERROR(__xludf.DUMMYFUNCTION("""COMPUTED_VALUE"""),"허달달")</f>
        <v>허달달</v>
      </c>
      <c r="B460" s="2" t="str">
        <f>IFERROR(__xludf.DUMMYFUNCTION("""COMPUTED_VALUE"""),"소보로빵")</f>
        <v>소보로빵</v>
      </c>
    </row>
    <row r="461">
      <c r="A461" s="2" t="str">
        <f>IFERROR(__xludf.DUMMYFUNCTION("""COMPUTED_VALUE"""),"허달달")</f>
        <v>허달달</v>
      </c>
      <c r="B461" s="2" t="str">
        <f>IFERROR(__xludf.DUMMYFUNCTION("""COMPUTED_VALUE"""),"새송이 버섯")</f>
        <v>새송이 버섯</v>
      </c>
    </row>
    <row r="462">
      <c r="A462" s="2" t="str">
        <f>IFERROR(__xludf.DUMMYFUNCTION("""COMPUTED_VALUE"""),"허달달")</f>
        <v>허달달</v>
      </c>
      <c r="B462" s="2" t="str">
        <f>IFERROR(__xludf.DUMMYFUNCTION("""COMPUTED_VALUE"""),"두부")</f>
        <v>두부</v>
      </c>
    </row>
    <row r="463">
      <c r="A463" s="2" t="str">
        <f>IFERROR(__xludf.DUMMYFUNCTION("""COMPUTED_VALUE"""),"허달달")</f>
        <v>허달달</v>
      </c>
      <c r="B463" s="2" t="str">
        <f>IFERROR(__xludf.DUMMYFUNCTION("""COMPUTED_VALUE"""),"다시마")</f>
        <v>다시마</v>
      </c>
    </row>
    <row r="464">
      <c r="A464" s="2" t="str">
        <f>IFERROR(__xludf.DUMMYFUNCTION("""COMPUTED_VALUE"""),"허달달")</f>
        <v>허달달</v>
      </c>
      <c r="B464" s="2" t="str">
        <f>IFERROR(__xludf.DUMMYFUNCTION("""COMPUTED_VALUE"""),"멸치")</f>
        <v>멸치</v>
      </c>
    </row>
    <row r="465">
      <c r="A465" s="2" t="str">
        <f>IFERROR(__xludf.DUMMYFUNCTION("""COMPUTED_VALUE"""),"허달달")</f>
        <v>허달달</v>
      </c>
      <c r="B465" s="2" t="str">
        <f>IFERROR(__xludf.DUMMYFUNCTION("""COMPUTED_VALUE"""),"대파")</f>
        <v>대파</v>
      </c>
    </row>
    <row r="466">
      <c r="A466" s="2" t="str">
        <f>IFERROR(__xludf.DUMMYFUNCTION("""COMPUTED_VALUE"""),"허달달")</f>
        <v>허달달</v>
      </c>
      <c r="B466" s="2" t="str">
        <f>IFERROR(__xludf.DUMMYFUNCTION("""COMPUTED_VALUE"""),"양파")</f>
        <v>양파</v>
      </c>
    </row>
    <row r="467">
      <c r="A467" s="2" t="str">
        <f>IFERROR(__xludf.DUMMYFUNCTION("""COMPUTED_VALUE"""),"허달달")</f>
        <v>허달달</v>
      </c>
      <c r="B467" s="2" t="str">
        <f>IFERROR(__xludf.DUMMYFUNCTION("""COMPUTED_VALUE"""),"다진 마늘")</f>
        <v>다진 마늘</v>
      </c>
    </row>
    <row r="468">
      <c r="A468" s="2" t="str">
        <f>IFERROR(__xludf.DUMMYFUNCTION("""COMPUTED_VALUE"""),"허달달")</f>
        <v>허달달</v>
      </c>
      <c r="B468" s="2" t="str">
        <f>IFERROR(__xludf.DUMMYFUNCTION("""COMPUTED_VALUE"""),"다진 생강")</f>
        <v>다진 생강</v>
      </c>
    </row>
    <row r="469">
      <c r="A469" s="2" t="str">
        <f>IFERROR(__xludf.DUMMYFUNCTION("""COMPUTED_VALUE"""),"허달달")</f>
        <v>허달달</v>
      </c>
      <c r="B469" s="2" t="str">
        <f>IFERROR(__xludf.DUMMYFUNCTION("""COMPUTED_VALUE"""),"즉석밥")</f>
        <v>즉석밥</v>
      </c>
    </row>
    <row r="470">
      <c r="A470" s="2" t="str">
        <f>IFERROR(__xludf.DUMMYFUNCTION("""COMPUTED_VALUE"""),"파콘 투게더")</f>
        <v>파콘 투게더</v>
      </c>
      <c r="B470" s="2" t="str">
        <f>IFERROR(__xludf.DUMMYFUNCTION("""COMPUTED_VALUE"""),"옥수수캔")</f>
        <v>옥수수캔</v>
      </c>
    </row>
    <row r="471">
      <c r="A471" s="2" t="str">
        <f>IFERROR(__xludf.DUMMYFUNCTION("""COMPUTED_VALUE"""),"파콘 투게더")</f>
        <v>파콘 투게더</v>
      </c>
      <c r="B471" s="2" t="str">
        <f>IFERROR(__xludf.DUMMYFUNCTION("""COMPUTED_VALUE"""),"참치캔")</f>
        <v>참치캔</v>
      </c>
    </row>
    <row r="472">
      <c r="A472" s="2" t="str">
        <f>IFERROR(__xludf.DUMMYFUNCTION("""COMPUTED_VALUE"""),"파콘 투게더")</f>
        <v>파콘 투게더</v>
      </c>
      <c r="B472" s="2" t="str">
        <f>IFERROR(__xludf.DUMMYFUNCTION("""COMPUTED_VALUE"""),"펜네")</f>
        <v>펜네</v>
      </c>
    </row>
    <row r="473">
      <c r="A473" s="2" t="str">
        <f>IFERROR(__xludf.DUMMYFUNCTION("""COMPUTED_VALUE"""),"파콘 투게더")</f>
        <v>파콘 투게더</v>
      </c>
      <c r="B473" s="2" t="str">
        <f>IFERROR(__xludf.DUMMYFUNCTION("""COMPUTED_VALUE"""),"방울토마토")</f>
        <v>방울토마토</v>
      </c>
    </row>
    <row r="474">
      <c r="A474" s="2" t="str">
        <f>IFERROR(__xludf.DUMMYFUNCTION("""COMPUTED_VALUE"""),"파콘 투게더")</f>
        <v>파콘 투게더</v>
      </c>
      <c r="B474" s="2" t="str">
        <f>IFERROR(__xludf.DUMMYFUNCTION("""COMPUTED_VALUE"""),"베이컨")</f>
        <v>베이컨</v>
      </c>
    </row>
    <row r="475">
      <c r="A475" s="2" t="str">
        <f>IFERROR(__xludf.DUMMYFUNCTION("""COMPUTED_VALUE"""),"파콘 투게더")</f>
        <v>파콘 투게더</v>
      </c>
      <c r="B475" s="2" t="str">
        <f>IFERROR(__xludf.DUMMYFUNCTION("""COMPUTED_VALUE"""),"아보카도")</f>
        <v>아보카도</v>
      </c>
    </row>
    <row r="476">
      <c r="A476" s="2" t="str">
        <f>IFERROR(__xludf.DUMMYFUNCTION("""COMPUTED_VALUE"""),"파콘 투게더")</f>
        <v>파콘 투게더</v>
      </c>
      <c r="B476" s="2" t="str">
        <f>IFERROR(__xludf.DUMMYFUNCTION("""COMPUTED_VALUE"""),"칠리파우더")</f>
        <v>칠리파우더</v>
      </c>
    </row>
    <row r="477">
      <c r="A477" s="2" t="str">
        <f>IFERROR(__xludf.DUMMYFUNCTION("""COMPUTED_VALUE"""),"파콘 투게더")</f>
        <v>파콘 투게더</v>
      </c>
      <c r="B477" s="2" t="str">
        <f>IFERROR(__xludf.DUMMYFUNCTION("""COMPUTED_VALUE"""),"파마산 치즈")</f>
        <v>파마산 치즈</v>
      </c>
    </row>
    <row r="478">
      <c r="A478" s="2" t="str">
        <f>IFERROR(__xludf.DUMMYFUNCTION("""COMPUTED_VALUE"""),"파콘 투게더")</f>
        <v>파콘 투게더</v>
      </c>
      <c r="B478" s="2" t="str">
        <f>IFERROR(__xludf.DUMMYFUNCTION("""COMPUTED_VALUE"""),"고수")</f>
        <v>고수</v>
      </c>
    </row>
    <row r="479">
      <c r="A479" s="2" t="str">
        <f>IFERROR(__xludf.DUMMYFUNCTION("""COMPUTED_VALUE"""),"파콘 투게더")</f>
        <v>파콘 투게더</v>
      </c>
      <c r="B479" s="2" t="str">
        <f>IFERROR(__xludf.DUMMYFUNCTION("""COMPUTED_VALUE"""),"소금")</f>
        <v>소금</v>
      </c>
    </row>
    <row r="480">
      <c r="A480" s="2" t="str">
        <f>IFERROR(__xludf.DUMMYFUNCTION("""COMPUTED_VALUE"""),"파콘 투게더")</f>
        <v>파콘 투게더</v>
      </c>
      <c r="B480" s="2" t="str">
        <f>IFERROR(__xludf.DUMMYFUNCTION("""COMPUTED_VALUE"""),"레몬즙")</f>
        <v>레몬즙</v>
      </c>
    </row>
    <row r="481">
      <c r="A481" s="2" t="str">
        <f>IFERROR(__xludf.DUMMYFUNCTION("""COMPUTED_VALUE"""),"파콘 투게더")</f>
        <v>파콘 투게더</v>
      </c>
      <c r="B481" s="2" t="str">
        <f>IFERROR(__xludf.DUMMYFUNCTION("""COMPUTED_VALUE"""),"양파")</f>
        <v>양파</v>
      </c>
    </row>
    <row r="482">
      <c r="A482" s="2" t="str">
        <f>IFERROR(__xludf.DUMMYFUNCTION("""COMPUTED_VALUE"""),"백 투 더 치킨")</f>
        <v>백 투 더 치킨</v>
      </c>
      <c r="B482" s="2" t="str">
        <f>IFERROR(__xludf.DUMMYFUNCTION("""COMPUTED_VALUE"""),"닭고기")</f>
        <v>닭고기</v>
      </c>
    </row>
    <row r="483">
      <c r="A483" s="2" t="str">
        <f>IFERROR(__xludf.DUMMYFUNCTION("""COMPUTED_VALUE"""),"백 투 더 치킨")</f>
        <v>백 투 더 치킨</v>
      </c>
      <c r="B483" s="2" t="str">
        <f>IFERROR(__xludf.DUMMYFUNCTION("""COMPUTED_VALUE"""),"생강")</f>
        <v>생강</v>
      </c>
    </row>
    <row r="484">
      <c r="A484" s="2" t="str">
        <f>IFERROR(__xludf.DUMMYFUNCTION("""COMPUTED_VALUE"""),"백 투 더 치킨")</f>
        <v>백 투 더 치킨</v>
      </c>
      <c r="B484" s="2" t="str">
        <f>IFERROR(__xludf.DUMMYFUNCTION("""COMPUTED_VALUE"""),"달걀")</f>
        <v>달걀</v>
      </c>
    </row>
    <row r="485">
      <c r="A485" s="2" t="str">
        <f>IFERROR(__xludf.DUMMYFUNCTION("""COMPUTED_VALUE"""),"백 투 더 치킨")</f>
        <v>백 투 더 치킨</v>
      </c>
      <c r="B485" s="2" t="str">
        <f>IFERROR(__xludf.DUMMYFUNCTION("""COMPUTED_VALUE"""),"방울토마토")</f>
        <v>방울토마토</v>
      </c>
    </row>
    <row r="486">
      <c r="A486" s="2" t="str">
        <f>IFERROR(__xludf.DUMMYFUNCTION("""COMPUTED_VALUE"""),"백 투 더 치킨")</f>
        <v>백 투 더 치킨</v>
      </c>
      <c r="B486" s="2" t="str">
        <f>IFERROR(__xludf.DUMMYFUNCTION("""COMPUTED_VALUE"""),"고수")</f>
        <v>고수</v>
      </c>
    </row>
    <row r="487">
      <c r="A487" s="2" t="str">
        <f>IFERROR(__xludf.DUMMYFUNCTION("""COMPUTED_VALUE"""),"백 투 더 치킨")</f>
        <v>백 투 더 치킨</v>
      </c>
      <c r="B487" s="2" t="str">
        <f>IFERROR(__xludf.DUMMYFUNCTION("""COMPUTED_VALUE"""),"올리브유")</f>
        <v>올리브유</v>
      </c>
    </row>
    <row r="488">
      <c r="A488" s="2" t="str">
        <f>IFERROR(__xludf.DUMMYFUNCTION("""COMPUTED_VALUE"""),"백 투 더 치킨")</f>
        <v>백 투 더 치킨</v>
      </c>
      <c r="B488" s="2" t="str">
        <f>IFERROR(__xludf.DUMMYFUNCTION("""COMPUTED_VALUE"""),"양파")</f>
        <v>양파</v>
      </c>
    </row>
    <row r="489">
      <c r="A489" s="2" t="str">
        <f>IFERROR(__xludf.DUMMYFUNCTION("""COMPUTED_VALUE"""),"백 투 더 치킨")</f>
        <v>백 투 더 치킨</v>
      </c>
      <c r="B489" s="2" t="str">
        <f>IFERROR(__xludf.DUMMYFUNCTION("""COMPUTED_VALUE"""),"당근")</f>
        <v>당근</v>
      </c>
    </row>
    <row r="490">
      <c r="A490" s="2" t="str">
        <f>IFERROR(__xludf.DUMMYFUNCTION("""COMPUTED_VALUE"""),"백 투 더 치킨")</f>
        <v>백 투 더 치킨</v>
      </c>
      <c r="B490" s="2" t="str">
        <f>IFERROR(__xludf.DUMMYFUNCTION("""COMPUTED_VALUE"""),"전분")</f>
        <v>전분</v>
      </c>
    </row>
    <row r="491">
      <c r="A491" s="2" t="str">
        <f>IFERROR(__xludf.DUMMYFUNCTION("""COMPUTED_VALUE"""),"멕시코 갓(god) 쌈?!")</f>
        <v>멕시코 갓(god) 쌈?!</v>
      </c>
      <c r="B491" s="2" t="str">
        <f>IFERROR(__xludf.DUMMYFUNCTION("""COMPUTED_VALUE"""),"망고스틴")</f>
        <v>망고스틴</v>
      </c>
    </row>
    <row r="492">
      <c r="A492" s="2" t="str">
        <f>IFERROR(__xludf.DUMMYFUNCTION("""COMPUTED_VALUE"""),"멕시코 갓(god) 쌈?!")</f>
        <v>멕시코 갓(god) 쌈?!</v>
      </c>
      <c r="B492" s="2" t="str">
        <f>IFERROR(__xludf.DUMMYFUNCTION("""COMPUTED_VALUE"""),"방울토마토")</f>
        <v>방울토마토</v>
      </c>
    </row>
    <row r="493">
      <c r="A493" s="2" t="str">
        <f>IFERROR(__xludf.DUMMYFUNCTION("""COMPUTED_VALUE"""),"멕시코 갓(god) 쌈?!")</f>
        <v>멕시코 갓(god) 쌈?!</v>
      </c>
      <c r="B493" s="2" t="str">
        <f>IFERROR(__xludf.DUMMYFUNCTION("""COMPUTED_VALUE"""),"고수")</f>
        <v>고수</v>
      </c>
    </row>
    <row r="494">
      <c r="A494" s="2" t="str">
        <f>IFERROR(__xludf.DUMMYFUNCTION("""COMPUTED_VALUE"""),"멕시코 갓(god) 쌈?!")</f>
        <v>멕시코 갓(god) 쌈?!</v>
      </c>
      <c r="B494" s="2" t="str">
        <f>IFERROR(__xludf.DUMMYFUNCTION("""COMPUTED_VALUE"""),"사워크림")</f>
        <v>사워크림</v>
      </c>
    </row>
    <row r="495">
      <c r="A495" s="2" t="str">
        <f>IFERROR(__xludf.DUMMYFUNCTION("""COMPUTED_VALUE"""),"멕시코 갓(god) 쌈?!")</f>
        <v>멕시코 갓(god) 쌈?!</v>
      </c>
      <c r="B495" s="2" t="str">
        <f>IFERROR(__xludf.DUMMYFUNCTION("""COMPUTED_VALUE"""),"사과")</f>
        <v>사과</v>
      </c>
    </row>
    <row r="496">
      <c r="A496" s="2" t="str">
        <f>IFERROR(__xludf.DUMMYFUNCTION("""COMPUTED_VALUE"""),"멕시코 갓(god) 쌈?!")</f>
        <v>멕시코 갓(god) 쌈?!</v>
      </c>
      <c r="B496" s="2" t="str">
        <f>IFERROR(__xludf.DUMMYFUNCTION("""COMPUTED_VALUE"""),"타코시즈닝")</f>
        <v>타코시즈닝</v>
      </c>
    </row>
    <row r="497">
      <c r="A497" s="2" t="str">
        <f>IFERROR(__xludf.DUMMYFUNCTION("""COMPUTED_VALUE"""),"멕시코 갓(god) 쌈?!")</f>
        <v>멕시코 갓(god) 쌈?!</v>
      </c>
      <c r="B497" s="2" t="str">
        <f>IFERROR(__xludf.DUMMYFUNCTION("""COMPUTED_VALUE"""),"식빵")</f>
        <v>식빵</v>
      </c>
    </row>
    <row r="498">
      <c r="A498" s="2" t="str">
        <f>IFERROR(__xludf.DUMMYFUNCTION("""COMPUTED_VALUE"""),"멕시코 갓(god) 쌈?!")</f>
        <v>멕시코 갓(god) 쌈?!</v>
      </c>
      <c r="B498" s="2" t="str">
        <f>IFERROR(__xludf.DUMMYFUNCTION("""COMPUTED_VALUE"""),"소시지")</f>
        <v>소시지</v>
      </c>
    </row>
    <row r="499">
      <c r="A499" s="2" t="str">
        <f>IFERROR(__xludf.DUMMYFUNCTION("""COMPUTED_VALUE"""),"멕시코 갓(god) 쌈?!")</f>
        <v>멕시코 갓(god) 쌈?!</v>
      </c>
      <c r="B499" s="2" t="str">
        <f>IFERROR(__xludf.DUMMYFUNCTION("""COMPUTED_VALUE"""),"슬라이스 치즈")</f>
        <v>슬라이스 치즈</v>
      </c>
    </row>
    <row r="500">
      <c r="A500" s="2" t="str">
        <f>IFERROR(__xludf.DUMMYFUNCTION("""COMPUTED_VALUE"""),"멕시코 갓(god) 쌈?!")</f>
        <v>멕시코 갓(god) 쌈?!</v>
      </c>
      <c r="B500" s="2" t="str">
        <f>IFERROR(__xludf.DUMMYFUNCTION("""COMPUTED_VALUE"""),"화이트와인")</f>
        <v>화이트와인</v>
      </c>
    </row>
    <row r="501">
      <c r="A501" s="2" t="str">
        <f>IFERROR(__xludf.DUMMYFUNCTION("""COMPUTED_VALUE"""),"타코 리턴")</f>
        <v>타코 리턴</v>
      </c>
      <c r="B501" s="2" t="str">
        <f>IFERROR(__xludf.DUMMYFUNCTION("""COMPUTED_VALUE"""),"만두피")</f>
        <v>만두피</v>
      </c>
    </row>
    <row r="502">
      <c r="A502" s="2" t="str">
        <f>IFERROR(__xludf.DUMMYFUNCTION("""COMPUTED_VALUE"""),"타코 리턴")</f>
        <v>타코 리턴</v>
      </c>
      <c r="B502" s="2" t="str">
        <f>IFERROR(__xludf.DUMMYFUNCTION("""COMPUTED_VALUE"""),"다진 소고기")</f>
        <v>다진 소고기</v>
      </c>
    </row>
    <row r="503">
      <c r="A503" s="2" t="str">
        <f>IFERROR(__xludf.DUMMYFUNCTION("""COMPUTED_VALUE"""),"타코 리턴")</f>
        <v>타코 리턴</v>
      </c>
      <c r="B503" s="2" t="str">
        <f>IFERROR(__xludf.DUMMYFUNCTION("""COMPUTED_VALUE"""),"타코시즈닝")</f>
        <v>타코시즈닝</v>
      </c>
    </row>
    <row r="504">
      <c r="A504" s="2" t="str">
        <f>IFERROR(__xludf.DUMMYFUNCTION("""COMPUTED_VALUE"""),"타코 리턴")</f>
        <v>타코 리턴</v>
      </c>
      <c r="B504" s="2" t="str">
        <f>IFERROR(__xludf.DUMMYFUNCTION("""COMPUTED_VALUE"""),"방울토마토")</f>
        <v>방울토마토</v>
      </c>
    </row>
    <row r="505">
      <c r="A505" s="2" t="str">
        <f>IFERROR(__xludf.DUMMYFUNCTION("""COMPUTED_VALUE"""),"타코 리턴")</f>
        <v>타코 리턴</v>
      </c>
      <c r="B505" s="2" t="str">
        <f>IFERROR(__xludf.DUMMYFUNCTION("""COMPUTED_VALUE"""),"얼린 토마토")</f>
        <v>얼린 토마토</v>
      </c>
    </row>
    <row r="506">
      <c r="A506" s="2" t="str">
        <f>IFERROR(__xludf.DUMMYFUNCTION("""COMPUTED_VALUE"""),"타코 리턴")</f>
        <v>타코 리턴</v>
      </c>
      <c r="B506" s="2" t="str">
        <f>IFERROR(__xludf.DUMMYFUNCTION("""COMPUTED_VALUE"""),"고수")</f>
        <v>고수</v>
      </c>
    </row>
    <row r="507">
      <c r="A507" s="2" t="str">
        <f>IFERROR(__xludf.DUMMYFUNCTION("""COMPUTED_VALUE"""),"타코 리턴")</f>
        <v>타코 리턴</v>
      </c>
      <c r="B507" s="2" t="str">
        <f>IFERROR(__xludf.DUMMYFUNCTION("""COMPUTED_VALUE"""),"마늘장아찌")</f>
        <v>마늘장아찌</v>
      </c>
    </row>
    <row r="508">
      <c r="A508" s="2" t="str">
        <f>IFERROR(__xludf.DUMMYFUNCTION("""COMPUTED_VALUE"""),"타코 리턴")</f>
        <v>타코 리턴</v>
      </c>
      <c r="B508" s="2" t="str">
        <f>IFERROR(__xludf.DUMMYFUNCTION("""COMPUTED_VALUE"""),"아보카도")</f>
        <v>아보카도</v>
      </c>
    </row>
    <row r="509">
      <c r="A509" s="2" t="str">
        <f>IFERROR(__xludf.DUMMYFUNCTION("""COMPUTED_VALUE"""),"타코 리턴")</f>
        <v>타코 리턴</v>
      </c>
      <c r="B509" s="2" t="str">
        <f>IFERROR(__xludf.DUMMYFUNCTION("""COMPUTED_VALUE"""),"사워크림")</f>
        <v>사워크림</v>
      </c>
    </row>
    <row r="510">
      <c r="A510" s="2" t="str">
        <f>IFERROR(__xludf.DUMMYFUNCTION("""COMPUTED_VALUE"""),"타코 리턴")</f>
        <v>타코 리턴</v>
      </c>
      <c r="B510" s="2" t="str">
        <f>IFERROR(__xludf.DUMMYFUNCTION("""COMPUTED_VALUE"""),"스리라차 소스")</f>
        <v>스리라차 소스</v>
      </c>
    </row>
    <row r="511">
      <c r="A511" s="2" t="str">
        <f>IFERROR(__xludf.DUMMYFUNCTION("""COMPUTED_VALUE"""),"타코 리턴")</f>
        <v>타코 리턴</v>
      </c>
      <c r="B511" s="2" t="str">
        <f>IFERROR(__xludf.DUMMYFUNCTION("""COMPUTED_VALUE"""),"핫소스")</f>
        <v>핫소스</v>
      </c>
    </row>
    <row r="512">
      <c r="A512" s="2" t="str">
        <f>IFERROR(__xludf.DUMMYFUNCTION("""COMPUTED_VALUE"""),"타코 리턴")</f>
        <v>타코 리턴</v>
      </c>
      <c r="B512" s="2" t="str">
        <f>IFERROR(__xludf.DUMMYFUNCTION("""COMPUTED_VALUE"""),"소금")</f>
        <v>소금</v>
      </c>
    </row>
    <row r="513">
      <c r="A513" s="2" t="str">
        <f>IFERROR(__xludf.DUMMYFUNCTION("""COMPUTED_VALUE"""),"타코 리턴")</f>
        <v>타코 리턴</v>
      </c>
      <c r="B513" s="2" t="str">
        <f>IFERROR(__xludf.DUMMYFUNCTION("""COMPUTED_VALUE"""),"후추")</f>
        <v>후추</v>
      </c>
    </row>
    <row r="514">
      <c r="A514" s="2" t="str">
        <f>IFERROR(__xludf.DUMMYFUNCTION("""COMPUTED_VALUE"""),"타코 리턴")</f>
        <v>타코 리턴</v>
      </c>
      <c r="B514" s="2" t="str">
        <f>IFERROR(__xludf.DUMMYFUNCTION("""COMPUTED_VALUE"""),"양파")</f>
        <v>양파</v>
      </c>
    </row>
    <row r="515">
      <c r="A515" s="2" t="str">
        <f>IFERROR(__xludf.DUMMYFUNCTION("""COMPUTED_VALUE"""),"타코 리턴")</f>
        <v>타코 리턴</v>
      </c>
      <c r="B515" s="2" t="str">
        <f>IFERROR(__xludf.DUMMYFUNCTION("""COMPUTED_VALUE"""),"올리브유")</f>
        <v>올리브유</v>
      </c>
    </row>
    <row r="516">
      <c r="A516" s="2" t="str">
        <f>IFERROR(__xludf.DUMMYFUNCTION("""COMPUTED_VALUE"""),"타코 리턴")</f>
        <v>타코 리턴</v>
      </c>
      <c r="B516" s="2" t="str">
        <f>IFERROR(__xludf.DUMMYFUNCTION("""COMPUTED_VALUE"""),"레몬즙")</f>
        <v>레몬즙</v>
      </c>
    </row>
    <row r="517">
      <c r="A517" s="2" t="str">
        <f>IFERROR(__xludf.DUMMYFUNCTION("""COMPUTED_VALUE"""),"냉장고탕")</f>
        <v>냉장고탕</v>
      </c>
      <c r="B517" s="2" t="str">
        <f>IFERROR(__xludf.DUMMYFUNCTION("""COMPUTED_VALUE"""),"김치")</f>
        <v>김치</v>
      </c>
    </row>
    <row r="518">
      <c r="A518" s="2" t="str">
        <f>IFERROR(__xludf.DUMMYFUNCTION("""COMPUTED_VALUE"""),"냉장고탕")</f>
        <v>냉장고탕</v>
      </c>
      <c r="B518" s="2" t="str">
        <f>IFERROR(__xludf.DUMMYFUNCTION("""COMPUTED_VALUE"""),"고등어")</f>
        <v>고등어</v>
      </c>
    </row>
    <row r="519">
      <c r="A519" s="2" t="str">
        <f>IFERROR(__xludf.DUMMYFUNCTION("""COMPUTED_VALUE"""),"냉장고탕")</f>
        <v>냉장고탕</v>
      </c>
      <c r="B519" s="2" t="str">
        <f>IFERROR(__xludf.DUMMYFUNCTION("""COMPUTED_VALUE"""),"상추")</f>
        <v>상추</v>
      </c>
    </row>
    <row r="520">
      <c r="A520" s="2" t="str">
        <f>IFERROR(__xludf.DUMMYFUNCTION("""COMPUTED_VALUE"""),"냉장고탕")</f>
        <v>냉장고탕</v>
      </c>
      <c r="B520" s="2" t="str">
        <f>IFERROR(__xludf.DUMMYFUNCTION("""COMPUTED_VALUE"""),"된장")</f>
        <v>된장</v>
      </c>
    </row>
    <row r="521">
      <c r="A521" s="2" t="str">
        <f>IFERROR(__xludf.DUMMYFUNCTION("""COMPUTED_VALUE"""),"냉장고탕")</f>
        <v>냉장고탕</v>
      </c>
      <c r="B521" s="2" t="str">
        <f>IFERROR(__xludf.DUMMYFUNCTION("""COMPUTED_VALUE"""),"두부")</f>
        <v>두부</v>
      </c>
    </row>
    <row r="522">
      <c r="A522" s="2" t="str">
        <f>IFERROR(__xludf.DUMMYFUNCTION("""COMPUTED_VALUE"""),"고된 밀푀유")</f>
        <v>고된 밀푀유</v>
      </c>
      <c r="B522" s="2" t="str">
        <f>IFERROR(__xludf.DUMMYFUNCTION("""COMPUTED_VALUE"""),"두부")</f>
        <v>두부</v>
      </c>
    </row>
    <row r="523">
      <c r="A523" s="2" t="str">
        <f>IFERROR(__xludf.DUMMYFUNCTION("""COMPUTED_VALUE"""),"고된 밀푀유")</f>
        <v>고된 밀푀유</v>
      </c>
      <c r="B523" s="2" t="str">
        <f>IFERROR(__xludf.DUMMYFUNCTION("""COMPUTED_VALUE"""),"감자")</f>
        <v>감자</v>
      </c>
    </row>
    <row r="524">
      <c r="A524" s="2" t="str">
        <f>IFERROR(__xludf.DUMMYFUNCTION("""COMPUTED_VALUE"""),"고된 밀푀유")</f>
        <v>고된 밀푀유</v>
      </c>
      <c r="B524" s="2" t="str">
        <f>IFERROR(__xludf.DUMMYFUNCTION("""COMPUTED_VALUE"""),"된장")</f>
        <v>된장</v>
      </c>
    </row>
    <row r="525">
      <c r="A525" s="2" t="str">
        <f>IFERROR(__xludf.DUMMYFUNCTION("""COMPUTED_VALUE"""),"고된 밀푀유")</f>
        <v>고된 밀푀유</v>
      </c>
      <c r="B525" s="2" t="str">
        <f>IFERROR(__xludf.DUMMYFUNCTION("""COMPUTED_VALUE"""),"할라피뇨")</f>
        <v>할라피뇨</v>
      </c>
    </row>
    <row r="526">
      <c r="A526" s="2" t="str">
        <f>IFERROR(__xludf.DUMMYFUNCTION("""COMPUTED_VALUE"""),"고된 밀푀유")</f>
        <v>고된 밀푀유</v>
      </c>
      <c r="B526" s="2" t="str">
        <f>IFERROR(__xludf.DUMMYFUNCTION("""COMPUTED_VALUE"""),"유자청")</f>
        <v>유자청</v>
      </c>
    </row>
    <row r="527">
      <c r="A527" s="2" t="str">
        <f>IFERROR(__xludf.DUMMYFUNCTION("""COMPUTED_VALUE"""),"고된 밀푀유")</f>
        <v>고된 밀푀유</v>
      </c>
      <c r="B527" s="2" t="str">
        <f>IFERROR(__xludf.DUMMYFUNCTION("""COMPUTED_VALUE"""),"상추")</f>
        <v>상추</v>
      </c>
    </row>
    <row r="528">
      <c r="A528" s="2" t="str">
        <f>IFERROR(__xludf.DUMMYFUNCTION("""COMPUTED_VALUE"""),"안심하드라고~!")</f>
        <v>안심하드라고~!</v>
      </c>
      <c r="B528" s="2" t="str">
        <f>IFERROR(__xludf.DUMMYFUNCTION("""COMPUTED_VALUE"""),"감자")</f>
        <v>감자</v>
      </c>
    </row>
    <row r="529">
      <c r="A529" s="2" t="str">
        <f>IFERROR(__xludf.DUMMYFUNCTION("""COMPUTED_VALUE"""),"안심하드라고~!")</f>
        <v>안심하드라고~!</v>
      </c>
      <c r="B529" s="2" t="str">
        <f>IFERROR(__xludf.DUMMYFUNCTION("""COMPUTED_VALUE"""),"당근")</f>
        <v>당근</v>
      </c>
    </row>
    <row r="530">
      <c r="A530" s="2" t="str">
        <f>IFERROR(__xludf.DUMMYFUNCTION("""COMPUTED_VALUE"""),"안심하드라고~!")</f>
        <v>안심하드라고~!</v>
      </c>
      <c r="B530" s="2" t="str">
        <f>IFERROR(__xludf.DUMMYFUNCTION("""COMPUTED_VALUE"""),"안심")</f>
        <v>안심</v>
      </c>
    </row>
    <row r="531">
      <c r="A531" s="2" t="str">
        <f>IFERROR(__xludf.DUMMYFUNCTION("""COMPUTED_VALUE"""),"안심하드라고~!")</f>
        <v>안심하드라고~!</v>
      </c>
      <c r="B531" s="2" t="str">
        <f>IFERROR(__xludf.DUMMYFUNCTION("""COMPUTED_VALUE"""),"팥 아이스크림")</f>
        <v>팥 아이스크림</v>
      </c>
    </row>
    <row r="532">
      <c r="A532" s="2" t="str">
        <f>IFERROR(__xludf.DUMMYFUNCTION("""COMPUTED_VALUE"""),"미숫가루보나라")</f>
        <v>미숫가루보나라</v>
      </c>
      <c r="B532" s="2" t="str">
        <f>IFERROR(__xludf.DUMMYFUNCTION("""COMPUTED_VALUE"""),"미숫가루")</f>
        <v>미숫가루</v>
      </c>
    </row>
    <row r="533">
      <c r="A533" s="2" t="str">
        <f>IFERROR(__xludf.DUMMYFUNCTION("""COMPUTED_VALUE"""),"미숫가루보나라")</f>
        <v>미숫가루보나라</v>
      </c>
      <c r="B533" s="2" t="str">
        <f>IFERROR(__xludf.DUMMYFUNCTION("""COMPUTED_VALUE"""),"달걀")</f>
        <v>달걀</v>
      </c>
    </row>
    <row r="534">
      <c r="A534" s="2" t="str">
        <f>IFERROR(__xludf.DUMMYFUNCTION("""COMPUTED_VALUE"""),"미숫가루보나라")</f>
        <v>미숫가루보나라</v>
      </c>
      <c r="B534" s="2" t="str">
        <f>IFERROR(__xludf.DUMMYFUNCTION("""COMPUTED_VALUE"""),"우유")</f>
        <v>우유</v>
      </c>
    </row>
    <row r="535">
      <c r="A535" s="2" t="str">
        <f>IFERROR(__xludf.DUMMYFUNCTION("""COMPUTED_VALUE"""),"미숫가루보나라")</f>
        <v>미숫가루보나라</v>
      </c>
      <c r="B535" s="2" t="str">
        <f>IFERROR(__xludf.DUMMYFUNCTION("""COMPUTED_VALUE"""),"초콜릿")</f>
        <v>초콜릿</v>
      </c>
    </row>
    <row r="536">
      <c r="A536" s="2" t="str">
        <f>IFERROR(__xludf.DUMMYFUNCTION("""COMPUTED_VALUE"""),"미소볼")</f>
        <v>미소볼</v>
      </c>
      <c r="B536" s="2" t="str">
        <f>IFERROR(__xludf.DUMMYFUNCTION("""COMPUTED_VALUE"""),"미트볼")</f>
        <v>미트볼</v>
      </c>
    </row>
    <row r="537">
      <c r="A537" s="2" t="str">
        <f>IFERROR(__xludf.DUMMYFUNCTION("""COMPUTED_VALUE"""),"미소볼")</f>
        <v>미소볼</v>
      </c>
      <c r="B537" s="2" t="str">
        <f>IFERROR(__xludf.DUMMYFUNCTION("""COMPUTED_VALUE"""),"크림치즈")</f>
        <v>크림치즈</v>
      </c>
    </row>
    <row r="538">
      <c r="A538" s="2" t="str">
        <f>IFERROR(__xludf.DUMMYFUNCTION("""COMPUTED_VALUE"""),"미소볼")</f>
        <v>미소볼</v>
      </c>
      <c r="B538" s="2" t="str">
        <f>IFERROR(__xludf.DUMMYFUNCTION("""COMPUTED_VALUE"""),"옥수수")</f>
        <v>옥수수</v>
      </c>
    </row>
    <row r="539">
      <c r="A539" s="2" t="str">
        <f>IFERROR(__xludf.DUMMYFUNCTION("""COMPUTED_VALUE"""),"미소볼")</f>
        <v>미소볼</v>
      </c>
      <c r="B539" s="2" t="str">
        <f>IFERROR(__xludf.DUMMYFUNCTION("""COMPUTED_VALUE"""),"팽이버섯")</f>
        <v>팽이버섯</v>
      </c>
    </row>
    <row r="540">
      <c r="A540" s="2" t="str">
        <f>IFERROR(__xludf.DUMMYFUNCTION("""COMPUTED_VALUE"""),"미소볼")</f>
        <v>미소볼</v>
      </c>
      <c r="B540" s="2" t="str">
        <f>IFERROR(__xludf.DUMMYFUNCTION("""COMPUTED_VALUE"""),"새송이버섯")</f>
        <v>새송이버섯</v>
      </c>
    </row>
    <row r="541">
      <c r="A541" s="2" t="str">
        <f>IFERROR(__xludf.DUMMYFUNCTION("""COMPUTED_VALUE"""),"미소볼")</f>
        <v>미소볼</v>
      </c>
      <c r="B541" s="2" t="str">
        <f>IFERROR(__xludf.DUMMYFUNCTION("""COMPUTED_VALUE"""),"달걀")</f>
        <v>달걀</v>
      </c>
    </row>
    <row r="542">
      <c r="A542" s="2" t="str">
        <f>IFERROR(__xludf.DUMMYFUNCTION("""COMPUTED_VALUE"""),"미소볼")</f>
        <v>미소볼</v>
      </c>
      <c r="B542" s="2" t="str">
        <f>IFERROR(__xludf.DUMMYFUNCTION("""COMPUTED_VALUE"""),"마늘")</f>
        <v>마늘</v>
      </c>
    </row>
    <row r="543">
      <c r="A543" s="2" t="str">
        <f>IFERROR(__xludf.DUMMYFUNCTION("""COMPUTED_VALUE"""),"미소볼")</f>
        <v>미소볼</v>
      </c>
      <c r="B543" s="2" t="str">
        <f>IFERROR(__xludf.DUMMYFUNCTION("""COMPUTED_VALUE"""),"레드와인")</f>
        <v>레드와인</v>
      </c>
    </row>
    <row r="544">
      <c r="A544" s="2" t="str">
        <f>IFERROR(__xludf.DUMMYFUNCTION("""COMPUTED_VALUE"""),"미소볼")</f>
        <v>미소볼</v>
      </c>
      <c r="B544" s="2" t="str">
        <f>IFERROR(__xludf.DUMMYFUNCTION("""COMPUTED_VALUE"""),"생강")</f>
        <v>생강</v>
      </c>
    </row>
    <row r="545">
      <c r="A545" s="2" t="str">
        <f>IFERROR(__xludf.DUMMYFUNCTION("""COMPUTED_VALUE"""),"미소볼")</f>
        <v>미소볼</v>
      </c>
      <c r="B545" s="2" t="str">
        <f>IFERROR(__xludf.DUMMYFUNCTION("""COMPUTED_VALUE"""),"토마토소스")</f>
        <v>토마토소스</v>
      </c>
    </row>
    <row r="546">
      <c r="A546" s="2" t="str">
        <f>IFERROR(__xludf.DUMMYFUNCTION("""COMPUTED_VALUE"""),"미소볼")</f>
        <v>미소볼</v>
      </c>
      <c r="B546" s="2" t="str">
        <f>IFERROR(__xludf.DUMMYFUNCTION("""COMPUTED_VALUE"""),"버터")</f>
        <v>버터</v>
      </c>
    </row>
    <row r="547">
      <c r="A547" s="2" t="str">
        <f>IFERROR(__xludf.DUMMYFUNCTION("""COMPUTED_VALUE"""),"미소볼")</f>
        <v>미소볼</v>
      </c>
      <c r="B547" s="2" t="str">
        <f>IFERROR(__xludf.DUMMYFUNCTION("""COMPUTED_VALUE"""),"설탕")</f>
        <v>설탕</v>
      </c>
    </row>
    <row r="548">
      <c r="A548" s="2" t="str">
        <f>IFERROR(__xludf.DUMMYFUNCTION("""COMPUTED_VALUE"""),"미소볼")</f>
        <v>미소볼</v>
      </c>
      <c r="B548" s="2" t="str">
        <f>IFERROR(__xludf.DUMMYFUNCTION("""COMPUTED_VALUE"""),"간장")</f>
        <v>간장</v>
      </c>
    </row>
    <row r="549">
      <c r="A549" s="2" t="str">
        <f>IFERROR(__xludf.DUMMYFUNCTION("""COMPUTED_VALUE"""),"미소볼")</f>
        <v>미소볼</v>
      </c>
      <c r="B549" s="2" t="str">
        <f>IFERROR(__xludf.DUMMYFUNCTION("""COMPUTED_VALUE"""),"고추")</f>
        <v>고추</v>
      </c>
    </row>
    <row r="550">
      <c r="A550" s="2" t="str">
        <f>IFERROR(__xludf.DUMMYFUNCTION("""COMPUTED_VALUE"""),"미소볼")</f>
        <v>미소볼</v>
      </c>
      <c r="B550" s="2" t="str">
        <f>IFERROR(__xludf.DUMMYFUNCTION("""COMPUTED_VALUE"""),"대파")</f>
        <v>대파</v>
      </c>
    </row>
    <row r="551">
      <c r="A551" s="2" t="str">
        <f>IFERROR(__xludf.DUMMYFUNCTION("""COMPUTED_VALUE"""),"미소볼")</f>
        <v>미소볼</v>
      </c>
      <c r="B551" s="2" t="str">
        <f>IFERROR(__xludf.DUMMYFUNCTION("""COMPUTED_VALUE"""),"양파")</f>
        <v>양파</v>
      </c>
    </row>
    <row r="552">
      <c r="A552" s="2" t="str">
        <f>IFERROR(__xludf.DUMMYFUNCTION("""COMPUTED_VALUE"""),"미소볼")</f>
        <v>미소볼</v>
      </c>
      <c r="B552" s="2" t="str">
        <f>IFERROR(__xludf.DUMMYFUNCTION("""COMPUTED_VALUE"""),"소금")</f>
        <v>소금</v>
      </c>
    </row>
    <row r="553">
      <c r="A553" s="2" t="str">
        <f>IFERROR(__xludf.DUMMYFUNCTION("""COMPUTED_VALUE"""),"미소볼")</f>
        <v>미소볼</v>
      </c>
      <c r="B553" s="2" t="str">
        <f>IFERROR(__xludf.DUMMYFUNCTION("""COMPUTED_VALUE"""),"후추")</f>
        <v>후추</v>
      </c>
    </row>
    <row r="554">
      <c r="A554" s="2" t="str">
        <f>IFERROR(__xludf.DUMMYFUNCTION("""COMPUTED_VALUE"""),"미소볼")</f>
        <v>미소볼</v>
      </c>
      <c r="B554" s="2" t="str">
        <f>IFERROR(__xludf.DUMMYFUNCTION("""COMPUTED_VALUE"""),"레몬")</f>
        <v>레몬</v>
      </c>
    </row>
    <row r="555">
      <c r="A555" s="2" t="str">
        <f>IFERROR(__xludf.DUMMYFUNCTION("""COMPUTED_VALUE"""),"미소볼")</f>
        <v>미소볼</v>
      </c>
      <c r="B555" s="2" t="str">
        <f>IFERROR(__xludf.DUMMYFUNCTION("""COMPUTED_VALUE"""),"파마산 치즈")</f>
        <v>파마산 치즈</v>
      </c>
    </row>
    <row r="556">
      <c r="A556" s="2" t="str">
        <f>IFERROR(__xludf.DUMMYFUNCTION("""COMPUTED_VALUE"""),"미소볼")</f>
        <v>미소볼</v>
      </c>
      <c r="B556" s="2" t="str">
        <f>IFERROR(__xludf.DUMMYFUNCTION("""COMPUTED_VALUE"""),"즉석밥")</f>
        <v>즉석밥</v>
      </c>
    </row>
    <row r="557">
      <c r="A557" s="2" t="str">
        <f>IFERROR(__xludf.DUMMYFUNCTION("""COMPUTED_VALUE"""),"와풍 주니어 버거")</f>
        <v>와풍 주니어 버거</v>
      </c>
      <c r="B557" s="2" t="str">
        <f>IFERROR(__xludf.DUMMYFUNCTION("""COMPUTED_VALUE"""),"미트볼")</f>
        <v>미트볼</v>
      </c>
    </row>
    <row r="558">
      <c r="A558" s="2" t="str">
        <f>IFERROR(__xludf.DUMMYFUNCTION("""COMPUTED_VALUE"""),"와풍 주니어 버거")</f>
        <v>와풍 주니어 버거</v>
      </c>
      <c r="B558" s="2" t="str">
        <f>IFERROR(__xludf.DUMMYFUNCTION("""COMPUTED_VALUE"""),"통조림햄")</f>
        <v>통조림햄</v>
      </c>
    </row>
    <row r="559">
      <c r="A559" s="2" t="str">
        <f>IFERROR(__xludf.DUMMYFUNCTION("""COMPUTED_VALUE"""),"와풍 주니어 버거")</f>
        <v>와풍 주니어 버거</v>
      </c>
      <c r="B559" s="2" t="str">
        <f>IFERROR(__xludf.DUMMYFUNCTION("""COMPUTED_VALUE"""),"달걀")</f>
        <v>달걀</v>
      </c>
    </row>
    <row r="560">
      <c r="A560" s="2" t="str">
        <f>IFERROR(__xludf.DUMMYFUNCTION("""COMPUTED_VALUE"""),"와풍 주니어 버거")</f>
        <v>와풍 주니어 버거</v>
      </c>
      <c r="B560" s="2" t="str">
        <f>IFERROR(__xludf.DUMMYFUNCTION("""COMPUTED_VALUE"""),"팽이버섯")</f>
        <v>팽이버섯</v>
      </c>
    </row>
    <row r="561">
      <c r="A561" s="2" t="str">
        <f>IFERROR(__xludf.DUMMYFUNCTION("""COMPUTED_VALUE"""),"와풍 주니어 버거")</f>
        <v>와풍 주니어 버거</v>
      </c>
      <c r="B561" s="2" t="str">
        <f>IFERROR(__xludf.DUMMYFUNCTION("""COMPUTED_VALUE"""),"카스테라")</f>
        <v>카스테라</v>
      </c>
    </row>
    <row r="562">
      <c r="A562" s="2" t="str">
        <f>IFERROR(__xludf.DUMMYFUNCTION("""COMPUTED_VALUE"""),"와풍 주니어 버거")</f>
        <v>와풍 주니어 버거</v>
      </c>
      <c r="B562" s="2" t="str">
        <f>IFERROR(__xludf.DUMMYFUNCTION("""COMPUTED_VALUE"""),"슬라이스 치즈")</f>
        <v>슬라이스 치즈</v>
      </c>
    </row>
    <row r="563">
      <c r="A563" s="2" t="str">
        <f>IFERROR(__xludf.DUMMYFUNCTION("""COMPUTED_VALUE"""),"와풍 주니어 버거")</f>
        <v>와풍 주니어 버거</v>
      </c>
      <c r="B563" s="2" t="str">
        <f>IFERROR(__xludf.DUMMYFUNCTION("""COMPUTED_VALUE"""),"버터")</f>
        <v>버터</v>
      </c>
    </row>
    <row r="564">
      <c r="A564" s="2" t="str">
        <f>IFERROR(__xludf.DUMMYFUNCTION("""COMPUTED_VALUE"""),"와풍 주니어 버거")</f>
        <v>와풍 주니어 버거</v>
      </c>
      <c r="B564" s="2" t="str">
        <f>IFERROR(__xludf.DUMMYFUNCTION("""COMPUTED_VALUE"""),"양파")</f>
        <v>양파</v>
      </c>
    </row>
    <row r="565">
      <c r="A565" s="2" t="str">
        <f>IFERROR(__xludf.DUMMYFUNCTION("""COMPUTED_VALUE"""),"와풍 주니어 버거")</f>
        <v>와풍 주니어 버거</v>
      </c>
      <c r="B565" s="2" t="str">
        <f>IFERROR(__xludf.DUMMYFUNCTION("""COMPUTED_VALUE"""),"소금")</f>
        <v>소금</v>
      </c>
    </row>
    <row r="566">
      <c r="A566" s="2" t="str">
        <f>IFERROR(__xludf.DUMMYFUNCTION("""COMPUTED_VALUE"""),"와풍 주니어 버거")</f>
        <v>와풍 주니어 버거</v>
      </c>
      <c r="B566" s="2" t="str">
        <f>IFERROR(__xludf.DUMMYFUNCTION("""COMPUTED_VALUE"""),"후추")</f>
        <v>후추</v>
      </c>
    </row>
    <row r="567">
      <c r="A567" s="2" t="str">
        <f>IFERROR(__xludf.DUMMYFUNCTION("""COMPUTED_VALUE"""),"와풍 주니어 버거")</f>
        <v>와풍 주니어 버거</v>
      </c>
      <c r="B567" s="2" t="str">
        <f>IFERROR(__xludf.DUMMYFUNCTION("""COMPUTED_VALUE"""),"마요네즈")</f>
        <v>마요네즈</v>
      </c>
    </row>
    <row r="568">
      <c r="A568" s="2" t="str">
        <f>IFERROR(__xludf.DUMMYFUNCTION("""COMPUTED_VALUE"""),"와풍 주니어 버거")</f>
        <v>와풍 주니어 버거</v>
      </c>
      <c r="B568" s="2" t="str">
        <f>IFERROR(__xludf.DUMMYFUNCTION("""COMPUTED_VALUE"""),"머스터드")</f>
        <v>머스터드</v>
      </c>
    </row>
    <row r="569">
      <c r="A569" s="2" t="str">
        <f>IFERROR(__xludf.DUMMYFUNCTION("""COMPUTED_VALUE"""),"와풍 주니어 버거")</f>
        <v>와풍 주니어 버거</v>
      </c>
      <c r="B569" s="2" t="str">
        <f>IFERROR(__xludf.DUMMYFUNCTION("""COMPUTED_VALUE"""),"마늘")</f>
        <v>마늘</v>
      </c>
    </row>
    <row r="570">
      <c r="A570" s="2" t="str">
        <f>IFERROR(__xludf.DUMMYFUNCTION("""COMPUTED_VALUE"""),"트리퐁크라운")</f>
        <v>트리퐁크라운</v>
      </c>
      <c r="B570" s="2" t="str">
        <f>IFERROR(__xludf.DUMMYFUNCTION("""COMPUTED_VALUE"""),"우유")</f>
        <v>우유</v>
      </c>
    </row>
    <row r="571">
      <c r="A571" s="2" t="str">
        <f>IFERROR(__xludf.DUMMYFUNCTION("""COMPUTED_VALUE"""),"트리퐁크라운")</f>
        <v>트리퐁크라운</v>
      </c>
      <c r="B571" s="2" t="str">
        <f>IFERROR(__xludf.DUMMYFUNCTION("""COMPUTED_VALUE"""),"크림치즈")</f>
        <v>크림치즈</v>
      </c>
    </row>
    <row r="572">
      <c r="A572" s="2" t="str">
        <f>IFERROR(__xludf.DUMMYFUNCTION("""COMPUTED_VALUE"""),"트리퐁크라운")</f>
        <v>트리퐁크라운</v>
      </c>
      <c r="B572" s="2" t="str">
        <f>IFERROR(__xludf.DUMMYFUNCTION("""COMPUTED_VALUE"""),"달걀")</f>
        <v>달걀</v>
      </c>
    </row>
    <row r="573">
      <c r="A573" s="2" t="str">
        <f>IFERROR(__xludf.DUMMYFUNCTION("""COMPUTED_VALUE"""),"트리퐁크라운")</f>
        <v>트리퐁크라운</v>
      </c>
      <c r="B573" s="2" t="str">
        <f>IFERROR(__xludf.DUMMYFUNCTION("""COMPUTED_VALUE"""),"사과주스")</f>
        <v>사과주스</v>
      </c>
    </row>
    <row r="574">
      <c r="A574" s="2" t="str">
        <f>IFERROR(__xludf.DUMMYFUNCTION("""COMPUTED_VALUE"""),"트리퐁크라운")</f>
        <v>트리퐁크라운</v>
      </c>
      <c r="B574" s="2" t="str">
        <f>IFERROR(__xludf.DUMMYFUNCTION("""COMPUTED_VALUE"""),"초콜릿")</f>
        <v>초콜릿</v>
      </c>
    </row>
    <row r="575">
      <c r="A575" s="2" t="str">
        <f>IFERROR(__xludf.DUMMYFUNCTION("""COMPUTED_VALUE"""),"트리퐁크라운")</f>
        <v>트리퐁크라운</v>
      </c>
      <c r="B575" s="2" t="str">
        <f>IFERROR(__xludf.DUMMYFUNCTION("""COMPUTED_VALUE"""),"호두")</f>
        <v>호두</v>
      </c>
    </row>
    <row r="576">
      <c r="A576" s="2" t="str">
        <f>IFERROR(__xludf.DUMMYFUNCTION("""COMPUTED_VALUE"""),"트리퐁크라운")</f>
        <v>트리퐁크라운</v>
      </c>
      <c r="B576" s="2" t="str">
        <f>IFERROR(__xludf.DUMMYFUNCTION("""COMPUTED_VALUE"""),"바닐라 시럽")</f>
        <v>바닐라 시럽</v>
      </c>
    </row>
    <row r="577">
      <c r="A577" s="2" t="str">
        <f>IFERROR(__xludf.DUMMYFUNCTION("""COMPUTED_VALUE"""),"트리퐁크라운")</f>
        <v>트리퐁크라운</v>
      </c>
      <c r="B577" s="2" t="str">
        <f>IFERROR(__xludf.DUMMYFUNCTION("""COMPUTED_VALUE"""),"카스테라")</f>
        <v>카스테라</v>
      </c>
    </row>
    <row r="578">
      <c r="A578" s="2" t="str">
        <f>IFERROR(__xludf.DUMMYFUNCTION("""COMPUTED_VALUE"""),"트리퐁크라운")</f>
        <v>트리퐁크라운</v>
      </c>
      <c r="B578" s="2" t="str">
        <f>IFERROR(__xludf.DUMMYFUNCTION("""COMPUTED_VALUE"""),"시리얼")</f>
        <v>시리얼</v>
      </c>
    </row>
    <row r="579">
      <c r="A579" s="2" t="str">
        <f>IFERROR(__xludf.DUMMYFUNCTION("""COMPUTED_VALUE"""),"트리퐁크라운")</f>
        <v>트리퐁크라운</v>
      </c>
      <c r="B579" s="2" t="str">
        <f>IFERROR(__xludf.DUMMYFUNCTION("""COMPUTED_VALUE"""),"아몬드")</f>
        <v>아몬드</v>
      </c>
    </row>
    <row r="580">
      <c r="A580" s="2" t="str">
        <f>IFERROR(__xludf.DUMMYFUNCTION("""COMPUTED_VALUE"""),"트리퐁크라운")</f>
        <v>트리퐁크라운</v>
      </c>
      <c r="B580" s="2" t="str">
        <f>IFERROR(__xludf.DUMMYFUNCTION("""COMPUTED_VALUE"""),"설탕")</f>
        <v>설탕</v>
      </c>
    </row>
    <row r="581">
      <c r="A581" s="2" t="str">
        <f>IFERROR(__xludf.DUMMYFUNCTION("""COMPUTED_VALUE"""),"트리퐁크라운")</f>
        <v>트리퐁크라운</v>
      </c>
      <c r="B581" s="2" t="str">
        <f>IFERROR(__xludf.DUMMYFUNCTION("""COMPUTED_VALUE"""),"레몬즙")</f>
        <v>레몬즙</v>
      </c>
    </row>
    <row r="582">
      <c r="A582" s="2" t="str">
        <f>IFERROR(__xludf.DUMMYFUNCTION("""COMPUTED_VALUE"""),"라벤더숲")</f>
        <v>라벤더숲</v>
      </c>
      <c r="B582" s="2" t="str">
        <f>IFERROR(__xludf.DUMMYFUNCTION("""COMPUTED_VALUE"""),"우유")</f>
        <v>우유</v>
      </c>
    </row>
    <row r="583">
      <c r="A583" s="2" t="str">
        <f>IFERROR(__xludf.DUMMYFUNCTION("""COMPUTED_VALUE"""),"라벤더숲")</f>
        <v>라벤더숲</v>
      </c>
      <c r="B583" s="2" t="str">
        <f>IFERROR(__xludf.DUMMYFUNCTION("""COMPUTED_VALUE"""),"라벤더 티백")</f>
        <v>라벤더 티백</v>
      </c>
    </row>
    <row r="584">
      <c r="A584" s="2" t="str">
        <f>IFERROR(__xludf.DUMMYFUNCTION("""COMPUTED_VALUE"""),"라벤더숲")</f>
        <v>라벤더숲</v>
      </c>
      <c r="B584" s="2" t="str">
        <f>IFERROR(__xludf.DUMMYFUNCTION("""COMPUTED_VALUE"""),"달걀")</f>
        <v>달걀</v>
      </c>
    </row>
    <row r="585">
      <c r="A585" s="2" t="str">
        <f>IFERROR(__xludf.DUMMYFUNCTION("""COMPUTED_VALUE"""),"라벤더숲")</f>
        <v>라벤더숲</v>
      </c>
      <c r="B585" s="2" t="str">
        <f>IFERROR(__xludf.DUMMYFUNCTION("""COMPUTED_VALUE"""),"아사이베리즙")</f>
        <v>아사이베리즙</v>
      </c>
    </row>
    <row r="586">
      <c r="A586" s="2" t="str">
        <f>IFERROR(__xludf.DUMMYFUNCTION("""COMPUTED_VALUE"""),"라벤더숲")</f>
        <v>라벤더숲</v>
      </c>
      <c r="B586" s="2" t="str">
        <f>IFERROR(__xludf.DUMMYFUNCTION("""COMPUTED_VALUE"""),"사과")</f>
        <v>사과</v>
      </c>
    </row>
    <row r="587">
      <c r="A587" s="2" t="str">
        <f>IFERROR(__xludf.DUMMYFUNCTION("""COMPUTED_VALUE"""),"라벤더숲")</f>
        <v>라벤더숲</v>
      </c>
      <c r="B587" s="2" t="str">
        <f>IFERROR(__xludf.DUMMYFUNCTION("""COMPUTED_VALUE"""),"카스테라")</f>
        <v>카스테라</v>
      </c>
    </row>
    <row r="588">
      <c r="A588" s="2" t="str">
        <f>IFERROR(__xludf.DUMMYFUNCTION("""COMPUTED_VALUE"""),"라벤더숲")</f>
        <v>라벤더숲</v>
      </c>
      <c r="B588" s="2" t="str">
        <f>IFERROR(__xludf.DUMMYFUNCTION("""COMPUTED_VALUE"""),"초콜릿")</f>
        <v>초콜릿</v>
      </c>
    </row>
    <row r="589">
      <c r="A589" s="2" t="str">
        <f>IFERROR(__xludf.DUMMYFUNCTION("""COMPUTED_VALUE"""),"라벤더숲")</f>
        <v>라벤더숲</v>
      </c>
      <c r="B589" s="2" t="str">
        <f>IFERROR(__xludf.DUMMYFUNCTION("""COMPUTED_VALUE"""),"쿠키")</f>
        <v>쿠키</v>
      </c>
    </row>
    <row r="590">
      <c r="A590" s="2" t="str">
        <f>IFERROR(__xludf.DUMMYFUNCTION("""COMPUTED_VALUE"""),"라벤더숲")</f>
        <v>라벤더숲</v>
      </c>
      <c r="B590" s="2" t="str">
        <f>IFERROR(__xludf.DUMMYFUNCTION("""COMPUTED_VALUE"""),"아몬드")</f>
        <v>아몬드</v>
      </c>
    </row>
    <row r="591">
      <c r="A591" s="2" t="str">
        <f>IFERROR(__xludf.DUMMYFUNCTION("""COMPUTED_VALUE"""),"라벤더숲")</f>
        <v>라벤더숲</v>
      </c>
      <c r="B591" s="2" t="str">
        <f>IFERROR(__xludf.DUMMYFUNCTION("""COMPUTED_VALUE"""),"설탕")</f>
        <v>설탕</v>
      </c>
    </row>
    <row r="592">
      <c r="A592" s="2" t="str">
        <f>IFERROR(__xludf.DUMMYFUNCTION("""COMPUTED_VALUE"""),"라벤더숲")</f>
        <v>라벤더숲</v>
      </c>
      <c r="B592" s="2" t="str">
        <f>IFERROR(__xludf.DUMMYFUNCTION("""COMPUTED_VALUE"""),"레몬즙")</f>
        <v>레몬즙</v>
      </c>
    </row>
    <row r="593">
      <c r="A593" s="2" t="str">
        <f>IFERROR(__xludf.DUMMYFUNCTION("""COMPUTED_VALUE"""),"살치는 매운 요리")</f>
        <v>살치는 매운 요리</v>
      </c>
      <c r="B593" s="2" t="str">
        <f>IFERROR(__xludf.DUMMYFUNCTION("""COMPUTED_VALUE"""),"페페론치노")</f>
        <v>페페론치노</v>
      </c>
    </row>
    <row r="594">
      <c r="A594" s="2" t="str">
        <f>IFERROR(__xludf.DUMMYFUNCTION("""COMPUTED_VALUE"""),"살치는 매운 요리")</f>
        <v>살치는 매운 요리</v>
      </c>
      <c r="B594" s="2" t="str">
        <f>IFERROR(__xludf.DUMMYFUNCTION("""COMPUTED_VALUE"""),"파슬리")</f>
        <v>파슬리</v>
      </c>
    </row>
    <row r="595">
      <c r="A595" s="2" t="str">
        <f>IFERROR(__xludf.DUMMYFUNCTION("""COMPUTED_VALUE"""),"살치는 매운 요리")</f>
        <v>살치는 매운 요리</v>
      </c>
      <c r="B595" s="2" t="str">
        <f>IFERROR(__xludf.DUMMYFUNCTION("""COMPUTED_VALUE"""),"양배추")</f>
        <v>양배추</v>
      </c>
    </row>
    <row r="596">
      <c r="A596" s="2" t="str">
        <f>IFERROR(__xludf.DUMMYFUNCTION("""COMPUTED_VALUE"""),"살치는 매운 요리")</f>
        <v>살치는 매운 요리</v>
      </c>
      <c r="B596" s="2" t="str">
        <f>IFERROR(__xludf.DUMMYFUNCTION("""COMPUTED_VALUE"""),"살치살")</f>
        <v>살치살</v>
      </c>
    </row>
    <row r="597">
      <c r="A597" s="2" t="str">
        <f>IFERROR(__xludf.DUMMYFUNCTION("""COMPUTED_VALUE"""),"살치는 매운 요리")</f>
        <v>살치는 매운 요리</v>
      </c>
      <c r="B597" s="2" t="str">
        <f>IFERROR(__xludf.DUMMYFUNCTION("""COMPUTED_VALUE"""),"콜라비")</f>
        <v>콜라비</v>
      </c>
    </row>
    <row r="598">
      <c r="A598" s="2" t="str">
        <f>IFERROR(__xludf.DUMMYFUNCTION("""COMPUTED_VALUE"""),"살치는 매운 요리")</f>
        <v>살치는 매운 요리</v>
      </c>
      <c r="B598" s="2" t="str">
        <f>IFERROR(__xludf.DUMMYFUNCTION("""COMPUTED_VALUE"""),"아보카도")</f>
        <v>아보카도</v>
      </c>
    </row>
    <row r="599">
      <c r="A599" s="2" t="str">
        <f>IFERROR(__xludf.DUMMYFUNCTION("""COMPUTED_VALUE"""),"살치는 매운 요리")</f>
        <v>살치는 매운 요리</v>
      </c>
      <c r="B599" s="2" t="str">
        <f>IFERROR(__xludf.DUMMYFUNCTION("""COMPUTED_VALUE"""),"올리브유")</f>
        <v>올리브유</v>
      </c>
    </row>
    <row r="600">
      <c r="A600" s="2" t="str">
        <f>IFERROR(__xludf.DUMMYFUNCTION("""COMPUTED_VALUE"""),"살치는 매운 요리")</f>
        <v>살치는 매운 요리</v>
      </c>
      <c r="B600" s="2" t="str">
        <f>IFERROR(__xludf.DUMMYFUNCTION("""COMPUTED_VALUE"""),"마늘")</f>
        <v>마늘</v>
      </c>
    </row>
    <row r="601">
      <c r="A601" s="2" t="str">
        <f>IFERROR(__xludf.DUMMYFUNCTION("""COMPUTED_VALUE"""),"살치는 매운 요리")</f>
        <v>살치는 매운 요리</v>
      </c>
      <c r="B601" s="2" t="str">
        <f>IFERROR(__xludf.DUMMYFUNCTION("""COMPUTED_VALUE"""),"레몬")</f>
        <v>레몬</v>
      </c>
    </row>
    <row r="602">
      <c r="A602" s="2" t="str">
        <f>IFERROR(__xludf.DUMMYFUNCTION("""COMPUTED_VALUE"""),"살치는 매운 요리")</f>
        <v>살치는 매운 요리</v>
      </c>
      <c r="B602" s="2" t="str">
        <f>IFERROR(__xludf.DUMMYFUNCTION("""COMPUTED_VALUE"""),"소금")</f>
        <v>소금</v>
      </c>
    </row>
    <row r="603">
      <c r="A603" s="2" t="str">
        <f>IFERROR(__xludf.DUMMYFUNCTION("""COMPUTED_VALUE"""),"살치는 매운 요리")</f>
        <v>살치는 매운 요리</v>
      </c>
      <c r="B603" s="2" t="str">
        <f>IFERROR(__xludf.DUMMYFUNCTION("""COMPUTED_VALUE"""),"후추")</f>
        <v>후추</v>
      </c>
    </row>
    <row r="604">
      <c r="A604" s="2" t="str">
        <f>IFERROR(__xludf.DUMMYFUNCTION("""COMPUTED_VALUE"""),"살치는 매운 요리")</f>
        <v>살치는 매운 요리</v>
      </c>
      <c r="B604" s="2" t="str">
        <f>IFERROR(__xludf.DUMMYFUNCTION("""COMPUTED_VALUE"""),"고추")</f>
        <v>고추</v>
      </c>
    </row>
    <row r="605">
      <c r="A605" s="2" t="str">
        <f>IFERROR(__xludf.DUMMYFUNCTION("""COMPUTED_VALUE"""),"삼고마비")</f>
        <v>삼고마비</v>
      </c>
      <c r="B605" s="2" t="str">
        <f>IFERROR(__xludf.DUMMYFUNCTION("""COMPUTED_VALUE"""),"고춧가루")</f>
        <v>고춧가루</v>
      </c>
    </row>
    <row r="606">
      <c r="A606" s="2" t="str">
        <f>IFERROR(__xludf.DUMMYFUNCTION("""COMPUTED_VALUE"""),"삼고마비")</f>
        <v>삼고마비</v>
      </c>
      <c r="B606" s="2" t="str">
        <f>IFERROR(__xludf.DUMMYFUNCTION("""COMPUTED_VALUE"""),"페페론치노")</f>
        <v>페페론치노</v>
      </c>
    </row>
    <row r="607">
      <c r="A607" s="2" t="str">
        <f>IFERROR(__xludf.DUMMYFUNCTION("""COMPUTED_VALUE"""),"삼고마비")</f>
        <v>삼고마비</v>
      </c>
      <c r="B607" s="2" t="str">
        <f>IFERROR(__xludf.DUMMYFUNCTION("""COMPUTED_VALUE"""),"콜라비")</f>
        <v>콜라비</v>
      </c>
    </row>
    <row r="608">
      <c r="A608" s="2" t="str">
        <f>IFERROR(__xludf.DUMMYFUNCTION("""COMPUTED_VALUE"""),"삼고마비")</f>
        <v>삼고마비</v>
      </c>
      <c r="B608" s="2" t="str">
        <f>IFERROR(__xludf.DUMMYFUNCTION("""COMPUTED_VALUE"""),"꽃갈비살")</f>
        <v>꽃갈비살</v>
      </c>
    </row>
    <row r="609">
      <c r="A609" s="2" t="str">
        <f>IFERROR(__xludf.DUMMYFUNCTION("""COMPUTED_VALUE"""),"삼고마비")</f>
        <v>삼고마비</v>
      </c>
      <c r="B609" s="2" t="str">
        <f>IFERROR(__xludf.DUMMYFUNCTION("""COMPUTED_VALUE"""),"매실액")</f>
        <v>매실액</v>
      </c>
    </row>
    <row r="610">
      <c r="A610" s="2" t="str">
        <f>IFERROR(__xludf.DUMMYFUNCTION("""COMPUTED_VALUE"""),"삼고마비")</f>
        <v>삼고마비</v>
      </c>
      <c r="B610" s="2" t="str">
        <f>IFERROR(__xludf.DUMMYFUNCTION("""COMPUTED_VALUE"""),"꿀")</f>
        <v>꿀</v>
      </c>
    </row>
    <row r="611">
      <c r="A611" s="2" t="str">
        <f>IFERROR(__xludf.DUMMYFUNCTION("""COMPUTED_VALUE"""),"삼고마비")</f>
        <v>삼고마비</v>
      </c>
      <c r="B611" s="2" t="str">
        <f>IFERROR(__xludf.DUMMYFUNCTION("""COMPUTED_VALUE"""),"청양고추")</f>
        <v>청양고추</v>
      </c>
    </row>
    <row r="612">
      <c r="A612" s="2" t="str">
        <f>IFERROR(__xludf.DUMMYFUNCTION("""COMPUTED_VALUE"""),"삼고마비")</f>
        <v>삼고마비</v>
      </c>
      <c r="B612" s="2" t="str">
        <f>IFERROR(__xludf.DUMMYFUNCTION("""COMPUTED_VALUE"""),"대파")</f>
        <v>대파</v>
      </c>
    </row>
    <row r="613">
      <c r="A613" s="2" t="str">
        <f>IFERROR(__xludf.DUMMYFUNCTION("""COMPUTED_VALUE"""),"삼고마비")</f>
        <v>삼고마비</v>
      </c>
      <c r="B613" s="2" t="str">
        <f>IFERROR(__xludf.DUMMYFUNCTION("""COMPUTED_VALUE"""),"소금")</f>
        <v>소금</v>
      </c>
    </row>
    <row r="614">
      <c r="A614" s="2" t="str">
        <f>IFERROR(__xludf.DUMMYFUNCTION("""COMPUTED_VALUE"""),"삼고마비")</f>
        <v>삼고마비</v>
      </c>
      <c r="B614" s="2" t="str">
        <f>IFERROR(__xludf.DUMMYFUNCTION("""COMPUTED_VALUE"""),"후추")</f>
        <v>후추</v>
      </c>
    </row>
    <row r="615">
      <c r="A615" s="2" t="str">
        <f>IFERROR(__xludf.DUMMYFUNCTION("""COMPUTED_VALUE"""),"삼고마비")</f>
        <v>삼고마비</v>
      </c>
      <c r="B615" s="2" t="str">
        <f>IFERROR(__xludf.DUMMYFUNCTION("""COMPUTED_VALUE"""),"설탕")</f>
        <v>설탕</v>
      </c>
    </row>
    <row r="616">
      <c r="A616" s="2" t="str">
        <f>IFERROR(__xludf.DUMMYFUNCTION("""COMPUTED_VALUE"""),"삼고마비")</f>
        <v>삼고마비</v>
      </c>
      <c r="B616" s="2" t="str">
        <f>IFERROR(__xludf.DUMMYFUNCTION("""COMPUTED_VALUE"""),"레몬")</f>
        <v>레몬</v>
      </c>
    </row>
    <row r="617">
      <c r="A617" s="2" t="str">
        <f>IFERROR(__xludf.DUMMYFUNCTION("""COMPUTED_VALUE"""),"가슴이 콩닭콩닭")</f>
        <v>가슴이 콩닭콩닭</v>
      </c>
      <c r="B617" s="2" t="str">
        <f>IFERROR(__xludf.DUMMYFUNCTION("""COMPUTED_VALUE"""),"파슬리")</f>
        <v>파슬리</v>
      </c>
    </row>
    <row r="618">
      <c r="A618" s="2" t="str">
        <f>IFERROR(__xludf.DUMMYFUNCTION("""COMPUTED_VALUE"""),"가슴이 콩닭콩닭")</f>
        <v>가슴이 콩닭콩닭</v>
      </c>
      <c r="B618" s="2" t="str">
        <f>IFERROR(__xludf.DUMMYFUNCTION("""COMPUTED_VALUE"""),"닭가슴살")</f>
        <v>닭가슴살</v>
      </c>
    </row>
    <row r="619">
      <c r="A619" s="2" t="str">
        <f>IFERROR(__xludf.DUMMYFUNCTION("""COMPUTED_VALUE"""),"가슴이 콩닭콩닭")</f>
        <v>가슴이 콩닭콩닭</v>
      </c>
      <c r="B619" s="2" t="str">
        <f>IFERROR(__xludf.DUMMYFUNCTION("""COMPUTED_VALUE"""),"고춧가루")</f>
        <v>고춧가루</v>
      </c>
    </row>
    <row r="620">
      <c r="A620" s="2" t="str">
        <f>IFERROR(__xludf.DUMMYFUNCTION("""COMPUTED_VALUE"""),"가슴이 콩닭콩닭")</f>
        <v>가슴이 콩닭콩닭</v>
      </c>
      <c r="B620" s="2" t="str">
        <f>IFERROR(__xludf.DUMMYFUNCTION("""COMPUTED_VALUE"""),"애호박")</f>
        <v>애호박</v>
      </c>
    </row>
    <row r="621">
      <c r="A621" s="2" t="str">
        <f>IFERROR(__xludf.DUMMYFUNCTION("""COMPUTED_VALUE"""),"가슴이 콩닭콩닭")</f>
        <v>가슴이 콩닭콩닭</v>
      </c>
      <c r="B621" s="2" t="str">
        <f>IFERROR(__xludf.DUMMYFUNCTION("""COMPUTED_VALUE"""),"콜라비")</f>
        <v>콜라비</v>
      </c>
    </row>
    <row r="622">
      <c r="A622" s="2" t="str">
        <f>IFERROR(__xludf.DUMMYFUNCTION("""COMPUTED_VALUE"""),"가슴이 콩닭콩닭")</f>
        <v>가슴이 콩닭콩닭</v>
      </c>
      <c r="B622" s="2" t="str">
        <f>IFERROR(__xludf.DUMMYFUNCTION("""COMPUTED_VALUE"""),"발사믹 드레싱")</f>
        <v>발사믹 드레싱</v>
      </c>
    </row>
    <row r="623">
      <c r="A623" s="2" t="str">
        <f>IFERROR(__xludf.DUMMYFUNCTION("""COMPUTED_VALUE"""),"가슴이 콩닭콩닭")</f>
        <v>가슴이 콩닭콩닭</v>
      </c>
      <c r="B623" s="2" t="str">
        <f>IFERROR(__xludf.DUMMYFUNCTION("""COMPUTED_VALUE"""),"설탕")</f>
        <v>설탕</v>
      </c>
    </row>
    <row r="624">
      <c r="A624" s="2" t="str">
        <f>IFERROR(__xludf.DUMMYFUNCTION("""COMPUTED_VALUE"""),"가슴이 콩닭콩닭")</f>
        <v>가슴이 콩닭콩닭</v>
      </c>
      <c r="B624" s="2" t="str">
        <f>IFERROR(__xludf.DUMMYFUNCTION("""COMPUTED_VALUE"""),"올리브유")</f>
        <v>올리브유</v>
      </c>
    </row>
    <row r="625">
      <c r="A625" s="2" t="str">
        <f>IFERROR(__xludf.DUMMYFUNCTION("""COMPUTED_VALUE"""),"가슴이 콩닭콩닭")</f>
        <v>가슴이 콩닭콩닭</v>
      </c>
      <c r="B625" s="2" t="str">
        <f>IFERROR(__xludf.DUMMYFUNCTION("""COMPUTED_VALUE"""),"후추")</f>
        <v>후추</v>
      </c>
    </row>
    <row r="626">
      <c r="A626" s="2" t="str">
        <f>IFERROR(__xludf.DUMMYFUNCTION("""COMPUTED_VALUE"""),"가슴이 콩닭콩닭")</f>
        <v>가슴이 콩닭콩닭</v>
      </c>
      <c r="B626" s="2" t="str">
        <f>IFERROR(__xludf.DUMMYFUNCTION("""COMPUTED_VALUE"""),"소금")</f>
        <v>소금</v>
      </c>
    </row>
    <row r="627">
      <c r="A627" s="2" t="str">
        <f>IFERROR(__xludf.DUMMYFUNCTION("""COMPUTED_VALUE"""),"가슴이 콩닭콩닭")</f>
        <v>가슴이 콩닭콩닭</v>
      </c>
      <c r="B627" s="2" t="str">
        <f>IFERROR(__xludf.DUMMYFUNCTION("""COMPUTED_VALUE"""),"양파")</f>
        <v>양파</v>
      </c>
    </row>
    <row r="628">
      <c r="A628" s="2" t="str">
        <f>IFERROR(__xludf.DUMMYFUNCTION("""COMPUTED_VALUE"""),"가슴이 콩닭콩닭")</f>
        <v>가슴이 콩닭콩닭</v>
      </c>
      <c r="B628" s="2" t="str">
        <f>IFERROR(__xludf.DUMMYFUNCTION("""COMPUTED_VALUE"""),"고추")</f>
        <v>고추</v>
      </c>
    </row>
    <row r="629">
      <c r="A629" s="2" t="str">
        <f>IFERROR(__xludf.DUMMYFUNCTION("""COMPUTED_VALUE"""),"가슴이 콩닭콩닭")</f>
        <v>가슴이 콩닭콩닭</v>
      </c>
      <c r="B629" s="2" t="str">
        <f>IFERROR(__xludf.DUMMYFUNCTION("""COMPUTED_VALUE"""),"마늘")</f>
        <v>마늘</v>
      </c>
    </row>
    <row r="630">
      <c r="A630" s="2" t="str">
        <f>IFERROR(__xludf.DUMMYFUNCTION("""COMPUTED_VALUE"""),"나 혼자 쓰리볼")</f>
        <v>나 혼자 쓰리볼</v>
      </c>
      <c r="B630" s="2" t="str">
        <f>IFERROR(__xludf.DUMMYFUNCTION("""COMPUTED_VALUE"""),"닭가슴살")</f>
        <v>닭가슴살</v>
      </c>
    </row>
    <row r="631">
      <c r="A631" s="2" t="str">
        <f>IFERROR(__xludf.DUMMYFUNCTION("""COMPUTED_VALUE"""),"나 혼자 쓰리볼")</f>
        <v>나 혼자 쓰리볼</v>
      </c>
      <c r="B631" s="2" t="str">
        <f>IFERROR(__xludf.DUMMYFUNCTION("""COMPUTED_VALUE"""),"달걀")</f>
        <v>달걀</v>
      </c>
    </row>
    <row r="632">
      <c r="A632" s="2" t="str">
        <f>IFERROR(__xludf.DUMMYFUNCTION("""COMPUTED_VALUE"""),"나 혼자 쓰리볼")</f>
        <v>나 혼자 쓰리볼</v>
      </c>
      <c r="B632" s="2" t="str">
        <f>IFERROR(__xludf.DUMMYFUNCTION("""COMPUTED_VALUE"""),"크림소스")</f>
        <v>크림소스</v>
      </c>
    </row>
    <row r="633">
      <c r="A633" s="2" t="str">
        <f>IFERROR(__xludf.DUMMYFUNCTION("""COMPUTED_VALUE"""),"나 혼자 쓰리볼")</f>
        <v>나 혼자 쓰리볼</v>
      </c>
      <c r="B633" s="2" t="str">
        <f>IFERROR(__xludf.DUMMYFUNCTION("""COMPUTED_VALUE"""),"페페론치노")</f>
        <v>페페론치노</v>
      </c>
    </row>
    <row r="634">
      <c r="A634" s="2" t="str">
        <f>IFERROR(__xludf.DUMMYFUNCTION("""COMPUTED_VALUE"""),"나 혼자 쓰리볼")</f>
        <v>나 혼자 쓰리볼</v>
      </c>
      <c r="B634" s="2" t="str">
        <f>IFERROR(__xludf.DUMMYFUNCTION("""COMPUTED_VALUE"""),"바질페스토")</f>
        <v>바질페스토</v>
      </c>
    </row>
    <row r="635">
      <c r="A635" s="2" t="str">
        <f>IFERROR(__xludf.DUMMYFUNCTION("""COMPUTED_VALUE"""),"나 혼자 쓰리볼")</f>
        <v>나 혼자 쓰리볼</v>
      </c>
      <c r="B635" s="2" t="str">
        <f>IFERROR(__xludf.DUMMYFUNCTION("""COMPUTED_VALUE"""),"훈제연어")</f>
        <v>훈제연어</v>
      </c>
    </row>
    <row r="636">
      <c r="A636" s="2" t="str">
        <f>IFERROR(__xludf.DUMMYFUNCTION("""COMPUTED_VALUE"""),"나 혼자 쓰리볼")</f>
        <v>나 혼자 쓰리볼</v>
      </c>
      <c r="B636" s="2" t="str">
        <f>IFERROR(__xludf.DUMMYFUNCTION("""COMPUTED_VALUE"""),"석류")</f>
        <v>석류</v>
      </c>
    </row>
    <row r="637">
      <c r="A637" s="2" t="str">
        <f>IFERROR(__xludf.DUMMYFUNCTION("""COMPUTED_VALUE"""),"나 혼자 쓰리볼")</f>
        <v>나 혼자 쓰리볼</v>
      </c>
      <c r="B637" s="2" t="str">
        <f>IFERROR(__xludf.DUMMYFUNCTION("""COMPUTED_VALUE"""),"볶은 현미")</f>
        <v>볶은 현미</v>
      </c>
    </row>
    <row r="638">
      <c r="A638" s="2" t="str">
        <f>IFERROR(__xludf.DUMMYFUNCTION("""COMPUTED_VALUE"""),"나 혼자 쓰리볼")</f>
        <v>나 혼자 쓰리볼</v>
      </c>
      <c r="B638" s="2" t="str">
        <f>IFERROR(__xludf.DUMMYFUNCTION("""COMPUTED_VALUE"""),"화이트와인")</f>
        <v>화이트와인</v>
      </c>
    </row>
    <row r="639">
      <c r="A639" s="2" t="str">
        <f>IFERROR(__xludf.DUMMYFUNCTION("""COMPUTED_VALUE"""),"나 혼자 쓰리볼")</f>
        <v>나 혼자 쓰리볼</v>
      </c>
      <c r="B639" s="2" t="str">
        <f>IFERROR(__xludf.DUMMYFUNCTION("""COMPUTED_VALUE"""),"소금")</f>
        <v>소금</v>
      </c>
    </row>
    <row r="640">
      <c r="A640" s="2" t="str">
        <f>IFERROR(__xludf.DUMMYFUNCTION("""COMPUTED_VALUE"""),"나 혼자 쓰리볼")</f>
        <v>나 혼자 쓰리볼</v>
      </c>
      <c r="B640" s="2" t="str">
        <f>IFERROR(__xludf.DUMMYFUNCTION("""COMPUTED_VALUE"""),"후추")</f>
        <v>후추</v>
      </c>
    </row>
    <row r="641">
      <c r="A641" s="2" t="str">
        <f>IFERROR(__xludf.DUMMYFUNCTION("""COMPUTED_VALUE"""),"나 혼자 쓰리볼")</f>
        <v>나 혼자 쓰리볼</v>
      </c>
      <c r="B641" s="2" t="str">
        <f>IFERROR(__xludf.DUMMYFUNCTION("""COMPUTED_VALUE"""),"청양고추")</f>
        <v>청양고추</v>
      </c>
    </row>
    <row r="642">
      <c r="A642" s="2" t="str">
        <f>IFERROR(__xludf.DUMMYFUNCTION("""COMPUTED_VALUE"""),"나 혼자 쓰리볼")</f>
        <v>나 혼자 쓰리볼</v>
      </c>
      <c r="B642" s="2" t="str">
        <f>IFERROR(__xludf.DUMMYFUNCTION("""COMPUTED_VALUE"""),"마늘")</f>
        <v>마늘</v>
      </c>
    </row>
    <row r="643">
      <c r="A643" s="2" t="str">
        <f>IFERROR(__xludf.DUMMYFUNCTION("""COMPUTED_VALUE"""),"나 혼자 쓰리볼")</f>
        <v>나 혼자 쓰리볼</v>
      </c>
      <c r="B643" s="2" t="str">
        <f>IFERROR(__xludf.DUMMYFUNCTION("""COMPUTED_VALUE"""),"양파")</f>
        <v>양파</v>
      </c>
    </row>
    <row r="644">
      <c r="A644" s="2" t="str">
        <f>IFERROR(__xludf.DUMMYFUNCTION("""COMPUTED_VALUE"""),"나 혼자 쓰리볼")</f>
        <v>나 혼자 쓰리볼</v>
      </c>
      <c r="B644" s="2" t="str">
        <f>IFERROR(__xludf.DUMMYFUNCTION("""COMPUTED_VALUE"""),"파르메산 치즈")</f>
        <v>파르메산 치즈</v>
      </c>
    </row>
    <row r="645">
      <c r="A645" s="2" t="str">
        <f>IFERROR(__xludf.DUMMYFUNCTION("""COMPUTED_VALUE"""),"연양만점")</f>
        <v>연양만점</v>
      </c>
      <c r="B645" s="2" t="str">
        <f>IFERROR(__xludf.DUMMYFUNCTION("""COMPUTED_VALUE"""),"양배추")</f>
        <v>양배추</v>
      </c>
    </row>
    <row r="646">
      <c r="A646" s="2" t="str">
        <f>IFERROR(__xludf.DUMMYFUNCTION("""COMPUTED_VALUE"""),"연양만점")</f>
        <v>연양만점</v>
      </c>
      <c r="B646" s="2" t="str">
        <f>IFERROR(__xludf.DUMMYFUNCTION("""COMPUTED_VALUE"""),"감자")</f>
        <v>감자</v>
      </c>
    </row>
    <row r="647">
      <c r="A647" s="2" t="str">
        <f>IFERROR(__xludf.DUMMYFUNCTION("""COMPUTED_VALUE"""),"연양만점")</f>
        <v>연양만점</v>
      </c>
      <c r="B647" s="2" t="str">
        <f>IFERROR(__xludf.DUMMYFUNCTION("""COMPUTED_VALUE"""),"훈제연어")</f>
        <v>훈제연어</v>
      </c>
    </row>
    <row r="648">
      <c r="A648" s="2" t="str">
        <f>IFERROR(__xludf.DUMMYFUNCTION("""COMPUTED_VALUE"""),"연양만점")</f>
        <v>연양만점</v>
      </c>
      <c r="B648" s="2" t="str">
        <f>IFERROR(__xludf.DUMMYFUNCTION("""COMPUTED_VALUE"""),"플레인 요거트")</f>
        <v>플레인 요거트</v>
      </c>
    </row>
    <row r="649">
      <c r="A649" s="2" t="str">
        <f>IFERROR(__xludf.DUMMYFUNCTION("""COMPUTED_VALUE"""),"연양만점")</f>
        <v>연양만점</v>
      </c>
      <c r="B649" s="2" t="str">
        <f>IFERROR(__xludf.DUMMYFUNCTION("""COMPUTED_VALUE"""),"발사믹 식초")</f>
        <v>발사믹 식초</v>
      </c>
    </row>
    <row r="650">
      <c r="A650" s="2" t="str">
        <f>IFERROR(__xludf.DUMMYFUNCTION("""COMPUTED_VALUE"""),"연양만점")</f>
        <v>연양만점</v>
      </c>
      <c r="B650" s="2" t="str">
        <f>IFERROR(__xludf.DUMMYFUNCTION("""COMPUTED_VALUE"""),"딸기")</f>
        <v>딸기</v>
      </c>
    </row>
    <row r="651">
      <c r="A651" s="2" t="str">
        <f>IFERROR(__xludf.DUMMYFUNCTION("""COMPUTED_VALUE"""),"연양만점")</f>
        <v>연양만점</v>
      </c>
      <c r="B651" s="2" t="str">
        <f>IFERROR(__xludf.DUMMYFUNCTION("""COMPUTED_VALUE"""),"소금")</f>
        <v>소금</v>
      </c>
    </row>
    <row r="652">
      <c r="A652" s="2" t="str">
        <f>IFERROR(__xludf.DUMMYFUNCTION("""COMPUTED_VALUE"""),"연양만점")</f>
        <v>연양만점</v>
      </c>
      <c r="B652" s="2" t="str">
        <f>IFERROR(__xludf.DUMMYFUNCTION("""COMPUTED_VALUE"""),"대파")</f>
        <v>대파</v>
      </c>
    </row>
    <row r="653">
      <c r="A653" s="2" t="str">
        <f>IFERROR(__xludf.DUMMYFUNCTION("""COMPUTED_VALUE"""),"연양만점")</f>
        <v>연양만점</v>
      </c>
      <c r="B653" s="2" t="str">
        <f>IFERROR(__xludf.DUMMYFUNCTION("""COMPUTED_VALUE"""),"양파")</f>
        <v>양파</v>
      </c>
    </row>
    <row r="654">
      <c r="A654" s="2" t="str">
        <f>IFERROR(__xludf.DUMMYFUNCTION("""COMPUTED_VALUE"""),"연양만점")</f>
        <v>연양만점</v>
      </c>
      <c r="B654" s="2" t="str">
        <f>IFERROR(__xludf.DUMMYFUNCTION("""COMPUTED_VALUE"""),"레몬즙")</f>
        <v>레몬즙</v>
      </c>
    </row>
    <row r="655">
      <c r="A655" s="2" t="str">
        <f>IFERROR(__xludf.DUMMYFUNCTION("""COMPUTED_VALUE"""),"의기양양")</f>
        <v>의기양양</v>
      </c>
      <c r="B655" s="2" t="str">
        <f>IFERROR(__xludf.DUMMYFUNCTION("""COMPUTED_VALUE"""),"양배추")</f>
        <v>양배추</v>
      </c>
    </row>
    <row r="656">
      <c r="A656" s="2" t="str">
        <f>IFERROR(__xludf.DUMMYFUNCTION("""COMPUTED_VALUE"""),"의기양양")</f>
        <v>의기양양</v>
      </c>
      <c r="B656" s="2" t="str">
        <f>IFERROR(__xludf.DUMMYFUNCTION("""COMPUTED_VALUE"""),"훈제오리")</f>
        <v>훈제오리</v>
      </c>
    </row>
    <row r="657">
      <c r="A657" s="2" t="str">
        <f>IFERROR(__xludf.DUMMYFUNCTION("""COMPUTED_VALUE"""),"의기양양")</f>
        <v>의기양양</v>
      </c>
      <c r="B657" s="2" t="str">
        <f>IFERROR(__xludf.DUMMYFUNCTION("""COMPUTED_VALUE"""),"닭가슴살")</f>
        <v>닭가슴살</v>
      </c>
    </row>
    <row r="658">
      <c r="A658" s="2" t="str">
        <f>IFERROR(__xludf.DUMMYFUNCTION("""COMPUTED_VALUE"""),"의기양양")</f>
        <v>의기양양</v>
      </c>
      <c r="B658" s="2" t="str">
        <f>IFERROR(__xludf.DUMMYFUNCTION("""COMPUTED_VALUE"""),"쯔유")</f>
        <v>쯔유</v>
      </c>
    </row>
    <row r="659">
      <c r="A659" s="2" t="str">
        <f>IFERROR(__xludf.DUMMYFUNCTION("""COMPUTED_VALUE"""),"의기양양")</f>
        <v>의기양양</v>
      </c>
      <c r="B659" s="2" t="str">
        <f>IFERROR(__xludf.DUMMYFUNCTION("""COMPUTED_VALUE"""),"백김치")</f>
        <v>백김치</v>
      </c>
    </row>
    <row r="660">
      <c r="A660" s="2" t="str">
        <f>IFERROR(__xludf.DUMMYFUNCTION("""COMPUTED_VALUE"""),"의기양양")</f>
        <v>의기양양</v>
      </c>
      <c r="B660" s="2" t="str">
        <f>IFERROR(__xludf.DUMMYFUNCTION("""COMPUTED_VALUE"""),"달걀")</f>
        <v>달걀</v>
      </c>
    </row>
    <row r="661">
      <c r="A661" s="2" t="str">
        <f>IFERROR(__xludf.DUMMYFUNCTION("""COMPUTED_VALUE"""),"의기양양")</f>
        <v>의기양양</v>
      </c>
      <c r="B661" s="2" t="str">
        <f>IFERROR(__xludf.DUMMYFUNCTION("""COMPUTED_VALUE"""),"어린잎 채소")</f>
        <v>어린잎 채소</v>
      </c>
    </row>
    <row r="662">
      <c r="A662" s="2" t="str">
        <f>IFERROR(__xludf.DUMMYFUNCTION("""COMPUTED_VALUE"""),"의기양양")</f>
        <v>의기양양</v>
      </c>
      <c r="B662" s="2" t="str">
        <f>IFERROR(__xludf.DUMMYFUNCTION("""COMPUTED_VALUE"""),"밥")</f>
        <v>밥</v>
      </c>
    </row>
    <row r="663">
      <c r="A663" s="2" t="str">
        <f>IFERROR(__xludf.DUMMYFUNCTION("""COMPUTED_VALUE"""),"의기양양")</f>
        <v>의기양양</v>
      </c>
      <c r="B663" s="2" t="str">
        <f>IFERROR(__xludf.DUMMYFUNCTION("""COMPUTED_VALUE"""),"양파")</f>
        <v>양파</v>
      </c>
    </row>
    <row r="664">
      <c r="A664" s="2" t="str">
        <f>IFERROR(__xludf.DUMMYFUNCTION("""COMPUTED_VALUE"""),"의기양양")</f>
        <v>의기양양</v>
      </c>
      <c r="B664" s="2" t="str">
        <f>IFERROR(__xludf.DUMMYFUNCTION("""COMPUTED_VALUE"""),"대파")</f>
        <v>대파</v>
      </c>
    </row>
    <row r="665">
      <c r="A665" s="2" t="str">
        <f>IFERROR(__xludf.DUMMYFUNCTION("""COMPUTED_VALUE"""),"의기양양")</f>
        <v>의기양양</v>
      </c>
      <c r="B665" s="2" t="str">
        <f>IFERROR(__xludf.DUMMYFUNCTION("""COMPUTED_VALUE"""),"버터")</f>
        <v>버터</v>
      </c>
    </row>
    <row r="666">
      <c r="A666" s="2" t="str">
        <f>IFERROR(__xludf.DUMMYFUNCTION("""COMPUTED_VALUE"""),"의기양양")</f>
        <v>의기양양</v>
      </c>
      <c r="B666" s="2" t="str">
        <f>IFERROR(__xludf.DUMMYFUNCTION("""COMPUTED_VALUE"""),"마늘")</f>
        <v>마늘</v>
      </c>
    </row>
    <row r="667">
      <c r="A667" s="2" t="str">
        <f>IFERROR(__xludf.DUMMYFUNCTION("""COMPUTED_VALUE"""),"의기양양")</f>
        <v>의기양양</v>
      </c>
      <c r="B667" s="2" t="str">
        <f>IFERROR(__xludf.DUMMYFUNCTION("""COMPUTED_VALUE"""),"후추")</f>
        <v>후추</v>
      </c>
    </row>
    <row r="668">
      <c r="A668" s="2" t="str">
        <f>IFERROR(__xludf.DUMMYFUNCTION("""COMPUTED_VALUE"""),"의기양양")</f>
        <v>의기양양</v>
      </c>
      <c r="B668" s="2" t="str">
        <f>IFERROR(__xludf.DUMMYFUNCTION("""COMPUTED_VALUE"""),"다진 생강")</f>
        <v>다진 생강</v>
      </c>
    </row>
    <row r="669">
      <c r="A669" s="2" t="str">
        <f>IFERROR(__xludf.DUMMYFUNCTION("""COMPUTED_VALUE"""),"감자봤수란")</f>
        <v>감자봤수란</v>
      </c>
      <c r="B669" s="2" t="str">
        <f>IFERROR(__xludf.DUMMYFUNCTION("""COMPUTED_VALUE"""),"감자")</f>
        <v>감자</v>
      </c>
    </row>
    <row r="670">
      <c r="A670" s="2" t="str">
        <f>IFERROR(__xludf.DUMMYFUNCTION("""COMPUTED_VALUE"""),"감자봤수란")</f>
        <v>감자봤수란</v>
      </c>
      <c r="B670" s="2" t="str">
        <f>IFERROR(__xludf.DUMMYFUNCTION("""COMPUTED_VALUE"""),"어린잎 채소")</f>
        <v>어린잎 채소</v>
      </c>
    </row>
    <row r="671">
      <c r="A671" s="2" t="str">
        <f>IFERROR(__xludf.DUMMYFUNCTION("""COMPUTED_VALUE"""),"감자봤수란")</f>
        <v>감자봤수란</v>
      </c>
      <c r="B671" s="2" t="str">
        <f>IFERROR(__xludf.DUMMYFUNCTION("""COMPUTED_VALUE"""),"매실액")</f>
        <v>매실액</v>
      </c>
    </row>
    <row r="672">
      <c r="A672" s="2" t="str">
        <f>IFERROR(__xludf.DUMMYFUNCTION("""COMPUTED_VALUE"""),"감자봤수란")</f>
        <v>감자봤수란</v>
      </c>
      <c r="B672" s="2" t="str">
        <f>IFERROR(__xludf.DUMMYFUNCTION("""COMPUTED_VALUE"""),"쯔유")</f>
        <v>쯔유</v>
      </c>
    </row>
    <row r="673">
      <c r="A673" s="2" t="str">
        <f>IFERROR(__xludf.DUMMYFUNCTION("""COMPUTED_VALUE"""),"감자봤수란")</f>
        <v>감자봤수란</v>
      </c>
      <c r="B673" s="2" t="str">
        <f>IFERROR(__xludf.DUMMYFUNCTION("""COMPUTED_VALUE"""),"달걀")</f>
        <v>달걀</v>
      </c>
    </row>
    <row r="674">
      <c r="A674" s="2" t="str">
        <f>IFERROR(__xludf.DUMMYFUNCTION("""COMPUTED_VALUE"""),"감자봤수란")</f>
        <v>감자봤수란</v>
      </c>
      <c r="B674" s="2" t="str">
        <f>IFERROR(__xludf.DUMMYFUNCTION("""COMPUTED_VALUE"""),"마늘장아찌")</f>
        <v>마늘장아찌</v>
      </c>
    </row>
    <row r="675">
      <c r="A675" s="2" t="str">
        <f>IFERROR(__xludf.DUMMYFUNCTION("""COMPUTED_VALUE"""),"감자봤수란")</f>
        <v>감자봤수란</v>
      </c>
      <c r="B675" s="2" t="str">
        <f>IFERROR(__xludf.DUMMYFUNCTION("""COMPUTED_VALUE"""),"소금")</f>
        <v>소금</v>
      </c>
    </row>
    <row r="676">
      <c r="A676" s="2" t="str">
        <f>IFERROR(__xludf.DUMMYFUNCTION("""COMPUTED_VALUE"""),"감자봤수란")</f>
        <v>감자봤수란</v>
      </c>
      <c r="B676" s="2" t="str">
        <f>IFERROR(__xludf.DUMMYFUNCTION("""COMPUTED_VALUE"""),"양파")</f>
        <v>양파</v>
      </c>
    </row>
    <row r="677">
      <c r="A677" s="2" t="str">
        <f>IFERROR(__xludf.DUMMYFUNCTION("""COMPUTED_VALUE"""),"감자봤수란")</f>
        <v>감자봤수란</v>
      </c>
      <c r="B677" s="2" t="str">
        <f>IFERROR(__xludf.DUMMYFUNCTION("""COMPUTED_VALUE"""),"밀가루")</f>
        <v>밀가루</v>
      </c>
    </row>
    <row r="678">
      <c r="A678" s="2" t="str">
        <f>IFERROR(__xludf.DUMMYFUNCTION("""COMPUTED_VALUE"""),"감자봤수란")</f>
        <v>감자봤수란</v>
      </c>
      <c r="B678" s="2" t="str">
        <f>IFERROR(__xludf.DUMMYFUNCTION("""COMPUTED_VALUE"""),"버터")</f>
        <v>버터</v>
      </c>
    </row>
    <row r="679">
      <c r="A679" s="2" t="str">
        <f>IFERROR(__xludf.DUMMYFUNCTION("""COMPUTED_VALUE"""),"감자봤수란")</f>
        <v>감자봤수란</v>
      </c>
      <c r="B679" s="2" t="str">
        <f>IFERROR(__xludf.DUMMYFUNCTION("""COMPUTED_VALUE"""),"후추")</f>
        <v>후추</v>
      </c>
    </row>
    <row r="680">
      <c r="A680" s="2" t="str">
        <f>IFERROR(__xludf.DUMMYFUNCTION("""COMPUTED_VALUE"""),"감자봤수란")</f>
        <v>감자봤수란</v>
      </c>
      <c r="B680" s="2" t="str">
        <f>IFERROR(__xludf.DUMMYFUNCTION("""COMPUTED_VALUE"""),"깨")</f>
        <v>깨</v>
      </c>
    </row>
    <row r="681">
      <c r="A681" s="2" t="str">
        <f>IFERROR(__xludf.DUMMYFUNCTION("""COMPUTED_VALUE"""),"감자봤수란")</f>
        <v>감자봤수란</v>
      </c>
      <c r="B681" s="2" t="str">
        <f>IFERROR(__xludf.DUMMYFUNCTION("""COMPUTED_VALUE"""),"식초")</f>
        <v>식초</v>
      </c>
    </row>
    <row r="682">
      <c r="A682" s="2" t="str">
        <f>IFERROR(__xludf.DUMMYFUNCTION("""COMPUTED_VALUE"""),"미치고 팔닭")</f>
        <v>미치고 팔닭</v>
      </c>
      <c r="B682" s="2" t="str">
        <f>IFERROR(__xludf.DUMMYFUNCTION("""COMPUTED_VALUE"""),"인절미")</f>
        <v>인절미</v>
      </c>
    </row>
    <row r="683">
      <c r="A683" s="2" t="str">
        <f>IFERROR(__xludf.DUMMYFUNCTION("""COMPUTED_VALUE"""),"미치고 팔닭")</f>
        <v>미치고 팔닭</v>
      </c>
      <c r="B683" s="2" t="str">
        <f>IFERROR(__xludf.DUMMYFUNCTION("""COMPUTED_VALUE"""),"닭가슴살 통조림")</f>
        <v>닭가슴살 통조림</v>
      </c>
    </row>
    <row r="684">
      <c r="A684" s="2" t="str">
        <f>IFERROR(__xludf.DUMMYFUNCTION("""COMPUTED_VALUE"""),"미치고 팔닭")</f>
        <v>미치고 팔닭</v>
      </c>
      <c r="B684" s="2" t="str">
        <f>IFERROR(__xludf.DUMMYFUNCTION("""COMPUTED_VALUE"""),"조미료")</f>
        <v>조미료</v>
      </c>
    </row>
    <row r="685">
      <c r="A685" s="2" t="str">
        <f>IFERROR(__xludf.DUMMYFUNCTION("""COMPUTED_VALUE"""),"미치고 팔닭")</f>
        <v>미치고 팔닭</v>
      </c>
      <c r="B685" s="2" t="str">
        <f>IFERROR(__xludf.DUMMYFUNCTION("""COMPUTED_VALUE"""),"꿀")</f>
        <v>꿀</v>
      </c>
    </row>
    <row r="686">
      <c r="A686" s="2" t="str">
        <f>IFERROR(__xludf.DUMMYFUNCTION("""COMPUTED_VALUE"""),"미치고 팔닭")</f>
        <v>미치고 팔닭</v>
      </c>
      <c r="B686" s="2" t="str">
        <f>IFERROR(__xludf.DUMMYFUNCTION("""COMPUTED_VALUE"""),"다진 마늘")</f>
        <v>다진 마늘</v>
      </c>
    </row>
    <row r="687">
      <c r="A687" s="2" t="str">
        <f>IFERROR(__xludf.DUMMYFUNCTION("""COMPUTED_VALUE"""),"미치고 팔닭")</f>
        <v>미치고 팔닭</v>
      </c>
      <c r="B687" s="2" t="str">
        <f>IFERROR(__xludf.DUMMYFUNCTION("""COMPUTED_VALUE"""),"양파")</f>
        <v>양파</v>
      </c>
    </row>
    <row r="688">
      <c r="A688" s="2" t="str">
        <f>IFERROR(__xludf.DUMMYFUNCTION("""COMPUTED_VALUE"""),"미치고 팔닭")</f>
        <v>미치고 팔닭</v>
      </c>
      <c r="B688" s="2" t="str">
        <f>IFERROR(__xludf.DUMMYFUNCTION("""COMPUTED_VALUE"""),"후추")</f>
        <v>후추</v>
      </c>
    </row>
    <row r="689">
      <c r="A689" s="2" t="str">
        <f>IFERROR(__xludf.DUMMYFUNCTION("""COMPUTED_VALUE"""),"미치고 팔닭")</f>
        <v>미치고 팔닭</v>
      </c>
      <c r="B689" s="2" t="str">
        <f>IFERROR(__xludf.DUMMYFUNCTION("""COMPUTED_VALUE"""),"간장")</f>
        <v>간장</v>
      </c>
    </row>
    <row r="690">
      <c r="A690" s="2" t="str">
        <f>IFERROR(__xludf.DUMMYFUNCTION("""COMPUTED_VALUE"""),"2연타")</f>
        <v>2연타</v>
      </c>
      <c r="B690" s="2" t="str">
        <f>IFERROR(__xludf.DUMMYFUNCTION("""COMPUTED_VALUE"""),"연어")</f>
        <v>연어</v>
      </c>
    </row>
    <row r="691">
      <c r="A691" s="2" t="str">
        <f>IFERROR(__xludf.DUMMYFUNCTION("""COMPUTED_VALUE"""),"2연타")</f>
        <v>2연타</v>
      </c>
      <c r="B691" s="2" t="str">
        <f>IFERROR(__xludf.DUMMYFUNCTION("""COMPUTED_VALUE"""),"양배추")</f>
        <v>양배추</v>
      </c>
    </row>
    <row r="692">
      <c r="A692" s="2" t="str">
        <f>IFERROR(__xludf.DUMMYFUNCTION("""COMPUTED_VALUE"""),"2연타")</f>
        <v>2연타</v>
      </c>
      <c r="B692" s="2" t="str">
        <f>IFERROR(__xludf.DUMMYFUNCTION("""COMPUTED_VALUE"""),"옥수수 통조림")</f>
        <v>옥수수 통조림</v>
      </c>
    </row>
    <row r="693">
      <c r="A693" s="2" t="str">
        <f>IFERROR(__xludf.DUMMYFUNCTION("""COMPUTED_VALUE"""),"2연타")</f>
        <v>2연타</v>
      </c>
      <c r="B693" s="2" t="str">
        <f>IFERROR(__xludf.DUMMYFUNCTION("""COMPUTED_VALUE"""),"매운 오리엔탈 소스")</f>
        <v>매운 오리엔탈 소스</v>
      </c>
    </row>
    <row r="694">
      <c r="A694" s="2" t="str">
        <f>IFERROR(__xludf.DUMMYFUNCTION("""COMPUTED_VALUE"""),"2연타")</f>
        <v>2연타</v>
      </c>
      <c r="B694" s="2" t="str">
        <f>IFERROR(__xludf.DUMMYFUNCTION("""COMPUTED_VALUE"""),"고추장아찌")</f>
        <v>고추장아찌</v>
      </c>
    </row>
    <row r="695">
      <c r="A695" s="2" t="str">
        <f>IFERROR(__xludf.DUMMYFUNCTION("""COMPUTED_VALUE"""),"2연타")</f>
        <v>2연타</v>
      </c>
      <c r="B695" s="2" t="str">
        <f>IFERROR(__xludf.DUMMYFUNCTION("""COMPUTED_VALUE"""),"방울토마토")</f>
        <v>방울토마토</v>
      </c>
    </row>
    <row r="696">
      <c r="A696" s="2" t="str">
        <f>IFERROR(__xludf.DUMMYFUNCTION("""COMPUTED_VALUE"""),"2연타")</f>
        <v>2연타</v>
      </c>
      <c r="B696" s="2" t="str">
        <f>IFERROR(__xludf.DUMMYFUNCTION("""COMPUTED_VALUE"""),"참치")</f>
        <v>참치</v>
      </c>
    </row>
    <row r="697">
      <c r="A697" s="2" t="str">
        <f>IFERROR(__xludf.DUMMYFUNCTION("""COMPUTED_VALUE"""),"2연타")</f>
        <v>2연타</v>
      </c>
      <c r="B697" s="2" t="str">
        <f>IFERROR(__xludf.DUMMYFUNCTION("""COMPUTED_VALUE"""),"크림치즈")</f>
        <v>크림치즈</v>
      </c>
    </row>
    <row r="698">
      <c r="A698" s="2" t="str">
        <f>IFERROR(__xludf.DUMMYFUNCTION("""COMPUTED_VALUE"""),"2연타")</f>
        <v>2연타</v>
      </c>
      <c r="B698" s="2" t="str">
        <f>IFERROR(__xludf.DUMMYFUNCTION("""COMPUTED_VALUE"""),"소금")</f>
        <v>소금</v>
      </c>
    </row>
    <row r="699">
      <c r="A699" s="2" t="str">
        <f>IFERROR(__xludf.DUMMYFUNCTION("""COMPUTED_VALUE"""),"2연타")</f>
        <v>2연타</v>
      </c>
      <c r="B699" s="2" t="str">
        <f>IFERROR(__xludf.DUMMYFUNCTION("""COMPUTED_VALUE"""),"후추")</f>
        <v>후추</v>
      </c>
    </row>
    <row r="700">
      <c r="A700" s="2" t="str">
        <f>IFERROR(__xludf.DUMMYFUNCTION("""COMPUTED_VALUE"""),"2연타")</f>
        <v>2연타</v>
      </c>
      <c r="B700" s="2" t="str">
        <f>IFERROR(__xludf.DUMMYFUNCTION("""COMPUTED_VALUE"""),"레몬")</f>
        <v>레몬</v>
      </c>
    </row>
    <row r="701">
      <c r="A701" s="2" t="str">
        <f>IFERROR(__xludf.DUMMYFUNCTION("""COMPUTED_VALUE"""),"2연타")</f>
        <v>2연타</v>
      </c>
      <c r="B701" s="2" t="str">
        <f>IFERROR(__xludf.DUMMYFUNCTION("""COMPUTED_VALUE"""),"양파")</f>
        <v>양파</v>
      </c>
    </row>
    <row r="702">
      <c r="A702" s="2" t="str">
        <f>IFERROR(__xludf.DUMMYFUNCTION("""COMPUTED_VALUE"""),"2연타")</f>
        <v>2연타</v>
      </c>
      <c r="B702" s="2" t="str">
        <f>IFERROR(__xludf.DUMMYFUNCTION("""COMPUTED_VALUE"""),"핫소스")</f>
        <v>핫소스</v>
      </c>
    </row>
    <row r="703">
      <c r="A703" s="2" t="str">
        <f>IFERROR(__xludf.DUMMYFUNCTION("""COMPUTED_VALUE"""),"2연타")</f>
        <v>2연타</v>
      </c>
      <c r="B703" s="2" t="str">
        <f>IFERROR(__xludf.DUMMYFUNCTION("""COMPUTED_VALUE"""),"올리브유")</f>
        <v>올리브유</v>
      </c>
    </row>
    <row r="704">
      <c r="A704" s="2" t="str">
        <f>IFERROR(__xludf.DUMMYFUNCTION("""COMPUTED_VALUE"""),"2연타")</f>
        <v>2연타</v>
      </c>
      <c r="B704" s="2" t="str">
        <f>IFERROR(__xludf.DUMMYFUNCTION("""COMPUTED_VALUE"""),"마요네즈")</f>
        <v>마요네즈</v>
      </c>
    </row>
    <row r="705">
      <c r="A705" s="2" t="str">
        <f>IFERROR(__xludf.DUMMYFUNCTION("""COMPUTED_VALUE"""),"홍런볼")</f>
        <v>홍런볼</v>
      </c>
      <c r="B705" s="2" t="str">
        <f>IFERROR(__xludf.DUMMYFUNCTION("""COMPUTED_VALUE"""),"연어")</f>
        <v>연어</v>
      </c>
    </row>
    <row r="706">
      <c r="A706" s="2" t="str">
        <f>IFERROR(__xludf.DUMMYFUNCTION("""COMPUTED_VALUE"""),"홍런볼")</f>
        <v>홍런볼</v>
      </c>
      <c r="B706" s="2" t="str">
        <f>IFERROR(__xludf.DUMMYFUNCTION("""COMPUTED_VALUE"""),"양배추")</f>
        <v>양배추</v>
      </c>
    </row>
    <row r="707">
      <c r="A707" s="2" t="str">
        <f>IFERROR(__xludf.DUMMYFUNCTION("""COMPUTED_VALUE"""),"홍런볼")</f>
        <v>홍런볼</v>
      </c>
      <c r="B707" s="2" t="str">
        <f>IFERROR(__xludf.DUMMYFUNCTION("""COMPUTED_VALUE"""),"멸치볶음")</f>
        <v>멸치볶음</v>
      </c>
    </row>
    <row r="708">
      <c r="A708" s="2" t="str">
        <f>IFERROR(__xludf.DUMMYFUNCTION("""COMPUTED_VALUE"""),"홍런볼")</f>
        <v>홍런볼</v>
      </c>
      <c r="B708" s="2" t="str">
        <f>IFERROR(__xludf.DUMMYFUNCTION("""COMPUTED_VALUE"""),"고추장아찌")</f>
        <v>고추장아찌</v>
      </c>
    </row>
    <row r="709">
      <c r="A709" s="2" t="str">
        <f>IFERROR(__xludf.DUMMYFUNCTION("""COMPUTED_VALUE"""),"홍런볼")</f>
        <v>홍런볼</v>
      </c>
      <c r="B709" s="2" t="str">
        <f>IFERROR(__xludf.DUMMYFUNCTION("""COMPUTED_VALUE"""),"김자반")</f>
        <v>김자반</v>
      </c>
    </row>
    <row r="710">
      <c r="A710" s="2" t="str">
        <f>IFERROR(__xludf.DUMMYFUNCTION("""COMPUTED_VALUE"""),"홍런볼")</f>
        <v>홍런볼</v>
      </c>
      <c r="B710" s="2" t="str">
        <f>IFERROR(__xludf.DUMMYFUNCTION("""COMPUTED_VALUE"""),"유산균 음료")</f>
        <v>유산균 음료</v>
      </c>
    </row>
    <row r="711">
      <c r="A711" s="2" t="str">
        <f>IFERROR(__xludf.DUMMYFUNCTION("""COMPUTED_VALUE"""),"홍런볼")</f>
        <v>홍런볼</v>
      </c>
      <c r="B711" s="2" t="str">
        <f>IFERROR(__xludf.DUMMYFUNCTION("""COMPUTED_VALUE"""),"딸기 요거트")</f>
        <v>딸기 요거트</v>
      </c>
    </row>
    <row r="712">
      <c r="A712" s="2" t="str">
        <f>IFERROR(__xludf.DUMMYFUNCTION("""COMPUTED_VALUE"""),"홍런볼")</f>
        <v>홍런볼</v>
      </c>
      <c r="B712" s="2" t="str">
        <f>IFERROR(__xludf.DUMMYFUNCTION("""COMPUTED_VALUE"""),"청포도")</f>
        <v>청포도</v>
      </c>
    </row>
    <row r="713">
      <c r="A713" s="2" t="str">
        <f>IFERROR(__xludf.DUMMYFUNCTION("""COMPUTED_VALUE"""),"홍런볼")</f>
        <v>홍런볼</v>
      </c>
      <c r="B713" s="2" t="str">
        <f>IFERROR(__xludf.DUMMYFUNCTION("""COMPUTED_VALUE"""),"레몬")</f>
        <v>레몬</v>
      </c>
    </row>
    <row r="714">
      <c r="A714" s="2" t="str">
        <f>IFERROR(__xludf.DUMMYFUNCTION("""COMPUTED_VALUE"""),"홍런볼")</f>
        <v>홍런볼</v>
      </c>
      <c r="B714" s="2" t="str">
        <f>IFERROR(__xludf.DUMMYFUNCTION("""COMPUTED_VALUE"""),"소금")</f>
        <v>소금</v>
      </c>
    </row>
    <row r="715">
      <c r="A715" s="2" t="str">
        <f>IFERROR(__xludf.DUMMYFUNCTION("""COMPUTED_VALUE"""),"홍런볼")</f>
        <v>홍런볼</v>
      </c>
      <c r="B715" s="2" t="str">
        <f>IFERROR(__xludf.DUMMYFUNCTION("""COMPUTED_VALUE"""),"후추")</f>
        <v>후추</v>
      </c>
    </row>
    <row r="716">
      <c r="A716" s="2" t="str">
        <f>IFERROR(__xludf.DUMMYFUNCTION("""COMPUTED_VALUE"""),"홍런볼")</f>
        <v>홍런볼</v>
      </c>
      <c r="B716" s="2" t="str">
        <f>IFERROR(__xludf.DUMMYFUNCTION("""COMPUTED_VALUE"""),"버터")</f>
        <v>버터</v>
      </c>
    </row>
    <row r="717">
      <c r="A717" s="2" t="str">
        <f>IFERROR(__xludf.DUMMYFUNCTION("""COMPUTED_VALUE"""),"홍런볼")</f>
        <v>홍런볼</v>
      </c>
      <c r="B717" s="2" t="str">
        <f>IFERROR(__xludf.DUMMYFUNCTION("""COMPUTED_VALUE"""),"참기름")</f>
        <v>참기름</v>
      </c>
    </row>
    <row r="718">
      <c r="A718" s="2" t="str">
        <f>IFERROR(__xludf.DUMMYFUNCTION("""COMPUTED_VALUE"""),"홍런볼")</f>
        <v>홍런볼</v>
      </c>
      <c r="B718" s="2" t="str">
        <f>IFERROR(__xludf.DUMMYFUNCTION("""COMPUTED_VALUE"""),"올리브오일")</f>
        <v>올리브오일</v>
      </c>
    </row>
    <row r="719">
      <c r="A719" s="2" t="str">
        <f>IFERROR(__xludf.DUMMYFUNCTION("""COMPUTED_VALUE"""),"비어 쉬림프")</f>
        <v>비어 쉬림프</v>
      </c>
      <c r="B719" s="2" t="str">
        <f>IFERROR(__xludf.DUMMYFUNCTION("""COMPUTED_VALUE"""),"새우")</f>
        <v>새우</v>
      </c>
    </row>
    <row r="720">
      <c r="A720" s="2" t="str">
        <f>IFERROR(__xludf.DUMMYFUNCTION("""COMPUTED_VALUE"""),"비어 쉬림프")</f>
        <v>비어 쉬림프</v>
      </c>
      <c r="B720" s="2" t="str">
        <f>IFERROR(__xludf.DUMMYFUNCTION("""COMPUTED_VALUE"""),"달걀")</f>
        <v>달걀</v>
      </c>
    </row>
    <row r="721">
      <c r="A721" s="2" t="str">
        <f>IFERROR(__xludf.DUMMYFUNCTION("""COMPUTED_VALUE"""),"비어 쉬림프")</f>
        <v>비어 쉬림프</v>
      </c>
      <c r="B721" s="2" t="str">
        <f>IFERROR(__xludf.DUMMYFUNCTION("""COMPUTED_VALUE"""),"맥주")</f>
        <v>맥주</v>
      </c>
    </row>
    <row r="722">
      <c r="A722" s="2" t="str">
        <f>IFERROR(__xludf.DUMMYFUNCTION("""COMPUTED_VALUE"""),"비어 쉬림프")</f>
        <v>비어 쉬림프</v>
      </c>
      <c r="B722" s="2" t="str">
        <f>IFERROR(__xludf.DUMMYFUNCTION("""COMPUTED_VALUE"""),"양배추")</f>
        <v>양배추</v>
      </c>
    </row>
    <row r="723">
      <c r="A723" s="2" t="str">
        <f>IFERROR(__xludf.DUMMYFUNCTION("""COMPUTED_VALUE"""),"비어 쉬림프")</f>
        <v>비어 쉬림프</v>
      </c>
      <c r="B723" s="2" t="str">
        <f>IFERROR(__xludf.DUMMYFUNCTION("""COMPUTED_VALUE"""),"소금")</f>
        <v>소금</v>
      </c>
    </row>
    <row r="724">
      <c r="A724" s="2" t="str">
        <f>IFERROR(__xludf.DUMMYFUNCTION("""COMPUTED_VALUE"""),"비어 쉬림프")</f>
        <v>비어 쉬림프</v>
      </c>
      <c r="B724" s="2" t="str">
        <f>IFERROR(__xludf.DUMMYFUNCTION("""COMPUTED_VALUE"""),"후추")</f>
        <v>후추</v>
      </c>
    </row>
    <row r="725">
      <c r="A725" s="2" t="str">
        <f>IFERROR(__xludf.DUMMYFUNCTION("""COMPUTED_VALUE"""),"비어 쉬림프")</f>
        <v>비어 쉬림프</v>
      </c>
      <c r="B725" s="2" t="str">
        <f>IFERROR(__xludf.DUMMYFUNCTION("""COMPUTED_VALUE"""),"마늘")</f>
        <v>마늘</v>
      </c>
    </row>
    <row r="726">
      <c r="A726" s="2" t="str">
        <f>IFERROR(__xludf.DUMMYFUNCTION("""COMPUTED_VALUE"""),"비어 쉬림프")</f>
        <v>비어 쉬림프</v>
      </c>
      <c r="B726" s="2" t="str">
        <f>IFERROR(__xludf.DUMMYFUNCTION("""COMPUTED_VALUE"""),"밀가루")</f>
        <v>밀가루</v>
      </c>
    </row>
    <row r="727">
      <c r="A727" s="2" t="str">
        <f>IFERROR(__xludf.DUMMYFUNCTION("""COMPUTED_VALUE"""),"비어 쉬림프")</f>
        <v>비어 쉬림프</v>
      </c>
      <c r="B727" s="2" t="str">
        <f>IFERROR(__xludf.DUMMYFUNCTION("""COMPUTED_VALUE"""),"당근")</f>
        <v>당근</v>
      </c>
    </row>
    <row r="728">
      <c r="A728" s="2" t="str">
        <f>IFERROR(__xludf.DUMMYFUNCTION("""COMPUTED_VALUE"""),"비어 쉬림프")</f>
        <v>비어 쉬림프</v>
      </c>
      <c r="B728" s="2" t="str">
        <f>IFERROR(__xludf.DUMMYFUNCTION("""COMPUTED_VALUE"""),"올리브유")</f>
        <v>올리브유</v>
      </c>
    </row>
    <row r="729">
      <c r="A729" s="2" t="str">
        <f>IFERROR(__xludf.DUMMYFUNCTION("""COMPUTED_VALUE"""),"비어 쉬림프")</f>
        <v>비어 쉬림프</v>
      </c>
      <c r="B729" s="2" t="str">
        <f>IFERROR(__xludf.DUMMYFUNCTION("""COMPUTED_VALUE"""),"식초")</f>
        <v>식초</v>
      </c>
    </row>
    <row r="730">
      <c r="A730" s="2" t="str">
        <f>IFERROR(__xludf.DUMMYFUNCTION("""COMPUTED_VALUE"""),"비어 쉬림프")</f>
        <v>비어 쉬림프</v>
      </c>
      <c r="B730" s="2" t="str">
        <f>IFERROR(__xludf.DUMMYFUNCTION("""COMPUTED_VALUE"""),"레몬")</f>
        <v>레몬</v>
      </c>
    </row>
    <row r="731">
      <c r="A731" s="2" t="str">
        <f>IFERROR(__xludf.DUMMYFUNCTION("""COMPUTED_VALUE"""),"치튀치튀뱅뱅")</f>
        <v>치튀치튀뱅뱅</v>
      </c>
      <c r="B731" s="2" t="str">
        <f>IFERROR(__xludf.DUMMYFUNCTION("""COMPUTED_VALUE"""),"크림치즈")</f>
        <v>크림치즈</v>
      </c>
    </row>
    <row r="732">
      <c r="A732" s="2" t="str">
        <f>IFERROR(__xludf.DUMMYFUNCTION("""COMPUTED_VALUE"""),"치튀치튀뱅뱅")</f>
        <v>치튀치튀뱅뱅</v>
      </c>
      <c r="B732" s="2" t="str">
        <f>IFERROR(__xludf.DUMMYFUNCTION("""COMPUTED_VALUE"""),"오리엔탈 드레싱")</f>
        <v>오리엔탈 드레싱</v>
      </c>
    </row>
    <row r="733">
      <c r="A733" s="2" t="str">
        <f>IFERROR(__xludf.DUMMYFUNCTION("""COMPUTED_VALUE"""),"치튀치튀뱅뱅")</f>
        <v>치튀치튀뱅뱅</v>
      </c>
      <c r="B733" s="2" t="str">
        <f>IFERROR(__xludf.DUMMYFUNCTION("""COMPUTED_VALUE"""),"딸기잼")</f>
        <v>딸기잼</v>
      </c>
    </row>
    <row r="734">
      <c r="A734" s="2" t="str">
        <f>IFERROR(__xludf.DUMMYFUNCTION("""COMPUTED_VALUE"""),"치튀치튀뱅뱅")</f>
        <v>치튀치튀뱅뱅</v>
      </c>
      <c r="B734" s="2" t="str">
        <f>IFERROR(__xludf.DUMMYFUNCTION("""COMPUTED_VALUE"""),"딸기")</f>
        <v>딸기</v>
      </c>
    </row>
    <row r="735">
      <c r="A735" s="2" t="str">
        <f>IFERROR(__xludf.DUMMYFUNCTION("""COMPUTED_VALUE"""),"치튀치튀뱅뱅")</f>
        <v>치튀치튀뱅뱅</v>
      </c>
      <c r="B735" s="2" t="str">
        <f>IFERROR(__xludf.DUMMYFUNCTION("""COMPUTED_VALUE"""),"청포도")</f>
        <v>청포도</v>
      </c>
    </row>
    <row r="736">
      <c r="A736" s="2" t="str">
        <f>IFERROR(__xludf.DUMMYFUNCTION("""COMPUTED_VALUE"""),"치튀치튀뱅뱅")</f>
        <v>치튀치튀뱅뱅</v>
      </c>
      <c r="B736" s="2" t="str">
        <f>IFERROR(__xludf.DUMMYFUNCTION("""COMPUTED_VALUE"""),"버터")</f>
        <v>버터</v>
      </c>
    </row>
    <row r="737">
      <c r="A737" s="2" t="str">
        <f>IFERROR(__xludf.DUMMYFUNCTION("""COMPUTED_VALUE"""),"치튀치튀뱅뱅")</f>
        <v>치튀치튀뱅뱅</v>
      </c>
      <c r="B737" s="2" t="str">
        <f>IFERROR(__xludf.DUMMYFUNCTION("""COMPUTED_VALUE"""),"토마토소스")</f>
        <v>토마토소스</v>
      </c>
    </row>
    <row r="738">
      <c r="A738" s="2" t="str">
        <f>IFERROR(__xludf.DUMMYFUNCTION("""COMPUTED_VALUE"""),"치튀치튀뱅뱅")</f>
        <v>치튀치튀뱅뱅</v>
      </c>
      <c r="B738" s="2" t="str">
        <f>IFERROR(__xludf.DUMMYFUNCTION("""COMPUTED_VALUE"""),"밀가루")</f>
        <v>밀가루</v>
      </c>
    </row>
    <row r="739">
      <c r="A739" s="2" t="str">
        <f>IFERROR(__xludf.DUMMYFUNCTION("""COMPUTED_VALUE"""),"사우나 육국수")</f>
        <v>사우나 육국수</v>
      </c>
      <c r="B739" s="2" t="str">
        <f>IFERROR(__xludf.DUMMYFUNCTION("""COMPUTED_VALUE"""),"냉동만두")</f>
        <v>냉동만두</v>
      </c>
    </row>
    <row r="740">
      <c r="A740" s="2" t="str">
        <f>IFERROR(__xludf.DUMMYFUNCTION("""COMPUTED_VALUE"""),"사우나 육국수")</f>
        <v>사우나 육국수</v>
      </c>
      <c r="B740" s="2" t="str">
        <f>IFERROR(__xludf.DUMMYFUNCTION("""COMPUTED_VALUE"""),"페페론치노")</f>
        <v>페페론치노</v>
      </c>
    </row>
    <row r="741">
      <c r="A741" s="2" t="str">
        <f>IFERROR(__xludf.DUMMYFUNCTION("""COMPUTED_VALUE"""),"사우나 육국수")</f>
        <v>사우나 육국수</v>
      </c>
      <c r="B741" s="2" t="str">
        <f>IFERROR(__xludf.DUMMYFUNCTION("""COMPUTED_VALUE"""),"소주")</f>
        <v>소주</v>
      </c>
    </row>
    <row r="742">
      <c r="A742" s="2" t="str">
        <f>IFERROR(__xludf.DUMMYFUNCTION("""COMPUTED_VALUE"""),"사우나 육국수")</f>
        <v>사우나 육국수</v>
      </c>
      <c r="B742" s="2" t="str">
        <f>IFERROR(__xludf.DUMMYFUNCTION("""COMPUTED_VALUE"""),"소고기 등심")</f>
        <v>소고기 등심</v>
      </c>
    </row>
    <row r="743">
      <c r="A743" s="2" t="str">
        <f>IFERROR(__xludf.DUMMYFUNCTION("""COMPUTED_VALUE"""),"사우나 육국수")</f>
        <v>사우나 육국수</v>
      </c>
      <c r="B743" s="2" t="str">
        <f>IFERROR(__xludf.DUMMYFUNCTION("""COMPUTED_VALUE"""),"양송이버섯")</f>
        <v>양송이버섯</v>
      </c>
    </row>
    <row r="744">
      <c r="A744" s="2" t="str">
        <f>IFERROR(__xludf.DUMMYFUNCTION("""COMPUTED_VALUE"""),"사우나 육국수")</f>
        <v>사우나 육국수</v>
      </c>
      <c r="B744" s="2" t="str">
        <f>IFERROR(__xludf.DUMMYFUNCTION("""COMPUTED_VALUE"""),"마카다미아")</f>
        <v>마카다미아</v>
      </c>
    </row>
    <row r="745">
      <c r="A745" s="2" t="str">
        <f>IFERROR(__xludf.DUMMYFUNCTION("""COMPUTED_VALUE"""),"사우나 육국수")</f>
        <v>사우나 육국수</v>
      </c>
      <c r="B745" s="2" t="str">
        <f>IFERROR(__xludf.DUMMYFUNCTION("""COMPUTED_VALUE"""),"곶감")</f>
        <v>곶감</v>
      </c>
    </row>
    <row r="746">
      <c r="A746" s="2" t="str">
        <f>IFERROR(__xludf.DUMMYFUNCTION("""COMPUTED_VALUE"""),"사우나 육국수")</f>
        <v>사우나 육국수</v>
      </c>
      <c r="B746" s="2" t="str">
        <f>IFERROR(__xludf.DUMMYFUNCTION("""COMPUTED_VALUE"""),"바닐라 아이스크림")</f>
        <v>바닐라 아이스크림</v>
      </c>
    </row>
    <row r="747">
      <c r="A747" s="2" t="str">
        <f>IFERROR(__xludf.DUMMYFUNCTION("""COMPUTED_VALUE"""),"사우나 육국수")</f>
        <v>사우나 육국수</v>
      </c>
      <c r="B747" s="2" t="str">
        <f>IFERROR(__xludf.DUMMYFUNCTION("""COMPUTED_VALUE"""),"소면")</f>
        <v>소면</v>
      </c>
    </row>
    <row r="748">
      <c r="A748" s="2" t="str">
        <f>IFERROR(__xludf.DUMMYFUNCTION("""COMPUTED_VALUE"""),"사우나 육국수")</f>
        <v>사우나 육국수</v>
      </c>
      <c r="B748" s="2" t="str">
        <f>IFERROR(__xludf.DUMMYFUNCTION("""COMPUTED_VALUE"""),"다진 생강")</f>
        <v>다진 생강</v>
      </c>
    </row>
    <row r="749">
      <c r="A749" s="2" t="str">
        <f>IFERROR(__xludf.DUMMYFUNCTION("""COMPUTED_VALUE"""),"사우나 육국수")</f>
        <v>사우나 육국수</v>
      </c>
      <c r="B749" s="2" t="str">
        <f>IFERROR(__xludf.DUMMYFUNCTION("""COMPUTED_VALUE"""),"다진 마늘")</f>
        <v>다진 마늘</v>
      </c>
    </row>
    <row r="750">
      <c r="A750" s="2" t="str">
        <f>IFERROR(__xludf.DUMMYFUNCTION("""COMPUTED_VALUE"""),"사우나 육국수")</f>
        <v>사우나 육국수</v>
      </c>
      <c r="B750" s="2" t="str">
        <f>IFERROR(__xludf.DUMMYFUNCTION("""COMPUTED_VALUE"""),"양파")</f>
        <v>양파</v>
      </c>
    </row>
    <row r="751">
      <c r="A751" s="2" t="str">
        <f>IFERROR(__xludf.DUMMYFUNCTION("""COMPUTED_VALUE"""),"사우나 육국수")</f>
        <v>사우나 육국수</v>
      </c>
      <c r="B751" s="2" t="str">
        <f>IFERROR(__xludf.DUMMYFUNCTION("""COMPUTED_VALUE"""),"대파")</f>
        <v>대파</v>
      </c>
    </row>
    <row r="752">
      <c r="A752" s="2" t="str">
        <f>IFERROR(__xludf.DUMMYFUNCTION("""COMPUTED_VALUE"""),"사우나 육국수")</f>
        <v>사우나 육국수</v>
      </c>
      <c r="B752" s="2" t="str">
        <f>IFERROR(__xludf.DUMMYFUNCTION("""COMPUTED_VALUE"""),"고춧가루")</f>
        <v>고춧가루</v>
      </c>
    </row>
    <row r="753">
      <c r="A753" s="2" t="str">
        <f>IFERROR(__xludf.DUMMYFUNCTION("""COMPUTED_VALUE"""),"사우나 육국수")</f>
        <v>사우나 육국수</v>
      </c>
      <c r="B753" s="2" t="str">
        <f>IFERROR(__xludf.DUMMYFUNCTION("""COMPUTED_VALUE"""),"된장")</f>
        <v>된장</v>
      </c>
    </row>
    <row r="754">
      <c r="A754" s="2" t="str">
        <f>IFERROR(__xludf.DUMMYFUNCTION("""COMPUTED_VALUE"""),"사우나 육국수")</f>
        <v>사우나 육국수</v>
      </c>
      <c r="B754" s="2" t="str">
        <f>IFERROR(__xludf.DUMMYFUNCTION("""COMPUTED_VALUE"""),"깻잎")</f>
        <v>깻잎</v>
      </c>
    </row>
    <row r="755">
      <c r="A755" s="2" t="str">
        <f>IFERROR(__xludf.DUMMYFUNCTION("""COMPUTED_VALUE"""),"완소짬뽕")</f>
        <v>완소짬뽕</v>
      </c>
      <c r="B755" s="2" t="str">
        <f>IFERROR(__xludf.DUMMYFUNCTION("""COMPUTED_VALUE"""),"낙지")</f>
        <v>낙지</v>
      </c>
    </row>
    <row r="756">
      <c r="A756" s="2" t="str">
        <f>IFERROR(__xludf.DUMMYFUNCTION("""COMPUTED_VALUE"""),"완소짬뽕")</f>
        <v>완소짬뽕</v>
      </c>
      <c r="B756" s="2" t="str">
        <f>IFERROR(__xludf.DUMMYFUNCTION("""COMPUTED_VALUE"""),"양송이버섯")</f>
        <v>양송이버섯</v>
      </c>
    </row>
    <row r="757">
      <c r="A757" s="2" t="str">
        <f>IFERROR(__xludf.DUMMYFUNCTION("""COMPUTED_VALUE"""),"완소짬뽕")</f>
        <v>완소짬뽕</v>
      </c>
      <c r="B757" s="2" t="str">
        <f>IFERROR(__xludf.DUMMYFUNCTION("""COMPUTED_VALUE"""),"새우")</f>
        <v>새우</v>
      </c>
    </row>
    <row r="758">
      <c r="A758" s="2" t="str">
        <f>IFERROR(__xludf.DUMMYFUNCTION("""COMPUTED_VALUE"""),"완소짬뽕")</f>
        <v>완소짬뽕</v>
      </c>
      <c r="B758" s="2" t="str">
        <f>IFERROR(__xludf.DUMMYFUNCTION("""COMPUTED_VALUE"""),"칼국수 면")</f>
        <v>칼국수 면</v>
      </c>
    </row>
    <row r="759">
      <c r="A759" s="2" t="str">
        <f>IFERROR(__xludf.DUMMYFUNCTION("""COMPUTED_VALUE"""),"완소짬뽕")</f>
        <v>완소짬뽕</v>
      </c>
      <c r="B759" s="2" t="str">
        <f>IFERROR(__xludf.DUMMYFUNCTION("""COMPUTED_VALUE"""),"달걀")</f>
        <v>달걀</v>
      </c>
    </row>
    <row r="760">
      <c r="A760" s="2" t="str">
        <f>IFERROR(__xludf.DUMMYFUNCTION("""COMPUTED_VALUE"""),"완소짬뽕")</f>
        <v>완소짬뽕</v>
      </c>
      <c r="B760" s="2" t="str">
        <f>IFERROR(__xludf.DUMMYFUNCTION("""COMPUTED_VALUE"""),"고추")</f>
        <v>고추</v>
      </c>
    </row>
    <row r="761">
      <c r="A761" s="2" t="str">
        <f>IFERROR(__xludf.DUMMYFUNCTION("""COMPUTED_VALUE"""),"완소짬뽕")</f>
        <v>완소짬뽕</v>
      </c>
      <c r="B761" s="2" t="str">
        <f>IFERROR(__xludf.DUMMYFUNCTION("""COMPUTED_VALUE"""),"양파")</f>
        <v>양파</v>
      </c>
    </row>
    <row r="762">
      <c r="A762" s="2" t="str">
        <f>IFERROR(__xludf.DUMMYFUNCTION("""COMPUTED_VALUE"""),"완소짬뽕")</f>
        <v>완소짬뽕</v>
      </c>
      <c r="B762" s="2" t="str">
        <f>IFERROR(__xludf.DUMMYFUNCTION("""COMPUTED_VALUE"""),"마늘")</f>
        <v>마늘</v>
      </c>
    </row>
    <row r="763">
      <c r="A763" s="2" t="str">
        <f>IFERROR(__xludf.DUMMYFUNCTION("""COMPUTED_VALUE"""),"완소짬뽕")</f>
        <v>완소짬뽕</v>
      </c>
      <c r="B763" s="2" t="str">
        <f>IFERROR(__xludf.DUMMYFUNCTION("""COMPUTED_VALUE"""),"대파")</f>
        <v>대파</v>
      </c>
    </row>
    <row r="764">
      <c r="A764" s="2" t="str">
        <f>IFERROR(__xludf.DUMMYFUNCTION("""COMPUTED_VALUE"""),"완소짬뽕")</f>
        <v>완소짬뽕</v>
      </c>
      <c r="B764" s="2" t="str">
        <f>IFERROR(__xludf.DUMMYFUNCTION("""COMPUTED_VALUE"""),"전분")</f>
        <v>전분</v>
      </c>
    </row>
    <row r="765">
      <c r="A765" s="2" t="str">
        <f>IFERROR(__xludf.DUMMYFUNCTION("""COMPUTED_VALUE"""),"털업 샐러드")</f>
        <v>털업 샐러드</v>
      </c>
      <c r="B765" s="2" t="str">
        <f>IFERROR(__xludf.DUMMYFUNCTION("""COMPUTED_VALUE"""),"렌틸콩")</f>
        <v>렌틸콩</v>
      </c>
    </row>
    <row r="766">
      <c r="A766" s="2" t="str">
        <f>IFERROR(__xludf.DUMMYFUNCTION("""COMPUTED_VALUE"""),"털업 샐러드")</f>
        <v>털업 샐러드</v>
      </c>
      <c r="B766" s="2" t="str">
        <f>IFERROR(__xludf.DUMMYFUNCTION("""COMPUTED_VALUE"""),"페페론치노")</f>
        <v>페페론치노</v>
      </c>
    </row>
    <row r="767">
      <c r="A767" s="2" t="str">
        <f>IFERROR(__xludf.DUMMYFUNCTION("""COMPUTED_VALUE"""),"털업 샐러드")</f>
        <v>털업 샐러드</v>
      </c>
      <c r="B767" s="2" t="str">
        <f>IFERROR(__xludf.DUMMYFUNCTION("""COMPUTED_VALUE"""),"주꾸미")</f>
        <v>주꾸미</v>
      </c>
    </row>
    <row r="768">
      <c r="A768" s="2" t="str">
        <f>IFERROR(__xludf.DUMMYFUNCTION("""COMPUTED_VALUE"""),"털업 샐러드")</f>
        <v>털업 샐러드</v>
      </c>
      <c r="B768" s="2" t="str">
        <f>IFERROR(__xludf.DUMMYFUNCTION("""COMPUTED_VALUE"""),"새우")</f>
        <v>새우</v>
      </c>
    </row>
    <row r="769">
      <c r="A769" s="2" t="str">
        <f>IFERROR(__xludf.DUMMYFUNCTION("""COMPUTED_VALUE"""),"털업 샐러드")</f>
        <v>털업 샐러드</v>
      </c>
      <c r="B769" s="2" t="str">
        <f>IFERROR(__xludf.DUMMYFUNCTION("""COMPUTED_VALUE"""),"요거트")</f>
        <v>요거트</v>
      </c>
    </row>
    <row r="770">
      <c r="A770" s="2" t="str">
        <f>IFERROR(__xludf.DUMMYFUNCTION("""COMPUTED_VALUE"""),"털업 샐러드")</f>
        <v>털업 샐러드</v>
      </c>
      <c r="B770" s="2" t="str">
        <f>IFERROR(__xludf.DUMMYFUNCTION("""COMPUTED_VALUE"""),"메이플 시럽")</f>
        <v>메이플 시럽</v>
      </c>
    </row>
    <row r="771">
      <c r="A771" s="2" t="str">
        <f>IFERROR(__xludf.DUMMYFUNCTION("""COMPUTED_VALUE"""),"털업 샐러드")</f>
        <v>털업 샐러드</v>
      </c>
      <c r="B771" s="2" t="str">
        <f>IFERROR(__xludf.DUMMYFUNCTION("""COMPUTED_VALUE"""),"된장")</f>
        <v>된장</v>
      </c>
    </row>
    <row r="772">
      <c r="A772" s="2" t="str">
        <f>IFERROR(__xludf.DUMMYFUNCTION("""COMPUTED_VALUE"""),"털업 샐러드")</f>
        <v>털업 샐러드</v>
      </c>
      <c r="B772" s="2" t="str">
        <f>IFERROR(__xludf.DUMMYFUNCTION("""COMPUTED_VALUE"""),"양파")</f>
        <v>양파</v>
      </c>
    </row>
    <row r="773">
      <c r="A773" s="2" t="str">
        <f>IFERROR(__xludf.DUMMYFUNCTION("""COMPUTED_VALUE"""),"털업 샐러드")</f>
        <v>털업 샐러드</v>
      </c>
      <c r="B773" s="2" t="str">
        <f>IFERROR(__xludf.DUMMYFUNCTION("""COMPUTED_VALUE"""),"당근")</f>
        <v>당근</v>
      </c>
    </row>
    <row r="774">
      <c r="A774" s="2" t="str">
        <f>IFERROR(__xludf.DUMMYFUNCTION("""COMPUTED_VALUE"""),"털업 샐러드")</f>
        <v>털업 샐러드</v>
      </c>
      <c r="B774" s="2" t="str">
        <f>IFERROR(__xludf.DUMMYFUNCTION("""COMPUTED_VALUE"""),"청양고추")</f>
        <v>청양고추</v>
      </c>
    </row>
    <row r="775">
      <c r="A775" s="2" t="str">
        <f>IFERROR(__xludf.DUMMYFUNCTION("""COMPUTED_VALUE"""),"털업 샐러드")</f>
        <v>털업 샐러드</v>
      </c>
      <c r="B775" s="2" t="str">
        <f>IFERROR(__xludf.DUMMYFUNCTION("""COMPUTED_VALUE"""),"버터")</f>
        <v>버터</v>
      </c>
    </row>
    <row r="776">
      <c r="A776" s="2" t="str">
        <f>IFERROR(__xludf.DUMMYFUNCTION("""COMPUTED_VALUE"""),"털업 샐러드")</f>
        <v>털업 샐러드</v>
      </c>
      <c r="B776" s="2" t="str">
        <f>IFERROR(__xludf.DUMMYFUNCTION("""COMPUTED_VALUE"""),"마늘")</f>
        <v>마늘</v>
      </c>
    </row>
    <row r="777">
      <c r="A777" s="2" t="str">
        <f>IFERROR(__xludf.DUMMYFUNCTION("""COMPUTED_VALUE"""),"털업 샐러드")</f>
        <v>털업 샐러드</v>
      </c>
      <c r="B777" s="2" t="str">
        <f>IFERROR(__xludf.DUMMYFUNCTION("""COMPUTED_VALUE"""),"고춧가루")</f>
        <v>고춧가루</v>
      </c>
    </row>
    <row r="778">
      <c r="A778" s="2" t="str">
        <f>IFERROR(__xludf.DUMMYFUNCTION("""COMPUTED_VALUE"""),"털업 샐러드")</f>
        <v>털업 샐러드</v>
      </c>
      <c r="B778" s="2" t="str">
        <f>IFERROR(__xludf.DUMMYFUNCTION("""COMPUTED_VALUE"""),"레몬즙")</f>
        <v>레몬즙</v>
      </c>
    </row>
    <row r="779">
      <c r="A779" s="2" t="str">
        <f>IFERROR(__xludf.DUMMYFUNCTION("""COMPUTED_VALUE"""),"털업 샐러드")</f>
        <v>털업 샐러드</v>
      </c>
      <c r="B779" s="2" t="str">
        <f>IFERROR(__xludf.DUMMYFUNCTION("""COMPUTED_VALUE"""),"마르메산 치즈")</f>
        <v>마르메산 치즈</v>
      </c>
    </row>
    <row r="780">
      <c r="A780" s="2" t="str">
        <f>IFERROR(__xludf.DUMMYFUNCTION("""COMPUTED_VALUE"""),"털업 샐러드")</f>
        <v>털업 샐러드</v>
      </c>
      <c r="B780" s="2" t="str">
        <f>IFERROR(__xludf.DUMMYFUNCTION("""COMPUTED_VALUE"""),"레몬")</f>
        <v>레몬</v>
      </c>
    </row>
    <row r="781">
      <c r="A781" s="2" t="str">
        <f>IFERROR(__xludf.DUMMYFUNCTION("""COMPUTED_VALUE"""),"하우 두 유두?")</f>
        <v>하우 두 유두?</v>
      </c>
      <c r="B781" s="2" t="str">
        <f>IFERROR(__xludf.DUMMYFUNCTION("""COMPUTED_VALUE"""),"두부")</f>
        <v>두부</v>
      </c>
    </row>
    <row r="782">
      <c r="A782" s="2" t="str">
        <f>IFERROR(__xludf.DUMMYFUNCTION("""COMPUTED_VALUE"""),"하우 두 유두?")</f>
        <v>하우 두 유두?</v>
      </c>
      <c r="B782" s="2" t="str">
        <f>IFERROR(__xludf.DUMMYFUNCTION("""COMPUTED_VALUE"""),"소고기 등심")</f>
        <v>소고기 등심</v>
      </c>
    </row>
    <row r="783">
      <c r="A783" s="2" t="str">
        <f>IFERROR(__xludf.DUMMYFUNCTION("""COMPUTED_VALUE"""),"하우 두 유두?")</f>
        <v>하우 두 유두?</v>
      </c>
      <c r="B783" s="2" t="str">
        <f>IFERROR(__xludf.DUMMYFUNCTION("""COMPUTED_VALUE"""),"양송이버섯")</f>
        <v>양송이버섯</v>
      </c>
    </row>
    <row r="784">
      <c r="A784" s="2" t="str">
        <f>IFERROR(__xludf.DUMMYFUNCTION("""COMPUTED_VALUE"""),"하우 두 유두?")</f>
        <v>하우 두 유두?</v>
      </c>
      <c r="B784" s="2" t="str">
        <f>IFERROR(__xludf.DUMMYFUNCTION("""COMPUTED_VALUE"""),"달걀")</f>
        <v>달걀</v>
      </c>
    </row>
    <row r="785">
      <c r="A785" s="2" t="str">
        <f>IFERROR(__xludf.DUMMYFUNCTION("""COMPUTED_VALUE"""),"하우 두 유두?")</f>
        <v>하우 두 유두?</v>
      </c>
      <c r="B785" s="2" t="str">
        <f>IFERROR(__xludf.DUMMYFUNCTION("""COMPUTED_VALUE"""),"레드페퍼")</f>
        <v>레드페퍼</v>
      </c>
    </row>
    <row r="786">
      <c r="A786" s="2" t="str">
        <f>IFERROR(__xludf.DUMMYFUNCTION("""COMPUTED_VALUE"""),"하우 두 유두?")</f>
        <v>하우 두 유두?</v>
      </c>
      <c r="B786" s="2" t="str">
        <f>IFERROR(__xludf.DUMMYFUNCTION("""COMPUTED_VALUE"""),"소금")</f>
        <v>소금</v>
      </c>
    </row>
    <row r="787">
      <c r="A787" s="2" t="str">
        <f>IFERROR(__xludf.DUMMYFUNCTION("""COMPUTED_VALUE"""),"하우 두 유두?")</f>
        <v>하우 두 유두?</v>
      </c>
      <c r="B787" s="2" t="str">
        <f>IFERROR(__xludf.DUMMYFUNCTION("""COMPUTED_VALUE"""),"후추")</f>
        <v>후추</v>
      </c>
    </row>
    <row r="788">
      <c r="A788" s="2" t="str">
        <f>IFERROR(__xludf.DUMMYFUNCTION("""COMPUTED_VALUE"""),"하우 두 유두?")</f>
        <v>하우 두 유두?</v>
      </c>
      <c r="B788" s="2" t="str">
        <f>IFERROR(__xludf.DUMMYFUNCTION("""COMPUTED_VALUE"""),"국수장국")</f>
        <v>국수장국</v>
      </c>
    </row>
    <row r="789">
      <c r="A789" s="2" t="str">
        <f>IFERROR(__xludf.DUMMYFUNCTION("""COMPUTED_VALUE"""),"하우 두 유두?")</f>
        <v>하우 두 유두?</v>
      </c>
      <c r="B789" s="2" t="str">
        <f>IFERROR(__xludf.DUMMYFUNCTION("""COMPUTED_VALUE"""),"맛술")</f>
        <v>맛술</v>
      </c>
    </row>
    <row r="790">
      <c r="A790" s="2" t="str">
        <f>IFERROR(__xludf.DUMMYFUNCTION("""COMPUTED_VALUE"""),"하우 두 유두?")</f>
        <v>하우 두 유두?</v>
      </c>
      <c r="B790" s="2" t="str">
        <f>IFERROR(__xludf.DUMMYFUNCTION("""COMPUTED_VALUE"""),"식초")</f>
        <v>식초</v>
      </c>
    </row>
    <row r="791">
      <c r="A791" s="2" t="str">
        <f>IFERROR(__xludf.DUMMYFUNCTION("""COMPUTED_VALUE"""),"하우 두 유두?")</f>
        <v>하우 두 유두?</v>
      </c>
      <c r="B791" s="2" t="str">
        <f>IFERROR(__xludf.DUMMYFUNCTION("""COMPUTED_VALUE"""),"다진생강")</f>
        <v>다진생강</v>
      </c>
    </row>
    <row r="792">
      <c r="A792" s="2" t="str">
        <f>IFERROR(__xludf.DUMMYFUNCTION("""COMPUTED_VALUE"""),"하우 두 유두?")</f>
        <v>하우 두 유두?</v>
      </c>
      <c r="B792" s="2" t="str">
        <f>IFERROR(__xludf.DUMMYFUNCTION("""COMPUTED_VALUE"""),"대파")</f>
        <v>대파</v>
      </c>
    </row>
    <row r="793">
      <c r="A793" s="2" t="str">
        <f>IFERROR(__xludf.DUMMYFUNCTION("""COMPUTED_VALUE"""),"하우 두 유두?")</f>
        <v>하우 두 유두?</v>
      </c>
      <c r="B793" s="2" t="str">
        <f>IFERROR(__xludf.DUMMYFUNCTION("""COMPUTED_VALUE"""),"전분")</f>
        <v>전분</v>
      </c>
    </row>
    <row r="794">
      <c r="A794" s="2" t="str">
        <f>IFERROR(__xludf.DUMMYFUNCTION("""COMPUTED_VALUE"""),"하우 두 유두?")</f>
        <v>하우 두 유두?</v>
      </c>
      <c r="B794" s="2" t="str">
        <f>IFERROR(__xludf.DUMMYFUNCTION("""COMPUTED_VALUE"""),"밀가루")</f>
        <v>밀가루</v>
      </c>
    </row>
    <row r="795">
      <c r="A795" s="2" t="str">
        <f>IFERROR(__xludf.DUMMYFUNCTION("""COMPUTED_VALUE"""),"하우 두 유두?")</f>
        <v>하우 두 유두?</v>
      </c>
      <c r="B795" s="2" t="str">
        <f>IFERROR(__xludf.DUMMYFUNCTION("""COMPUTED_VALUE"""),"양파")</f>
        <v>양파</v>
      </c>
    </row>
    <row r="796">
      <c r="A796" s="2" t="str">
        <f>IFERROR(__xludf.DUMMYFUNCTION("""COMPUTED_VALUE"""),"하우 두 유두?")</f>
        <v>하우 두 유두?</v>
      </c>
      <c r="B796" s="2" t="str">
        <f>IFERROR(__xludf.DUMMYFUNCTION("""COMPUTED_VALUE"""),"버터")</f>
        <v>버터</v>
      </c>
    </row>
    <row r="797">
      <c r="A797" s="2" t="str">
        <f>IFERROR(__xludf.DUMMYFUNCTION("""COMPUTED_VALUE"""),"하우 두 유두?")</f>
        <v>하우 두 유두?</v>
      </c>
      <c r="B797" s="2" t="str">
        <f>IFERROR(__xludf.DUMMYFUNCTION("""COMPUTED_VALUE"""),"케첩")</f>
        <v>케첩</v>
      </c>
    </row>
    <row r="798">
      <c r="A798" s="2" t="str">
        <f>IFERROR(__xludf.DUMMYFUNCTION("""COMPUTED_VALUE"""),"하우 두 유두?")</f>
        <v>하우 두 유두?</v>
      </c>
      <c r="B798" s="2" t="str">
        <f>IFERROR(__xludf.DUMMYFUNCTION("""COMPUTED_VALUE"""),"돈가스 소스")</f>
        <v>돈가스 소스</v>
      </c>
    </row>
    <row r="799">
      <c r="A799" s="2" t="str">
        <f>IFERROR(__xludf.DUMMYFUNCTION("""COMPUTED_VALUE"""),"하우 두 유두?")</f>
        <v>하우 두 유두?</v>
      </c>
      <c r="B799" s="2" t="str">
        <f>IFERROR(__xludf.DUMMYFUNCTION("""COMPUTED_VALUE"""),"설탕")</f>
        <v>설탕</v>
      </c>
    </row>
    <row r="800">
      <c r="A800" s="2" t="str">
        <f>IFERROR(__xludf.DUMMYFUNCTION("""COMPUTED_VALUE"""),"치즈 듬풍 토스트")</f>
        <v>치즈 듬풍 토스트</v>
      </c>
      <c r="B800" s="2" t="str">
        <f>IFERROR(__xludf.DUMMYFUNCTION("""COMPUTED_VALUE"""),"호두")</f>
        <v>호두</v>
      </c>
    </row>
    <row r="801">
      <c r="A801" s="2" t="str">
        <f>IFERROR(__xludf.DUMMYFUNCTION("""COMPUTED_VALUE"""),"치즈 듬풍 토스트")</f>
        <v>치즈 듬풍 토스트</v>
      </c>
      <c r="B801" s="2" t="str">
        <f>IFERROR(__xludf.DUMMYFUNCTION("""COMPUTED_VALUE"""),"식빵")</f>
        <v>식빵</v>
      </c>
    </row>
    <row r="802">
      <c r="A802" s="2" t="str">
        <f>IFERROR(__xludf.DUMMYFUNCTION("""COMPUTED_VALUE"""),"치즈 듬풍 토스트")</f>
        <v>치즈 듬풍 토스트</v>
      </c>
      <c r="B802" s="2" t="str">
        <f>IFERROR(__xludf.DUMMYFUNCTION("""COMPUTED_VALUE"""),"체다 치즈")</f>
        <v>체다 치즈</v>
      </c>
    </row>
    <row r="803">
      <c r="A803" s="2" t="str">
        <f>IFERROR(__xludf.DUMMYFUNCTION("""COMPUTED_VALUE"""),"치즈 듬풍 토스트")</f>
        <v>치즈 듬풍 토스트</v>
      </c>
      <c r="B803" s="2" t="str">
        <f>IFERROR(__xludf.DUMMYFUNCTION("""COMPUTED_VALUE"""),"모차렐라 치즈")</f>
        <v>모차렐라 치즈</v>
      </c>
    </row>
    <row r="804">
      <c r="A804" s="2" t="str">
        <f>IFERROR(__xludf.DUMMYFUNCTION("""COMPUTED_VALUE"""),"치즈 듬풍 토스트")</f>
        <v>치즈 듬풍 토스트</v>
      </c>
      <c r="B804" s="2" t="str">
        <f>IFERROR(__xludf.DUMMYFUNCTION("""COMPUTED_VALUE"""),"설탕")</f>
        <v>설탕</v>
      </c>
    </row>
    <row r="805">
      <c r="A805" s="2" t="str">
        <f>IFERROR(__xludf.DUMMYFUNCTION("""COMPUTED_VALUE"""),"치즈 듬풍 토스트")</f>
        <v>치즈 듬풍 토스트</v>
      </c>
      <c r="B805" s="2" t="str">
        <f>IFERROR(__xludf.DUMMYFUNCTION("""COMPUTED_VALUE"""),"소금")</f>
        <v>소금</v>
      </c>
    </row>
    <row r="806">
      <c r="A806" s="2" t="str">
        <f>IFERROR(__xludf.DUMMYFUNCTION("""COMPUTED_VALUE"""),"샘 앤 치즈 그라탱")</f>
        <v>샘 앤 치즈 그라탱</v>
      </c>
      <c r="B806" s="2" t="str">
        <f>IFERROR(__xludf.DUMMYFUNCTION("""COMPUTED_VALUE"""),"감자")</f>
        <v>감자</v>
      </c>
    </row>
    <row r="807">
      <c r="A807" s="2" t="str">
        <f>IFERROR(__xludf.DUMMYFUNCTION("""COMPUTED_VALUE"""),"샘 앤 치즈 그라탱")</f>
        <v>샘 앤 치즈 그라탱</v>
      </c>
      <c r="B807" s="2" t="str">
        <f>IFERROR(__xludf.DUMMYFUNCTION("""COMPUTED_VALUE"""),"마카로니")</f>
        <v>마카로니</v>
      </c>
    </row>
    <row r="808">
      <c r="A808" s="2" t="str">
        <f>IFERROR(__xludf.DUMMYFUNCTION("""COMPUTED_VALUE"""),"샘 앤 치즈 그라탱")</f>
        <v>샘 앤 치즈 그라탱</v>
      </c>
      <c r="B808" s="2" t="str">
        <f>IFERROR(__xludf.DUMMYFUNCTION("""COMPUTED_VALUE"""),"우유")</f>
        <v>우유</v>
      </c>
    </row>
    <row r="809">
      <c r="A809" s="2" t="str">
        <f>IFERROR(__xludf.DUMMYFUNCTION("""COMPUTED_VALUE"""),"샘 앤 치즈 그라탱")</f>
        <v>샘 앤 치즈 그라탱</v>
      </c>
      <c r="B809" s="2" t="str">
        <f>IFERROR(__xludf.DUMMYFUNCTION("""COMPUTED_VALUE"""),"모차렐라 치즈")</f>
        <v>모차렐라 치즈</v>
      </c>
    </row>
    <row r="810">
      <c r="A810" s="2" t="str">
        <f>IFERROR(__xludf.DUMMYFUNCTION("""COMPUTED_VALUE"""),"샘 앤 치즈 그라탱")</f>
        <v>샘 앤 치즈 그라탱</v>
      </c>
      <c r="B810" s="2" t="str">
        <f>IFERROR(__xludf.DUMMYFUNCTION("""COMPUTED_VALUE"""),"체다 치즈")</f>
        <v>체다 치즈</v>
      </c>
    </row>
    <row r="811">
      <c r="A811" s="2" t="str">
        <f>IFERROR(__xludf.DUMMYFUNCTION("""COMPUTED_VALUE"""),"샘 앤 치즈 그라탱")</f>
        <v>샘 앤 치즈 그라탱</v>
      </c>
      <c r="B811" s="2" t="str">
        <f>IFERROR(__xludf.DUMMYFUNCTION("""COMPUTED_VALUE"""),"소금")</f>
        <v>소금</v>
      </c>
    </row>
    <row r="812">
      <c r="A812" s="2" t="str">
        <f>IFERROR(__xludf.DUMMYFUNCTION("""COMPUTED_VALUE"""),"샘 앤 치즈 그라탱")</f>
        <v>샘 앤 치즈 그라탱</v>
      </c>
      <c r="B812" s="2" t="str">
        <f>IFERROR(__xludf.DUMMYFUNCTION("""COMPUTED_VALUE"""),"버터")</f>
        <v>버터</v>
      </c>
    </row>
    <row r="813">
      <c r="A813" s="2" t="str">
        <f>IFERROR(__xludf.DUMMYFUNCTION("""COMPUTED_VALUE"""),"샘 앤 치즈 그라탱")</f>
        <v>샘 앤 치즈 그라탱</v>
      </c>
      <c r="B813" s="2" t="str">
        <f>IFERROR(__xludf.DUMMYFUNCTION("""COMPUTED_VALUE"""),"밀가루")</f>
        <v>밀가루</v>
      </c>
    </row>
    <row r="814">
      <c r="A814" s="2" t="str">
        <f>IFERROR(__xludf.DUMMYFUNCTION("""COMPUTED_VALUE"""),"샘 앤 치즈 그라탱")</f>
        <v>샘 앤 치즈 그라탱</v>
      </c>
      <c r="B814" s="2" t="str">
        <f>IFERROR(__xludf.DUMMYFUNCTION("""COMPUTED_VALUE"""),"양파")</f>
        <v>양파</v>
      </c>
    </row>
    <row r="815">
      <c r="A815" s="2" t="str">
        <f>IFERROR(__xludf.DUMMYFUNCTION("""COMPUTED_VALUE"""),"베리베리 러블리걸")</f>
        <v>베리베리 러블리걸</v>
      </c>
      <c r="B815" s="2" t="str">
        <f>IFERROR(__xludf.DUMMYFUNCTION("""COMPUTED_VALUE"""),"마카로니")</f>
        <v>마카로니</v>
      </c>
    </row>
    <row r="816">
      <c r="A816" s="2" t="str">
        <f>IFERROR(__xludf.DUMMYFUNCTION("""COMPUTED_VALUE"""),"베리베리 러블리걸")</f>
        <v>베리베리 러블리걸</v>
      </c>
      <c r="B816" s="2" t="str">
        <f>IFERROR(__xludf.DUMMYFUNCTION("""COMPUTED_VALUE"""),"블루베리")</f>
        <v>블루베리</v>
      </c>
    </row>
    <row r="817">
      <c r="A817" s="2" t="str">
        <f>IFERROR(__xludf.DUMMYFUNCTION("""COMPUTED_VALUE"""),"베리베리 러블리걸")</f>
        <v>베리베리 러블리걸</v>
      </c>
      <c r="B817" s="2" t="str">
        <f>IFERROR(__xludf.DUMMYFUNCTION("""COMPUTED_VALUE"""),"우유")</f>
        <v>우유</v>
      </c>
    </row>
    <row r="818">
      <c r="A818" s="2" t="str">
        <f>IFERROR(__xludf.DUMMYFUNCTION("""COMPUTED_VALUE"""),"베리베리 러블리걸")</f>
        <v>베리베리 러블리걸</v>
      </c>
      <c r="B818" s="2" t="str">
        <f>IFERROR(__xludf.DUMMYFUNCTION("""COMPUTED_VALUE"""),"달걀")</f>
        <v>달걀</v>
      </c>
    </row>
    <row r="819">
      <c r="A819" s="2" t="str">
        <f>IFERROR(__xludf.DUMMYFUNCTION("""COMPUTED_VALUE"""),"베리베리 러블리걸")</f>
        <v>베리베리 러블리걸</v>
      </c>
      <c r="B819" s="2" t="str">
        <f>IFERROR(__xludf.DUMMYFUNCTION("""COMPUTED_VALUE"""),"호두")</f>
        <v>호두</v>
      </c>
    </row>
    <row r="820">
      <c r="A820" s="2" t="str">
        <f>IFERROR(__xludf.DUMMYFUNCTION("""COMPUTED_VALUE"""),"베리베리 러블리걸")</f>
        <v>베리베리 러블리걸</v>
      </c>
      <c r="B820" s="2" t="str">
        <f>IFERROR(__xludf.DUMMYFUNCTION("""COMPUTED_VALUE"""),"키위")</f>
        <v>키위</v>
      </c>
    </row>
    <row r="821">
      <c r="A821" s="2" t="str">
        <f>IFERROR(__xludf.DUMMYFUNCTION("""COMPUTED_VALUE"""),"베리베리 러블리걸")</f>
        <v>베리베리 러블리걸</v>
      </c>
      <c r="B821" s="2" t="str">
        <f>IFERROR(__xludf.DUMMYFUNCTION("""COMPUTED_VALUE"""),"석류")</f>
        <v>석류</v>
      </c>
    </row>
    <row r="822">
      <c r="A822" s="2" t="str">
        <f>IFERROR(__xludf.DUMMYFUNCTION("""COMPUTED_VALUE"""),"베리베리 러블리걸")</f>
        <v>베리베리 러블리걸</v>
      </c>
      <c r="B822" s="2" t="str">
        <f>IFERROR(__xludf.DUMMYFUNCTION("""COMPUTED_VALUE"""),"소금")</f>
        <v>소금</v>
      </c>
    </row>
    <row r="823">
      <c r="A823" s="2" t="str">
        <f>IFERROR(__xludf.DUMMYFUNCTION("""COMPUTED_VALUE"""),"베리베리 러블리걸")</f>
        <v>베리베리 러블리걸</v>
      </c>
      <c r="B823" s="2" t="str">
        <f>IFERROR(__xludf.DUMMYFUNCTION("""COMPUTED_VALUE"""),"설탕")</f>
        <v>설탕</v>
      </c>
    </row>
    <row r="824">
      <c r="A824" s="2" t="str">
        <f>IFERROR(__xludf.DUMMYFUNCTION("""COMPUTED_VALUE"""),"베리베리 러블리걸")</f>
        <v>베리베리 러블리걸</v>
      </c>
      <c r="B824" s="2" t="str">
        <f>IFERROR(__xludf.DUMMYFUNCTION("""COMPUTED_VALUE"""),"버터")</f>
        <v>버터</v>
      </c>
    </row>
    <row r="825">
      <c r="A825" s="2" t="str">
        <f>IFERROR(__xludf.DUMMYFUNCTION("""COMPUTED_VALUE"""),"LOL : The love of your life")</f>
        <v>LOL : The love of your life</v>
      </c>
      <c r="B825" s="2" t="str">
        <f>IFERROR(__xludf.DUMMYFUNCTION("""COMPUTED_VALUE"""),"감자")</f>
        <v>감자</v>
      </c>
    </row>
    <row r="826">
      <c r="A826" s="2" t="str">
        <f>IFERROR(__xludf.DUMMYFUNCTION("""COMPUTED_VALUE"""),"LOL : The love of your life")</f>
        <v>LOL : The love of your life</v>
      </c>
      <c r="B826" s="2" t="str">
        <f>IFERROR(__xludf.DUMMYFUNCTION("""COMPUTED_VALUE"""),"우유")</f>
        <v>우유</v>
      </c>
    </row>
    <row r="827">
      <c r="A827" s="2" t="str">
        <f>IFERROR(__xludf.DUMMYFUNCTION("""COMPUTED_VALUE"""),"LOL : The love of your life")</f>
        <v>LOL : The love of your life</v>
      </c>
      <c r="B827" s="2" t="str">
        <f>IFERROR(__xludf.DUMMYFUNCTION("""COMPUTED_VALUE"""),"만두")</f>
        <v>만두</v>
      </c>
    </row>
    <row r="828">
      <c r="A828" s="2" t="str">
        <f>IFERROR(__xludf.DUMMYFUNCTION("""COMPUTED_VALUE"""),"LOL : The love of your life")</f>
        <v>LOL : The love of your life</v>
      </c>
      <c r="B828" s="2" t="str">
        <f>IFERROR(__xludf.DUMMYFUNCTION("""COMPUTED_VALUE"""),"불고기")</f>
        <v>불고기</v>
      </c>
    </row>
    <row r="829">
      <c r="A829" s="2" t="str">
        <f>IFERROR(__xludf.DUMMYFUNCTION("""COMPUTED_VALUE"""),"LOL : The love of your life")</f>
        <v>LOL : The love of your life</v>
      </c>
      <c r="B829" s="2" t="str">
        <f>IFERROR(__xludf.DUMMYFUNCTION("""COMPUTED_VALUE"""),"식빵")</f>
        <v>식빵</v>
      </c>
    </row>
    <row r="830">
      <c r="A830" s="2" t="str">
        <f>IFERROR(__xludf.DUMMYFUNCTION("""COMPUTED_VALUE"""),"LOL : The love of your life")</f>
        <v>LOL : The love of your life</v>
      </c>
      <c r="B830" s="2" t="str">
        <f>IFERROR(__xludf.DUMMYFUNCTION("""COMPUTED_VALUE"""),"부추")</f>
        <v>부추</v>
      </c>
    </row>
    <row r="831">
      <c r="A831" s="2" t="str">
        <f>IFERROR(__xludf.DUMMYFUNCTION("""COMPUTED_VALUE"""),"LOL : The love of your life")</f>
        <v>LOL : The love of your life</v>
      </c>
      <c r="B831" s="2" t="str">
        <f>IFERROR(__xludf.DUMMYFUNCTION("""COMPUTED_VALUE"""),"복분자 원액")</f>
        <v>복분자 원액</v>
      </c>
    </row>
    <row r="832">
      <c r="A832" s="2" t="str">
        <f>IFERROR(__xludf.DUMMYFUNCTION("""COMPUTED_VALUE"""),"LOL : The love of your life")</f>
        <v>LOL : The love of your life</v>
      </c>
      <c r="B832" s="2" t="str">
        <f>IFERROR(__xludf.DUMMYFUNCTION("""COMPUTED_VALUE"""),"석류")</f>
        <v>석류</v>
      </c>
    </row>
    <row r="833">
      <c r="A833" s="2" t="str">
        <f>IFERROR(__xludf.DUMMYFUNCTION("""COMPUTED_VALUE"""),"LOL : The love of your life")</f>
        <v>LOL : The love of your life</v>
      </c>
      <c r="B833" s="2" t="str">
        <f>IFERROR(__xludf.DUMMYFUNCTION("""COMPUTED_VALUE"""),"강황 가루")</f>
        <v>강황 가루</v>
      </c>
    </row>
    <row r="834">
      <c r="A834" s="2" t="str">
        <f>IFERROR(__xludf.DUMMYFUNCTION("""COMPUTED_VALUE"""),"LOL : The love of your life")</f>
        <v>LOL : The love of your life</v>
      </c>
      <c r="B834" s="2" t="str">
        <f>IFERROR(__xludf.DUMMYFUNCTION("""COMPUTED_VALUE"""),"소금")</f>
        <v>소금</v>
      </c>
    </row>
    <row r="835">
      <c r="A835" s="2" t="str">
        <f>IFERROR(__xludf.DUMMYFUNCTION("""COMPUTED_VALUE"""),"LOL : The love of your life")</f>
        <v>LOL : The love of your life</v>
      </c>
      <c r="B835" s="2" t="str">
        <f>IFERROR(__xludf.DUMMYFUNCTION("""COMPUTED_VALUE"""),"버터")</f>
        <v>버터</v>
      </c>
    </row>
    <row r="836">
      <c r="A836" s="2" t="str">
        <f>IFERROR(__xludf.DUMMYFUNCTION("""COMPUTED_VALUE"""),"LOL : The love of your life")</f>
        <v>LOL : The love of your life</v>
      </c>
      <c r="B836" s="2" t="str">
        <f>IFERROR(__xludf.DUMMYFUNCTION("""COMPUTED_VALUE"""),"올리브오일")</f>
        <v>올리브오일</v>
      </c>
    </row>
    <row r="837">
      <c r="A837" s="2" t="str">
        <f>IFERROR(__xludf.DUMMYFUNCTION("""COMPUTED_VALUE"""),"LOL : The love of your life")</f>
        <v>LOL : The love of your life</v>
      </c>
      <c r="B837" s="2" t="str">
        <f>IFERROR(__xludf.DUMMYFUNCTION("""COMPUTED_VALUE"""),"설탕")</f>
        <v>설탕</v>
      </c>
    </row>
    <row r="838">
      <c r="A838" s="2" t="str">
        <f>IFERROR(__xludf.DUMMYFUNCTION("""COMPUTED_VALUE"""),"순결한 튀김")</f>
        <v>순결한 튀김</v>
      </c>
      <c r="B838" s="2" t="str">
        <f>IFERROR(__xludf.DUMMYFUNCTION("""COMPUTED_VALUE"""),"소고기 안심")</f>
        <v>소고기 안심</v>
      </c>
    </row>
    <row r="839">
      <c r="A839" s="2" t="str">
        <f>IFERROR(__xludf.DUMMYFUNCTION("""COMPUTED_VALUE"""),"순결한 튀김")</f>
        <v>순결한 튀김</v>
      </c>
      <c r="B839" s="2" t="str">
        <f>IFERROR(__xludf.DUMMYFUNCTION("""COMPUTED_VALUE"""),"사과")</f>
        <v>사과</v>
      </c>
    </row>
    <row r="840">
      <c r="A840" s="2" t="str">
        <f>IFERROR(__xludf.DUMMYFUNCTION("""COMPUTED_VALUE"""),"순결한 튀김")</f>
        <v>순결한 튀김</v>
      </c>
      <c r="B840" s="2" t="str">
        <f>IFERROR(__xludf.DUMMYFUNCTION("""COMPUTED_VALUE"""),"블루 치즈")</f>
        <v>블루 치즈</v>
      </c>
    </row>
    <row r="841">
      <c r="A841" s="2" t="str">
        <f>IFERROR(__xludf.DUMMYFUNCTION("""COMPUTED_VALUE"""),"순결한 튀김")</f>
        <v>순결한 튀김</v>
      </c>
      <c r="B841" s="2" t="str">
        <f>IFERROR(__xludf.DUMMYFUNCTION("""COMPUTED_VALUE"""),"태국고추")</f>
        <v>태국고추</v>
      </c>
    </row>
    <row r="842">
      <c r="A842" s="2" t="str">
        <f>IFERROR(__xludf.DUMMYFUNCTION("""COMPUTED_VALUE"""),"순결한 튀김")</f>
        <v>순결한 튀김</v>
      </c>
      <c r="B842" s="2" t="str">
        <f>IFERROR(__xludf.DUMMYFUNCTION("""COMPUTED_VALUE"""),"멸치액젓")</f>
        <v>멸치액젓</v>
      </c>
    </row>
    <row r="843">
      <c r="A843" s="2" t="str">
        <f>IFERROR(__xludf.DUMMYFUNCTION("""COMPUTED_VALUE"""),"순결한 튀김")</f>
        <v>순결한 튀김</v>
      </c>
      <c r="B843" s="2" t="str">
        <f>IFERROR(__xludf.DUMMYFUNCTION("""COMPUTED_VALUE"""),"마카다미아")</f>
        <v>마카다미아</v>
      </c>
    </row>
    <row r="844">
      <c r="A844" s="2" t="str">
        <f>IFERROR(__xludf.DUMMYFUNCTION("""COMPUTED_VALUE"""),"순결한 튀김")</f>
        <v>순결한 튀김</v>
      </c>
      <c r="B844" s="2" t="str">
        <f>IFERROR(__xludf.DUMMYFUNCTION("""COMPUTED_VALUE"""),"레몬청")</f>
        <v>레몬청</v>
      </c>
    </row>
    <row r="845">
      <c r="A845" s="2" t="str">
        <f>IFERROR(__xludf.DUMMYFUNCTION("""COMPUTED_VALUE"""),"순결한 튀김")</f>
        <v>순결한 튀김</v>
      </c>
      <c r="B845" s="2" t="str">
        <f>IFERROR(__xludf.DUMMYFUNCTION("""COMPUTED_VALUE"""),"양상추")</f>
        <v>양상추</v>
      </c>
    </row>
    <row r="846">
      <c r="A846" s="2" t="str">
        <f>IFERROR(__xludf.DUMMYFUNCTION("""COMPUTED_VALUE"""),"순결한 튀김")</f>
        <v>순결한 튀김</v>
      </c>
      <c r="B846" s="2" t="str">
        <f>IFERROR(__xludf.DUMMYFUNCTION("""COMPUTED_VALUE"""),"소금")</f>
        <v>소금</v>
      </c>
    </row>
    <row r="847">
      <c r="A847" s="2" t="str">
        <f>IFERROR(__xludf.DUMMYFUNCTION("""COMPUTED_VALUE"""),"순결한 튀김")</f>
        <v>순결한 튀김</v>
      </c>
      <c r="B847" s="2" t="str">
        <f>IFERROR(__xludf.DUMMYFUNCTION("""COMPUTED_VALUE"""),"후추")</f>
        <v>후추</v>
      </c>
    </row>
    <row r="848">
      <c r="A848" s="2" t="str">
        <f>IFERROR(__xludf.DUMMYFUNCTION("""COMPUTED_VALUE"""),"순결한 튀김")</f>
        <v>순결한 튀김</v>
      </c>
      <c r="B848" s="2" t="str">
        <f>IFERROR(__xludf.DUMMYFUNCTION("""COMPUTED_VALUE"""),"청양고추")</f>
        <v>청양고추</v>
      </c>
    </row>
    <row r="849">
      <c r="A849" s="2" t="str">
        <f>IFERROR(__xludf.DUMMYFUNCTION("""COMPUTED_VALUE"""),"순결한 튀김")</f>
        <v>순결한 튀김</v>
      </c>
      <c r="B849" s="2" t="str">
        <f>IFERROR(__xludf.DUMMYFUNCTION("""COMPUTED_VALUE"""),"식초")</f>
        <v>식초</v>
      </c>
    </row>
    <row r="850">
      <c r="A850" s="2" t="str">
        <f>IFERROR(__xludf.DUMMYFUNCTION("""COMPUTED_VALUE"""),"순결한 튀김")</f>
        <v>순결한 튀김</v>
      </c>
      <c r="B850" s="2" t="str">
        <f>IFERROR(__xludf.DUMMYFUNCTION("""COMPUTED_VALUE"""),"레몬즙")</f>
        <v>레몬즙</v>
      </c>
    </row>
    <row r="851">
      <c r="A851" s="2" t="str">
        <f>IFERROR(__xludf.DUMMYFUNCTION("""COMPUTED_VALUE"""),"순결한 튀김")</f>
        <v>순결한 튀김</v>
      </c>
      <c r="B851" s="2" t="str">
        <f>IFERROR(__xludf.DUMMYFUNCTION("""COMPUTED_VALUE"""),"설탕")</f>
        <v>설탕</v>
      </c>
    </row>
    <row r="852">
      <c r="A852" s="2" t="str">
        <f>IFERROR(__xludf.DUMMYFUNCTION("""COMPUTED_VALUE"""),"순결한 튀김")</f>
        <v>순결한 튀김</v>
      </c>
      <c r="B852" s="2" t="str">
        <f>IFERROR(__xludf.DUMMYFUNCTION("""COMPUTED_VALUE"""),"다진 마늘")</f>
        <v>다진 마늘</v>
      </c>
    </row>
    <row r="853">
      <c r="A853" s="2" t="str">
        <f>IFERROR(__xludf.DUMMYFUNCTION("""COMPUTED_VALUE"""),"순결한 튀김")</f>
        <v>순결한 튀김</v>
      </c>
      <c r="B853" s="2" t="str">
        <f>IFERROR(__xludf.DUMMYFUNCTION("""COMPUTED_VALUE"""),"파")</f>
        <v>파</v>
      </c>
    </row>
    <row r="854">
      <c r="A854" s="2" t="str">
        <f>IFERROR(__xludf.DUMMYFUNCTION("""COMPUTED_VALUE"""),"고기 차이나")</f>
        <v>고기 차이나</v>
      </c>
      <c r="B854" s="2" t="str">
        <f>IFERROR(__xludf.DUMMYFUNCTION("""COMPUTED_VALUE"""),"닭가슴살")</f>
        <v>닭가슴살</v>
      </c>
    </row>
    <row r="855">
      <c r="A855" s="2" t="str">
        <f>IFERROR(__xludf.DUMMYFUNCTION("""COMPUTED_VALUE"""),"고기 차이나")</f>
        <v>고기 차이나</v>
      </c>
      <c r="B855" s="2" t="str">
        <f>IFERROR(__xludf.DUMMYFUNCTION("""COMPUTED_VALUE"""),"달걀")</f>
        <v>달걀</v>
      </c>
    </row>
    <row r="856">
      <c r="A856" s="2" t="str">
        <f>IFERROR(__xludf.DUMMYFUNCTION("""COMPUTED_VALUE"""),"고기 차이나")</f>
        <v>고기 차이나</v>
      </c>
      <c r="B856" s="2" t="str">
        <f>IFERROR(__xludf.DUMMYFUNCTION("""COMPUTED_VALUE"""),"채끝살")</f>
        <v>채끝살</v>
      </c>
    </row>
    <row r="857">
      <c r="A857" s="2" t="str">
        <f>IFERROR(__xludf.DUMMYFUNCTION("""COMPUTED_VALUE"""),"고기 차이나")</f>
        <v>고기 차이나</v>
      </c>
      <c r="B857" s="2" t="str">
        <f>IFERROR(__xludf.DUMMYFUNCTION("""COMPUTED_VALUE"""),"청경채")</f>
        <v>청경채</v>
      </c>
    </row>
    <row r="858">
      <c r="A858" s="2" t="str">
        <f>IFERROR(__xludf.DUMMYFUNCTION("""COMPUTED_VALUE"""),"고기 차이나")</f>
        <v>고기 차이나</v>
      </c>
      <c r="B858" s="2" t="str">
        <f>IFERROR(__xludf.DUMMYFUNCTION("""COMPUTED_VALUE"""),"파프리카")</f>
        <v>파프리카</v>
      </c>
    </row>
    <row r="859">
      <c r="A859" s="2" t="str">
        <f>IFERROR(__xludf.DUMMYFUNCTION("""COMPUTED_VALUE"""),"고기 차이나")</f>
        <v>고기 차이나</v>
      </c>
      <c r="B859" s="2" t="str">
        <f>IFERROR(__xludf.DUMMYFUNCTION("""COMPUTED_VALUE"""),"굴소스")</f>
        <v>굴소스</v>
      </c>
    </row>
    <row r="860">
      <c r="A860" s="2" t="str">
        <f>IFERROR(__xludf.DUMMYFUNCTION("""COMPUTED_VALUE"""),"고기 차이나")</f>
        <v>고기 차이나</v>
      </c>
      <c r="B860" s="2" t="str">
        <f>IFERROR(__xludf.DUMMYFUNCTION("""COMPUTED_VALUE"""),"양상추")</f>
        <v>양상추</v>
      </c>
    </row>
    <row r="861">
      <c r="A861" s="2" t="str">
        <f>IFERROR(__xludf.DUMMYFUNCTION("""COMPUTED_VALUE"""),"고기 차이나")</f>
        <v>고기 차이나</v>
      </c>
      <c r="B861" s="2" t="str">
        <f>IFERROR(__xludf.DUMMYFUNCTION("""COMPUTED_VALUE"""),"감자 전분")</f>
        <v>감자 전분</v>
      </c>
    </row>
    <row r="862">
      <c r="A862" s="2" t="str">
        <f>IFERROR(__xludf.DUMMYFUNCTION("""COMPUTED_VALUE"""),"고기 차이나")</f>
        <v>고기 차이나</v>
      </c>
      <c r="B862" s="2" t="str">
        <f>IFERROR(__xludf.DUMMYFUNCTION("""COMPUTED_VALUE"""),"밀가루")</f>
        <v>밀가루</v>
      </c>
    </row>
    <row r="863">
      <c r="A863" s="2" t="str">
        <f>IFERROR(__xludf.DUMMYFUNCTION("""COMPUTED_VALUE"""),"고기 차이나")</f>
        <v>고기 차이나</v>
      </c>
      <c r="B863" s="2" t="str">
        <f>IFERROR(__xludf.DUMMYFUNCTION("""COMPUTED_VALUE"""),"식용유")</f>
        <v>식용유</v>
      </c>
    </row>
    <row r="864">
      <c r="A864" s="2" t="str">
        <f>IFERROR(__xludf.DUMMYFUNCTION("""COMPUTED_VALUE"""),"고기 차이나")</f>
        <v>고기 차이나</v>
      </c>
      <c r="B864" s="2" t="str">
        <f>IFERROR(__xludf.DUMMYFUNCTION("""COMPUTED_VALUE"""),"양파")</f>
        <v>양파</v>
      </c>
    </row>
    <row r="865">
      <c r="A865" s="2" t="str">
        <f>IFERROR(__xludf.DUMMYFUNCTION("""COMPUTED_VALUE"""),"고기 차이나")</f>
        <v>고기 차이나</v>
      </c>
      <c r="B865" s="2" t="str">
        <f>IFERROR(__xludf.DUMMYFUNCTION("""COMPUTED_VALUE"""),"대파")</f>
        <v>대파</v>
      </c>
    </row>
    <row r="866">
      <c r="A866" s="2" t="str">
        <f>IFERROR(__xludf.DUMMYFUNCTION("""COMPUTED_VALUE"""),"고기 차이나")</f>
        <v>고기 차이나</v>
      </c>
      <c r="B866" s="2" t="str">
        <f>IFERROR(__xludf.DUMMYFUNCTION("""COMPUTED_VALUE"""),"마늘")</f>
        <v>마늘</v>
      </c>
    </row>
    <row r="867">
      <c r="A867" s="2" t="str">
        <f>IFERROR(__xludf.DUMMYFUNCTION("""COMPUTED_VALUE"""),"고기 차이나")</f>
        <v>고기 차이나</v>
      </c>
      <c r="B867" s="2" t="str">
        <f>IFERROR(__xludf.DUMMYFUNCTION("""COMPUTED_VALUE"""),"간장")</f>
        <v>간장</v>
      </c>
    </row>
    <row r="868">
      <c r="A868" s="2" t="str">
        <f>IFERROR(__xludf.DUMMYFUNCTION("""COMPUTED_VALUE"""),"고기 차이나")</f>
        <v>고기 차이나</v>
      </c>
      <c r="B868" s="2" t="str">
        <f>IFERROR(__xludf.DUMMYFUNCTION("""COMPUTED_VALUE"""),"설탕")</f>
        <v>설탕</v>
      </c>
    </row>
    <row r="869">
      <c r="A869" s="2" t="str">
        <f>IFERROR(__xludf.DUMMYFUNCTION("""COMPUTED_VALUE"""),"고기 차이나")</f>
        <v>고기 차이나</v>
      </c>
      <c r="B869" s="2" t="str">
        <f>IFERROR(__xludf.DUMMYFUNCTION("""COMPUTED_VALUE"""),"식초")</f>
        <v>식초</v>
      </c>
    </row>
    <row r="870">
      <c r="A870" s="2" t="str">
        <f>IFERROR(__xludf.DUMMYFUNCTION("""COMPUTED_VALUE"""),"고기 차이나")</f>
        <v>고기 차이나</v>
      </c>
      <c r="B870" s="2" t="str">
        <f>IFERROR(__xludf.DUMMYFUNCTION("""COMPUTED_VALUE"""),"레몬즙")</f>
        <v>레몬즙</v>
      </c>
    </row>
    <row r="871">
      <c r="A871" s="2" t="str">
        <f>IFERROR(__xludf.DUMMYFUNCTION("""COMPUTED_VALUE"""),"고기 차이나")</f>
        <v>고기 차이나</v>
      </c>
      <c r="B871" s="2" t="str">
        <f>IFERROR(__xludf.DUMMYFUNCTION("""COMPUTED_VALUE"""),"다진 마늘")</f>
        <v>다진 마늘</v>
      </c>
    </row>
    <row r="872">
      <c r="A872" s="2" t="str">
        <f>IFERROR(__xludf.DUMMYFUNCTION("""COMPUTED_VALUE"""),"힘을 내요 슈퍼 나베")</f>
        <v>힘을 내요 슈퍼 나베</v>
      </c>
      <c r="B872" s="2" t="str">
        <f>IFERROR(__xludf.DUMMYFUNCTION("""COMPUTED_VALUE"""),"사골 육수")</f>
        <v>사골 육수</v>
      </c>
    </row>
    <row r="873">
      <c r="A873" s="2" t="str">
        <f>IFERROR(__xludf.DUMMYFUNCTION("""COMPUTED_VALUE"""),"힘을 내요 슈퍼 나베")</f>
        <v>힘을 내요 슈퍼 나베</v>
      </c>
      <c r="B873" s="2" t="str">
        <f>IFERROR(__xludf.DUMMYFUNCTION("""COMPUTED_VALUE"""),"양지머리")</f>
        <v>양지머리</v>
      </c>
    </row>
    <row r="874">
      <c r="A874" s="2" t="str">
        <f>IFERROR(__xludf.DUMMYFUNCTION("""COMPUTED_VALUE"""),"힘을 내요 슈퍼 나베")</f>
        <v>힘을 내요 슈퍼 나베</v>
      </c>
      <c r="B874" s="2" t="str">
        <f>IFERROR(__xludf.DUMMYFUNCTION("""COMPUTED_VALUE"""),"양배추")</f>
        <v>양배추</v>
      </c>
    </row>
    <row r="875">
      <c r="A875" s="2" t="str">
        <f>IFERROR(__xludf.DUMMYFUNCTION("""COMPUTED_VALUE"""),"힘을 내요 슈퍼 나베")</f>
        <v>힘을 내요 슈퍼 나베</v>
      </c>
      <c r="B875" s="2" t="str">
        <f>IFERROR(__xludf.DUMMYFUNCTION("""COMPUTED_VALUE"""),"송화 버섯")</f>
        <v>송화 버섯</v>
      </c>
    </row>
    <row r="876">
      <c r="A876" s="2" t="str">
        <f>IFERROR(__xludf.DUMMYFUNCTION("""COMPUTED_VALUE"""),"힘을 내요 슈퍼 나베")</f>
        <v>힘을 내요 슈퍼 나베</v>
      </c>
      <c r="B876" s="2" t="str">
        <f>IFERROR(__xludf.DUMMYFUNCTION("""COMPUTED_VALUE"""),"청경채")</f>
        <v>청경채</v>
      </c>
    </row>
    <row r="877">
      <c r="A877" s="2" t="str">
        <f>IFERROR(__xludf.DUMMYFUNCTION("""COMPUTED_VALUE"""),"힘을 내요 슈퍼 나베")</f>
        <v>힘을 내요 슈퍼 나베</v>
      </c>
      <c r="B877" s="2" t="str">
        <f>IFERROR(__xludf.DUMMYFUNCTION("""COMPUTED_VALUE"""),"소면")</f>
        <v>소면</v>
      </c>
    </row>
    <row r="878">
      <c r="A878" s="2" t="str">
        <f>IFERROR(__xludf.DUMMYFUNCTION("""COMPUTED_VALUE"""),"힘을 내요 슈퍼 나베")</f>
        <v>힘을 내요 슈퍼 나베</v>
      </c>
      <c r="B878" s="2" t="str">
        <f>IFERROR(__xludf.DUMMYFUNCTION("""COMPUTED_VALUE"""),"팽이 버섯")</f>
        <v>팽이 버섯</v>
      </c>
    </row>
    <row r="879">
      <c r="A879" s="2" t="str">
        <f>IFERROR(__xludf.DUMMYFUNCTION("""COMPUTED_VALUE"""),"힘을 내요 슈퍼 나베")</f>
        <v>힘을 내요 슈퍼 나베</v>
      </c>
      <c r="B879" s="2" t="str">
        <f>IFERROR(__xludf.DUMMYFUNCTION("""COMPUTED_VALUE"""),"소고기 안심")</f>
        <v>소고기 안심</v>
      </c>
    </row>
    <row r="880">
      <c r="A880" s="2" t="str">
        <f>IFERROR(__xludf.DUMMYFUNCTION("""COMPUTED_VALUE"""),"힘을 내요 슈퍼 나베")</f>
        <v>힘을 내요 슈퍼 나베</v>
      </c>
      <c r="B880" s="2" t="str">
        <f>IFERROR(__xludf.DUMMYFUNCTION("""COMPUTED_VALUE"""),"깻잎")</f>
        <v>깻잎</v>
      </c>
    </row>
    <row r="881">
      <c r="A881" s="2" t="str">
        <f>IFERROR(__xludf.DUMMYFUNCTION("""COMPUTED_VALUE"""),"힘을 내요 슈퍼 나베")</f>
        <v>힘을 내요 슈퍼 나베</v>
      </c>
      <c r="B881" s="2" t="str">
        <f>IFERROR(__xludf.DUMMYFUNCTION("""COMPUTED_VALUE"""),"달걀")</f>
        <v>달걀</v>
      </c>
    </row>
    <row r="882">
      <c r="A882" s="2" t="str">
        <f>IFERROR(__xludf.DUMMYFUNCTION("""COMPUTED_VALUE"""),"힘을 내요 슈퍼 나베")</f>
        <v>힘을 내요 슈퍼 나베</v>
      </c>
      <c r="B882" s="2" t="str">
        <f>IFERROR(__xludf.DUMMYFUNCTION("""COMPUTED_VALUE"""),"된장")</f>
        <v>된장</v>
      </c>
    </row>
    <row r="883">
      <c r="A883" s="2" t="str">
        <f>IFERROR(__xludf.DUMMYFUNCTION("""COMPUTED_VALUE"""),"힘을 내요 슈퍼 나베")</f>
        <v>힘을 내요 슈퍼 나베</v>
      </c>
      <c r="B883" s="2" t="str">
        <f>IFERROR(__xludf.DUMMYFUNCTION("""COMPUTED_VALUE"""),"마늘")</f>
        <v>마늘</v>
      </c>
    </row>
    <row r="884">
      <c r="A884" s="2" t="str">
        <f>IFERROR(__xludf.DUMMYFUNCTION("""COMPUTED_VALUE"""),"힘을 내요 슈퍼 나베")</f>
        <v>힘을 내요 슈퍼 나베</v>
      </c>
      <c r="B884" s="2" t="str">
        <f>IFERROR(__xludf.DUMMYFUNCTION("""COMPUTED_VALUE"""),"대파")</f>
        <v>대파</v>
      </c>
    </row>
    <row r="885">
      <c r="A885" s="2" t="str">
        <f>IFERROR(__xludf.DUMMYFUNCTION("""COMPUTED_VALUE"""),"힘을 내요 슈퍼 나베")</f>
        <v>힘을 내요 슈퍼 나베</v>
      </c>
      <c r="B885" s="2" t="str">
        <f>IFERROR(__xludf.DUMMYFUNCTION("""COMPUTED_VALUE"""),"국간장")</f>
        <v>국간장</v>
      </c>
    </row>
    <row r="886">
      <c r="A886" s="2" t="str">
        <f>IFERROR(__xludf.DUMMYFUNCTION("""COMPUTED_VALUE"""),"소테미너")</f>
        <v>소테미너</v>
      </c>
      <c r="B886" s="2" t="str">
        <f>IFERROR(__xludf.DUMMYFUNCTION("""COMPUTED_VALUE"""),"방울 양배추")</f>
        <v>방울 양배추</v>
      </c>
    </row>
    <row r="887">
      <c r="A887" s="2" t="str">
        <f>IFERROR(__xludf.DUMMYFUNCTION("""COMPUTED_VALUE"""),"소테미너")</f>
        <v>소테미너</v>
      </c>
      <c r="B887" s="2" t="str">
        <f>IFERROR(__xludf.DUMMYFUNCTION("""COMPUTED_VALUE"""),"콜리플라워")</f>
        <v>콜리플라워</v>
      </c>
    </row>
    <row r="888">
      <c r="A888" s="2" t="str">
        <f>IFERROR(__xludf.DUMMYFUNCTION("""COMPUTED_VALUE"""),"소테미너")</f>
        <v>소테미너</v>
      </c>
      <c r="B888" s="2" t="str">
        <f>IFERROR(__xludf.DUMMYFUNCTION("""COMPUTED_VALUE"""),"파프리카")</f>
        <v>파프리카</v>
      </c>
    </row>
    <row r="889">
      <c r="A889" s="2" t="str">
        <f>IFERROR(__xludf.DUMMYFUNCTION("""COMPUTED_VALUE"""),"소테미너")</f>
        <v>소테미너</v>
      </c>
      <c r="B889" s="2" t="str">
        <f>IFERROR(__xludf.DUMMYFUNCTION("""COMPUTED_VALUE"""),"브로콜리")</f>
        <v>브로콜리</v>
      </c>
    </row>
    <row r="890">
      <c r="A890" s="2" t="str">
        <f>IFERROR(__xludf.DUMMYFUNCTION("""COMPUTED_VALUE"""),"소테미너")</f>
        <v>소테미너</v>
      </c>
      <c r="B890" s="2" t="str">
        <f>IFERROR(__xludf.DUMMYFUNCTION("""COMPUTED_VALUE"""),"살치살")</f>
        <v>살치살</v>
      </c>
    </row>
    <row r="891">
      <c r="A891" s="2" t="str">
        <f>IFERROR(__xludf.DUMMYFUNCTION("""COMPUTED_VALUE"""),"소테미너")</f>
        <v>소테미너</v>
      </c>
      <c r="B891" s="2" t="str">
        <f>IFERROR(__xludf.DUMMYFUNCTION("""COMPUTED_VALUE"""),"소금")</f>
        <v>소금</v>
      </c>
    </row>
    <row r="892">
      <c r="A892" s="2" t="str">
        <f>IFERROR(__xludf.DUMMYFUNCTION("""COMPUTED_VALUE"""),"소테미너")</f>
        <v>소테미너</v>
      </c>
      <c r="B892" s="2" t="str">
        <f>IFERROR(__xludf.DUMMYFUNCTION("""COMPUTED_VALUE"""),"버터")</f>
        <v>버터</v>
      </c>
    </row>
    <row r="893">
      <c r="A893" s="2" t="str">
        <f>IFERROR(__xludf.DUMMYFUNCTION("""COMPUTED_VALUE"""),"소테미너")</f>
        <v>소테미너</v>
      </c>
      <c r="B893" s="2" t="str">
        <f>IFERROR(__xludf.DUMMYFUNCTION("""COMPUTED_VALUE"""),"마늘")</f>
        <v>마늘</v>
      </c>
    </row>
    <row r="894">
      <c r="A894" s="2" t="str">
        <f>IFERROR(__xludf.DUMMYFUNCTION("""COMPUTED_VALUE"""),"소테미너")</f>
        <v>소테미너</v>
      </c>
      <c r="B894" s="2" t="str">
        <f>IFERROR(__xludf.DUMMYFUNCTION("""COMPUTED_VALUE"""),"양파")</f>
        <v>양파</v>
      </c>
    </row>
    <row r="895">
      <c r="A895" s="2" t="str">
        <f>IFERROR(__xludf.DUMMYFUNCTION("""COMPUTED_VALUE"""),"소테미너")</f>
        <v>소테미너</v>
      </c>
      <c r="B895" s="2" t="str">
        <f>IFERROR(__xludf.DUMMYFUNCTION("""COMPUTED_VALUE"""),"후추")</f>
        <v>후추</v>
      </c>
    </row>
    <row r="896">
      <c r="A896" s="2" t="str">
        <f>IFERROR(__xludf.DUMMYFUNCTION("""COMPUTED_VALUE"""),"초코 모찌 맛있찌")</f>
        <v>초코 모찌 맛있찌</v>
      </c>
      <c r="B896" s="2" t="str">
        <f>IFERROR(__xludf.DUMMYFUNCTION("""COMPUTED_VALUE"""),"초코 비스킷")</f>
        <v>초코 비스킷</v>
      </c>
    </row>
    <row r="897">
      <c r="A897" s="2" t="str">
        <f>IFERROR(__xludf.DUMMYFUNCTION("""COMPUTED_VALUE"""),"초코 모찌 맛있찌")</f>
        <v>초코 모찌 맛있찌</v>
      </c>
      <c r="B897" s="2" t="str">
        <f>IFERROR(__xludf.DUMMYFUNCTION("""COMPUTED_VALUE"""),"쑥떡")</f>
        <v>쑥떡</v>
      </c>
    </row>
    <row r="898">
      <c r="A898" s="2" t="str">
        <f>IFERROR(__xludf.DUMMYFUNCTION("""COMPUTED_VALUE"""),"초코 모찌 맛있찌")</f>
        <v>초코 모찌 맛있찌</v>
      </c>
      <c r="B898" s="2" t="str">
        <f>IFERROR(__xludf.DUMMYFUNCTION("""COMPUTED_VALUE"""),"달걀")</f>
        <v>달걀</v>
      </c>
    </row>
    <row r="899">
      <c r="A899" s="2" t="str">
        <f>IFERROR(__xludf.DUMMYFUNCTION("""COMPUTED_VALUE"""),"초코 모찌 맛있찌")</f>
        <v>초코 모찌 맛있찌</v>
      </c>
      <c r="B899" s="2" t="str">
        <f>IFERROR(__xludf.DUMMYFUNCTION("""COMPUTED_VALUE"""),"커피 음료")</f>
        <v>커피 음료</v>
      </c>
    </row>
    <row r="900">
      <c r="A900" s="2" t="str">
        <f>IFERROR(__xludf.DUMMYFUNCTION("""COMPUTED_VALUE"""),"초코 모찌 맛있찌")</f>
        <v>초코 모찌 맛있찌</v>
      </c>
      <c r="B900" s="2" t="str">
        <f>IFERROR(__xludf.DUMMYFUNCTION("""COMPUTED_VALUE"""),"믹스커피")</f>
        <v>믹스커피</v>
      </c>
    </row>
    <row r="901">
      <c r="A901" s="2" t="str">
        <f>IFERROR(__xludf.DUMMYFUNCTION("""COMPUTED_VALUE"""),"초코 모찌 맛있찌")</f>
        <v>초코 모찌 맛있찌</v>
      </c>
      <c r="B901" s="2" t="str">
        <f>IFERROR(__xludf.DUMMYFUNCTION("""COMPUTED_VALUE"""),"커피 우유")</f>
        <v>커피 우유</v>
      </c>
    </row>
    <row r="902">
      <c r="A902" s="2" t="str">
        <f>IFERROR(__xludf.DUMMYFUNCTION("""COMPUTED_VALUE"""),"초코 모찌 맛있찌")</f>
        <v>초코 모찌 맛있찌</v>
      </c>
      <c r="B902" s="2" t="str">
        <f>IFERROR(__xludf.DUMMYFUNCTION("""COMPUTED_VALUE"""),"냉동 블루베리")</f>
        <v>냉동 블루베리</v>
      </c>
    </row>
    <row r="903">
      <c r="A903" s="2" t="str">
        <f>IFERROR(__xludf.DUMMYFUNCTION("""COMPUTED_VALUE"""),"초코 모찌 맛있찌")</f>
        <v>초코 모찌 맛있찌</v>
      </c>
      <c r="B903" s="2" t="str">
        <f>IFERROR(__xludf.DUMMYFUNCTION("""COMPUTED_VALUE"""),"딸기")</f>
        <v>딸기</v>
      </c>
    </row>
    <row r="904">
      <c r="A904" s="2" t="str">
        <f>IFERROR(__xludf.DUMMYFUNCTION("""COMPUTED_VALUE"""),"초코 모찌 맛있찌")</f>
        <v>초코 모찌 맛있찌</v>
      </c>
      <c r="B904" s="2" t="str">
        <f>IFERROR(__xludf.DUMMYFUNCTION("""COMPUTED_VALUE"""),"아이스크림")</f>
        <v>아이스크림</v>
      </c>
    </row>
    <row r="905">
      <c r="A905" s="2" t="str">
        <f>IFERROR(__xludf.DUMMYFUNCTION("""COMPUTED_VALUE"""),"초코 모찌 맛있찌")</f>
        <v>초코 모찌 맛있찌</v>
      </c>
      <c r="B905" s="2" t="str">
        <f>IFERROR(__xludf.DUMMYFUNCTION("""COMPUTED_VALUE"""),"버터")</f>
        <v>버터</v>
      </c>
    </row>
    <row r="906">
      <c r="A906" s="2" t="str">
        <f>IFERROR(__xludf.DUMMYFUNCTION("""COMPUTED_VALUE"""),"초코 모찌 맛있찌")</f>
        <v>초코 모찌 맛있찌</v>
      </c>
      <c r="B906" s="2" t="str">
        <f>IFERROR(__xludf.DUMMYFUNCTION("""COMPUTED_VALUE"""),"소금")</f>
        <v>소금</v>
      </c>
    </row>
    <row r="907">
      <c r="A907" s="2" t="str">
        <f>IFERROR(__xludf.DUMMYFUNCTION("""COMPUTED_VALUE"""),"초코 모찌 맛있찌")</f>
        <v>초코 모찌 맛있찌</v>
      </c>
      <c r="B907" s="2" t="str">
        <f>IFERROR(__xludf.DUMMYFUNCTION("""COMPUTED_VALUE"""),"밀가루")</f>
        <v>밀가루</v>
      </c>
    </row>
    <row r="908">
      <c r="A908" s="2" t="str">
        <f>IFERROR(__xludf.DUMMYFUNCTION("""COMPUTED_VALUE"""),"초코 모찌 맛있찌")</f>
        <v>초코 모찌 맛있찌</v>
      </c>
      <c r="B908" s="2" t="str">
        <f>IFERROR(__xludf.DUMMYFUNCTION("""COMPUTED_VALUE"""),"설탕")</f>
        <v>설탕</v>
      </c>
    </row>
    <row r="909">
      <c r="A909" s="2" t="str">
        <f>IFERROR(__xludf.DUMMYFUNCTION("""COMPUTED_VALUE"""),"수플레가 머랭?")</f>
        <v>수플레가 머랭?</v>
      </c>
      <c r="B909" s="2" t="str">
        <f>IFERROR(__xludf.DUMMYFUNCTION("""COMPUTED_VALUE"""),"초콜릿")</f>
        <v>초콜릿</v>
      </c>
    </row>
    <row r="910">
      <c r="A910" s="2" t="str">
        <f>IFERROR(__xludf.DUMMYFUNCTION("""COMPUTED_VALUE"""),"수플레가 머랭?")</f>
        <v>수플레가 머랭?</v>
      </c>
      <c r="B910" s="2" t="str">
        <f>IFERROR(__xludf.DUMMYFUNCTION("""COMPUTED_VALUE"""),"달걀")</f>
        <v>달걀</v>
      </c>
    </row>
    <row r="911">
      <c r="A911" s="2" t="str">
        <f>IFERROR(__xludf.DUMMYFUNCTION("""COMPUTED_VALUE"""),"수플레가 머랭?")</f>
        <v>수플레가 머랭?</v>
      </c>
      <c r="B911" s="2" t="str">
        <f>IFERROR(__xludf.DUMMYFUNCTION("""COMPUTED_VALUE"""),"커피 우유")</f>
        <v>커피 우유</v>
      </c>
    </row>
    <row r="912">
      <c r="A912" s="2" t="str">
        <f>IFERROR(__xludf.DUMMYFUNCTION("""COMPUTED_VALUE"""),"수플레가 머랭?")</f>
        <v>수플레가 머랭?</v>
      </c>
      <c r="B912" s="2" t="str">
        <f>IFERROR(__xludf.DUMMYFUNCTION("""COMPUTED_VALUE"""),"냉동 블루베리")</f>
        <v>냉동 블루베리</v>
      </c>
    </row>
    <row r="913">
      <c r="A913" s="2" t="str">
        <f>IFERROR(__xludf.DUMMYFUNCTION("""COMPUTED_VALUE"""),"수플레가 머랭?")</f>
        <v>수플레가 머랭?</v>
      </c>
      <c r="B913" s="2" t="str">
        <f>IFERROR(__xludf.DUMMYFUNCTION("""COMPUTED_VALUE"""),"설탕")</f>
        <v>설탕</v>
      </c>
    </row>
    <row r="914">
      <c r="A914" s="2" t="str">
        <f>IFERROR(__xludf.DUMMYFUNCTION("""COMPUTED_VALUE"""),"수플레가 머랭?")</f>
        <v>수플레가 머랭?</v>
      </c>
      <c r="B914" s="2" t="str">
        <f>IFERROR(__xludf.DUMMYFUNCTION("""COMPUTED_VALUE"""),"전분")</f>
        <v>전분</v>
      </c>
    </row>
    <row r="915">
      <c r="A915" s="2" t="str">
        <f>IFERROR(__xludf.DUMMYFUNCTION("""COMPUTED_VALUE"""),"그.레.요 (그대를 위한 레토르트 요리)")</f>
        <v>그.레.요 (그대를 위한 레토르트 요리)</v>
      </c>
      <c r="B915" s="2" t="str">
        <f>IFERROR(__xludf.DUMMYFUNCTION("""COMPUTED_VALUE"""),"토마토 소스")</f>
        <v>토마토 소스</v>
      </c>
    </row>
    <row r="916">
      <c r="A916" s="2" t="str">
        <f>IFERROR(__xludf.DUMMYFUNCTION("""COMPUTED_VALUE"""),"그.레.요 (그대를 위한 레토르트 요리)")</f>
        <v>그.레.요 (그대를 위한 레토르트 요리)</v>
      </c>
      <c r="B916" s="2" t="str">
        <f>IFERROR(__xludf.DUMMYFUNCTION("""COMPUTED_VALUE"""),"참치 통조림")</f>
        <v>참치 통조림</v>
      </c>
    </row>
    <row r="917">
      <c r="A917" s="2" t="str">
        <f>IFERROR(__xludf.DUMMYFUNCTION("""COMPUTED_VALUE"""),"그.레.요 (그대를 위한 레토르트 요리)")</f>
        <v>그.레.요 (그대를 위한 레토르트 요리)</v>
      </c>
      <c r="B917" s="2" t="str">
        <f>IFERROR(__xludf.DUMMYFUNCTION("""COMPUTED_VALUE"""),"건자두")</f>
        <v>건자두</v>
      </c>
    </row>
    <row r="918">
      <c r="A918" s="2" t="str">
        <f>IFERROR(__xludf.DUMMYFUNCTION("""COMPUTED_VALUE"""),"그.레.요 (그대를 위한 레토르트 요리)")</f>
        <v>그.레.요 (그대를 위한 레토르트 요리)</v>
      </c>
      <c r="B918" s="2" t="str">
        <f>IFERROR(__xludf.DUMMYFUNCTION("""COMPUTED_VALUE"""),"레드 와인")</f>
        <v>레드 와인</v>
      </c>
    </row>
    <row r="919">
      <c r="A919" s="2" t="str">
        <f>IFERROR(__xludf.DUMMYFUNCTION("""COMPUTED_VALUE"""),"그.레.요 (그대를 위한 레토르트 요리)")</f>
        <v>그.레.요 (그대를 위한 레토르트 요리)</v>
      </c>
      <c r="B919" s="2" t="str">
        <f>IFERROR(__xludf.DUMMYFUNCTION("""COMPUTED_VALUE"""),"달걀")</f>
        <v>달걀</v>
      </c>
    </row>
    <row r="920">
      <c r="A920" s="2" t="str">
        <f>IFERROR(__xludf.DUMMYFUNCTION("""COMPUTED_VALUE"""),"그.레.요 (그대를 위한 레토르트 요리)")</f>
        <v>그.레.요 (그대를 위한 레토르트 요리)</v>
      </c>
      <c r="B920" s="2" t="str">
        <f>IFERROR(__xludf.DUMMYFUNCTION("""COMPUTED_VALUE"""),"햄 통조림")</f>
        <v>햄 통조림</v>
      </c>
    </row>
    <row r="921">
      <c r="A921" s="2" t="str">
        <f>IFERROR(__xludf.DUMMYFUNCTION("""COMPUTED_VALUE"""),"그.레.요 (그대를 위한 레토르트 요리)")</f>
        <v>그.레.요 (그대를 위한 레토르트 요리)</v>
      </c>
      <c r="B921" s="2" t="str">
        <f>IFERROR(__xludf.DUMMYFUNCTION("""COMPUTED_VALUE"""),"옥수수 수프 분말")</f>
        <v>옥수수 수프 분말</v>
      </c>
    </row>
    <row r="922">
      <c r="A922" s="2" t="str">
        <f>IFERROR(__xludf.DUMMYFUNCTION("""COMPUTED_VALUE"""),"그.레.요 (그대를 위한 레토르트 요리)")</f>
        <v>그.레.요 (그대를 위한 레토르트 요리)</v>
      </c>
      <c r="B922" s="2" t="str">
        <f>IFERROR(__xludf.DUMMYFUNCTION("""COMPUTED_VALUE"""),"데친 브로콜리")</f>
        <v>데친 브로콜리</v>
      </c>
    </row>
    <row r="923">
      <c r="A923" s="2" t="str">
        <f>IFERROR(__xludf.DUMMYFUNCTION("""COMPUTED_VALUE"""),"그.레.요 (그대를 위한 레토르트 요리)")</f>
        <v>그.레.요 (그대를 위한 레토르트 요리)</v>
      </c>
      <c r="B923" s="2" t="str">
        <f>IFERROR(__xludf.DUMMYFUNCTION("""COMPUTED_VALUE"""),"버터")</f>
        <v>버터</v>
      </c>
    </row>
    <row r="924">
      <c r="A924" s="2" t="str">
        <f>IFERROR(__xludf.DUMMYFUNCTION("""COMPUTED_VALUE"""),"그.레.요 (그대를 위한 레토르트 요리)")</f>
        <v>그.레.요 (그대를 위한 레토르트 요리)</v>
      </c>
      <c r="B924" s="2" t="str">
        <f>IFERROR(__xludf.DUMMYFUNCTION("""COMPUTED_VALUE"""),"양파")</f>
        <v>양파</v>
      </c>
    </row>
    <row r="925">
      <c r="A925" s="2" t="str">
        <f>IFERROR(__xludf.DUMMYFUNCTION("""COMPUTED_VALUE"""),"그.레.요 (그대를 위한 레토르트 요리)")</f>
        <v>그.레.요 (그대를 위한 레토르트 요리)</v>
      </c>
      <c r="B925" s="2" t="str">
        <f>IFERROR(__xludf.DUMMYFUNCTION("""COMPUTED_VALUE"""),"즉석밥")</f>
        <v>즉석밥</v>
      </c>
    </row>
    <row r="926">
      <c r="A926" s="2" t="str">
        <f>IFERROR(__xludf.DUMMYFUNCTION("""COMPUTED_VALUE"""),"그.레.요 (그대를 위한 레토르트 요리)")</f>
        <v>그.레.요 (그대를 위한 레토르트 요리)</v>
      </c>
      <c r="B926" s="2" t="str">
        <f>IFERROR(__xludf.DUMMYFUNCTION("""COMPUTED_VALUE"""),"레드 와인")</f>
        <v>레드 와인</v>
      </c>
    </row>
    <row r="927">
      <c r="A927" s="2" t="str">
        <f>IFERROR(__xludf.DUMMYFUNCTION("""COMPUTED_VALUE"""),"그.레.요 (그대를 위한 레토르트 요리)")</f>
        <v>그.레.요 (그대를 위한 레토르트 요리)</v>
      </c>
      <c r="B927" s="2" t="str">
        <f>IFERROR(__xludf.DUMMYFUNCTION("""COMPUTED_VALUE"""),"설탕")</f>
        <v>설탕</v>
      </c>
    </row>
    <row r="928">
      <c r="A928" s="2" t="str">
        <f>IFERROR(__xludf.DUMMYFUNCTION("""COMPUTED_VALUE"""),"그.레.요 (그대를 위한 레토르트 요리)")</f>
        <v>그.레.요 (그대를 위한 레토르트 요리)</v>
      </c>
      <c r="B928" s="2" t="str">
        <f>IFERROR(__xludf.DUMMYFUNCTION("""COMPUTED_VALUE"""),"밀가루")</f>
        <v>밀가루</v>
      </c>
    </row>
    <row r="929">
      <c r="A929" s="2" t="str">
        <f>IFERROR(__xludf.DUMMYFUNCTION("""COMPUTED_VALUE"""),"그.레.요 (그대를 위한 레토르트 요리)")</f>
        <v>그.레.요 (그대를 위한 레토르트 요리)</v>
      </c>
      <c r="B929" s="2" t="str">
        <f>IFERROR(__xludf.DUMMYFUNCTION("""COMPUTED_VALUE"""),"빵가루")</f>
        <v>빵가루</v>
      </c>
    </row>
    <row r="930">
      <c r="A930" s="2" t="str">
        <f>IFERROR(__xludf.DUMMYFUNCTION("""COMPUTED_VALUE"""),"그.레.요 (그대를 위한 레토르트 요리)")</f>
        <v>그.레.요 (그대를 위한 레토르트 요리)</v>
      </c>
      <c r="B930" s="2" t="str">
        <f>IFERROR(__xludf.DUMMYFUNCTION("""COMPUTED_VALUE"""),"파르메산 치즈")</f>
        <v>파르메산 치즈</v>
      </c>
    </row>
    <row r="931">
      <c r="A931" s="2" t="str">
        <f>IFERROR(__xludf.DUMMYFUNCTION("""COMPUTED_VALUE"""),"그.레.요 (그대를 위한 레토르트 요리)")</f>
        <v>그.레.요 (그대를 위한 레토르트 요리)</v>
      </c>
      <c r="B931" s="2" t="str">
        <f>IFERROR(__xludf.DUMMYFUNCTION("""COMPUTED_VALUE"""),"후추")</f>
        <v>후추</v>
      </c>
    </row>
    <row r="932">
      <c r="A932" s="2" t="str">
        <f>IFERROR(__xludf.DUMMYFUNCTION("""COMPUTED_VALUE"""),"수픈데 오믈렛")</f>
        <v>수픈데 오믈렛</v>
      </c>
      <c r="B932" s="2" t="str">
        <f>IFERROR(__xludf.DUMMYFUNCTION("""COMPUTED_VALUE"""),"달걀")</f>
        <v>달걀</v>
      </c>
    </row>
    <row r="933">
      <c r="A933" s="2" t="str">
        <f>IFERROR(__xludf.DUMMYFUNCTION("""COMPUTED_VALUE"""),"수픈데 오믈렛")</f>
        <v>수픈데 오믈렛</v>
      </c>
      <c r="B933" s="2" t="str">
        <f>IFERROR(__xludf.DUMMYFUNCTION("""COMPUTED_VALUE"""),"햄 통조림")</f>
        <v>햄 통조림</v>
      </c>
    </row>
    <row r="934">
      <c r="A934" s="2" t="str">
        <f>IFERROR(__xludf.DUMMYFUNCTION("""COMPUTED_VALUE"""),"수픈데 오믈렛")</f>
        <v>수픈데 오믈렛</v>
      </c>
      <c r="B934" s="2" t="str">
        <f>IFERROR(__xludf.DUMMYFUNCTION("""COMPUTED_VALUE"""),"참치 통조림")</f>
        <v>참치 통조림</v>
      </c>
    </row>
    <row r="935">
      <c r="A935" s="2" t="str">
        <f>IFERROR(__xludf.DUMMYFUNCTION("""COMPUTED_VALUE"""),"수픈데 오믈렛")</f>
        <v>수픈데 오믈렛</v>
      </c>
      <c r="B935" s="2" t="str">
        <f>IFERROR(__xludf.DUMMYFUNCTION("""COMPUTED_VALUE"""),"데친 브로콜리")</f>
        <v>데친 브로콜리</v>
      </c>
    </row>
    <row r="936">
      <c r="A936" s="2" t="str">
        <f>IFERROR(__xludf.DUMMYFUNCTION("""COMPUTED_VALUE"""),"수픈데 오믈렛")</f>
        <v>수픈데 오믈렛</v>
      </c>
      <c r="B936" s="2" t="str">
        <f>IFERROR(__xludf.DUMMYFUNCTION("""COMPUTED_VALUE"""),"머스터드 소스")</f>
        <v>머스터드 소스</v>
      </c>
    </row>
    <row r="937">
      <c r="A937" s="2" t="str">
        <f>IFERROR(__xludf.DUMMYFUNCTION("""COMPUTED_VALUE"""),"수픈데 오믈렛")</f>
        <v>수픈데 오믈렛</v>
      </c>
      <c r="B937" s="2" t="str">
        <f>IFERROR(__xludf.DUMMYFUNCTION("""COMPUTED_VALUE"""),"옥수수 수프 분말")</f>
        <v>옥수수 수프 분말</v>
      </c>
    </row>
    <row r="938">
      <c r="A938" s="2" t="str">
        <f>IFERROR(__xludf.DUMMYFUNCTION("""COMPUTED_VALUE"""),"수픈데 오믈렛")</f>
        <v>수픈데 오믈렛</v>
      </c>
      <c r="B938" s="2" t="str">
        <f>IFERROR(__xludf.DUMMYFUNCTION("""COMPUTED_VALUE"""),"스위트 칠리 소스")</f>
        <v>스위트 칠리 소스</v>
      </c>
    </row>
    <row r="939">
      <c r="A939" s="2" t="str">
        <f>IFERROR(__xludf.DUMMYFUNCTION("""COMPUTED_VALUE"""),"수픈데 오믈렛")</f>
        <v>수픈데 오믈렛</v>
      </c>
      <c r="B939" s="2" t="str">
        <f>IFERROR(__xludf.DUMMYFUNCTION("""COMPUTED_VALUE"""),"레몬")</f>
        <v>레몬</v>
      </c>
    </row>
    <row r="940">
      <c r="A940" s="2" t="str">
        <f>IFERROR(__xludf.DUMMYFUNCTION("""COMPUTED_VALUE"""),"수픈데 오믈렛")</f>
        <v>수픈데 오믈렛</v>
      </c>
      <c r="B940" s="2" t="str">
        <f>IFERROR(__xludf.DUMMYFUNCTION("""COMPUTED_VALUE"""),"소금")</f>
        <v>소금</v>
      </c>
    </row>
    <row r="941">
      <c r="A941" s="2" t="str">
        <f>IFERROR(__xludf.DUMMYFUNCTION("""COMPUTED_VALUE"""),"수픈데 오믈렛")</f>
        <v>수픈데 오믈렛</v>
      </c>
      <c r="B941" s="2" t="str">
        <f>IFERROR(__xludf.DUMMYFUNCTION("""COMPUTED_VALUE"""),"후추")</f>
        <v>후추</v>
      </c>
    </row>
    <row r="942">
      <c r="A942" s="2" t="str">
        <f>IFERROR(__xludf.DUMMYFUNCTION("""COMPUTED_VALUE"""),"수픈데 오믈렛")</f>
        <v>수픈데 오믈렛</v>
      </c>
      <c r="B942" s="2" t="str">
        <f>IFERROR(__xludf.DUMMYFUNCTION("""COMPUTED_VALUE"""),"버터")</f>
        <v>버터</v>
      </c>
    </row>
    <row r="943">
      <c r="A943" s="2" t="str">
        <f>IFERROR(__xludf.DUMMYFUNCTION("""COMPUTED_VALUE"""),"수픈데 오믈렛")</f>
        <v>수픈데 오믈렛</v>
      </c>
      <c r="B943" s="2" t="str">
        <f>IFERROR(__xludf.DUMMYFUNCTION("""COMPUTED_VALUE"""),"올리브유")</f>
        <v>올리브유</v>
      </c>
    </row>
    <row r="944">
      <c r="A944" s="2" t="str">
        <f>IFERROR(__xludf.DUMMYFUNCTION("""COMPUTED_VALUE"""),"수픈데 오믈렛")</f>
        <v>수픈데 오믈렛</v>
      </c>
      <c r="B944" s="2" t="str">
        <f>IFERROR(__xludf.DUMMYFUNCTION("""COMPUTED_VALUE"""),"설탕")</f>
        <v>설탕</v>
      </c>
    </row>
    <row r="945">
      <c r="A945" s="2" t="str">
        <f>IFERROR(__xludf.DUMMYFUNCTION("""COMPUTED_VALUE"""),"빠리송로")</f>
        <v>빠리송로</v>
      </c>
      <c r="B945" s="2" t="str">
        <f>IFERROR(__xludf.DUMMYFUNCTION("""COMPUTED_VALUE"""),"치킨 스톡")</f>
        <v>치킨 스톡</v>
      </c>
    </row>
    <row r="946">
      <c r="A946" s="2" t="str">
        <f>IFERROR(__xludf.DUMMYFUNCTION("""COMPUTED_VALUE"""),"빠리송로")</f>
        <v>빠리송로</v>
      </c>
      <c r="B946" s="2" t="str">
        <f>IFERROR(__xludf.DUMMYFUNCTION("""COMPUTED_VALUE"""),"두부")</f>
        <v>두부</v>
      </c>
    </row>
    <row r="947">
      <c r="A947" s="2" t="str">
        <f>IFERROR(__xludf.DUMMYFUNCTION("""COMPUTED_VALUE"""),"빠리송로")</f>
        <v>빠리송로</v>
      </c>
      <c r="B947" s="2" t="str">
        <f>IFERROR(__xludf.DUMMYFUNCTION("""COMPUTED_VALUE"""),"느타리버섯")</f>
        <v>느타리버섯</v>
      </c>
    </row>
    <row r="948">
      <c r="A948" s="2" t="str">
        <f>IFERROR(__xludf.DUMMYFUNCTION("""COMPUTED_VALUE"""),"빠리송로")</f>
        <v>빠리송로</v>
      </c>
      <c r="B948" s="2" t="str">
        <f>IFERROR(__xludf.DUMMYFUNCTION("""COMPUTED_VALUE"""),"트러플 소스")</f>
        <v>트러플 소스</v>
      </c>
    </row>
    <row r="949">
      <c r="A949" s="2" t="str">
        <f>IFERROR(__xludf.DUMMYFUNCTION("""COMPUTED_VALUE"""),"빠리송로")</f>
        <v>빠리송로</v>
      </c>
      <c r="B949" s="2" t="str">
        <f>IFERROR(__xludf.DUMMYFUNCTION("""COMPUTED_VALUE"""),"우유")</f>
        <v>우유</v>
      </c>
    </row>
    <row r="950">
      <c r="A950" s="2" t="str">
        <f>IFERROR(__xludf.DUMMYFUNCTION("""COMPUTED_VALUE"""),"빠리송로")</f>
        <v>빠리송로</v>
      </c>
      <c r="B950" s="2" t="str">
        <f>IFERROR(__xludf.DUMMYFUNCTION("""COMPUTED_VALUE"""),"트러플 오일")</f>
        <v>트러플 오일</v>
      </c>
    </row>
    <row r="951">
      <c r="A951" s="2" t="str">
        <f>IFERROR(__xludf.DUMMYFUNCTION("""COMPUTED_VALUE"""),"빠리송로")</f>
        <v>빠리송로</v>
      </c>
      <c r="B951" s="2" t="str">
        <f>IFERROR(__xludf.DUMMYFUNCTION("""COMPUTED_VALUE"""),"당근")</f>
        <v>당근</v>
      </c>
    </row>
    <row r="952">
      <c r="A952" s="2" t="str">
        <f>IFERROR(__xludf.DUMMYFUNCTION("""COMPUTED_VALUE"""),"빠리송로")</f>
        <v>빠리송로</v>
      </c>
      <c r="B952" s="2" t="str">
        <f>IFERROR(__xludf.DUMMYFUNCTION("""COMPUTED_VALUE"""),"버터")</f>
        <v>버터</v>
      </c>
    </row>
    <row r="953">
      <c r="A953" s="2" t="str">
        <f>IFERROR(__xludf.DUMMYFUNCTION("""COMPUTED_VALUE"""),"빠리송로")</f>
        <v>빠리송로</v>
      </c>
      <c r="B953" s="2" t="str">
        <f>IFERROR(__xludf.DUMMYFUNCTION("""COMPUTED_VALUE"""),"양파")</f>
        <v>양파</v>
      </c>
    </row>
    <row r="954">
      <c r="A954" s="2" t="str">
        <f>IFERROR(__xludf.DUMMYFUNCTION("""COMPUTED_VALUE"""),"머라노")</f>
        <v>머라노</v>
      </c>
      <c r="B954" s="2" t="str">
        <f>IFERROR(__xludf.DUMMYFUNCTION("""COMPUTED_VALUE"""),"표고버섯")</f>
        <v>표고버섯</v>
      </c>
    </row>
    <row r="955">
      <c r="A955" s="2" t="str">
        <f>IFERROR(__xludf.DUMMYFUNCTION("""COMPUTED_VALUE"""),"머라노")</f>
        <v>머라노</v>
      </c>
      <c r="B955" s="2" t="str">
        <f>IFERROR(__xludf.DUMMYFUNCTION("""COMPUTED_VALUE"""),"느타리버섯")</f>
        <v>느타리버섯</v>
      </c>
    </row>
    <row r="956">
      <c r="A956" s="2" t="str">
        <f>IFERROR(__xludf.DUMMYFUNCTION("""COMPUTED_VALUE"""),"머라노")</f>
        <v>머라노</v>
      </c>
      <c r="B956" s="2" t="str">
        <f>IFERROR(__xludf.DUMMYFUNCTION("""COMPUTED_VALUE"""),"그라나파다노 치즈")</f>
        <v>그라나파다노 치즈</v>
      </c>
    </row>
    <row r="957">
      <c r="A957" s="2" t="str">
        <f>IFERROR(__xludf.DUMMYFUNCTION("""COMPUTED_VALUE"""),"머라노")</f>
        <v>머라노</v>
      </c>
      <c r="B957" s="2" t="str">
        <f>IFERROR(__xludf.DUMMYFUNCTION("""COMPUTED_VALUE"""),"올리브 오일")</f>
        <v>올리브 오일</v>
      </c>
    </row>
    <row r="958">
      <c r="A958" s="2" t="str">
        <f>IFERROR(__xludf.DUMMYFUNCTION("""COMPUTED_VALUE"""),"머라노")</f>
        <v>머라노</v>
      </c>
      <c r="B958" s="2" t="str">
        <f>IFERROR(__xludf.DUMMYFUNCTION("""COMPUTED_VALUE"""),"양파")</f>
        <v>양파</v>
      </c>
    </row>
    <row r="959">
      <c r="A959" s="2" t="str">
        <f>IFERROR(__xludf.DUMMYFUNCTION("""COMPUTED_VALUE"""),"머라노")</f>
        <v>머라노</v>
      </c>
      <c r="B959" s="2" t="str">
        <f>IFERROR(__xludf.DUMMYFUNCTION("""COMPUTED_VALUE"""),"당근")</f>
        <v>당근</v>
      </c>
    </row>
    <row r="960">
      <c r="A960" s="2" t="str">
        <f>IFERROR(__xludf.DUMMYFUNCTION("""COMPUTED_VALUE"""),"머라노")</f>
        <v>머라노</v>
      </c>
      <c r="B960" s="2" t="str">
        <f>IFERROR(__xludf.DUMMYFUNCTION("""COMPUTED_VALUE"""),"올리브 오일")</f>
        <v>올리브 오일</v>
      </c>
    </row>
    <row r="961">
      <c r="A961" s="2" t="str">
        <f>IFERROR(__xludf.DUMMYFUNCTION("""COMPUTED_VALUE"""),"머라노")</f>
        <v>머라노</v>
      </c>
      <c r="B961" s="2" t="str">
        <f>IFERROR(__xludf.DUMMYFUNCTION("""COMPUTED_VALUE"""),"마늘")</f>
        <v>마늘</v>
      </c>
    </row>
    <row r="962">
      <c r="A962" s="2" t="str">
        <f>IFERROR(__xludf.DUMMYFUNCTION("""COMPUTED_VALUE"""),"머라노")</f>
        <v>머라노</v>
      </c>
      <c r="B962" s="2" t="str">
        <f>IFERROR(__xludf.DUMMYFUNCTION("""COMPUTED_VALUE"""),"즉석밥")</f>
        <v>즉석밥</v>
      </c>
    </row>
    <row r="963">
      <c r="A963" s="2" t="str">
        <f>IFERROR(__xludf.DUMMYFUNCTION("""COMPUTED_VALUE"""),"머라노")</f>
        <v>머라노</v>
      </c>
      <c r="B963" s="2" t="str">
        <f>IFERROR(__xludf.DUMMYFUNCTION("""COMPUTED_VALUE"""),"버터")</f>
        <v>버터</v>
      </c>
    </row>
    <row r="964">
      <c r="A964" s="2" t="str">
        <f>IFERROR(__xludf.DUMMYFUNCTION("""COMPUTED_VALUE"""),"머라노")</f>
        <v>머라노</v>
      </c>
      <c r="B964" s="2" t="str">
        <f>IFERROR(__xludf.DUMMYFUNCTION("""COMPUTED_VALUE"""),"소금")</f>
        <v>소금</v>
      </c>
    </row>
    <row r="965">
      <c r="A965" s="2" t="str">
        <f>IFERROR(__xludf.DUMMYFUNCTION("""COMPUTED_VALUE"""),"머라노")</f>
        <v>머라노</v>
      </c>
      <c r="B965" s="2" t="str">
        <f>IFERROR(__xludf.DUMMYFUNCTION("""COMPUTED_VALUE"""),"후추")</f>
        <v>후추</v>
      </c>
    </row>
    <row r="966">
      <c r="A966" s="2" t="str">
        <f>IFERROR(__xludf.DUMMYFUNCTION("""COMPUTED_VALUE"""),"파프리콘")</f>
        <v>파프리콘</v>
      </c>
      <c r="B966" s="2" t="str">
        <f>IFERROR(__xludf.DUMMYFUNCTION("""COMPUTED_VALUE"""),"파프리카")</f>
        <v>파프리카</v>
      </c>
    </row>
    <row r="967">
      <c r="A967" s="2" t="str">
        <f>IFERROR(__xludf.DUMMYFUNCTION("""COMPUTED_VALUE"""),"파프리콘")</f>
        <v>파프리콘</v>
      </c>
      <c r="B967" s="2" t="str">
        <f>IFERROR(__xludf.DUMMYFUNCTION("""COMPUTED_VALUE"""),"토마토 통조림")</f>
        <v>토마토 통조림</v>
      </c>
    </row>
    <row r="968">
      <c r="A968" s="2" t="str">
        <f>IFERROR(__xludf.DUMMYFUNCTION("""COMPUTED_VALUE"""),"파프리콘")</f>
        <v>파프리콘</v>
      </c>
      <c r="B968" s="2" t="str">
        <f>IFERROR(__xludf.DUMMYFUNCTION("""COMPUTED_VALUE"""),"파슬리")</f>
        <v>파슬리</v>
      </c>
    </row>
    <row r="969">
      <c r="A969" s="2" t="str">
        <f>IFERROR(__xludf.DUMMYFUNCTION("""COMPUTED_VALUE"""),"파프리콘")</f>
        <v>파프리콘</v>
      </c>
      <c r="B969" s="2" t="str">
        <f>IFERROR(__xludf.DUMMYFUNCTION("""COMPUTED_VALUE"""),"바질페스토")</f>
        <v>바질페스토</v>
      </c>
    </row>
    <row r="970">
      <c r="A970" s="2" t="str">
        <f>IFERROR(__xludf.DUMMYFUNCTION("""COMPUTED_VALUE"""),"파프리콘")</f>
        <v>파프리콘</v>
      </c>
      <c r="B970" s="2" t="str">
        <f>IFERROR(__xludf.DUMMYFUNCTION("""COMPUTED_VALUE"""),"페타 치즈")</f>
        <v>페타 치즈</v>
      </c>
    </row>
    <row r="971">
      <c r="A971" s="2" t="str">
        <f>IFERROR(__xludf.DUMMYFUNCTION("""COMPUTED_VALUE"""),"파프리콘")</f>
        <v>파프리콘</v>
      </c>
      <c r="B971" s="2" t="str">
        <f>IFERROR(__xludf.DUMMYFUNCTION("""COMPUTED_VALUE"""),"옥수수")</f>
        <v>옥수수</v>
      </c>
    </row>
    <row r="972">
      <c r="A972" s="2" t="str">
        <f>IFERROR(__xludf.DUMMYFUNCTION("""COMPUTED_VALUE"""),"파프리콘")</f>
        <v>파프리콘</v>
      </c>
      <c r="B972" s="2" t="str">
        <f>IFERROR(__xludf.DUMMYFUNCTION("""COMPUTED_VALUE"""),"블랙 올리브")</f>
        <v>블랙 올리브</v>
      </c>
    </row>
    <row r="973">
      <c r="A973" s="2" t="str">
        <f>IFERROR(__xludf.DUMMYFUNCTION("""COMPUTED_VALUE"""),"파프리콘")</f>
        <v>파프리콘</v>
      </c>
      <c r="B973" s="2" t="str">
        <f>IFERROR(__xludf.DUMMYFUNCTION("""COMPUTED_VALUE"""),"마늘")</f>
        <v>마늘</v>
      </c>
    </row>
    <row r="974">
      <c r="A974" s="2" t="str">
        <f>IFERROR(__xludf.DUMMYFUNCTION("""COMPUTED_VALUE"""),"파프리콘")</f>
        <v>파프리콘</v>
      </c>
      <c r="B974" s="2" t="str">
        <f>IFERROR(__xludf.DUMMYFUNCTION("""COMPUTED_VALUE"""),"소금")</f>
        <v>소금</v>
      </c>
    </row>
    <row r="975">
      <c r="A975" s="2" t="str">
        <f>IFERROR(__xludf.DUMMYFUNCTION("""COMPUTED_VALUE"""),"파프리콘")</f>
        <v>파프리콘</v>
      </c>
      <c r="B975" s="2" t="str">
        <f>IFERROR(__xludf.DUMMYFUNCTION("""COMPUTED_VALUE"""),"후추")</f>
        <v>후추</v>
      </c>
    </row>
    <row r="976">
      <c r="A976" s="2" t="str">
        <f>IFERROR(__xludf.DUMMYFUNCTION("""COMPUTED_VALUE"""),"파프리콘")</f>
        <v>파프리콘</v>
      </c>
      <c r="B976" s="2" t="str">
        <f>IFERROR(__xludf.DUMMYFUNCTION("""COMPUTED_VALUE"""),"올리브 오일")</f>
        <v>올리브 오일</v>
      </c>
    </row>
    <row r="977">
      <c r="A977" s="2" t="str">
        <f>IFERROR(__xludf.DUMMYFUNCTION("""COMPUTED_VALUE"""),"파프리콘")</f>
        <v>파프리콘</v>
      </c>
      <c r="B977" s="2" t="str">
        <f>IFERROR(__xludf.DUMMYFUNCTION("""COMPUTED_VALUE"""),"밀가루")</f>
        <v>밀가루</v>
      </c>
    </row>
    <row r="978">
      <c r="A978" s="2" t="str">
        <f>IFERROR(__xludf.DUMMYFUNCTION("""COMPUTED_VALUE"""),"섬섬옥수수")</f>
        <v>섬섬옥수수</v>
      </c>
      <c r="B978" s="2" t="str">
        <f>IFERROR(__xludf.DUMMYFUNCTION("""COMPUTED_VALUE"""),"옥수수")</f>
        <v>옥수수</v>
      </c>
    </row>
    <row r="979">
      <c r="A979" s="2" t="str">
        <f>IFERROR(__xludf.DUMMYFUNCTION("""COMPUTED_VALUE"""),"섬섬옥수수")</f>
        <v>섬섬옥수수</v>
      </c>
      <c r="B979" s="2" t="str">
        <f>IFERROR(__xludf.DUMMYFUNCTION("""COMPUTED_VALUE"""),"리코타 치즈")</f>
        <v>리코타 치즈</v>
      </c>
    </row>
    <row r="980">
      <c r="A980" s="2" t="str">
        <f>IFERROR(__xludf.DUMMYFUNCTION("""COMPUTED_VALUE"""),"섬섬옥수수")</f>
        <v>섬섬옥수수</v>
      </c>
      <c r="B980" s="2" t="str">
        <f>IFERROR(__xludf.DUMMYFUNCTION("""COMPUTED_VALUE"""),"치킨 스톡")</f>
        <v>치킨 스톡</v>
      </c>
    </row>
    <row r="981">
      <c r="A981" s="2" t="str">
        <f>IFERROR(__xludf.DUMMYFUNCTION("""COMPUTED_VALUE"""),"섬섬옥수수")</f>
        <v>섬섬옥수수</v>
      </c>
      <c r="B981" s="2" t="str">
        <f>IFERROR(__xludf.DUMMYFUNCTION("""COMPUTED_VALUE"""),"우유")</f>
        <v>우유</v>
      </c>
    </row>
    <row r="982">
      <c r="A982" s="2" t="str">
        <f>IFERROR(__xludf.DUMMYFUNCTION("""COMPUTED_VALUE"""),"섬섬옥수수")</f>
        <v>섬섬옥수수</v>
      </c>
      <c r="B982" s="2" t="str">
        <f>IFERROR(__xludf.DUMMYFUNCTION("""COMPUTED_VALUE"""),"해바라기씨")</f>
        <v>해바라기씨</v>
      </c>
    </row>
    <row r="983">
      <c r="A983" s="2" t="str">
        <f>IFERROR(__xludf.DUMMYFUNCTION("""COMPUTED_VALUE"""),"섬섬옥수수")</f>
        <v>섬섬옥수수</v>
      </c>
      <c r="B983" s="2" t="str">
        <f>IFERROR(__xludf.DUMMYFUNCTION("""COMPUTED_VALUE"""),"트러플 오일")</f>
        <v>트러플 오일</v>
      </c>
    </row>
    <row r="984">
      <c r="A984" s="2" t="str">
        <f>IFERROR(__xludf.DUMMYFUNCTION("""COMPUTED_VALUE"""),"섬섬옥수수")</f>
        <v>섬섬옥수수</v>
      </c>
      <c r="B984" s="2" t="str">
        <f>IFERROR(__xludf.DUMMYFUNCTION("""COMPUTED_VALUE"""),"그라나파다노 치즈")</f>
        <v>그라나파다노 치즈</v>
      </c>
    </row>
    <row r="985">
      <c r="A985" s="2" t="str">
        <f>IFERROR(__xludf.DUMMYFUNCTION("""COMPUTED_VALUE"""),"섬섬옥수수")</f>
        <v>섬섬옥수수</v>
      </c>
      <c r="B985" s="2" t="str">
        <f>IFERROR(__xludf.DUMMYFUNCTION("""COMPUTED_VALUE"""),"버터")</f>
        <v>버터</v>
      </c>
    </row>
    <row r="986">
      <c r="A986" s="2" t="str">
        <f>IFERROR(__xludf.DUMMYFUNCTION("""COMPUTED_VALUE"""),"섬섬옥수수")</f>
        <v>섬섬옥수수</v>
      </c>
      <c r="B986" s="2" t="str">
        <f>IFERROR(__xludf.DUMMYFUNCTION("""COMPUTED_VALUE"""),"마늘")</f>
        <v>마늘</v>
      </c>
    </row>
    <row r="987">
      <c r="A987" s="2" t="str">
        <f>IFERROR(__xludf.DUMMYFUNCTION("""COMPUTED_VALUE"""),"섬섬옥수수")</f>
        <v>섬섬옥수수</v>
      </c>
      <c r="B987" s="2" t="str">
        <f>IFERROR(__xludf.DUMMYFUNCTION("""COMPUTED_VALUE"""),"양파")</f>
        <v>양파</v>
      </c>
    </row>
    <row r="988">
      <c r="A988" s="2" t="str">
        <f>IFERROR(__xludf.DUMMYFUNCTION("""COMPUTED_VALUE"""),"섬섬옥수수")</f>
        <v>섬섬옥수수</v>
      </c>
      <c r="B988" s="2" t="str">
        <f>IFERROR(__xludf.DUMMYFUNCTION("""COMPUTED_VALUE"""),"소금")</f>
        <v>소금</v>
      </c>
    </row>
    <row r="989">
      <c r="A989" s="2" t="str">
        <f>IFERROR(__xludf.DUMMYFUNCTION("""COMPUTED_VALUE"""),"섬섬옥수수")</f>
        <v>섬섬옥수수</v>
      </c>
      <c r="B989" s="2" t="str">
        <f>IFERROR(__xludf.DUMMYFUNCTION("""COMPUTED_VALUE"""),"후추")</f>
        <v>후추</v>
      </c>
    </row>
    <row r="990">
      <c r="A990" s="2" t="str">
        <f>IFERROR(__xludf.DUMMYFUNCTION("""COMPUTED_VALUE"""),"섬섬옥수수")</f>
        <v>섬섬옥수수</v>
      </c>
      <c r="B990" s="2" t="str">
        <f>IFERROR(__xludf.DUMMYFUNCTION("""COMPUTED_VALUE"""),"밀가루")</f>
        <v>밀가루</v>
      </c>
    </row>
    <row r="991">
      <c r="A991" s="2" t="str">
        <f>IFERROR(__xludf.DUMMYFUNCTION("""COMPUTED_VALUE"""),"섬섬옥수수")</f>
        <v>섬섬옥수수</v>
      </c>
      <c r="B991" s="2" t="str">
        <f>IFERROR(__xludf.DUMMYFUNCTION("""COMPUTED_VALUE"""),"설탕")</f>
        <v>설탕</v>
      </c>
    </row>
    <row r="992">
      <c r="A992" s="2" t="str">
        <f>IFERROR(__xludf.DUMMYFUNCTION("""COMPUTED_VALUE"""),"스푼 파스타")</f>
        <v>스푼 파스타</v>
      </c>
      <c r="B992" s="2" t="str">
        <f>IFERROR(__xludf.DUMMYFUNCTION("""COMPUTED_VALUE"""),"밴댕이")</f>
        <v>밴댕이</v>
      </c>
    </row>
    <row r="993">
      <c r="A993" s="2" t="str">
        <f>IFERROR(__xludf.DUMMYFUNCTION("""COMPUTED_VALUE"""),"스푼 파스타")</f>
        <v>스푼 파스타</v>
      </c>
      <c r="B993" s="2" t="str">
        <f>IFERROR(__xludf.DUMMYFUNCTION("""COMPUTED_VALUE"""),"갑오징어 알")</f>
        <v>갑오징어 알</v>
      </c>
    </row>
    <row r="994">
      <c r="A994" s="2" t="str">
        <f>IFERROR(__xludf.DUMMYFUNCTION("""COMPUTED_VALUE"""),"스푼 파스타")</f>
        <v>스푼 파스타</v>
      </c>
      <c r="B994" s="2" t="str">
        <f>IFERROR(__xludf.DUMMYFUNCTION("""COMPUTED_VALUE"""),"새우")</f>
        <v>새우</v>
      </c>
    </row>
    <row r="995">
      <c r="A995" s="2" t="str">
        <f>IFERROR(__xludf.DUMMYFUNCTION("""COMPUTED_VALUE"""),"스푼 파스타")</f>
        <v>스푼 파스타</v>
      </c>
      <c r="B995" s="2" t="str">
        <f>IFERROR(__xludf.DUMMYFUNCTION("""COMPUTED_VALUE"""),"키조개 관자")</f>
        <v>키조개 관자</v>
      </c>
    </row>
    <row r="996">
      <c r="A996" s="2" t="str">
        <f>IFERROR(__xludf.DUMMYFUNCTION("""COMPUTED_VALUE"""),"스푼 파스타")</f>
        <v>스푼 파스타</v>
      </c>
      <c r="B996" s="2" t="str">
        <f>IFERROR(__xludf.DUMMYFUNCTION("""COMPUTED_VALUE"""),"카망베르 치즈")</f>
        <v>카망베르 치즈</v>
      </c>
    </row>
    <row r="997">
      <c r="A997" s="2" t="str">
        <f>IFERROR(__xludf.DUMMYFUNCTION("""COMPUTED_VALUE"""),"스푼 파스타")</f>
        <v>스푼 파스타</v>
      </c>
      <c r="B997" s="2" t="str">
        <f>IFERROR(__xludf.DUMMYFUNCTION("""COMPUTED_VALUE"""),"올리브 오일")</f>
        <v>올리브 오일</v>
      </c>
    </row>
    <row r="998">
      <c r="A998" s="2" t="str">
        <f>IFERROR(__xludf.DUMMYFUNCTION("""COMPUTED_VALUE"""),"스푼 파스타")</f>
        <v>스푼 파스타</v>
      </c>
      <c r="B998" s="2" t="str">
        <f>IFERROR(__xludf.DUMMYFUNCTION("""COMPUTED_VALUE"""),"다진 마늘")</f>
        <v>다진 마늘</v>
      </c>
    </row>
    <row r="999">
      <c r="A999" s="2" t="str">
        <f>IFERROR(__xludf.DUMMYFUNCTION("""COMPUTED_VALUE"""),"스푼 파스타")</f>
        <v>스푼 파스타</v>
      </c>
      <c r="B999" s="2" t="str">
        <f>IFERROR(__xludf.DUMMYFUNCTION("""COMPUTED_VALUE"""),"후추")</f>
        <v>후추</v>
      </c>
    </row>
    <row r="1000">
      <c r="A1000" s="2" t="str">
        <f>IFERROR(__xludf.DUMMYFUNCTION("""COMPUTED_VALUE"""),"연복쌈")</f>
        <v>연복쌈</v>
      </c>
      <c r="B1000" s="2" t="str">
        <f>IFERROR(__xludf.DUMMYFUNCTION("""COMPUTED_VALUE"""),"전복")</f>
        <v>전복</v>
      </c>
    </row>
    <row r="1001">
      <c r="A1001" s="2" t="str">
        <f>IFERROR(__xludf.DUMMYFUNCTION("""COMPUTED_VALUE"""),"연복쌈")</f>
        <v>연복쌈</v>
      </c>
      <c r="B1001" s="2" t="str">
        <f>IFERROR(__xludf.DUMMYFUNCTION("""COMPUTED_VALUE"""),"돼지고기")</f>
        <v>돼지고기</v>
      </c>
    </row>
    <row r="1002">
      <c r="A1002" s="2" t="str">
        <f>IFERROR(__xludf.DUMMYFUNCTION("""COMPUTED_VALUE"""),"연복쌈")</f>
        <v>연복쌈</v>
      </c>
      <c r="B1002" s="2" t="str">
        <f>IFERROR(__xludf.DUMMYFUNCTION("""COMPUTED_VALUE"""),"애호박")</f>
        <v>애호박</v>
      </c>
    </row>
    <row r="1003">
      <c r="A1003" s="2" t="str">
        <f>IFERROR(__xludf.DUMMYFUNCTION("""COMPUTED_VALUE"""),"연복쌈")</f>
        <v>연복쌈</v>
      </c>
      <c r="B1003" s="2" t="str">
        <f>IFERROR(__xludf.DUMMYFUNCTION("""COMPUTED_VALUE"""),"오이")</f>
        <v>오이</v>
      </c>
    </row>
    <row r="1004">
      <c r="A1004" s="2" t="str">
        <f>IFERROR(__xludf.DUMMYFUNCTION("""COMPUTED_VALUE"""),"연복쌈")</f>
        <v>연복쌈</v>
      </c>
      <c r="B1004" s="2" t="str">
        <f>IFERROR(__xludf.DUMMYFUNCTION("""COMPUTED_VALUE"""),"춘장")</f>
        <v>춘장</v>
      </c>
    </row>
    <row r="1005">
      <c r="A1005" s="2" t="str">
        <f>IFERROR(__xludf.DUMMYFUNCTION("""COMPUTED_VALUE"""),"연복쌈")</f>
        <v>연복쌈</v>
      </c>
      <c r="B1005" s="2" t="str">
        <f>IFERROR(__xludf.DUMMYFUNCTION("""COMPUTED_VALUE"""),"전복소스")</f>
        <v>전복소스</v>
      </c>
    </row>
    <row r="1006">
      <c r="A1006" s="2" t="str">
        <f>IFERROR(__xludf.DUMMYFUNCTION("""COMPUTED_VALUE"""),"연복쌈")</f>
        <v>연복쌈</v>
      </c>
      <c r="B1006" s="2" t="str">
        <f>IFERROR(__xludf.DUMMYFUNCTION("""COMPUTED_VALUE"""),"양파")</f>
        <v>양파</v>
      </c>
    </row>
    <row r="1007">
      <c r="A1007" s="2" t="str">
        <f>IFERROR(__xludf.DUMMYFUNCTION("""COMPUTED_VALUE"""),"연복쌈")</f>
        <v>연복쌈</v>
      </c>
      <c r="B1007" s="2" t="str">
        <f>IFERROR(__xludf.DUMMYFUNCTION("""COMPUTED_VALUE"""),"밀가루")</f>
        <v>밀가루</v>
      </c>
    </row>
    <row r="1008">
      <c r="A1008" s="2" t="str">
        <f>IFERROR(__xludf.DUMMYFUNCTION("""COMPUTED_VALUE"""),"연복쌈")</f>
        <v>연복쌈</v>
      </c>
      <c r="B1008" s="2" t="str">
        <f>IFERROR(__xludf.DUMMYFUNCTION("""COMPUTED_VALUE"""),"소금")</f>
        <v>소금</v>
      </c>
    </row>
    <row r="1009">
      <c r="A1009" s="2" t="str">
        <f>IFERROR(__xludf.DUMMYFUNCTION("""COMPUTED_VALUE"""),"연복쌈")</f>
        <v>연복쌈</v>
      </c>
      <c r="B1009" s="2" t="str">
        <f>IFERROR(__xludf.DUMMYFUNCTION("""COMPUTED_VALUE"""),"참기름")</f>
        <v>참기름</v>
      </c>
    </row>
    <row r="1010">
      <c r="A1010" s="2" t="str">
        <f>IFERROR(__xludf.DUMMYFUNCTION("""COMPUTED_VALUE"""),"연복쌈")</f>
        <v>연복쌈</v>
      </c>
      <c r="B1010" s="2" t="str">
        <f>IFERROR(__xludf.DUMMYFUNCTION("""COMPUTED_VALUE"""),"올리브 오일")</f>
        <v>올리브 오일</v>
      </c>
    </row>
    <row r="1011">
      <c r="A1011" s="2" t="str">
        <f>IFERROR(__xludf.DUMMYFUNCTION("""COMPUTED_VALUE"""),"연복쌈")</f>
        <v>연복쌈</v>
      </c>
      <c r="B1011" s="2" t="str">
        <f>IFERROR(__xludf.DUMMYFUNCTION("""COMPUTED_VALUE"""),"대파")</f>
        <v>대파</v>
      </c>
    </row>
    <row r="1012">
      <c r="A1012" s="2" t="str">
        <f>IFERROR(__xludf.DUMMYFUNCTION("""COMPUTED_VALUE"""),"갈갈이 풍면")</f>
        <v>갈갈이 풍면</v>
      </c>
      <c r="B1012" s="2" t="str">
        <f>IFERROR(__xludf.DUMMYFUNCTION("""COMPUTED_VALUE"""),"황태채")</f>
        <v>황태채</v>
      </c>
    </row>
    <row r="1013">
      <c r="A1013" s="2" t="str">
        <f>IFERROR(__xludf.DUMMYFUNCTION("""COMPUTED_VALUE"""),"갈갈이 풍면")</f>
        <v>갈갈이 풍면</v>
      </c>
      <c r="B1013" s="2" t="str">
        <f>IFERROR(__xludf.DUMMYFUNCTION("""COMPUTED_VALUE"""),"새우가루")</f>
        <v>새우가루</v>
      </c>
    </row>
    <row r="1014">
      <c r="A1014" s="2" t="str">
        <f>IFERROR(__xludf.DUMMYFUNCTION("""COMPUTED_VALUE"""),"갈갈이 풍면")</f>
        <v>갈갈이 풍면</v>
      </c>
      <c r="B1014" s="2" t="str">
        <f>IFERROR(__xludf.DUMMYFUNCTION("""COMPUTED_VALUE"""),"홍합가루")</f>
        <v>홍합가루</v>
      </c>
    </row>
    <row r="1015">
      <c r="A1015" s="2" t="str">
        <f>IFERROR(__xludf.DUMMYFUNCTION("""COMPUTED_VALUE"""),"갈갈이 풍면")</f>
        <v>갈갈이 풍면</v>
      </c>
      <c r="B1015" s="2" t="str">
        <f>IFERROR(__xludf.DUMMYFUNCTION("""COMPUTED_VALUE"""),"토마토")</f>
        <v>토마토</v>
      </c>
    </row>
    <row r="1016">
      <c r="A1016" s="2" t="str">
        <f>IFERROR(__xludf.DUMMYFUNCTION("""COMPUTED_VALUE"""),"갈갈이 풍면")</f>
        <v>갈갈이 풍면</v>
      </c>
      <c r="B1016" s="2" t="str">
        <f>IFERROR(__xludf.DUMMYFUNCTION("""COMPUTED_VALUE"""),"할라피뇨")</f>
        <v>할라피뇨</v>
      </c>
    </row>
    <row r="1017">
      <c r="A1017" s="2" t="str">
        <f>IFERROR(__xludf.DUMMYFUNCTION("""COMPUTED_VALUE"""),"갈갈이 풍면")</f>
        <v>갈갈이 풍면</v>
      </c>
      <c r="B1017" s="2" t="str">
        <f>IFERROR(__xludf.DUMMYFUNCTION("""COMPUTED_VALUE"""),"매실 장아찌")</f>
        <v>매실 장아찌</v>
      </c>
    </row>
    <row r="1018">
      <c r="A1018" s="2" t="str">
        <f>IFERROR(__xludf.DUMMYFUNCTION("""COMPUTED_VALUE"""),"갈갈이 풍면")</f>
        <v>갈갈이 풍면</v>
      </c>
      <c r="B1018" s="2" t="str">
        <f>IFERROR(__xludf.DUMMYFUNCTION("""COMPUTED_VALUE"""),"마늘 장아찌")</f>
        <v>마늘 장아찌</v>
      </c>
    </row>
    <row r="1019">
      <c r="A1019" s="2" t="str">
        <f>IFERROR(__xludf.DUMMYFUNCTION("""COMPUTED_VALUE"""),"갈갈이 풍면")</f>
        <v>갈갈이 풍면</v>
      </c>
      <c r="B1019" s="2" t="str">
        <f>IFERROR(__xludf.DUMMYFUNCTION("""COMPUTED_VALUE"""),"매실액")</f>
        <v>매실액</v>
      </c>
    </row>
    <row r="1020">
      <c r="A1020" s="2" t="str">
        <f>IFERROR(__xludf.DUMMYFUNCTION("""COMPUTED_VALUE"""),"갈갈이 풍면")</f>
        <v>갈갈이 풍면</v>
      </c>
      <c r="B1020" s="2" t="str">
        <f>IFERROR(__xludf.DUMMYFUNCTION("""COMPUTED_VALUE"""),"삼겹살")</f>
        <v>삼겹살</v>
      </c>
    </row>
    <row r="1021">
      <c r="A1021" s="2" t="str">
        <f>IFERROR(__xludf.DUMMYFUNCTION("""COMPUTED_VALUE"""),"갈갈이 풍면")</f>
        <v>갈갈이 풍면</v>
      </c>
      <c r="B1021" s="2" t="str">
        <f>IFERROR(__xludf.DUMMYFUNCTION("""COMPUTED_VALUE"""),"엔젤헤어")</f>
        <v>엔젤헤어</v>
      </c>
    </row>
    <row r="1022">
      <c r="A1022" s="2" t="str">
        <f>IFERROR(__xludf.DUMMYFUNCTION("""COMPUTED_VALUE"""),"갈갈이 풍면")</f>
        <v>갈갈이 풍면</v>
      </c>
      <c r="B1022" s="2" t="str">
        <f>IFERROR(__xludf.DUMMYFUNCTION("""COMPUTED_VALUE"""),"고춧가루")</f>
        <v>고춧가루</v>
      </c>
    </row>
    <row r="1023">
      <c r="A1023" s="2" t="str">
        <f>IFERROR(__xludf.DUMMYFUNCTION("""COMPUTED_VALUE"""),"갈갈이 풍면")</f>
        <v>갈갈이 풍면</v>
      </c>
      <c r="B1023" s="2" t="str">
        <f>IFERROR(__xludf.DUMMYFUNCTION("""COMPUTED_VALUE"""),"올리브 오일")</f>
        <v>올리브 오일</v>
      </c>
    </row>
    <row r="1024">
      <c r="A1024" s="2" t="str">
        <f>IFERROR(__xludf.DUMMYFUNCTION("""COMPUTED_VALUE"""),"갈갈이 풍면")</f>
        <v>갈갈이 풍면</v>
      </c>
      <c r="B1024" s="2" t="str">
        <f>IFERROR(__xludf.DUMMYFUNCTION("""COMPUTED_VALUE"""),"후추")</f>
        <v>후추</v>
      </c>
    </row>
    <row r="1025">
      <c r="A1025" s="2" t="str">
        <f>IFERROR(__xludf.DUMMYFUNCTION("""COMPUTED_VALUE"""),"한식 브런찜")</f>
        <v>한식 브런찜</v>
      </c>
      <c r="B1025" s="2" t="str">
        <f>IFERROR(__xludf.DUMMYFUNCTION("""COMPUTED_VALUE"""),"솔잎")</f>
        <v>솔잎</v>
      </c>
    </row>
    <row r="1026">
      <c r="A1026" s="2" t="str">
        <f>IFERROR(__xludf.DUMMYFUNCTION("""COMPUTED_VALUE"""),"한식 브런찜")</f>
        <v>한식 브런찜</v>
      </c>
      <c r="B1026" s="2" t="str">
        <f>IFERROR(__xludf.DUMMYFUNCTION("""COMPUTED_VALUE"""),"굴비채")</f>
        <v>굴비채</v>
      </c>
    </row>
    <row r="1027">
      <c r="A1027" s="2" t="str">
        <f>IFERROR(__xludf.DUMMYFUNCTION("""COMPUTED_VALUE"""),"한식 브런찜")</f>
        <v>한식 브런찜</v>
      </c>
      <c r="B1027" s="2" t="str">
        <f>IFERROR(__xludf.DUMMYFUNCTION("""COMPUTED_VALUE"""),"눈개승마")</f>
        <v>눈개승마</v>
      </c>
    </row>
    <row r="1028">
      <c r="A1028" s="2" t="str">
        <f>IFERROR(__xludf.DUMMYFUNCTION("""COMPUTED_VALUE"""),"한식 브런찜")</f>
        <v>한식 브런찜</v>
      </c>
      <c r="B1028" s="2" t="str">
        <f>IFERROR(__xludf.DUMMYFUNCTION("""COMPUTED_VALUE"""),"아가베 시럽")</f>
        <v>아가베 시럽</v>
      </c>
    </row>
    <row r="1029">
      <c r="A1029" s="2" t="str">
        <f>IFERROR(__xludf.DUMMYFUNCTION("""COMPUTED_VALUE"""),"한식 브런찜")</f>
        <v>한식 브런찜</v>
      </c>
      <c r="B1029" s="2" t="str">
        <f>IFERROR(__xludf.DUMMYFUNCTION("""COMPUTED_VALUE"""),"유자청")</f>
        <v>유자청</v>
      </c>
    </row>
    <row r="1030">
      <c r="A1030" s="2" t="str">
        <f>IFERROR(__xludf.DUMMYFUNCTION("""COMPUTED_VALUE"""),"한식 브런찜")</f>
        <v>한식 브런찜</v>
      </c>
      <c r="B1030" s="2" t="str">
        <f>IFERROR(__xludf.DUMMYFUNCTION("""COMPUTED_VALUE"""),"된장")</f>
        <v>된장</v>
      </c>
    </row>
    <row r="1031">
      <c r="A1031" s="2" t="str">
        <f>IFERROR(__xludf.DUMMYFUNCTION("""COMPUTED_VALUE"""),"한식 브런찜")</f>
        <v>한식 브런찜</v>
      </c>
      <c r="B1031" s="2" t="str">
        <f>IFERROR(__xludf.DUMMYFUNCTION("""COMPUTED_VALUE"""),"요리술")</f>
        <v>요리술</v>
      </c>
    </row>
    <row r="1032">
      <c r="A1032" s="2" t="str">
        <f>IFERROR(__xludf.DUMMYFUNCTION("""COMPUTED_VALUE"""),"한식 브런찜")</f>
        <v>한식 브런찜</v>
      </c>
      <c r="B1032" s="2" t="str">
        <f>IFERROR(__xludf.DUMMYFUNCTION("""COMPUTED_VALUE"""),"즉석밥")</f>
        <v>즉석밥</v>
      </c>
    </row>
    <row r="1033">
      <c r="A1033" s="2" t="str">
        <f>IFERROR(__xludf.DUMMYFUNCTION("""COMPUTED_VALUE"""),"한식 브런찜")</f>
        <v>한식 브런찜</v>
      </c>
      <c r="B1033" s="2" t="str">
        <f>IFERROR(__xludf.DUMMYFUNCTION("""COMPUTED_VALUE"""),"소금")</f>
        <v>소금</v>
      </c>
    </row>
    <row r="1034">
      <c r="A1034" s="2" t="str">
        <f>IFERROR(__xludf.DUMMYFUNCTION("""COMPUTED_VALUE"""),"한식 브런찜")</f>
        <v>한식 브런찜</v>
      </c>
      <c r="B1034" s="2" t="str">
        <f>IFERROR(__xludf.DUMMYFUNCTION("""COMPUTED_VALUE"""),"다진 마늘")</f>
        <v>다진 마늘</v>
      </c>
    </row>
    <row r="1035">
      <c r="A1035" s="2" t="str">
        <f>IFERROR(__xludf.DUMMYFUNCTION("""COMPUTED_VALUE"""),"한식 브런찜")</f>
        <v>한식 브런찜</v>
      </c>
      <c r="B1035" s="2" t="str">
        <f>IFERROR(__xludf.DUMMYFUNCTION("""COMPUTED_VALUE"""),"다진 파")</f>
        <v>다진 파</v>
      </c>
    </row>
    <row r="1036">
      <c r="A1036" s="2" t="str">
        <f>IFERROR(__xludf.DUMMYFUNCTION("""COMPUTED_VALUE"""),"한식 브런찜")</f>
        <v>한식 브런찜</v>
      </c>
      <c r="B1036" s="2" t="str">
        <f>IFERROR(__xludf.DUMMYFUNCTION("""COMPUTED_VALUE"""),"고춧가루")</f>
        <v>고춧가루</v>
      </c>
    </row>
    <row r="1037">
      <c r="A1037" s="2" t="str">
        <f>IFERROR(__xludf.DUMMYFUNCTION("""COMPUTED_VALUE"""),"한식 브런찜")</f>
        <v>한식 브런찜</v>
      </c>
      <c r="B1037" s="2" t="str">
        <f>IFERROR(__xludf.DUMMYFUNCTION("""COMPUTED_VALUE"""),"깨")</f>
        <v>깨</v>
      </c>
    </row>
    <row r="1038">
      <c r="A1038" s="2" t="str">
        <f>IFERROR(__xludf.DUMMYFUNCTION("""COMPUTED_VALUE"""),"한식 브런찜")</f>
        <v>한식 브런찜</v>
      </c>
      <c r="B1038" s="2" t="str">
        <f>IFERROR(__xludf.DUMMYFUNCTION("""COMPUTED_VALUE"""),"참기름")</f>
        <v>참기름</v>
      </c>
    </row>
    <row r="1039">
      <c r="A1039" s="2" t="str">
        <f>IFERROR(__xludf.DUMMYFUNCTION("""COMPUTED_VALUE"""),"한식 브런찜")</f>
        <v>한식 브런찜</v>
      </c>
      <c r="B1039" s="2" t="str">
        <f>IFERROR(__xludf.DUMMYFUNCTION("""COMPUTED_VALUE"""),"양조간장")</f>
        <v>양조간장</v>
      </c>
    </row>
    <row r="1040">
      <c r="A1040" s="2" t="str">
        <f>IFERROR(__xludf.DUMMYFUNCTION("""COMPUTED_VALUE"""),"연복풍 덮밥")</f>
        <v>연복풍 덮밥</v>
      </c>
      <c r="B1040" s="2" t="str">
        <f>IFERROR(__xludf.DUMMYFUNCTION("""COMPUTED_VALUE"""),"게맛살")</f>
        <v>게맛살</v>
      </c>
    </row>
    <row r="1041">
      <c r="A1041" s="2" t="str">
        <f>IFERROR(__xludf.DUMMYFUNCTION("""COMPUTED_VALUE"""),"연복풍 덮밥")</f>
        <v>연복풍 덮밥</v>
      </c>
      <c r="B1041" s="2" t="str">
        <f>IFERROR(__xludf.DUMMYFUNCTION("""COMPUTED_VALUE"""),"고량주")</f>
        <v>고량주</v>
      </c>
    </row>
    <row r="1042">
      <c r="A1042" s="2" t="str">
        <f>IFERROR(__xludf.DUMMYFUNCTION("""COMPUTED_VALUE"""),"연복풍 덮밥")</f>
        <v>연복풍 덮밥</v>
      </c>
      <c r="B1042" s="2" t="str">
        <f>IFERROR(__xludf.DUMMYFUNCTION("""COMPUTED_VALUE"""),"팽이버섯")</f>
        <v>팽이버섯</v>
      </c>
    </row>
    <row r="1043">
      <c r="A1043" s="2" t="str">
        <f>IFERROR(__xludf.DUMMYFUNCTION("""COMPUTED_VALUE"""),"연복풍 덮밥")</f>
        <v>연복풍 덮밥</v>
      </c>
      <c r="B1043" s="2" t="str">
        <f>IFERROR(__xludf.DUMMYFUNCTION("""COMPUTED_VALUE"""),"달걀")</f>
        <v>달걀</v>
      </c>
    </row>
    <row r="1044">
      <c r="A1044" s="2" t="str">
        <f>IFERROR(__xludf.DUMMYFUNCTION("""COMPUTED_VALUE"""),"연복풍 덮밥")</f>
        <v>연복풍 덮밥</v>
      </c>
      <c r="B1044" s="2" t="str">
        <f>IFERROR(__xludf.DUMMYFUNCTION("""COMPUTED_VALUE"""),"식용유")</f>
        <v>식용유</v>
      </c>
    </row>
    <row r="1045">
      <c r="A1045" s="2" t="str">
        <f>IFERROR(__xludf.DUMMYFUNCTION("""COMPUTED_VALUE"""),"연복풍 덮밥")</f>
        <v>연복풍 덮밥</v>
      </c>
      <c r="B1045" s="2" t="str">
        <f>IFERROR(__xludf.DUMMYFUNCTION("""COMPUTED_VALUE"""),"참기름")</f>
        <v>참기름</v>
      </c>
    </row>
    <row r="1046">
      <c r="A1046" s="2" t="str">
        <f>IFERROR(__xludf.DUMMYFUNCTION("""COMPUTED_VALUE"""),"연복풍 덮밥")</f>
        <v>연복풍 덮밥</v>
      </c>
      <c r="B1046" s="2" t="str">
        <f>IFERROR(__xludf.DUMMYFUNCTION("""COMPUTED_VALUE"""),"마늘")</f>
        <v>마늘</v>
      </c>
    </row>
    <row r="1047">
      <c r="A1047" s="2" t="str">
        <f>IFERROR(__xludf.DUMMYFUNCTION("""COMPUTED_VALUE"""),"연복풍 덮밥")</f>
        <v>연복풍 덮밥</v>
      </c>
      <c r="B1047" s="2" t="str">
        <f>IFERROR(__xludf.DUMMYFUNCTION("""COMPUTED_VALUE"""),"생강")</f>
        <v>생강</v>
      </c>
    </row>
    <row r="1048">
      <c r="A1048" s="2" t="str">
        <f>IFERROR(__xludf.DUMMYFUNCTION("""COMPUTED_VALUE"""),"연복풍 덮밥")</f>
        <v>연복풍 덮밥</v>
      </c>
      <c r="B1048" s="2" t="str">
        <f>IFERROR(__xludf.DUMMYFUNCTION("""COMPUTED_VALUE"""),"대파")</f>
        <v>대파</v>
      </c>
    </row>
    <row r="1049">
      <c r="A1049" s="2" t="str">
        <f>IFERROR(__xludf.DUMMYFUNCTION("""COMPUTED_VALUE"""),"연복풍 덮밥")</f>
        <v>연복풍 덮밥</v>
      </c>
      <c r="B1049" s="2" t="str">
        <f>IFERROR(__xludf.DUMMYFUNCTION("""COMPUTED_VALUE"""),"간장")</f>
        <v>간장</v>
      </c>
    </row>
    <row r="1050">
      <c r="A1050" s="2" t="str">
        <f>IFERROR(__xludf.DUMMYFUNCTION("""COMPUTED_VALUE"""),"연복풍 덮밥")</f>
        <v>연복풍 덮밥</v>
      </c>
      <c r="B1050" s="2" t="str">
        <f>IFERROR(__xludf.DUMMYFUNCTION("""COMPUTED_VALUE"""),"고춧가루")</f>
        <v>고춧가루</v>
      </c>
    </row>
    <row r="1051">
      <c r="A1051" s="2" t="str">
        <f>IFERROR(__xludf.DUMMYFUNCTION("""COMPUTED_VALUE"""),"연복풍 덮밥")</f>
        <v>연복풍 덮밥</v>
      </c>
      <c r="B1051" s="2" t="str">
        <f>IFERROR(__xludf.DUMMYFUNCTION("""COMPUTED_VALUE"""),"전분")</f>
        <v>전분</v>
      </c>
    </row>
    <row r="1052">
      <c r="A1052" s="2" t="str">
        <f>IFERROR(__xludf.DUMMYFUNCTION("""COMPUTED_VALUE"""),"연복풍 덮밥")</f>
        <v>연복풍 덮밥</v>
      </c>
      <c r="B1052" s="2" t="str">
        <f>IFERROR(__xludf.DUMMYFUNCTION("""COMPUTED_VALUE"""),"즉석밥")</f>
        <v>즉석밥</v>
      </c>
    </row>
    <row r="1053">
      <c r="A1053" s="2" t="str">
        <f>IFERROR(__xludf.DUMMYFUNCTION("""COMPUTED_VALUE"""),"윌나잇까스")</f>
        <v>윌나잇까스</v>
      </c>
      <c r="B1053" s="2" t="str">
        <f>IFERROR(__xludf.DUMMYFUNCTION("""COMPUTED_VALUE"""),"소고기 등심")</f>
        <v>소고기 등심</v>
      </c>
    </row>
    <row r="1054">
      <c r="A1054" s="2" t="str">
        <f>IFERROR(__xludf.DUMMYFUNCTION("""COMPUTED_VALUE"""),"윌나잇까스")</f>
        <v>윌나잇까스</v>
      </c>
      <c r="B1054" s="2" t="str">
        <f>IFERROR(__xludf.DUMMYFUNCTION("""COMPUTED_VALUE"""),"달걀")</f>
        <v>달걀</v>
      </c>
    </row>
    <row r="1055">
      <c r="A1055" s="2" t="str">
        <f>IFERROR(__xludf.DUMMYFUNCTION("""COMPUTED_VALUE"""),"윌나잇까스")</f>
        <v>윌나잇까스</v>
      </c>
      <c r="B1055" s="2" t="str">
        <f>IFERROR(__xludf.DUMMYFUNCTION("""COMPUTED_VALUE"""),"팽이버섯")</f>
        <v>팽이버섯</v>
      </c>
    </row>
    <row r="1056">
      <c r="A1056" s="2" t="str">
        <f>IFERROR(__xludf.DUMMYFUNCTION("""COMPUTED_VALUE"""),"윌나잇까스")</f>
        <v>윌나잇까스</v>
      </c>
      <c r="B1056" s="2" t="str">
        <f>IFERROR(__xludf.DUMMYFUNCTION("""COMPUTED_VALUE"""),"당근")</f>
        <v>당근</v>
      </c>
    </row>
    <row r="1057">
      <c r="A1057" s="2" t="str">
        <f>IFERROR(__xludf.DUMMYFUNCTION("""COMPUTED_VALUE"""),"윌나잇까스")</f>
        <v>윌나잇까스</v>
      </c>
      <c r="B1057" s="2" t="str">
        <f>IFERROR(__xludf.DUMMYFUNCTION("""COMPUTED_VALUE"""),"양파")</f>
        <v>양파</v>
      </c>
    </row>
    <row r="1058">
      <c r="A1058" s="2" t="str">
        <f>IFERROR(__xludf.DUMMYFUNCTION("""COMPUTED_VALUE"""),"윌나잇까스")</f>
        <v>윌나잇까스</v>
      </c>
      <c r="B1058" s="2" t="str">
        <f>IFERROR(__xludf.DUMMYFUNCTION("""COMPUTED_VALUE"""),"소금")</f>
        <v>소금</v>
      </c>
    </row>
    <row r="1059">
      <c r="A1059" s="2" t="str">
        <f>IFERROR(__xludf.DUMMYFUNCTION("""COMPUTED_VALUE"""),"윌나잇까스")</f>
        <v>윌나잇까스</v>
      </c>
      <c r="B1059" s="2" t="str">
        <f>IFERROR(__xludf.DUMMYFUNCTION("""COMPUTED_VALUE"""),"후추")</f>
        <v>후추</v>
      </c>
    </row>
    <row r="1060">
      <c r="A1060" s="2" t="str">
        <f>IFERROR(__xludf.DUMMYFUNCTION("""COMPUTED_VALUE"""),"윌나잇까스")</f>
        <v>윌나잇까스</v>
      </c>
      <c r="B1060" s="2" t="str">
        <f>IFERROR(__xludf.DUMMYFUNCTION("""COMPUTED_VALUE"""),"버터")</f>
        <v>버터</v>
      </c>
    </row>
    <row r="1061">
      <c r="A1061" s="2" t="str">
        <f>IFERROR(__xludf.DUMMYFUNCTION("""COMPUTED_VALUE"""),"윌나잇까스")</f>
        <v>윌나잇까스</v>
      </c>
      <c r="B1061" s="2" t="str">
        <f>IFERROR(__xludf.DUMMYFUNCTION("""COMPUTED_VALUE"""),"밀가루")</f>
        <v>밀가루</v>
      </c>
    </row>
    <row r="1062">
      <c r="A1062" s="2" t="str">
        <f>IFERROR(__xludf.DUMMYFUNCTION("""COMPUTED_VALUE"""),"윌나잇까스")</f>
        <v>윌나잇까스</v>
      </c>
      <c r="B1062" s="2" t="str">
        <f>IFERROR(__xludf.DUMMYFUNCTION("""COMPUTED_VALUE"""),"레몬즙")</f>
        <v>레몬즙</v>
      </c>
    </row>
    <row r="1063">
      <c r="A1063" s="2" t="str">
        <f>IFERROR(__xludf.DUMMYFUNCTION("""COMPUTED_VALUE"""),"윌나잇까스")</f>
        <v>윌나잇까스</v>
      </c>
      <c r="B1063" s="2" t="str">
        <f>IFERROR(__xludf.DUMMYFUNCTION("""COMPUTED_VALUE"""),"밀가루")</f>
        <v>밀가루</v>
      </c>
    </row>
    <row r="1064">
      <c r="A1064" s="2" t="str">
        <f>IFERROR(__xludf.DUMMYFUNCTION("""COMPUTED_VALUE"""),"윌나잇까스")</f>
        <v>윌나잇까스</v>
      </c>
      <c r="B1064" s="2" t="str">
        <f>IFERROR(__xludf.DUMMYFUNCTION("""COMPUTED_VALUE"""),"빵가루")</f>
        <v>빵가루</v>
      </c>
    </row>
    <row r="1065">
      <c r="A1065" s="2" t="str">
        <f>IFERROR(__xludf.DUMMYFUNCTION("""COMPUTED_VALUE"""),"이것이 원윌이닭")</f>
        <v>이것이 원윌이닭</v>
      </c>
      <c r="B1065" s="2" t="str">
        <f>IFERROR(__xludf.DUMMYFUNCTION("""COMPUTED_VALUE"""),"닭가슴살")</f>
        <v>닭가슴살</v>
      </c>
    </row>
    <row r="1066">
      <c r="A1066" s="2" t="str">
        <f>IFERROR(__xludf.DUMMYFUNCTION("""COMPUTED_VALUE"""),"이것이 원윌이닭")</f>
        <v>이것이 원윌이닭</v>
      </c>
      <c r="B1066" s="2" t="str">
        <f>IFERROR(__xludf.DUMMYFUNCTION("""COMPUTED_VALUE"""),"메밀라면")</f>
        <v>메밀라면</v>
      </c>
    </row>
    <row r="1067">
      <c r="A1067" s="2" t="str">
        <f>IFERROR(__xludf.DUMMYFUNCTION("""COMPUTED_VALUE"""),"이것이 원윌이닭")</f>
        <v>이것이 원윌이닭</v>
      </c>
      <c r="B1067" s="2" t="str">
        <f>IFERROR(__xludf.DUMMYFUNCTION("""COMPUTED_VALUE"""),"알배추")</f>
        <v>알배추</v>
      </c>
    </row>
    <row r="1068">
      <c r="A1068" s="2" t="str">
        <f>IFERROR(__xludf.DUMMYFUNCTION("""COMPUTED_VALUE"""),"이것이 원윌이닭")</f>
        <v>이것이 원윌이닭</v>
      </c>
      <c r="B1068" s="2" t="str">
        <f>IFERROR(__xludf.DUMMYFUNCTION("""COMPUTED_VALUE"""),"사과")</f>
        <v>사과</v>
      </c>
    </row>
    <row r="1069">
      <c r="A1069" s="2" t="str">
        <f>IFERROR(__xludf.DUMMYFUNCTION("""COMPUTED_VALUE"""),"이것이 원윌이닭")</f>
        <v>이것이 원윌이닭</v>
      </c>
      <c r="B1069" s="2" t="str">
        <f>IFERROR(__xludf.DUMMYFUNCTION("""COMPUTED_VALUE"""),"깻잎")</f>
        <v>깻잎</v>
      </c>
    </row>
    <row r="1070">
      <c r="A1070" s="2" t="str">
        <f>IFERROR(__xludf.DUMMYFUNCTION("""COMPUTED_VALUE"""),"이것이 원윌이닭")</f>
        <v>이것이 원윌이닭</v>
      </c>
      <c r="B1070" s="2" t="str">
        <f>IFERROR(__xludf.DUMMYFUNCTION("""COMPUTED_VALUE"""),"사과 주스")</f>
        <v>사과 주스</v>
      </c>
    </row>
    <row r="1071">
      <c r="A1071" s="2" t="str">
        <f>IFERROR(__xludf.DUMMYFUNCTION("""COMPUTED_VALUE"""),"이것이 원윌이닭")</f>
        <v>이것이 원윌이닭</v>
      </c>
      <c r="B1071" s="2" t="str">
        <f>IFERROR(__xludf.DUMMYFUNCTION("""COMPUTED_VALUE"""),"소금")</f>
        <v>소금</v>
      </c>
    </row>
    <row r="1072">
      <c r="A1072" s="2" t="str">
        <f>IFERROR(__xludf.DUMMYFUNCTION("""COMPUTED_VALUE"""),"이것이 원윌이닭")</f>
        <v>이것이 원윌이닭</v>
      </c>
      <c r="B1072" s="2" t="str">
        <f>IFERROR(__xludf.DUMMYFUNCTION("""COMPUTED_VALUE"""),"후추")</f>
        <v>후추</v>
      </c>
    </row>
    <row r="1073">
      <c r="A1073" s="2" t="str">
        <f>IFERROR(__xludf.DUMMYFUNCTION("""COMPUTED_VALUE"""),"이것이 원윌이닭")</f>
        <v>이것이 원윌이닭</v>
      </c>
      <c r="B1073" s="2" t="str">
        <f>IFERROR(__xludf.DUMMYFUNCTION("""COMPUTED_VALUE"""),"레몬즙")</f>
        <v>레몬즙</v>
      </c>
    </row>
    <row r="1074">
      <c r="A1074" s="2" t="str">
        <f>IFERROR(__xludf.DUMMYFUNCTION("""COMPUTED_VALUE"""),"이것이 원윌이닭")</f>
        <v>이것이 원윌이닭</v>
      </c>
      <c r="B1074" s="2" t="str">
        <f>IFERROR(__xludf.DUMMYFUNCTION("""COMPUTED_VALUE"""),"식초")</f>
        <v>식초</v>
      </c>
    </row>
    <row r="1075">
      <c r="A1075" s="2" t="str">
        <f>IFERROR(__xludf.DUMMYFUNCTION("""COMPUTED_VALUE"""),"이것이 원윌이닭")</f>
        <v>이것이 원윌이닭</v>
      </c>
      <c r="B1075" s="2" t="str">
        <f>IFERROR(__xludf.DUMMYFUNCTION("""COMPUTED_VALUE"""),"마늘")</f>
        <v>마늘</v>
      </c>
    </row>
    <row r="1076">
      <c r="A1076" s="2" t="str">
        <f>IFERROR(__xludf.DUMMYFUNCTION("""COMPUTED_VALUE"""),"이것이 원윌이닭")</f>
        <v>이것이 원윌이닭</v>
      </c>
      <c r="B1076" s="2" t="str">
        <f>IFERROR(__xludf.DUMMYFUNCTION("""COMPUTED_VALUE"""),"고추")</f>
        <v>고추</v>
      </c>
    </row>
    <row r="1077">
      <c r="A1077" s="2" t="str">
        <f>IFERROR(__xludf.DUMMYFUNCTION("""COMPUTED_VALUE"""),"이것이 원윌이닭")</f>
        <v>이것이 원윌이닭</v>
      </c>
      <c r="B1077" s="2" t="str">
        <f>IFERROR(__xludf.DUMMYFUNCTION("""COMPUTED_VALUE"""),"연겨자")</f>
        <v>연겨자</v>
      </c>
    </row>
    <row r="1078">
      <c r="A1078" s="2" t="str">
        <f>IFERROR(__xludf.DUMMYFUNCTION("""COMPUTED_VALUE"""),"치킨 마요랑깨")</f>
        <v>치킨 마요랑깨</v>
      </c>
      <c r="B1078" s="2" t="str">
        <f>IFERROR(__xludf.DUMMYFUNCTION("""COMPUTED_VALUE"""),"닭가슴살")</f>
        <v>닭가슴살</v>
      </c>
    </row>
    <row r="1079">
      <c r="A1079" s="2" t="str">
        <f>IFERROR(__xludf.DUMMYFUNCTION("""COMPUTED_VALUE"""),"치킨 마요랑깨")</f>
        <v>치킨 마요랑깨</v>
      </c>
      <c r="B1079" s="2" t="str">
        <f>IFERROR(__xludf.DUMMYFUNCTION("""COMPUTED_VALUE"""),"김치")</f>
        <v>김치</v>
      </c>
    </row>
    <row r="1080">
      <c r="A1080" s="2" t="str">
        <f>IFERROR(__xludf.DUMMYFUNCTION("""COMPUTED_VALUE"""),"치킨 마요랑깨")</f>
        <v>치킨 마요랑깨</v>
      </c>
      <c r="B1080" s="2" t="str">
        <f>IFERROR(__xludf.DUMMYFUNCTION("""COMPUTED_VALUE"""),"달걀")</f>
        <v>달걀</v>
      </c>
    </row>
    <row r="1081">
      <c r="A1081" s="2" t="str">
        <f>IFERROR(__xludf.DUMMYFUNCTION("""COMPUTED_VALUE"""),"치킨 마요랑깨")</f>
        <v>치킨 마요랑깨</v>
      </c>
      <c r="B1081" s="2" t="str">
        <f>IFERROR(__xludf.DUMMYFUNCTION("""COMPUTED_VALUE"""),"간장")</f>
        <v>간장</v>
      </c>
    </row>
    <row r="1082">
      <c r="A1082" s="2" t="str">
        <f>IFERROR(__xludf.DUMMYFUNCTION("""COMPUTED_VALUE"""),"치킨 마요랑깨")</f>
        <v>치킨 마요랑깨</v>
      </c>
      <c r="B1082" s="2" t="str">
        <f>IFERROR(__xludf.DUMMYFUNCTION("""COMPUTED_VALUE"""),"후추")</f>
        <v>후추</v>
      </c>
    </row>
    <row r="1083">
      <c r="A1083" s="2" t="str">
        <f>IFERROR(__xludf.DUMMYFUNCTION("""COMPUTED_VALUE"""),"치킨 마요랑깨")</f>
        <v>치킨 마요랑깨</v>
      </c>
      <c r="B1083" s="2" t="str">
        <f>IFERROR(__xludf.DUMMYFUNCTION("""COMPUTED_VALUE"""),"마늘")</f>
        <v>마늘</v>
      </c>
    </row>
    <row r="1084">
      <c r="A1084" s="2" t="str">
        <f>IFERROR(__xludf.DUMMYFUNCTION("""COMPUTED_VALUE"""),"치킨 마요랑깨")</f>
        <v>치킨 마요랑깨</v>
      </c>
      <c r="B1084" s="2" t="str">
        <f>IFERROR(__xludf.DUMMYFUNCTION("""COMPUTED_VALUE"""),"깨")</f>
        <v>깨</v>
      </c>
    </row>
    <row r="1085">
      <c r="A1085" s="2" t="str">
        <f>IFERROR(__xludf.DUMMYFUNCTION("""COMPUTED_VALUE"""),"치킨 마요랑깨")</f>
        <v>치킨 마요랑깨</v>
      </c>
      <c r="B1085" s="2" t="str">
        <f>IFERROR(__xludf.DUMMYFUNCTION("""COMPUTED_VALUE"""),"밀가루")</f>
        <v>밀가루</v>
      </c>
    </row>
    <row r="1086">
      <c r="A1086" s="2" t="str">
        <f>IFERROR(__xludf.DUMMYFUNCTION("""COMPUTED_VALUE"""),"치킨 마요랑깨")</f>
        <v>치킨 마요랑깨</v>
      </c>
      <c r="B1086" s="2" t="str">
        <f>IFERROR(__xludf.DUMMYFUNCTION("""COMPUTED_VALUE"""),"허니 머스터드")</f>
        <v>허니 머스터드</v>
      </c>
    </row>
    <row r="1087">
      <c r="A1087" s="2" t="str">
        <f>IFERROR(__xludf.DUMMYFUNCTION("""COMPUTED_VALUE"""),"치킨 마요랑깨")</f>
        <v>치킨 마요랑깨</v>
      </c>
      <c r="B1087" s="2" t="str">
        <f>IFERROR(__xludf.DUMMYFUNCTION("""COMPUTED_VALUE"""),"레몬즙")</f>
        <v>레몬즙</v>
      </c>
    </row>
    <row r="1088">
      <c r="A1088" s="2" t="str">
        <f>IFERROR(__xludf.DUMMYFUNCTION("""COMPUTED_VALUE"""),"치킨 마요랑깨")</f>
        <v>치킨 마요랑깨</v>
      </c>
      <c r="B1088" s="2" t="str">
        <f>IFERROR(__xludf.DUMMYFUNCTION("""COMPUTED_VALUE"""),"소금")</f>
        <v>소금</v>
      </c>
    </row>
    <row r="1089">
      <c r="A1089" s="2" t="str">
        <f>IFERROR(__xludf.DUMMYFUNCTION("""COMPUTED_VALUE"""),"치킨 마요랑깨")</f>
        <v>치킨 마요랑깨</v>
      </c>
      <c r="B1089" s="2" t="str">
        <f>IFERROR(__xludf.DUMMYFUNCTION("""COMPUTED_VALUE"""),"청양고추")</f>
        <v>청양고추</v>
      </c>
    </row>
    <row r="1090">
      <c r="A1090" s="2" t="str">
        <f>IFERROR(__xludf.DUMMYFUNCTION("""COMPUTED_VALUE"""),"감동의 더가니")</f>
        <v>감동의 더가니</v>
      </c>
      <c r="B1090" s="2" t="str">
        <f>IFERROR(__xludf.DUMMYFUNCTION("""COMPUTED_VALUE"""),"새우")</f>
        <v>새우</v>
      </c>
    </row>
    <row r="1091">
      <c r="A1091" s="2" t="str">
        <f>IFERROR(__xludf.DUMMYFUNCTION("""COMPUTED_VALUE"""),"감동의 더가니")</f>
        <v>감동의 더가니</v>
      </c>
      <c r="B1091" s="2" t="str">
        <f>IFERROR(__xludf.DUMMYFUNCTION("""COMPUTED_VALUE"""),"인스턴트 도가니탕")</f>
        <v>인스턴트 도가니탕</v>
      </c>
    </row>
    <row r="1092">
      <c r="A1092" s="2" t="str">
        <f>IFERROR(__xludf.DUMMYFUNCTION("""COMPUTED_VALUE"""),"감동의 더가니")</f>
        <v>감동의 더가니</v>
      </c>
      <c r="B1092" s="2" t="str">
        <f>IFERROR(__xludf.DUMMYFUNCTION("""COMPUTED_VALUE"""),"레드 와인")</f>
        <v>레드 와인</v>
      </c>
    </row>
    <row r="1093">
      <c r="A1093" s="2" t="str">
        <f>IFERROR(__xludf.DUMMYFUNCTION("""COMPUTED_VALUE"""),"감동의 더가니")</f>
        <v>감동의 더가니</v>
      </c>
      <c r="B1093" s="2" t="str">
        <f>IFERROR(__xludf.DUMMYFUNCTION("""COMPUTED_VALUE"""),"더치커피")</f>
        <v>더치커피</v>
      </c>
    </row>
    <row r="1094">
      <c r="A1094" s="2" t="str">
        <f>IFERROR(__xludf.DUMMYFUNCTION("""COMPUTED_VALUE"""),"감동의 더가니")</f>
        <v>감동의 더가니</v>
      </c>
      <c r="B1094" s="2" t="str">
        <f>IFERROR(__xludf.DUMMYFUNCTION("""COMPUTED_VALUE"""),"선드라이드 토마토")</f>
        <v>선드라이드 토마토</v>
      </c>
    </row>
    <row r="1095">
      <c r="A1095" s="2" t="str">
        <f>IFERROR(__xludf.DUMMYFUNCTION("""COMPUTED_VALUE"""),"감동의 더가니")</f>
        <v>감동의 더가니</v>
      </c>
      <c r="B1095" s="2" t="str">
        <f>IFERROR(__xludf.DUMMYFUNCTION("""COMPUTED_VALUE"""),"파슬리")</f>
        <v>파슬리</v>
      </c>
    </row>
    <row r="1096">
      <c r="A1096" s="2" t="str">
        <f>IFERROR(__xludf.DUMMYFUNCTION("""COMPUTED_VALUE"""),"감동의 더가니")</f>
        <v>감동의 더가니</v>
      </c>
      <c r="B1096" s="2" t="str">
        <f>IFERROR(__xludf.DUMMYFUNCTION("""COMPUTED_VALUE"""),"미나리 잎")</f>
        <v>미나리 잎</v>
      </c>
    </row>
    <row r="1097">
      <c r="A1097" s="2" t="str">
        <f>IFERROR(__xludf.DUMMYFUNCTION("""COMPUTED_VALUE"""),"감동의 더가니")</f>
        <v>감동의 더가니</v>
      </c>
      <c r="B1097" s="2" t="str">
        <f>IFERROR(__xludf.DUMMYFUNCTION("""COMPUTED_VALUE"""),"소금")</f>
        <v>소금</v>
      </c>
    </row>
    <row r="1098">
      <c r="A1098" s="2" t="str">
        <f>IFERROR(__xludf.DUMMYFUNCTION("""COMPUTED_VALUE"""),"감동의 더가니")</f>
        <v>감동의 더가니</v>
      </c>
      <c r="B1098" s="2" t="str">
        <f>IFERROR(__xludf.DUMMYFUNCTION("""COMPUTED_VALUE"""),"후추")</f>
        <v>후추</v>
      </c>
    </row>
    <row r="1099">
      <c r="A1099" s="2" t="str">
        <f>IFERROR(__xludf.DUMMYFUNCTION("""COMPUTED_VALUE"""),"감동의 더가니")</f>
        <v>감동의 더가니</v>
      </c>
      <c r="B1099" s="2" t="str">
        <f>IFERROR(__xludf.DUMMYFUNCTION("""COMPUTED_VALUE"""),"밀가루")</f>
        <v>밀가루</v>
      </c>
    </row>
    <row r="1100">
      <c r="A1100" s="2" t="str">
        <f>IFERROR(__xludf.DUMMYFUNCTION("""COMPUTED_VALUE"""),"감동의 더가니")</f>
        <v>감동의 더가니</v>
      </c>
      <c r="B1100" s="2" t="str">
        <f>IFERROR(__xludf.DUMMYFUNCTION("""COMPUTED_VALUE"""),"토마토 소스")</f>
        <v>토마토 소스</v>
      </c>
    </row>
    <row r="1101">
      <c r="A1101" s="2" t="str">
        <f>IFERROR(__xludf.DUMMYFUNCTION("""COMPUTED_VALUE"""),"감동의 더가니")</f>
        <v>감동의 더가니</v>
      </c>
      <c r="B1101" s="2" t="str">
        <f>IFERROR(__xludf.DUMMYFUNCTION("""COMPUTED_VALUE"""),"올리브 오일")</f>
        <v>올리브 오일</v>
      </c>
    </row>
    <row r="1102">
      <c r="A1102" s="2" t="str">
        <f>IFERROR(__xludf.DUMMYFUNCTION("""COMPUTED_VALUE"""),"감동의 더가니")</f>
        <v>감동의 더가니</v>
      </c>
      <c r="B1102" s="2" t="str">
        <f>IFERROR(__xludf.DUMMYFUNCTION("""COMPUTED_VALUE"""),"즉석밥")</f>
        <v>즉석밥</v>
      </c>
    </row>
    <row r="1103">
      <c r="A1103" s="2" t="str">
        <f>IFERROR(__xludf.DUMMYFUNCTION("""COMPUTED_VALUE"""),"감동의 더가니")</f>
        <v>감동의 더가니</v>
      </c>
      <c r="B1103" s="2" t="str">
        <f>IFERROR(__xludf.DUMMYFUNCTION("""COMPUTED_VALUE"""),"레몬")</f>
        <v>레몬</v>
      </c>
    </row>
    <row r="1104">
      <c r="A1104" s="2" t="str">
        <f>IFERROR(__xludf.DUMMYFUNCTION("""COMPUTED_VALUE"""),"치사의 사탑")</f>
        <v>치사의 사탑</v>
      </c>
      <c r="B1104" s="2" t="str">
        <f>IFERROR(__xludf.DUMMYFUNCTION("""COMPUTED_VALUE"""),"사과")</f>
        <v>사과</v>
      </c>
    </row>
    <row r="1105">
      <c r="A1105" s="2" t="str">
        <f>IFERROR(__xludf.DUMMYFUNCTION("""COMPUTED_VALUE"""),"치사의 사탑")</f>
        <v>치사의 사탑</v>
      </c>
      <c r="B1105" s="2" t="str">
        <f>IFERROR(__xludf.DUMMYFUNCTION("""COMPUTED_VALUE"""),"살치살")</f>
        <v>살치살</v>
      </c>
    </row>
    <row r="1106">
      <c r="A1106" s="2" t="str">
        <f>IFERROR(__xludf.DUMMYFUNCTION("""COMPUTED_VALUE"""),"치사의 사탑")</f>
        <v>치사의 사탑</v>
      </c>
      <c r="B1106" s="2" t="str">
        <f>IFERROR(__xludf.DUMMYFUNCTION("""COMPUTED_VALUE"""),"포트 와인")</f>
        <v>포트 와인</v>
      </c>
    </row>
    <row r="1107">
      <c r="A1107" s="2" t="str">
        <f>IFERROR(__xludf.DUMMYFUNCTION("""COMPUTED_VALUE"""),"치사의 사탑")</f>
        <v>치사의 사탑</v>
      </c>
      <c r="B1107" s="2" t="str">
        <f>IFERROR(__xludf.DUMMYFUNCTION("""COMPUTED_VALUE"""),"레드 와인")</f>
        <v>레드 와인</v>
      </c>
    </row>
    <row r="1108">
      <c r="A1108" s="2" t="str">
        <f>IFERROR(__xludf.DUMMYFUNCTION("""COMPUTED_VALUE"""),"치사의 사탑")</f>
        <v>치사의 사탑</v>
      </c>
      <c r="B1108" s="2" t="str">
        <f>IFERROR(__xludf.DUMMYFUNCTION("""COMPUTED_VALUE"""),"소시지")</f>
        <v>소시지</v>
      </c>
    </row>
    <row r="1109">
      <c r="A1109" s="2" t="str">
        <f>IFERROR(__xludf.DUMMYFUNCTION("""COMPUTED_VALUE"""),"치사의 사탑")</f>
        <v>치사의 사탑</v>
      </c>
      <c r="B1109" s="2" t="str">
        <f>IFERROR(__xludf.DUMMYFUNCTION("""COMPUTED_VALUE"""),"베이컨")</f>
        <v>베이컨</v>
      </c>
    </row>
    <row r="1110">
      <c r="A1110" s="2" t="str">
        <f>IFERROR(__xludf.DUMMYFUNCTION("""COMPUTED_VALUE"""),"치사의 사탑")</f>
        <v>치사의 사탑</v>
      </c>
      <c r="B1110" s="2" t="str">
        <f>IFERROR(__xludf.DUMMYFUNCTION("""COMPUTED_VALUE"""),"할라피뇨")</f>
        <v>할라피뇨</v>
      </c>
    </row>
    <row r="1111">
      <c r="A1111" s="2" t="str">
        <f>IFERROR(__xludf.DUMMYFUNCTION("""COMPUTED_VALUE"""),"치사의 사탑")</f>
        <v>치사의 사탑</v>
      </c>
      <c r="B1111" s="2" t="str">
        <f>IFERROR(__xludf.DUMMYFUNCTION("""COMPUTED_VALUE"""),"베이크드 빈")</f>
        <v>베이크드 빈</v>
      </c>
    </row>
    <row r="1112">
      <c r="A1112" s="2" t="str">
        <f>IFERROR(__xludf.DUMMYFUNCTION("""COMPUTED_VALUE"""),"치사의 사탑")</f>
        <v>치사의 사탑</v>
      </c>
      <c r="B1112" s="2" t="str">
        <f>IFERROR(__xludf.DUMMYFUNCTION("""COMPUTED_VALUE"""),"표고 버섯")</f>
        <v>표고 버섯</v>
      </c>
    </row>
    <row r="1113">
      <c r="A1113" s="2" t="str">
        <f>IFERROR(__xludf.DUMMYFUNCTION("""COMPUTED_VALUE"""),"치사의 사탑")</f>
        <v>치사의 사탑</v>
      </c>
      <c r="B1113" s="2" t="str">
        <f>IFERROR(__xludf.DUMMYFUNCTION("""COMPUTED_VALUE"""),"스리라차 소스")</f>
        <v>스리라차 소스</v>
      </c>
    </row>
    <row r="1114">
      <c r="A1114" s="2" t="str">
        <f>IFERROR(__xludf.DUMMYFUNCTION("""COMPUTED_VALUE"""),"치사의 사탑")</f>
        <v>치사의 사탑</v>
      </c>
      <c r="B1114" s="2" t="str">
        <f>IFERROR(__xludf.DUMMYFUNCTION("""COMPUTED_VALUE"""),"칠리 플레이크")</f>
        <v>칠리 플레이크</v>
      </c>
    </row>
    <row r="1115">
      <c r="A1115" s="2" t="str">
        <f>IFERROR(__xludf.DUMMYFUNCTION("""COMPUTED_VALUE"""),"치사의 사탑")</f>
        <v>치사의 사탑</v>
      </c>
      <c r="B1115" s="2" t="str">
        <f>IFERROR(__xludf.DUMMYFUNCTION("""COMPUTED_VALUE"""),"파슬리")</f>
        <v>파슬리</v>
      </c>
    </row>
    <row r="1116">
      <c r="A1116" s="2" t="str">
        <f>IFERROR(__xludf.DUMMYFUNCTION("""COMPUTED_VALUE"""),"치사의 사탑")</f>
        <v>치사의 사탑</v>
      </c>
      <c r="B1116" s="2" t="str">
        <f>IFERROR(__xludf.DUMMYFUNCTION("""COMPUTED_VALUE"""),"버터")</f>
        <v>버터</v>
      </c>
    </row>
    <row r="1117">
      <c r="A1117" s="2" t="str">
        <f>IFERROR(__xludf.DUMMYFUNCTION("""COMPUTED_VALUE"""),"치사의 사탑")</f>
        <v>치사의 사탑</v>
      </c>
      <c r="B1117" s="2" t="str">
        <f>IFERROR(__xludf.DUMMYFUNCTION("""COMPUTED_VALUE"""),"양파")</f>
        <v>양파</v>
      </c>
    </row>
    <row r="1118">
      <c r="A1118" s="2" t="str">
        <f>IFERROR(__xludf.DUMMYFUNCTION("""COMPUTED_VALUE"""),"치사의 사탑")</f>
        <v>치사의 사탑</v>
      </c>
      <c r="B1118" s="2" t="str">
        <f>IFERROR(__xludf.DUMMYFUNCTION("""COMPUTED_VALUE"""),"다진 마늘")</f>
        <v>다진 마늘</v>
      </c>
    </row>
    <row r="1119">
      <c r="A1119" s="2" t="str">
        <f>IFERROR(__xludf.DUMMYFUNCTION("""COMPUTED_VALUE"""),"치사의 사탑")</f>
        <v>치사의 사탑</v>
      </c>
      <c r="B1119" s="2" t="str">
        <f>IFERROR(__xludf.DUMMYFUNCTION("""COMPUTED_VALUE"""),"케첩")</f>
        <v>케첩</v>
      </c>
    </row>
    <row r="1120">
      <c r="A1120" s="2" t="str">
        <f>IFERROR(__xludf.DUMMYFUNCTION("""COMPUTED_VALUE"""),"치사의 사탑")</f>
        <v>치사의 사탑</v>
      </c>
      <c r="B1120" s="2" t="str">
        <f>IFERROR(__xludf.DUMMYFUNCTION("""COMPUTED_VALUE"""),"설탕")</f>
        <v>설탕</v>
      </c>
    </row>
    <row r="1121">
      <c r="A1121" s="2" t="str">
        <f>IFERROR(__xludf.DUMMYFUNCTION("""COMPUTED_VALUE"""),"와인퐁당")</f>
        <v>와인퐁당</v>
      </c>
      <c r="B1121" s="2" t="str">
        <f>IFERROR(__xludf.DUMMYFUNCTION("""COMPUTED_VALUE"""),"스모크 치즈")</f>
        <v>스모크 치즈</v>
      </c>
    </row>
    <row r="1122">
      <c r="A1122" s="2" t="str">
        <f>IFERROR(__xludf.DUMMYFUNCTION("""COMPUTED_VALUE"""),"와인퐁당")</f>
        <v>와인퐁당</v>
      </c>
      <c r="B1122" s="2" t="str">
        <f>IFERROR(__xludf.DUMMYFUNCTION("""COMPUTED_VALUE"""),"화이트 와인")</f>
        <v>화이트 와인</v>
      </c>
    </row>
    <row r="1123">
      <c r="A1123" s="2" t="str">
        <f>IFERROR(__xludf.DUMMYFUNCTION("""COMPUTED_VALUE"""),"와인퐁당")</f>
        <v>와인퐁당</v>
      </c>
      <c r="B1123" s="2" t="str">
        <f>IFERROR(__xludf.DUMMYFUNCTION("""COMPUTED_VALUE"""),"카망베르 치즈")</f>
        <v>카망베르 치즈</v>
      </c>
    </row>
    <row r="1124">
      <c r="A1124" s="2" t="str">
        <f>IFERROR(__xludf.DUMMYFUNCTION("""COMPUTED_VALUE"""),"와인퐁당")</f>
        <v>와인퐁당</v>
      </c>
      <c r="B1124" s="2" t="str">
        <f>IFERROR(__xludf.DUMMYFUNCTION("""COMPUTED_VALUE"""),"애호박")</f>
        <v>애호박</v>
      </c>
    </row>
    <row r="1125">
      <c r="A1125" s="2" t="str">
        <f>IFERROR(__xludf.DUMMYFUNCTION("""COMPUTED_VALUE"""),"와인퐁당")</f>
        <v>와인퐁당</v>
      </c>
      <c r="B1125" s="2" t="str">
        <f>IFERROR(__xludf.DUMMYFUNCTION("""COMPUTED_VALUE"""),"살치살")</f>
        <v>살치살</v>
      </c>
    </row>
    <row r="1126">
      <c r="A1126" s="2" t="str">
        <f>IFERROR(__xludf.DUMMYFUNCTION("""COMPUTED_VALUE"""),"와인퐁당")</f>
        <v>와인퐁당</v>
      </c>
      <c r="B1126" s="2" t="str">
        <f>IFERROR(__xludf.DUMMYFUNCTION("""COMPUTED_VALUE"""),"새우")</f>
        <v>새우</v>
      </c>
    </row>
    <row r="1127">
      <c r="A1127" s="2" t="str">
        <f>IFERROR(__xludf.DUMMYFUNCTION("""COMPUTED_VALUE"""),"와인퐁당")</f>
        <v>와인퐁당</v>
      </c>
      <c r="B1127" s="2" t="str">
        <f>IFERROR(__xludf.DUMMYFUNCTION("""COMPUTED_VALUE"""),"칠리 플레이크")</f>
        <v>칠리 플레이크</v>
      </c>
    </row>
    <row r="1128">
      <c r="A1128" s="2" t="str">
        <f>IFERROR(__xludf.DUMMYFUNCTION("""COMPUTED_VALUE"""),"와인퐁당")</f>
        <v>와인퐁당</v>
      </c>
      <c r="B1128" s="2" t="str">
        <f>IFERROR(__xludf.DUMMYFUNCTION("""COMPUTED_VALUE"""),"로즈마리")</f>
        <v>로즈마리</v>
      </c>
    </row>
    <row r="1129">
      <c r="A1129" s="2" t="str">
        <f>IFERROR(__xludf.DUMMYFUNCTION("""COMPUTED_VALUE"""),"와인퐁당")</f>
        <v>와인퐁당</v>
      </c>
      <c r="B1129" s="2" t="str">
        <f>IFERROR(__xludf.DUMMYFUNCTION("""COMPUTED_VALUE"""),"마늘")</f>
        <v>마늘</v>
      </c>
    </row>
    <row r="1130">
      <c r="A1130" s="2" t="str">
        <f>IFERROR(__xludf.DUMMYFUNCTION("""COMPUTED_VALUE"""),"우와한 양갈비")</f>
        <v>우와한 양갈비</v>
      </c>
      <c r="B1130" s="2" t="str">
        <f>IFERROR(__xludf.DUMMYFUNCTION("""COMPUTED_VALUE"""),"사과")</f>
        <v>사과</v>
      </c>
    </row>
    <row r="1131">
      <c r="A1131" s="2" t="str">
        <f>IFERROR(__xludf.DUMMYFUNCTION("""COMPUTED_VALUE"""),"우와한 양갈비")</f>
        <v>우와한 양갈비</v>
      </c>
      <c r="B1131" s="2" t="str">
        <f>IFERROR(__xludf.DUMMYFUNCTION("""COMPUTED_VALUE"""),"애호박")</f>
        <v>애호박</v>
      </c>
    </row>
    <row r="1132">
      <c r="A1132" s="2" t="str">
        <f>IFERROR(__xludf.DUMMYFUNCTION("""COMPUTED_VALUE"""),"우와한 양갈비")</f>
        <v>우와한 양갈비</v>
      </c>
      <c r="B1132" s="2" t="str">
        <f>IFERROR(__xludf.DUMMYFUNCTION("""COMPUTED_VALUE"""),"베이크드 빈")</f>
        <v>베이크드 빈</v>
      </c>
    </row>
    <row r="1133">
      <c r="A1133" s="2" t="str">
        <f>IFERROR(__xludf.DUMMYFUNCTION("""COMPUTED_VALUE"""),"우와한 양갈비")</f>
        <v>우와한 양갈비</v>
      </c>
      <c r="B1133" s="2" t="str">
        <f>IFERROR(__xludf.DUMMYFUNCTION("""COMPUTED_VALUE"""),"베이컨")</f>
        <v>베이컨</v>
      </c>
    </row>
    <row r="1134">
      <c r="A1134" s="2" t="str">
        <f>IFERROR(__xludf.DUMMYFUNCTION("""COMPUTED_VALUE"""),"우와한 양갈비")</f>
        <v>우와한 양갈비</v>
      </c>
      <c r="B1134" s="2" t="str">
        <f>IFERROR(__xludf.DUMMYFUNCTION("""COMPUTED_VALUE"""),"블랙 올리브")</f>
        <v>블랙 올리브</v>
      </c>
    </row>
    <row r="1135">
      <c r="A1135" s="2" t="str">
        <f>IFERROR(__xludf.DUMMYFUNCTION("""COMPUTED_VALUE"""),"우와한 양갈비")</f>
        <v>우와한 양갈비</v>
      </c>
      <c r="B1135" s="2" t="str">
        <f>IFERROR(__xludf.DUMMYFUNCTION("""COMPUTED_VALUE"""),"양갈비")</f>
        <v>양갈비</v>
      </c>
    </row>
    <row r="1136">
      <c r="A1136" s="2" t="str">
        <f>IFERROR(__xludf.DUMMYFUNCTION("""COMPUTED_VALUE"""),"우와한 양갈비")</f>
        <v>우와한 양갈비</v>
      </c>
      <c r="B1136" s="2" t="str">
        <f>IFERROR(__xludf.DUMMYFUNCTION("""COMPUTED_VALUE"""),"레드 와인")</f>
        <v>레드 와인</v>
      </c>
    </row>
    <row r="1137">
      <c r="A1137" s="2" t="str">
        <f>IFERROR(__xludf.DUMMYFUNCTION("""COMPUTED_VALUE"""),"우와한 양갈비")</f>
        <v>우와한 양갈비</v>
      </c>
      <c r="B1137" s="2" t="str">
        <f>IFERROR(__xludf.DUMMYFUNCTION("""COMPUTED_VALUE"""),"표고 버섯")</f>
        <v>표고 버섯</v>
      </c>
    </row>
    <row r="1138">
      <c r="A1138" s="2" t="str">
        <f>IFERROR(__xludf.DUMMYFUNCTION("""COMPUTED_VALUE"""),"우와한 양갈비")</f>
        <v>우와한 양갈비</v>
      </c>
      <c r="B1138" s="2" t="str">
        <f>IFERROR(__xludf.DUMMYFUNCTION("""COMPUTED_VALUE"""),"로즈마리")</f>
        <v>로즈마리</v>
      </c>
    </row>
    <row r="1139">
      <c r="A1139" s="2" t="str">
        <f>IFERROR(__xludf.DUMMYFUNCTION("""COMPUTED_VALUE"""),"우와한 양갈비")</f>
        <v>우와한 양갈비</v>
      </c>
      <c r="B1139" s="2" t="str">
        <f>IFERROR(__xludf.DUMMYFUNCTION("""COMPUTED_VALUE"""),"파슬리")</f>
        <v>파슬리</v>
      </c>
    </row>
    <row r="1140">
      <c r="A1140" s="2" t="str">
        <f>IFERROR(__xludf.DUMMYFUNCTION("""COMPUTED_VALUE"""),"우와한 양갈비")</f>
        <v>우와한 양갈비</v>
      </c>
      <c r="B1140" s="2" t="str">
        <f>IFERROR(__xludf.DUMMYFUNCTION("""COMPUTED_VALUE"""),"칠리 플레이크")</f>
        <v>칠리 플레이크</v>
      </c>
    </row>
    <row r="1141">
      <c r="A1141" s="2" t="str">
        <f>IFERROR(__xludf.DUMMYFUNCTION("""COMPUTED_VALUE"""),"우와한 양갈비")</f>
        <v>우와한 양갈비</v>
      </c>
      <c r="B1141" s="2" t="str">
        <f>IFERROR(__xludf.DUMMYFUNCTION("""COMPUTED_VALUE"""),"양꼬치 분말 소스")</f>
        <v>양꼬치 분말 소스</v>
      </c>
    </row>
    <row r="1142">
      <c r="A1142" s="2" t="str">
        <f>IFERROR(__xludf.DUMMYFUNCTION("""COMPUTED_VALUE"""),"우와한 양갈비")</f>
        <v>우와한 양갈비</v>
      </c>
      <c r="B1142" s="2" t="str">
        <f>IFERROR(__xludf.DUMMYFUNCTION("""COMPUTED_VALUE"""),"버터")</f>
        <v>버터</v>
      </c>
    </row>
    <row r="1143">
      <c r="A1143" s="2" t="str">
        <f>IFERROR(__xludf.DUMMYFUNCTION("""COMPUTED_VALUE"""),"우와한 양갈비")</f>
        <v>우와한 양갈비</v>
      </c>
      <c r="B1143" s="2" t="str">
        <f>IFERROR(__xludf.DUMMYFUNCTION("""COMPUTED_VALUE"""),"소금")</f>
        <v>소금</v>
      </c>
    </row>
    <row r="1144">
      <c r="A1144" s="2" t="str">
        <f>IFERROR(__xludf.DUMMYFUNCTION("""COMPUTED_VALUE"""),"우와한 양갈비")</f>
        <v>우와한 양갈비</v>
      </c>
      <c r="B1144" s="2" t="str">
        <f>IFERROR(__xludf.DUMMYFUNCTION("""COMPUTED_VALUE"""),"후추")</f>
        <v>후추</v>
      </c>
    </row>
    <row r="1145">
      <c r="A1145" s="2" t="str">
        <f>IFERROR(__xludf.DUMMYFUNCTION("""COMPUTED_VALUE"""),"우와한 양갈비")</f>
        <v>우와한 양갈비</v>
      </c>
      <c r="B1145" s="2" t="str">
        <f>IFERROR(__xludf.DUMMYFUNCTION("""COMPUTED_VALUE"""),"다진 마늘")</f>
        <v>다진 마늘</v>
      </c>
    </row>
    <row r="1146">
      <c r="A1146" s="2" t="str">
        <f>IFERROR(__xludf.DUMMYFUNCTION("""COMPUTED_VALUE"""),"우와한 양갈비")</f>
        <v>우와한 양갈비</v>
      </c>
      <c r="B1146" s="2" t="str">
        <f>IFERROR(__xludf.DUMMYFUNCTION("""COMPUTED_VALUE"""),"식용유")</f>
        <v>식용유</v>
      </c>
    </row>
    <row r="1147">
      <c r="A1147" s="2" t="str">
        <f>IFERROR(__xludf.DUMMYFUNCTION("""COMPUTED_VALUE"""),"이길 만두 하자냐")</f>
        <v>이길 만두 하자냐</v>
      </c>
      <c r="B1147" s="2" t="str">
        <f>IFERROR(__xludf.DUMMYFUNCTION("""COMPUTED_VALUE"""),"새우 물만두")</f>
        <v>새우 물만두</v>
      </c>
    </row>
    <row r="1148">
      <c r="A1148" s="2" t="str">
        <f>IFERROR(__xludf.DUMMYFUNCTION("""COMPUTED_VALUE"""),"이길 만두 하자냐")</f>
        <v>이길 만두 하자냐</v>
      </c>
      <c r="B1148" s="2" t="str">
        <f>IFERROR(__xludf.DUMMYFUNCTION("""COMPUTED_VALUE"""),"배추김치")</f>
        <v>배추김치</v>
      </c>
    </row>
    <row r="1149">
      <c r="A1149" s="2" t="str">
        <f>IFERROR(__xludf.DUMMYFUNCTION("""COMPUTED_VALUE"""),"이길 만두 하자냐")</f>
        <v>이길 만두 하자냐</v>
      </c>
      <c r="B1149" s="2" t="str">
        <f>IFERROR(__xludf.DUMMYFUNCTION("""COMPUTED_VALUE"""),"방울토마토")</f>
        <v>방울토마토</v>
      </c>
    </row>
    <row r="1150">
      <c r="A1150" s="2" t="str">
        <f>IFERROR(__xludf.DUMMYFUNCTION("""COMPUTED_VALUE"""),"이길 만두 하자냐")</f>
        <v>이길 만두 하자냐</v>
      </c>
      <c r="B1150" s="2" t="str">
        <f>IFERROR(__xludf.DUMMYFUNCTION("""COMPUTED_VALUE"""),"양송이 수프 통조림")</f>
        <v>양송이 수프 통조림</v>
      </c>
    </row>
    <row r="1151">
      <c r="A1151" s="2" t="str">
        <f>IFERROR(__xludf.DUMMYFUNCTION("""COMPUTED_VALUE"""),"이길 만두 하자냐")</f>
        <v>이길 만두 하자냐</v>
      </c>
      <c r="B1151" s="2" t="str">
        <f>IFERROR(__xludf.DUMMYFUNCTION("""COMPUTED_VALUE"""),"모차렐라 치즈")</f>
        <v>모차렐라 치즈</v>
      </c>
    </row>
    <row r="1152">
      <c r="A1152" s="2" t="str">
        <f>IFERROR(__xludf.DUMMYFUNCTION("""COMPUTED_VALUE"""),"이길 만두 하자냐")</f>
        <v>이길 만두 하자냐</v>
      </c>
      <c r="B1152" s="2" t="str">
        <f>IFERROR(__xludf.DUMMYFUNCTION("""COMPUTED_VALUE"""),"찬밥")</f>
        <v>찬밥</v>
      </c>
    </row>
    <row r="1153">
      <c r="A1153" s="2" t="str">
        <f>IFERROR(__xludf.DUMMYFUNCTION("""COMPUTED_VALUE"""),"이길 만두 하자냐")</f>
        <v>이길 만두 하자냐</v>
      </c>
      <c r="B1153" s="2" t="str">
        <f>IFERROR(__xludf.DUMMYFUNCTION("""COMPUTED_VALUE"""),"버터")</f>
        <v>버터</v>
      </c>
    </row>
    <row r="1154">
      <c r="A1154" s="2" t="str">
        <f>IFERROR(__xludf.DUMMYFUNCTION("""COMPUTED_VALUE"""),"이길 만두 하자냐")</f>
        <v>이길 만두 하자냐</v>
      </c>
      <c r="B1154" s="2" t="str">
        <f>IFERROR(__xludf.DUMMYFUNCTION("""COMPUTED_VALUE"""),"고추장")</f>
        <v>고추장</v>
      </c>
    </row>
    <row r="1155">
      <c r="A1155" s="2" t="str">
        <f>IFERROR(__xludf.DUMMYFUNCTION("""COMPUTED_VALUE"""),"이길 만두 하자냐")</f>
        <v>이길 만두 하자냐</v>
      </c>
      <c r="B1155" s="2" t="str">
        <f>IFERROR(__xludf.DUMMYFUNCTION("""COMPUTED_VALUE"""),"설탕")</f>
        <v>설탕</v>
      </c>
    </row>
    <row r="1156">
      <c r="A1156" s="2" t="str">
        <f>IFERROR(__xludf.DUMMYFUNCTION("""COMPUTED_VALUE"""),"복꽃엔딩")</f>
        <v>복꽃엔딩</v>
      </c>
      <c r="B1156" s="2" t="str">
        <f>IFERROR(__xludf.DUMMYFUNCTION("""COMPUTED_VALUE"""),"달걀")</f>
        <v>달걀</v>
      </c>
    </row>
    <row r="1157">
      <c r="A1157" s="2" t="str">
        <f>IFERROR(__xludf.DUMMYFUNCTION("""COMPUTED_VALUE"""),"복꽃엔딩")</f>
        <v>복꽃엔딩</v>
      </c>
      <c r="B1157" s="2" t="str">
        <f>IFERROR(__xludf.DUMMYFUNCTION("""COMPUTED_VALUE"""),"배추김치")</f>
        <v>배추김치</v>
      </c>
    </row>
    <row r="1158">
      <c r="A1158" s="2" t="str">
        <f>IFERROR(__xludf.DUMMYFUNCTION("""COMPUTED_VALUE"""),"복꽃엔딩")</f>
        <v>복꽃엔딩</v>
      </c>
      <c r="B1158" s="2" t="str">
        <f>IFERROR(__xludf.DUMMYFUNCTION("""COMPUTED_VALUE"""),"표고버섯")</f>
        <v>표고버섯</v>
      </c>
    </row>
    <row r="1159">
      <c r="A1159" s="2" t="str">
        <f>IFERROR(__xludf.DUMMYFUNCTION("""COMPUTED_VALUE"""),"복꽃엔딩")</f>
        <v>복꽃엔딩</v>
      </c>
      <c r="B1159" s="2" t="str">
        <f>IFERROR(__xludf.DUMMYFUNCTION("""COMPUTED_VALUE"""),"돼지고기")</f>
        <v>돼지고기</v>
      </c>
    </row>
    <row r="1160">
      <c r="A1160" s="2" t="str">
        <f>IFERROR(__xludf.DUMMYFUNCTION("""COMPUTED_VALUE"""),"복꽃엔딩")</f>
        <v>복꽃엔딩</v>
      </c>
      <c r="B1160" s="2" t="str">
        <f>IFERROR(__xludf.DUMMYFUNCTION("""COMPUTED_VALUE"""),"오징어")</f>
        <v>오징어</v>
      </c>
    </row>
    <row r="1161">
      <c r="A1161" s="2" t="str">
        <f>IFERROR(__xludf.DUMMYFUNCTION("""COMPUTED_VALUE"""),"복꽃엔딩")</f>
        <v>복꽃엔딩</v>
      </c>
      <c r="B1161" s="2" t="str">
        <f>IFERROR(__xludf.DUMMYFUNCTION("""COMPUTED_VALUE"""),"굴소스")</f>
        <v>굴소스</v>
      </c>
    </row>
    <row r="1162">
      <c r="A1162" s="2" t="str">
        <f>IFERROR(__xludf.DUMMYFUNCTION("""COMPUTED_VALUE"""),"복꽃엔딩")</f>
        <v>복꽃엔딩</v>
      </c>
      <c r="B1162" s="2" t="str">
        <f>IFERROR(__xludf.DUMMYFUNCTION("""COMPUTED_VALUE"""),"식용유")</f>
        <v>식용유</v>
      </c>
    </row>
    <row r="1163">
      <c r="A1163" s="2" t="str">
        <f>IFERROR(__xludf.DUMMYFUNCTION("""COMPUTED_VALUE"""),"복꽃엔딩")</f>
        <v>복꽃엔딩</v>
      </c>
      <c r="B1163" s="2" t="str">
        <f>IFERROR(__xludf.DUMMYFUNCTION("""COMPUTED_VALUE"""),"전분")</f>
        <v>전분</v>
      </c>
    </row>
    <row r="1164">
      <c r="A1164" s="2" t="str">
        <f>IFERROR(__xludf.DUMMYFUNCTION("""COMPUTED_VALUE"""),"복꽃엔딩")</f>
        <v>복꽃엔딩</v>
      </c>
      <c r="B1164" s="2" t="str">
        <f>IFERROR(__xludf.DUMMYFUNCTION("""COMPUTED_VALUE"""),"소금")</f>
        <v>소금</v>
      </c>
    </row>
    <row r="1165">
      <c r="A1165" s="2" t="str">
        <f>IFERROR(__xludf.DUMMYFUNCTION("""COMPUTED_VALUE"""),"복꽃엔딩")</f>
        <v>복꽃엔딩</v>
      </c>
      <c r="B1165" s="2" t="str">
        <f>IFERROR(__xludf.DUMMYFUNCTION("""COMPUTED_VALUE"""),"양파")</f>
        <v>양파</v>
      </c>
    </row>
    <row r="1166">
      <c r="A1166" s="2" t="str">
        <f>IFERROR(__xludf.DUMMYFUNCTION("""COMPUTED_VALUE"""),"복꽃엔딩")</f>
        <v>복꽃엔딩</v>
      </c>
      <c r="B1166" s="2" t="str">
        <f>IFERROR(__xludf.DUMMYFUNCTION("""COMPUTED_VALUE"""),"설탕")</f>
        <v>설탕</v>
      </c>
    </row>
    <row r="1167">
      <c r="A1167" s="2" t="str">
        <f>IFERROR(__xludf.DUMMYFUNCTION("""COMPUTED_VALUE"""),"복꽃엔딩")</f>
        <v>복꽃엔딩</v>
      </c>
      <c r="B1167" s="2" t="str">
        <f>IFERROR(__xludf.DUMMYFUNCTION("""COMPUTED_VALUE"""),"밀가루")</f>
        <v>밀가루</v>
      </c>
    </row>
    <row r="1168">
      <c r="A1168" s="2" t="str">
        <f>IFERROR(__xludf.DUMMYFUNCTION("""COMPUTED_VALUE"""),"맹모닝")</f>
        <v>맹모닝</v>
      </c>
      <c r="B1168" s="2" t="str">
        <f>IFERROR(__xludf.DUMMYFUNCTION("""COMPUTED_VALUE"""),"꽁치 통조림")</f>
        <v>꽁치 통조림</v>
      </c>
    </row>
    <row r="1169">
      <c r="A1169" s="2" t="str">
        <f>IFERROR(__xludf.DUMMYFUNCTION("""COMPUTED_VALUE"""),"맹모닝")</f>
        <v>맹모닝</v>
      </c>
      <c r="B1169" s="2" t="str">
        <f>IFERROR(__xludf.DUMMYFUNCTION("""COMPUTED_VALUE"""),"오렌지")</f>
        <v>오렌지</v>
      </c>
    </row>
    <row r="1170">
      <c r="A1170" s="2" t="str">
        <f>IFERROR(__xludf.DUMMYFUNCTION("""COMPUTED_VALUE"""),"맹모닝")</f>
        <v>맹모닝</v>
      </c>
      <c r="B1170" s="2" t="str">
        <f>IFERROR(__xludf.DUMMYFUNCTION("""COMPUTED_VALUE"""),"레몬 식초")</f>
        <v>레몬 식초</v>
      </c>
    </row>
    <row r="1171">
      <c r="A1171" s="2" t="str">
        <f>IFERROR(__xludf.DUMMYFUNCTION("""COMPUTED_VALUE"""),"맹모닝")</f>
        <v>맹모닝</v>
      </c>
      <c r="B1171" s="2" t="str">
        <f>IFERROR(__xludf.DUMMYFUNCTION("""COMPUTED_VALUE"""),"식빵")</f>
        <v>식빵</v>
      </c>
    </row>
    <row r="1172">
      <c r="A1172" s="2" t="str">
        <f>IFERROR(__xludf.DUMMYFUNCTION("""COMPUTED_VALUE"""),"맹모닝")</f>
        <v>맹모닝</v>
      </c>
      <c r="B1172" s="2" t="str">
        <f>IFERROR(__xludf.DUMMYFUNCTION("""COMPUTED_VALUE"""),"토마토")</f>
        <v>토마토</v>
      </c>
    </row>
    <row r="1173">
      <c r="A1173" s="2" t="str">
        <f>IFERROR(__xludf.DUMMYFUNCTION("""COMPUTED_VALUE"""),"맹모닝")</f>
        <v>맹모닝</v>
      </c>
      <c r="B1173" s="2" t="str">
        <f>IFERROR(__xludf.DUMMYFUNCTION("""COMPUTED_VALUE"""),"양송이 수프 통조림")</f>
        <v>양송이 수프 통조림</v>
      </c>
    </row>
    <row r="1174">
      <c r="A1174" s="2" t="str">
        <f>IFERROR(__xludf.DUMMYFUNCTION("""COMPUTED_VALUE"""),"맹모닝")</f>
        <v>맹모닝</v>
      </c>
      <c r="B1174" s="2" t="str">
        <f>IFERROR(__xludf.DUMMYFUNCTION("""COMPUTED_VALUE"""),"배추김치")</f>
        <v>배추김치</v>
      </c>
    </row>
    <row r="1175">
      <c r="A1175" s="2" t="str">
        <f>IFERROR(__xludf.DUMMYFUNCTION("""COMPUTED_VALUE"""),"맹모닝")</f>
        <v>맹모닝</v>
      </c>
      <c r="B1175" s="2" t="str">
        <f>IFERROR(__xludf.DUMMYFUNCTION("""COMPUTED_VALUE"""),"열무김치")</f>
        <v>열무김치</v>
      </c>
    </row>
    <row r="1176">
      <c r="A1176" s="2" t="str">
        <f>IFERROR(__xludf.DUMMYFUNCTION("""COMPUTED_VALUE"""),"맹모닝")</f>
        <v>맹모닝</v>
      </c>
      <c r="B1176" s="2" t="str">
        <f>IFERROR(__xludf.DUMMYFUNCTION("""COMPUTED_VALUE"""),"옥수수 통조림")</f>
        <v>옥수수 통조림</v>
      </c>
    </row>
    <row r="1177">
      <c r="A1177" s="2" t="str">
        <f>IFERROR(__xludf.DUMMYFUNCTION("""COMPUTED_VALUE"""),"맹모닝")</f>
        <v>맹모닝</v>
      </c>
      <c r="B1177" s="2" t="str">
        <f>IFERROR(__xludf.DUMMYFUNCTION("""COMPUTED_VALUE"""),"잣")</f>
        <v>잣</v>
      </c>
    </row>
    <row r="1178">
      <c r="A1178" s="2" t="str">
        <f>IFERROR(__xludf.DUMMYFUNCTION("""COMPUTED_VALUE"""),"맹모닝")</f>
        <v>맹모닝</v>
      </c>
      <c r="B1178" s="2" t="str">
        <f>IFERROR(__xludf.DUMMYFUNCTION("""COMPUTED_VALUE"""),"슬라이스 치즈")</f>
        <v>슬라이스 치즈</v>
      </c>
    </row>
    <row r="1179">
      <c r="A1179" s="2" t="str">
        <f>IFERROR(__xludf.DUMMYFUNCTION("""COMPUTED_VALUE"""),"맹모닝")</f>
        <v>맹모닝</v>
      </c>
      <c r="B1179" s="2" t="str">
        <f>IFERROR(__xludf.DUMMYFUNCTION("""COMPUTED_VALUE"""),"다진 피클")</f>
        <v>다진 피클</v>
      </c>
    </row>
    <row r="1180">
      <c r="A1180" s="2" t="str">
        <f>IFERROR(__xludf.DUMMYFUNCTION("""COMPUTED_VALUE"""),"맹모닝")</f>
        <v>맹모닝</v>
      </c>
      <c r="B1180" s="2" t="str">
        <f>IFERROR(__xludf.DUMMYFUNCTION("""COMPUTED_VALUE"""),"양파")</f>
        <v>양파</v>
      </c>
    </row>
    <row r="1181">
      <c r="A1181" s="2" t="str">
        <f>IFERROR(__xludf.DUMMYFUNCTION("""COMPUTED_VALUE"""),"맹모닝")</f>
        <v>맹모닝</v>
      </c>
      <c r="B1181" s="2" t="str">
        <f>IFERROR(__xludf.DUMMYFUNCTION("""COMPUTED_VALUE"""),"소금")</f>
        <v>소금</v>
      </c>
    </row>
    <row r="1182">
      <c r="A1182" s="2" t="str">
        <f>IFERROR(__xludf.DUMMYFUNCTION("""COMPUTED_VALUE"""),"맹모닝")</f>
        <v>맹모닝</v>
      </c>
      <c r="B1182" s="2" t="str">
        <f>IFERROR(__xludf.DUMMYFUNCTION("""COMPUTED_VALUE"""),"청양고추")</f>
        <v>청양고추</v>
      </c>
    </row>
    <row r="1183">
      <c r="A1183" s="2" t="str">
        <f>IFERROR(__xludf.DUMMYFUNCTION("""COMPUTED_VALUE"""),"맹모닝")</f>
        <v>맹모닝</v>
      </c>
      <c r="B1183" s="2" t="str">
        <f>IFERROR(__xludf.DUMMYFUNCTION("""COMPUTED_VALUE"""),"후추")</f>
        <v>후추</v>
      </c>
    </row>
    <row r="1184">
      <c r="A1184" s="2" t="str">
        <f>IFERROR(__xludf.DUMMYFUNCTION("""COMPUTED_VALUE"""),"맹모닝")</f>
        <v>맹모닝</v>
      </c>
      <c r="B1184" s="2" t="str">
        <f>IFERROR(__xludf.DUMMYFUNCTION("""COMPUTED_VALUE"""),"다진 마늘")</f>
        <v>다진 마늘</v>
      </c>
    </row>
    <row r="1185">
      <c r="A1185" s="2" t="str">
        <f>IFERROR(__xludf.DUMMYFUNCTION("""COMPUTED_VALUE"""),"맹모닝")</f>
        <v>맹모닝</v>
      </c>
      <c r="B1185" s="2" t="str">
        <f>IFERROR(__xludf.DUMMYFUNCTION("""COMPUTED_VALUE"""),"당근")</f>
        <v>당근</v>
      </c>
    </row>
    <row r="1186">
      <c r="A1186" s="2" t="str">
        <f>IFERROR(__xludf.DUMMYFUNCTION("""COMPUTED_VALUE"""),"맹모닝")</f>
        <v>맹모닝</v>
      </c>
      <c r="B1186" s="2" t="str">
        <f>IFERROR(__xludf.DUMMYFUNCTION("""COMPUTED_VALUE"""),"마요네즈")</f>
        <v>마요네즈</v>
      </c>
    </row>
    <row r="1187">
      <c r="A1187" s="2" t="str">
        <f>IFERROR(__xludf.DUMMYFUNCTION("""COMPUTED_VALUE"""),"LA 떡다져스")</f>
        <v>LA 떡다져스</v>
      </c>
      <c r="B1187" s="2" t="str">
        <f>IFERROR(__xludf.DUMMYFUNCTION("""COMPUTED_VALUE"""),"소고기")</f>
        <v>소고기</v>
      </c>
    </row>
    <row r="1188">
      <c r="A1188" s="2" t="str">
        <f>IFERROR(__xludf.DUMMYFUNCTION("""COMPUTED_VALUE"""),"LA 떡다져스")</f>
        <v>LA 떡다져스</v>
      </c>
      <c r="B1188" s="2" t="str">
        <f>IFERROR(__xludf.DUMMYFUNCTION("""COMPUTED_VALUE"""),"떡국떡")</f>
        <v>떡국떡</v>
      </c>
    </row>
    <row r="1189">
      <c r="A1189" s="2" t="str">
        <f>IFERROR(__xludf.DUMMYFUNCTION("""COMPUTED_VALUE"""),"LA 떡다져스")</f>
        <v>LA 떡다져스</v>
      </c>
      <c r="B1189" s="2" t="str">
        <f>IFERROR(__xludf.DUMMYFUNCTION("""COMPUTED_VALUE"""),"표고버섯")</f>
        <v>표고버섯</v>
      </c>
    </row>
    <row r="1190">
      <c r="A1190" s="2" t="str">
        <f>IFERROR(__xludf.DUMMYFUNCTION("""COMPUTED_VALUE"""),"LA 떡다져스")</f>
        <v>LA 떡다져스</v>
      </c>
      <c r="B1190" s="2" t="str">
        <f>IFERROR(__xludf.DUMMYFUNCTION("""COMPUTED_VALUE"""),"관자구이 제품")</f>
        <v>관자구이 제품</v>
      </c>
    </row>
    <row r="1191">
      <c r="A1191" s="2" t="str">
        <f>IFERROR(__xludf.DUMMYFUNCTION("""COMPUTED_VALUE"""),"LA 떡다져스")</f>
        <v>LA 떡다져스</v>
      </c>
      <c r="B1191" s="2" t="str">
        <f>IFERROR(__xludf.DUMMYFUNCTION("""COMPUTED_VALUE"""),"갈릭&amp;차이브 치즈")</f>
        <v>갈릭&amp;차이브 치즈</v>
      </c>
    </row>
    <row r="1192">
      <c r="A1192" s="2" t="str">
        <f>IFERROR(__xludf.DUMMYFUNCTION("""COMPUTED_VALUE"""),"LA 떡다져스")</f>
        <v>LA 떡다져스</v>
      </c>
      <c r="B1192" s="2" t="str">
        <f>IFERROR(__xludf.DUMMYFUNCTION("""COMPUTED_VALUE"""),"맛간장")</f>
        <v>맛간장</v>
      </c>
    </row>
    <row r="1193">
      <c r="A1193" s="2" t="str">
        <f>IFERROR(__xludf.DUMMYFUNCTION("""COMPUTED_VALUE"""),"LA 떡다져스")</f>
        <v>LA 떡다져스</v>
      </c>
      <c r="B1193" s="2" t="str">
        <f>IFERROR(__xludf.DUMMYFUNCTION("""COMPUTED_VALUE"""),"모차렐라 치즈")</f>
        <v>모차렐라 치즈</v>
      </c>
    </row>
    <row r="1194">
      <c r="A1194" s="2" t="str">
        <f>IFERROR(__xludf.DUMMYFUNCTION("""COMPUTED_VALUE"""),"LA 떡다져스")</f>
        <v>LA 떡다져스</v>
      </c>
      <c r="B1194" s="2" t="str">
        <f>IFERROR(__xludf.DUMMYFUNCTION("""COMPUTED_VALUE"""),"잣")</f>
        <v>잣</v>
      </c>
    </row>
    <row r="1195">
      <c r="A1195" s="2" t="str">
        <f>IFERROR(__xludf.DUMMYFUNCTION("""COMPUTED_VALUE"""),"LA 떡다져스")</f>
        <v>LA 떡다져스</v>
      </c>
      <c r="B1195" s="2" t="str">
        <f>IFERROR(__xludf.DUMMYFUNCTION("""COMPUTED_VALUE"""),"간장")</f>
        <v>간장</v>
      </c>
    </row>
    <row r="1196">
      <c r="A1196" s="2" t="str">
        <f>IFERROR(__xludf.DUMMYFUNCTION("""COMPUTED_VALUE"""),"LA 떡다져스")</f>
        <v>LA 떡다져스</v>
      </c>
      <c r="B1196" s="2" t="str">
        <f>IFERROR(__xludf.DUMMYFUNCTION("""COMPUTED_VALUE"""),"설탕")</f>
        <v>설탕</v>
      </c>
    </row>
    <row r="1197">
      <c r="A1197" s="2" t="str">
        <f>IFERROR(__xludf.DUMMYFUNCTION("""COMPUTED_VALUE"""),"LA 떡다져스")</f>
        <v>LA 떡다져스</v>
      </c>
      <c r="B1197" s="2" t="str">
        <f>IFERROR(__xludf.DUMMYFUNCTION("""COMPUTED_VALUE"""),"다진 마늘")</f>
        <v>다진 마늘</v>
      </c>
    </row>
    <row r="1198">
      <c r="A1198" s="2" t="str">
        <f>IFERROR(__xludf.DUMMYFUNCTION("""COMPUTED_VALUE"""),"LA 떡다져스")</f>
        <v>LA 떡다져스</v>
      </c>
      <c r="B1198" s="2" t="str">
        <f>IFERROR(__xludf.DUMMYFUNCTION("""COMPUTED_VALUE"""),"참기름")</f>
        <v>참기름</v>
      </c>
    </row>
    <row r="1199">
      <c r="A1199" s="2" t="str">
        <f>IFERROR(__xludf.DUMMYFUNCTION("""COMPUTED_VALUE"""),"LA 떡다져스")</f>
        <v>LA 떡다져스</v>
      </c>
      <c r="B1199" s="2" t="str">
        <f>IFERROR(__xludf.DUMMYFUNCTION("""COMPUTED_VALUE"""),"깨")</f>
        <v>깨</v>
      </c>
    </row>
    <row r="1200">
      <c r="A1200" s="2" t="str">
        <f>IFERROR(__xludf.DUMMYFUNCTION("""COMPUTED_VALUE"""),"LA 떡다져스")</f>
        <v>LA 떡다져스</v>
      </c>
      <c r="B1200" s="2" t="str">
        <f>IFERROR(__xludf.DUMMYFUNCTION("""COMPUTED_VALUE"""),"파")</f>
        <v>파</v>
      </c>
    </row>
    <row r="1201">
      <c r="A1201" s="2" t="str">
        <f>IFERROR(__xludf.DUMMYFUNCTION("""COMPUTED_VALUE"""),"LA 떡다져스")</f>
        <v>LA 떡다져스</v>
      </c>
      <c r="B1201" s="2" t="str">
        <f>IFERROR(__xludf.DUMMYFUNCTION("""COMPUTED_VALUE"""),"양파")</f>
        <v>양파</v>
      </c>
    </row>
    <row r="1202">
      <c r="A1202" s="2" t="str">
        <f>IFERROR(__xludf.DUMMYFUNCTION("""COMPUTED_VALUE"""),"혜.품.닭")</f>
        <v>혜.품.닭</v>
      </c>
      <c r="B1202" s="2" t="str">
        <f>IFERROR(__xludf.DUMMYFUNCTION("""COMPUTED_VALUE"""),"닭가슴살")</f>
        <v>닭가슴살</v>
      </c>
    </row>
    <row r="1203">
      <c r="A1203" s="2" t="str">
        <f>IFERROR(__xludf.DUMMYFUNCTION("""COMPUTED_VALUE"""),"혜.품.닭")</f>
        <v>혜.품.닭</v>
      </c>
      <c r="B1203" s="2" t="str">
        <f>IFERROR(__xludf.DUMMYFUNCTION("""COMPUTED_VALUE"""),"리코타 치즈")</f>
        <v>리코타 치즈</v>
      </c>
    </row>
    <row r="1204">
      <c r="A1204" s="2" t="str">
        <f>IFERROR(__xludf.DUMMYFUNCTION("""COMPUTED_VALUE"""),"혜.품.닭")</f>
        <v>혜.품.닭</v>
      </c>
      <c r="B1204" s="2" t="str">
        <f>IFERROR(__xludf.DUMMYFUNCTION("""COMPUTED_VALUE"""),"크림 치즈")</f>
        <v>크림 치즈</v>
      </c>
    </row>
    <row r="1205">
      <c r="A1205" s="2" t="str">
        <f>IFERROR(__xludf.DUMMYFUNCTION("""COMPUTED_VALUE"""),"혜.품.닭")</f>
        <v>혜.품.닭</v>
      </c>
      <c r="B1205" s="2" t="str">
        <f>IFERROR(__xludf.DUMMYFUNCTION("""COMPUTED_VALUE"""),"말린 크랜베리")</f>
        <v>말린 크랜베리</v>
      </c>
    </row>
    <row r="1206">
      <c r="A1206" s="2" t="str">
        <f>IFERROR(__xludf.DUMMYFUNCTION("""COMPUTED_VALUE"""),"혜.품.닭")</f>
        <v>혜.품.닭</v>
      </c>
      <c r="B1206" s="2" t="str">
        <f>IFERROR(__xludf.DUMMYFUNCTION("""COMPUTED_VALUE"""),"가쓰오부시")</f>
        <v>가쓰오부시</v>
      </c>
    </row>
    <row r="1207">
      <c r="A1207" s="2" t="str">
        <f>IFERROR(__xludf.DUMMYFUNCTION("""COMPUTED_VALUE"""),"혜.품.닭")</f>
        <v>혜.품.닭</v>
      </c>
      <c r="B1207" s="2" t="str">
        <f>IFERROR(__xludf.DUMMYFUNCTION("""COMPUTED_VALUE"""),"샤프란")</f>
        <v>샤프란</v>
      </c>
    </row>
    <row r="1208">
      <c r="A1208" s="2" t="str">
        <f>IFERROR(__xludf.DUMMYFUNCTION("""COMPUTED_VALUE"""),"혜.품.닭")</f>
        <v>혜.품.닭</v>
      </c>
      <c r="B1208" s="2" t="str">
        <f>IFERROR(__xludf.DUMMYFUNCTION("""COMPUTED_VALUE"""),"생크림")</f>
        <v>생크림</v>
      </c>
    </row>
    <row r="1209">
      <c r="A1209" s="2" t="str">
        <f>IFERROR(__xludf.DUMMYFUNCTION("""COMPUTED_VALUE"""),"혜.품.닭")</f>
        <v>혜.품.닭</v>
      </c>
      <c r="B1209" s="2" t="str">
        <f>IFERROR(__xludf.DUMMYFUNCTION("""COMPUTED_VALUE"""),"파슬리")</f>
        <v>파슬리</v>
      </c>
    </row>
    <row r="1210">
      <c r="A1210" s="2" t="str">
        <f>IFERROR(__xludf.DUMMYFUNCTION("""COMPUTED_VALUE"""),"혜.품.닭")</f>
        <v>혜.품.닭</v>
      </c>
      <c r="B1210" s="2" t="str">
        <f>IFERROR(__xludf.DUMMYFUNCTION("""COMPUTED_VALUE"""),"소금")</f>
        <v>소금</v>
      </c>
    </row>
    <row r="1211">
      <c r="A1211" s="2" t="str">
        <f>IFERROR(__xludf.DUMMYFUNCTION("""COMPUTED_VALUE"""),"혜.품.닭")</f>
        <v>혜.품.닭</v>
      </c>
      <c r="B1211" s="2" t="str">
        <f>IFERROR(__xludf.DUMMYFUNCTION("""COMPUTED_VALUE"""),"화이트 와인")</f>
        <v>화이트 와인</v>
      </c>
    </row>
    <row r="1212">
      <c r="A1212" s="2" t="str">
        <f>IFERROR(__xludf.DUMMYFUNCTION("""COMPUTED_VALUE"""),"커룽지")</f>
        <v>커룽지</v>
      </c>
      <c r="B1212" s="2" t="str">
        <f>IFERROR(__xludf.DUMMYFUNCTION("""COMPUTED_VALUE"""),"페페론치노")</f>
        <v>페페론치노</v>
      </c>
    </row>
    <row r="1213">
      <c r="A1213" s="2" t="str">
        <f>IFERROR(__xludf.DUMMYFUNCTION("""COMPUTED_VALUE"""),"커룽지")</f>
        <v>커룽지</v>
      </c>
      <c r="B1213" s="2" t="str">
        <f>IFERROR(__xludf.DUMMYFUNCTION("""COMPUTED_VALUE"""),"레드 페퍼")</f>
        <v>레드 페퍼</v>
      </c>
    </row>
    <row r="1214">
      <c r="A1214" s="2" t="str">
        <f>IFERROR(__xludf.DUMMYFUNCTION("""COMPUTED_VALUE"""),"커룽지")</f>
        <v>커룽지</v>
      </c>
      <c r="B1214" s="2" t="str">
        <f>IFERROR(__xludf.DUMMYFUNCTION("""COMPUTED_VALUE"""),"커리 가루")</f>
        <v>커리 가루</v>
      </c>
    </row>
    <row r="1215">
      <c r="A1215" s="2" t="str">
        <f>IFERROR(__xludf.DUMMYFUNCTION("""COMPUTED_VALUE"""),"커룽지")</f>
        <v>커룽지</v>
      </c>
      <c r="B1215" s="2" t="str">
        <f>IFERROR(__xludf.DUMMYFUNCTION("""COMPUTED_VALUE"""),"코코넛 밀크")</f>
        <v>코코넛 밀크</v>
      </c>
    </row>
    <row r="1216">
      <c r="A1216" s="2" t="str">
        <f>IFERROR(__xludf.DUMMYFUNCTION("""COMPUTED_VALUE"""),"커룽지")</f>
        <v>커룽지</v>
      </c>
      <c r="B1216" s="2" t="str">
        <f>IFERROR(__xludf.DUMMYFUNCTION("""COMPUTED_VALUE"""),"생크림")</f>
        <v>생크림</v>
      </c>
    </row>
    <row r="1217">
      <c r="A1217" s="2" t="str">
        <f>IFERROR(__xludf.DUMMYFUNCTION("""COMPUTED_VALUE"""),"커룽지")</f>
        <v>커룽지</v>
      </c>
      <c r="B1217" s="2" t="str">
        <f>IFERROR(__xludf.DUMMYFUNCTION("""COMPUTED_VALUE"""),"방울토마토")</f>
        <v>방울토마토</v>
      </c>
    </row>
    <row r="1218">
      <c r="A1218" s="2" t="str">
        <f>IFERROR(__xludf.DUMMYFUNCTION("""COMPUTED_VALUE"""),"커룽지")</f>
        <v>커룽지</v>
      </c>
      <c r="B1218" s="2" t="str">
        <f>IFERROR(__xludf.DUMMYFUNCTION("""COMPUTED_VALUE"""),"레드와인 식초")</f>
        <v>레드와인 식초</v>
      </c>
    </row>
    <row r="1219">
      <c r="A1219" s="2" t="str">
        <f>IFERROR(__xludf.DUMMYFUNCTION("""COMPUTED_VALUE"""),"커룽지")</f>
        <v>커룽지</v>
      </c>
      <c r="B1219" s="2" t="str">
        <f>IFERROR(__xludf.DUMMYFUNCTION("""COMPUTED_VALUE"""),"다마리 간장")</f>
        <v>다마리 간장</v>
      </c>
    </row>
    <row r="1220">
      <c r="A1220" s="2" t="str">
        <f>IFERROR(__xludf.DUMMYFUNCTION("""COMPUTED_VALUE"""),"커룽지")</f>
        <v>커룽지</v>
      </c>
      <c r="B1220" s="2" t="str">
        <f>IFERROR(__xludf.DUMMYFUNCTION("""COMPUTED_VALUE"""),"진간장")</f>
        <v>진간장</v>
      </c>
    </row>
    <row r="1221">
      <c r="A1221" s="2" t="str">
        <f>IFERROR(__xludf.DUMMYFUNCTION("""COMPUTED_VALUE"""),"커룽지")</f>
        <v>커룽지</v>
      </c>
      <c r="B1221" s="2" t="str">
        <f>IFERROR(__xludf.DUMMYFUNCTION("""COMPUTED_VALUE"""),"레드 커리 페이스트")</f>
        <v>레드 커리 페이스트</v>
      </c>
    </row>
    <row r="1222">
      <c r="A1222" s="2" t="str">
        <f>IFERROR(__xludf.DUMMYFUNCTION("""COMPUTED_VALUE"""),"커룽지")</f>
        <v>커룽지</v>
      </c>
      <c r="B1222" s="2" t="str">
        <f>IFERROR(__xludf.DUMMYFUNCTION("""COMPUTED_VALUE"""),"요거트")</f>
        <v>요거트</v>
      </c>
    </row>
    <row r="1223">
      <c r="A1223" s="2" t="str">
        <f>IFERROR(__xludf.DUMMYFUNCTION("""COMPUTED_VALUE"""),"커룽지")</f>
        <v>커룽지</v>
      </c>
      <c r="B1223" s="2" t="str">
        <f>IFERROR(__xludf.DUMMYFUNCTION("""COMPUTED_VALUE"""),"닭가슴살")</f>
        <v>닭가슴살</v>
      </c>
    </row>
    <row r="1224">
      <c r="A1224" s="2" t="str">
        <f>IFERROR(__xludf.DUMMYFUNCTION("""COMPUTED_VALUE"""),"커룽지")</f>
        <v>커룽지</v>
      </c>
      <c r="B1224" s="2" t="str">
        <f>IFERROR(__xludf.DUMMYFUNCTION("""COMPUTED_VALUE"""),"누룽지")</f>
        <v>누룽지</v>
      </c>
    </row>
    <row r="1225">
      <c r="A1225" s="2" t="str">
        <f>IFERROR(__xludf.DUMMYFUNCTION("""COMPUTED_VALUE"""),"커룽지")</f>
        <v>커룽지</v>
      </c>
      <c r="B1225" s="2" t="str">
        <f>IFERROR(__xludf.DUMMYFUNCTION("""COMPUTED_VALUE"""),"그라나파다노 치즈")</f>
        <v>그라나파다노 치즈</v>
      </c>
    </row>
    <row r="1226">
      <c r="A1226" s="2" t="str">
        <f>IFERROR(__xludf.DUMMYFUNCTION("""COMPUTED_VALUE"""),"커룽지")</f>
        <v>커룽지</v>
      </c>
      <c r="B1226" s="2" t="str">
        <f>IFERROR(__xludf.DUMMYFUNCTION("""COMPUTED_VALUE"""),"바질")</f>
        <v>바질</v>
      </c>
    </row>
    <row r="1227">
      <c r="A1227" s="2" t="str">
        <f>IFERROR(__xludf.DUMMYFUNCTION("""COMPUTED_VALUE"""),"커룽지")</f>
        <v>커룽지</v>
      </c>
      <c r="B1227" s="2" t="str">
        <f>IFERROR(__xludf.DUMMYFUNCTION("""COMPUTED_VALUE"""),"고추")</f>
        <v>고추</v>
      </c>
    </row>
    <row r="1228">
      <c r="A1228" s="2" t="str">
        <f>IFERROR(__xludf.DUMMYFUNCTION("""COMPUTED_VALUE"""),"커룽지")</f>
        <v>커룽지</v>
      </c>
      <c r="B1228" s="2" t="str">
        <f>IFERROR(__xludf.DUMMYFUNCTION("""COMPUTED_VALUE"""),"양파")</f>
        <v>양파</v>
      </c>
    </row>
    <row r="1229">
      <c r="A1229" s="2" t="str">
        <f>IFERROR(__xludf.DUMMYFUNCTION("""COMPUTED_VALUE"""),"커룽지")</f>
        <v>커룽지</v>
      </c>
      <c r="B1229" s="2" t="str">
        <f>IFERROR(__xludf.DUMMYFUNCTION("""COMPUTED_VALUE"""),"설탕")</f>
        <v>설탕</v>
      </c>
    </row>
    <row r="1230">
      <c r="A1230" s="2" t="str">
        <f>IFERROR(__xludf.DUMMYFUNCTION("""COMPUTED_VALUE"""),"커룽지")</f>
        <v>커룽지</v>
      </c>
      <c r="B1230" s="2" t="str">
        <f>IFERROR(__xludf.DUMMYFUNCTION("""COMPUTED_VALUE"""),"소금")</f>
        <v>소금</v>
      </c>
    </row>
    <row r="1231">
      <c r="A1231" s="2" t="str">
        <f>IFERROR(__xludf.DUMMYFUNCTION("""COMPUTED_VALUE"""),"커룽지")</f>
        <v>커룽지</v>
      </c>
      <c r="B1231" s="2" t="str">
        <f>IFERROR(__xludf.DUMMYFUNCTION("""COMPUTED_VALUE"""),"레몬즙")</f>
        <v>레몬즙</v>
      </c>
    </row>
    <row r="1232">
      <c r="A1232" s="2" t="str">
        <f>IFERROR(__xludf.DUMMYFUNCTION("""COMPUTED_VALUE"""),"커룽지")</f>
        <v>커룽지</v>
      </c>
      <c r="B1232" s="2" t="str">
        <f>IFERROR(__xludf.DUMMYFUNCTION("""COMPUTED_VALUE"""),"올리브 오일")</f>
        <v>올리브 오일</v>
      </c>
    </row>
    <row r="1233">
      <c r="A1233" s="2" t="str">
        <f>IFERROR(__xludf.DUMMYFUNCTION("""COMPUTED_VALUE"""),"아빠손 피자")</f>
        <v>아빠손 피자</v>
      </c>
      <c r="B1233" s="2" t="str">
        <f>IFERROR(__xludf.DUMMYFUNCTION("""COMPUTED_VALUE"""),"애호박")</f>
        <v>애호박</v>
      </c>
    </row>
    <row r="1234">
      <c r="A1234" s="2" t="str">
        <f>IFERROR(__xludf.DUMMYFUNCTION("""COMPUTED_VALUE"""),"아빠손 피자")</f>
        <v>아빠손 피자</v>
      </c>
      <c r="B1234" s="2" t="str">
        <f>IFERROR(__xludf.DUMMYFUNCTION("""COMPUTED_VALUE"""),"파프리카")</f>
        <v>파프리카</v>
      </c>
    </row>
    <row r="1235">
      <c r="A1235" s="2" t="str">
        <f>IFERROR(__xludf.DUMMYFUNCTION("""COMPUTED_VALUE"""),"아빠손 피자")</f>
        <v>아빠손 피자</v>
      </c>
      <c r="B1235" s="2" t="str">
        <f>IFERROR(__xludf.DUMMYFUNCTION("""COMPUTED_VALUE"""),"느타리 버섯")</f>
        <v>느타리 버섯</v>
      </c>
    </row>
    <row r="1236">
      <c r="A1236" s="2" t="str">
        <f>IFERROR(__xludf.DUMMYFUNCTION("""COMPUTED_VALUE"""),"아빠손 피자")</f>
        <v>아빠손 피자</v>
      </c>
      <c r="B1236" s="2" t="str">
        <f>IFERROR(__xludf.DUMMYFUNCTION("""COMPUTED_VALUE"""),"우유")</f>
        <v>우유</v>
      </c>
    </row>
    <row r="1237">
      <c r="A1237" s="2" t="str">
        <f>IFERROR(__xludf.DUMMYFUNCTION("""COMPUTED_VALUE"""),"아빠손 피자")</f>
        <v>아빠손 피자</v>
      </c>
      <c r="B1237" s="2" t="str">
        <f>IFERROR(__xludf.DUMMYFUNCTION("""COMPUTED_VALUE"""),"리코타 치즈")</f>
        <v>리코타 치즈</v>
      </c>
    </row>
    <row r="1238">
      <c r="A1238" s="2" t="str">
        <f>IFERROR(__xludf.DUMMYFUNCTION("""COMPUTED_VALUE"""),"아빠손 피자")</f>
        <v>아빠손 피자</v>
      </c>
      <c r="B1238" s="2" t="str">
        <f>IFERROR(__xludf.DUMMYFUNCTION("""COMPUTED_VALUE"""),"토르티야")</f>
        <v>토르티야</v>
      </c>
    </row>
    <row r="1239">
      <c r="A1239" s="2" t="str">
        <f>IFERROR(__xludf.DUMMYFUNCTION("""COMPUTED_VALUE"""),"아빠손 피자")</f>
        <v>아빠손 피자</v>
      </c>
      <c r="B1239" s="2" t="str">
        <f>IFERROR(__xludf.DUMMYFUNCTION("""COMPUTED_VALUE"""),"고르곤졸라 치즈")</f>
        <v>고르곤졸라 치즈</v>
      </c>
    </row>
    <row r="1240">
      <c r="A1240" s="2" t="str">
        <f>IFERROR(__xludf.DUMMYFUNCTION("""COMPUTED_VALUE"""),"아빠손 피자")</f>
        <v>아빠손 피자</v>
      </c>
      <c r="B1240" s="2" t="str">
        <f>IFERROR(__xludf.DUMMYFUNCTION("""COMPUTED_VALUE"""),"생크림")</f>
        <v>생크림</v>
      </c>
    </row>
    <row r="1241">
      <c r="A1241" s="2" t="str">
        <f>IFERROR(__xludf.DUMMYFUNCTION("""COMPUTED_VALUE"""),"아빠손 피자")</f>
        <v>아빠손 피자</v>
      </c>
      <c r="B1241" s="2" t="str">
        <f>IFERROR(__xludf.DUMMYFUNCTION("""COMPUTED_VALUE"""),"양상추")</f>
        <v>양상추</v>
      </c>
    </row>
    <row r="1242">
      <c r="A1242" s="2" t="str">
        <f>IFERROR(__xludf.DUMMYFUNCTION("""COMPUTED_VALUE"""),"아빠손 피자")</f>
        <v>아빠손 피자</v>
      </c>
      <c r="B1242" s="2" t="str">
        <f>IFERROR(__xludf.DUMMYFUNCTION("""COMPUTED_VALUE"""),"사과")</f>
        <v>사과</v>
      </c>
    </row>
    <row r="1243">
      <c r="A1243" s="2" t="str">
        <f>IFERROR(__xludf.DUMMYFUNCTION("""COMPUTED_VALUE"""),"아빠손 피자")</f>
        <v>아빠손 피자</v>
      </c>
      <c r="B1243" s="2" t="str">
        <f>IFERROR(__xludf.DUMMYFUNCTION("""COMPUTED_VALUE"""),"마카다미아")</f>
        <v>마카다미아</v>
      </c>
    </row>
    <row r="1244">
      <c r="A1244" s="2" t="str">
        <f>IFERROR(__xludf.DUMMYFUNCTION("""COMPUTED_VALUE"""),"아빠손 피자")</f>
        <v>아빠손 피자</v>
      </c>
      <c r="B1244" s="2" t="str">
        <f>IFERROR(__xludf.DUMMYFUNCTION("""COMPUTED_VALUE"""),"말린 크랜베리")</f>
        <v>말린 크랜베리</v>
      </c>
    </row>
    <row r="1245">
      <c r="A1245" s="2" t="str">
        <f>IFERROR(__xludf.DUMMYFUNCTION("""COMPUTED_VALUE"""),"아빠손 피자")</f>
        <v>아빠손 피자</v>
      </c>
      <c r="B1245" s="2" t="str">
        <f>IFERROR(__xludf.DUMMYFUNCTION("""COMPUTED_VALUE"""),"올리브 오일")</f>
        <v>올리브 오일</v>
      </c>
    </row>
    <row r="1246">
      <c r="A1246" s="2" t="str">
        <f>IFERROR(__xludf.DUMMYFUNCTION("""COMPUTED_VALUE"""),"아빠손 피자")</f>
        <v>아빠손 피자</v>
      </c>
      <c r="B1246" s="2" t="str">
        <f>IFERROR(__xludf.DUMMYFUNCTION("""COMPUTED_VALUE"""),"소금")</f>
        <v>소금</v>
      </c>
    </row>
    <row r="1247">
      <c r="A1247" s="2" t="str">
        <f>IFERROR(__xludf.DUMMYFUNCTION("""COMPUTED_VALUE"""),"아빠손 피자")</f>
        <v>아빠손 피자</v>
      </c>
      <c r="B1247" s="2" t="str">
        <f>IFERROR(__xludf.DUMMYFUNCTION("""COMPUTED_VALUE"""),"후추")</f>
        <v>후추</v>
      </c>
    </row>
    <row r="1248">
      <c r="A1248" s="2" t="str">
        <f>IFERROR(__xludf.DUMMYFUNCTION("""COMPUTED_VALUE"""),"아빠손 피자")</f>
        <v>아빠손 피자</v>
      </c>
      <c r="B1248" s="2" t="str">
        <f>IFERROR(__xludf.DUMMYFUNCTION("""COMPUTED_VALUE"""),"마늘")</f>
        <v>마늘</v>
      </c>
    </row>
    <row r="1249">
      <c r="A1249" s="2" t="str">
        <f>IFERROR(__xludf.DUMMYFUNCTION("""COMPUTED_VALUE"""),"아빠손 피자")</f>
        <v>아빠손 피자</v>
      </c>
      <c r="B1249" s="2" t="str">
        <f>IFERROR(__xludf.DUMMYFUNCTION("""COMPUTED_VALUE"""),"올리고당")</f>
        <v>올리고당</v>
      </c>
    </row>
    <row r="1250">
      <c r="A1250" s="2" t="str">
        <f>IFERROR(__xludf.DUMMYFUNCTION("""COMPUTED_VALUE"""),"따라미소")</f>
        <v>따라미소</v>
      </c>
      <c r="B1250" s="2" t="str">
        <f>IFERROR(__xludf.DUMMYFUNCTION("""COMPUTED_VALUE"""),"달걀")</f>
        <v>달걀</v>
      </c>
    </row>
    <row r="1251">
      <c r="A1251" s="2" t="str">
        <f>IFERROR(__xludf.DUMMYFUNCTION("""COMPUTED_VALUE"""),"따라미소")</f>
        <v>따라미소</v>
      </c>
      <c r="B1251" s="2" t="str">
        <f>IFERROR(__xludf.DUMMYFUNCTION("""COMPUTED_VALUE"""),"리코타 치즈")</f>
        <v>리코타 치즈</v>
      </c>
    </row>
    <row r="1252">
      <c r="A1252" s="2" t="str">
        <f>IFERROR(__xludf.DUMMYFUNCTION("""COMPUTED_VALUE"""),"따라미소")</f>
        <v>따라미소</v>
      </c>
      <c r="B1252" s="2" t="str">
        <f>IFERROR(__xludf.DUMMYFUNCTION("""COMPUTED_VALUE"""),"바닐라 오일")</f>
        <v>바닐라 오일</v>
      </c>
    </row>
    <row r="1253">
      <c r="A1253" s="2" t="str">
        <f>IFERROR(__xludf.DUMMYFUNCTION("""COMPUTED_VALUE"""),"따라미소")</f>
        <v>따라미소</v>
      </c>
      <c r="B1253" s="2" t="str">
        <f>IFERROR(__xludf.DUMMYFUNCTION("""COMPUTED_VALUE"""),"생크림")</f>
        <v>생크림</v>
      </c>
    </row>
    <row r="1254">
      <c r="A1254" s="2" t="str">
        <f>IFERROR(__xludf.DUMMYFUNCTION("""COMPUTED_VALUE"""),"따라미소")</f>
        <v>따라미소</v>
      </c>
      <c r="B1254" s="2" t="str">
        <f>IFERROR(__xludf.DUMMYFUNCTION("""COMPUTED_VALUE"""),"레이디핑거 쿠키")</f>
        <v>레이디핑거 쿠키</v>
      </c>
    </row>
    <row r="1255">
      <c r="A1255" s="2" t="str">
        <f>IFERROR(__xludf.DUMMYFUNCTION("""COMPUTED_VALUE"""),"따라미소")</f>
        <v>따라미소</v>
      </c>
      <c r="B1255" s="2" t="str">
        <f>IFERROR(__xludf.DUMMYFUNCTION("""COMPUTED_VALUE"""),"딸기잼")</f>
        <v>딸기잼</v>
      </c>
    </row>
    <row r="1256">
      <c r="A1256" s="2" t="str">
        <f>IFERROR(__xludf.DUMMYFUNCTION("""COMPUTED_VALUE"""),"따라미소")</f>
        <v>따라미소</v>
      </c>
      <c r="B1256" s="2" t="str">
        <f>IFERROR(__xludf.DUMMYFUNCTION("""COMPUTED_VALUE"""),"키위")</f>
        <v>키위</v>
      </c>
    </row>
    <row r="1257">
      <c r="A1257" s="2" t="str">
        <f>IFERROR(__xludf.DUMMYFUNCTION("""COMPUTED_VALUE"""),"따라미소")</f>
        <v>따라미소</v>
      </c>
      <c r="B1257" s="2" t="str">
        <f>IFERROR(__xludf.DUMMYFUNCTION("""COMPUTED_VALUE"""),"코코아 파우더")</f>
        <v>코코아 파우더</v>
      </c>
    </row>
    <row r="1258">
      <c r="A1258" s="2" t="str">
        <f>IFERROR(__xludf.DUMMYFUNCTION("""COMPUTED_VALUE"""),"따라미소")</f>
        <v>따라미소</v>
      </c>
      <c r="B1258" s="2" t="str">
        <f>IFERROR(__xludf.DUMMYFUNCTION("""COMPUTED_VALUE"""),"체리")</f>
        <v>체리</v>
      </c>
    </row>
    <row r="1259">
      <c r="A1259" s="2" t="str">
        <f>IFERROR(__xludf.DUMMYFUNCTION("""COMPUTED_VALUE"""),"따라미소")</f>
        <v>따라미소</v>
      </c>
      <c r="B1259" s="2" t="str">
        <f>IFERROR(__xludf.DUMMYFUNCTION("""COMPUTED_VALUE"""),"사과")</f>
        <v>사과</v>
      </c>
    </row>
    <row r="1260">
      <c r="A1260" s="2" t="str">
        <f>IFERROR(__xludf.DUMMYFUNCTION("""COMPUTED_VALUE"""),"따라미소")</f>
        <v>따라미소</v>
      </c>
      <c r="B1260" s="2" t="str">
        <f>IFERROR(__xludf.DUMMYFUNCTION("""COMPUTED_VALUE"""),"설탕")</f>
        <v>설탕</v>
      </c>
    </row>
    <row r="1261">
      <c r="A1261" s="2" t="str">
        <f>IFERROR(__xludf.DUMMYFUNCTION("""COMPUTED_VALUE"""),"흥.칩.풍")</f>
        <v>흥.칩.풍</v>
      </c>
      <c r="B1261" s="2" t="str">
        <f>IFERROR(__xludf.DUMMYFUNCTION("""COMPUTED_VALUE"""),"플레인 치즈")</f>
        <v>플레인 치즈</v>
      </c>
    </row>
    <row r="1262">
      <c r="A1262" s="2" t="str">
        <f>IFERROR(__xludf.DUMMYFUNCTION("""COMPUTED_VALUE"""),"흥.칩.풍")</f>
        <v>흥.칩.풍</v>
      </c>
      <c r="B1262" s="2" t="str">
        <f>IFERROR(__xludf.DUMMYFUNCTION("""COMPUTED_VALUE"""),"바나나")</f>
        <v>바나나</v>
      </c>
    </row>
    <row r="1263">
      <c r="A1263" s="2" t="str">
        <f>IFERROR(__xludf.DUMMYFUNCTION("""COMPUTED_VALUE"""),"흥.칩.풍")</f>
        <v>흥.칩.풍</v>
      </c>
      <c r="B1263" s="2" t="str">
        <f>IFERROR(__xludf.DUMMYFUNCTION("""COMPUTED_VALUE"""),"생크림")</f>
        <v>생크림</v>
      </c>
    </row>
    <row r="1264">
      <c r="A1264" s="2" t="str">
        <f>IFERROR(__xludf.DUMMYFUNCTION("""COMPUTED_VALUE"""),"흥.칩.풍")</f>
        <v>흥.칩.풍</v>
      </c>
      <c r="B1264" s="2" t="str">
        <f>IFERROR(__xludf.DUMMYFUNCTION("""COMPUTED_VALUE"""),"라이스 페이퍼")</f>
        <v>라이스 페이퍼</v>
      </c>
    </row>
    <row r="1265">
      <c r="A1265" s="2" t="str">
        <f>IFERROR(__xludf.DUMMYFUNCTION("""COMPUTED_VALUE"""),"흥.칩.풍")</f>
        <v>흥.칩.풍</v>
      </c>
      <c r="B1265" s="2" t="str">
        <f>IFERROR(__xludf.DUMMYFUNCTION("""COMPUTED_VALUE"""),"블루베리 퓌레")</f>
        <v>블루베리 퓌레</v>
      </c>
    </row>
    <row r="1266">
      <c r="A1266" s="2" t="str">
        <f>IFERROR(__xludf.DUMMYFUNCTION("""COMPUTED_VALUE"""),"흥.칩.풍")</f>
        <v>흥.칩.풍</v>
      </c>
      <c r="B1266" s="2" t="str">
        <f>IFERROR(__xludf.DUMMYFUNCTION("""COMPUTED_VALUE"""),"딸기")</f>
        <v>딸기</v>
      </c>
    </row>
    <row r="1267">
      <c r="A1267" s="2" t="str">
        <f>IFERROR(__xludf.DUMMYFUNCTION("""COMPUTED_VALUE"""),"흥.칩.풍")</f>
        <v>흥.칩.풍</v>
      </c>
      <c r="B1267" s="2" t="str">
        <f>IFERROR(__xludf.DUMMYFUNCTION("""COMPUTED_VALUE"""),"설탕")</f>
        <v>설탕</v>
      </c>
    </row>
    <row r="1268">
      <c r="A1268" s="2" t="str">
        <f>IFERROR(__xludf.DUMMYFUNCTION("""COMPUTED_VALUE"""),"이롤슈가")</f>
        <v>이롤슈가</v>
      </c>
      <c r="B1268" s="2" t="str">
        <f>IFERROR(__xludf.DUMMYFUNCTION("""COMPUTED_VALUE"""),"커피 리큐어")</f>
        <v>커피 리큐어</v>
      </c>
    </row>
    <row r="1269">
      <c r="A1269" s="2" t="str">
        <f>IFERROR(__xludf.DUMMYFUNCTION("""COMPUTED_VALUE"""),"이롤슈가")</f>
        <v>이롤슈가</v>
      </c>
      <c r="B1269" s="2" t="str">
        <f>IFERROR(__xludf.DUMMYFUNCTION("""COMPUTED_VALUE"""),"달걀")</f>
        <v>달걀</v>
      </c>
    </row>
    <row r="1270">
      <c r="A1270" s="2" t="str">
        <f>IFERROR(__xludf.DUMMYFUNCTION("""COMPUTED_VALUE"""),"이롤슈가")</f>
        <v>이롤슈가</v>
      </c>
      <c r="B1270" s="2" t="str">
        <f>IFERROR(__xludf.DUMMYFUNCTION("""COMPUTED_VALUE"""),"생크림")</f>
        <v>생크림</v>
      </c>
    </row>
    <row r="1271">
      <c r="A1271" s="2" t="str">
        <f>IFERROR(__xludf.DUMMYFUNCTION("""COMPUTED_VALUE"""),"이롤슈가")</f>
        <v>이롤슈가</v>
      </c>
      <c r="B1271" s="2" t="str">
        <f>IFERROR(__xludf.DUMMYFUNCTION("""COMPUTED_VALUE"""),"요거트")</f>
        <v>요거트</v>
      </c>
    </row>
    <row r="1272">
      <c r="A1272" s="2" t="str">
        <f>IFERROR(__xludf.DUMMYFUNCTION("""COMPUTED_VALUE"""),"이롤슈가")</f>
        <v>이롤슈가</v>
      </c>
      <c r="B1272" s="2" t="str">
        <f>IFERROR(__xludf.DUMMYFUNCTION("""COMPUTED_VALUE"""),"조청")</f>
        <v>조청</v>
      </c>
    </row>
    <row r="1273">
      <c r="A1273" s="2" t="str">
        <f>IFERROR(__xludf.DUMMYFUNCTION("""COMPUTED_VALUE"""),"이롤슈가")</f>
        <v>이롤슈가</v>
      </c>
      <c r="B1273" s="2" t="str">
        <f>IFERROR(__xludf.DUMMYFUNCTION("""COMPUTED_VALUE"""),"사과")</f>
        <v>사과</v>
      </c>
    </row>
    <row r="1274">
      <c r="A1274" s="2" t="str">
        <f>IFERROR(__xludf.DUMMYFUNCTION("""COMPUTED_VALUE"""),"이롤슈가")</f>
        <v>이롤슈가</v>
      </c>
      <c r="B1274" s="2" t="str">
        <f>IFERROR(__xludf.DUMMYFUNCTION("""COMPUTED_VALUE"""),"딸기")</f>
        <v>딸기</v>
      </c>
    </row>
    <row r="1275">
      <c r="A1275" s="2" t="str">
        <f>IFERROR(__xludf.DUMMYFUNCTION("""COMPUTED_VALUE"""),"이롤슈가")</f>
        <v>이롤슈가</v>
      </c>
      <c r="B1275" s="2" t="str">
        <f>IFERROR(__xludf.DUMMYFUNCTION("""COMPUTED_VALUE"""),"아몬드")</f>
        <v>아몬드</v>
      </c>
    </row>
    <row r="1276">
      <c r="A1276" s="2" t="str">
        <f>IFERROR(__xludf.DUMMYFUNCTION("""COMPUTED_VALUE"""),"이롤슈가")</f>
        <v>이롤슈가</v>
      </c>
      <c r="B1276" s="2" t="str">
        <f>IFERROR(__xludf.DUMMYFUNCTION("""COMPUTED_VALUE"""),"버터")</f>
        <v>버터</v>
      </c>
    </row>
    <row r="1277">
      <c r="A1277" s="2" t="str">
        <f>IFERROR(__xludf.DUMMYFUNCTION("""COMPUTED_VALUE"""),"이롤슈가")</f>
        <v>이롤슈가</v>
      </c>
      <c r="B1277" s="2" t="str">
        <f>IFERROR(__xludf.DUMMYFUNCTION("""COMPUTED_VALUE"""),"설탕")</f>
        <v>설탕</v>
      </c>
    </row>
    <row r="1278">
      <c r="A1278" s="2" t="str">
        <f>IFERROR(__xludf.DUMMYFUNCTION("""COMPUTED_VALUE"""),"이롤슈가")</f>
        <v>이롤슈가</v>
      </c>
      <c r="B1278" s="2" t="str">
        <f>IFERROR(__xludf.DUMMYFUNCTION("""COMPUTED_VALUE"""),"소금")</f>
        <v>소금</v>
      </c>
    </row>
    <row r="1279">
      <c r="A1279" s="2" t="str">
        <f>IFERROR(__xludf.DUMMYFUNCTION("""COMPUTED_VALUE"""),"이롤슈가")</f>
        <v>이롤슈가</v>
      </c>
      <c r="B1279" s="2" t="str">
        <f>IFERROR(__xludf.DUMMYFUNCTION("""COMPUTED_VALUE"""),"박력분")</f>
        <v>박력분</v>
      </c>
    </row>
    <row r="1280">
      <c r="A1280" s="2" t="str">
        <f>IFERROR(__xludf.DUMMYFUNCTION("""COMPUTED_VALUE"""),"이롤슈가")</f>
        <v>이롤슈가</v>
      </c>
      <c r="B1280" s="2" t="str">
        <f>IFERROR(__xludf.DUMMYFUNCTION("""COMPUTED_VALUE"""),"전분")</f>
        <v>전분</v>
      </c>
    </row>
    <row r="1281">
      <c r="A1281" s="2" t="str">
        <f>IFERROR(__xludf.DUMMYFUNCTION("""COMPUTED_VALUE"""),"나이스 춘권")</f>
        <v>나이스 춘권</v>
      </c>
      <c r="B1281" s="2" t="str">
        <f>IFERROR(__xludf.DUMMYFUNCTION("""COMPUTED_VALUE"""),"차돌박이")</f>
        <v>차돌박이</v>
      </c>
    </row>
    <row r="1282">
      <c r="A1282" s="2" t="str">
        <f>IFERROR(__xludf.DUMMYFUNCTION("""COMPUTED_VALUE"""),"나이스 춘권")</f>
        <v>나이스 춘권</v>
      </c>
      <c r="B1282" s="2" t="str">
        <f>IFERROR(__xludf.DUMMYFUNCTION("""COMPUTED_VALUE"""),"표고버섯")</f>
        <v>표고버섯</v>
      </c>
    </row>
    <row r="1283">
      <c r="A1283" s="2" t="str">
        <f>IFERROR(__xludf.DUMMYFUNCTION("""COMPUTED_VALUE"""),"나이스 춘권")</f>
        <v>나이스 춘권</v>
      </c>
      <c r="B1283" s="2" t="str">
        <f>IFERROR(__xludf.DUMMYFUNCTION("""COMPUTED_VALUE"""),"삶은 죽순")</f>
        <v>삶은 죽순</v>
      </c>
    </row>
    <row r="1284">
      <c r="A1284" s="2" t="str">
        <f>IFERROR(__xludf.DUMMYFUNCTION("""COMPUTED_VALUE"""),"나이스 춘권")</f>
        <v>나이스 춘권</v>
      </c>
      <c r="B1284" s="2" t="str">
        <f>IFERROR(__xludf.DUMMYFUNCTION("""COMPUTED_VALUE"""),"콩나물")</f>
        <v>콩나물</v>
      </c>
    </row>
    <row r="1285">
      <c r="A1285" s="2" t="str">
        <f>IFERROR(__xludf.DUMMYFUNCTION("""COMPUTED_VALUE"""),"나이스 춘권")</f>
        <v>나이스 춘권</v>
      </c>
      <c r="B1285" s="2" t="str">
        <f>IFERROR(__xludf.DUMMYFUNCTION("""COMPUTED_VALUE"""),"굴소스")</f>
        <v>굴소스</v>
      </c>
    </row>
    <row r="1286">
      <c r="A1286" s="2" t="str">
        <f>IFERROR(__xludf.DUMMYFUNCTION("""COMPUTED_VALUE"""),"나이스 춘권")</f>
        <v>나이스 춘권</v>
      </c>
      <c r="B1286" s="2" t="str">
        <f>IFERROR(__xludf.DUMMYFUNCTION("""COMPUTED_VALUE"""),"해선장")</f>
        <v>해선장</v>
      </c>
    </row>
    <row r="1287">
      <c r="A1287" s="2" t="str">
        <f>IFERROR(__xludf.DUMMYFUNCTION("""COMPUTED_VALUE"""),"나이스 춘권")</f>
        <v>나이스 춘권</v>
      </c>
      <c r="B1287" s="2" t="str">
        <f>IFERROR(__xludf.DUMMYFUNCTION("""COMPUTED_VALUE"""),"라이스 페이퍼")</f>
        <v>라이스 페이퍼</v>
      </c>
    </row>
    <row r="1288">
      <c r="A1288" s="2" t="str">
        <f>IFERROR(__xludf.DUMMYFUNCTION("""COMPUTED_VALUE"""),"나이스 춘권")</f>
        <v>나이스 춘권</v>
      </c>
      <c r="B1288" s="2" t="str">
        <f>IFERROR(__xludf.DUMMYFUNCTION("""COMPUTED_VALUE"""),"달걀")</f>
        <v>달걀</v>
      </c>
    </row>
    <row r="1289">
      <c r="A1289" s="2" t="str">
        <f>IFERROR(__xludf.DUMMYFUNCTION("""COMPUTED_VALUE"""),"나이스 춘권")</f>
        <v>나이스 춘권</v>
      </c>
      <c r="B1289" s="2" t="str">
        <f>IFERROR(__xludf.DUMMYFUNCTION("""COMPUTED_VALUE"""),"샐러드 채소")</f>
        <v>샐러드 채소</v>
      </c>
    </row>
    <row r="1290">
      <c r="A1290" s="2" t="str">
        <f>IFERROR(__xludf.DUMMYFUNCTION("""COMPUTED_VALUE"""),"나이스 춘권")</f>
        <v>나이스 춘권</v>
      </c>
      <c r="B1290" s="2" t="str">
        <f>IFERROR(__xludf.DUMMYFUNCTION("""COMPUTED_VALUE"""),"대파")</f>
        <v>대파</v>
      </c>
    </row>
    <row r="1291">
      <c r="A1291" s="2" t="str">
        <f>IFERROR(__xludf.DUMMYFUNCTION("""COMPUTED_VALUE"""),"나이스 춘권")</f>
        <v>나이스 춘권</v>
      </c>
      <c r="B1291" s="2" t="str">
        <f>IFERROR(__xludf.DUMMYFUNCTION("""COMPUTED_VALUE"""),"소금")</f>
        <v>소금</v>
      </c>
    </row>
    <row r="1292">
      <c r="A1292" s="2" t="str">
        <f>IFERROR(__xludf.DUMMYFUNCTION("""COMPUTED_VALUE"""),"나이스 춘권")</f>
        <v>나이스 춘권</v>
      </c>
      <c r="B1292" s="2" t="str">
        <f>IFERROR(__xludf.DUMMYFUNCTION("""COMPUTED_VALUE"""),"후추")</f>
        <v>후추</v>
      </c>
    </row>
    <row r="1293">
      <c r="A1293" s="2" t="str">
        <f>IFERROR(__xludf.DUMMYFUNCTION("""COMPUTED_VALUE"""),"나이스 춘권")</f>
        <v>나이스 춘권</v>
      </c>
      <c r="B1293" s="2" t="str">
        <f>IFERROR(__xludf.DUMMYFUNCTION("""COMPUTED_VALUE"""),"다진 마늘")</f>
        <v>다진 마늘</v>
      </c>
    </row>
    <row r="1294">
      <c r="A1294" s="2" t="str">
        <f>IFERROR(__xludf.DUMMYFUNCTION("""COMPUTED_VALUE"""),"나이스 춘권")</f>
        <v>나이스 춘권</v>
      </c>
      <c r="B1294" s="2" t="str">
        <f>IFERROR(__xludf.DUMMYFUNCTION("""COMPUTED_VALUE"""),"고추")</f>
        <v>고추</v>
      </c>
    </row>
    <row r="1295">
      <c r="A1295" s="2" t="str">
        <f>IFERROR(__xludf.DUMMYFUNCTION("""COMPUTED_VALUE"""),"나이스 춘권")</f>
        <v>나이스 춘권</v>
      </c>
      <c r="B1295" s="2" t="str">
        <f>IFERROR(__xludf.DUMMYFUNCTION("""COMPUTED_VALUE"""),"설탕")</f>
        <v>설탕</v>
      </c>
    </row>
    <row r="1296">
      <c r="A1296" s="2" t="str">
        <f>IFERROR(__xludf.DUMMYFUNCTION("""COMPUTED_VALUE"""),"나이스 춘권")</f>
        <v>나이스 춘권</v>
      </c>
      <c r="B1296" s="2" t="str">
        <f>IFERROR(__xludf.DUMMYFUNCTION("""COMPUTED_VALUE"""),"식초")</f>
        <v>식초</v>
      </c>
    </row>
    <row r="1297">
      <c r="A1297" s="2" t="str">
        <f>IFERROR(__xludf.DUMMYFUNCTION("""COMPUTED_VALUE"""),"나이스 춘권")</f>
        <v>나이스 춘권</v>
      </c>
      <c r="B1297" s="2" t="str">
        <f>IFERROR(__xludf.DUMMYFUNCTION("""COMPUTED_VALUE"""),"맛술")</f>
        <v>맛술</v>
      </c>
    </row>
    <row r="1298">
      <c r="A1298" s="2" t="str">
        <f>IFERROR(__xludf.DUMMYFUNCTION("""COMPUTED_VALUE"""),"나이스 춘권")</f>
        <v>나이스 춘권</v>
      </c>
      <c r="B1298" s="2" t="str">
        <f>IFERROR(__xludf.DUMMYFUNCTION("""COMPUTED_VALUE"""),"간장")</f>
        <v>간장</v>
      </c>
    </row>
    <row r="1299">
      <c r="A1299" s="2" t="str">
        <f>IFERROR(__xludf.DUMMYFUNCTION("""COMPUTED_VALUE"""),"오리감자 너엇~!")</f>
        <v>오리감자 너엇~!</v>
      </c>
      <c r="B1299" s="2" t="str">
        <f>IFERROR(__xludf.DUMMYFUNCTION("""COMPUTED_VALUE"""),"오이")</f>
        <v>오이</v>
      </c>
    </row>
    <row r="1300">
      <c r="A1300" s="2" t="str">
        <f>IFERROR(__xludf.DUMMYFUNCTION("""COMPUTED_VALUE"""),"오리감자 너엇~!")</f>
        <v>오리감자 너엇~!</v>
      </c>
      <c r="B1300" s="2" t="str">
        <f>IFERROR(__xludf.DUMMYFUNCTION("""COMPUTED_VALUE"""),"토마토")</f>
        <v>토마토</v>
      </c>
    </row>
    <row r="1301">
      <c r="A1301" s="2" t="str">
        <f>IFERROR(__xludf.DUMMYFUNCTION("""COMPUTED_VALUE"""),"오리감자 너엇~!")</f>
        <v>오리감자 너엇~!</v>
      </c>
      <c r="B1301" s="2" t="str">
        <f>IFERROR(__xludf.DUMMYFUNCTION("""COMPUTED_VALUE"""),"감자")</f>
        <v>감자</v>
      </c>
    </row>
    <row r="1302">
      <c r="A1302" s="2" t="str">
        <f>IFERROR(__xludf.DUMMYFUNCTION("""COMPUTED_VALUE"""),"오리감자 너엇~!")</f>
        <v>오리감자 너엇~!</v>
      </c>
      <c r="B1302" s="2" t="str">
        <f>IFERROR(__xludf.DUMMYFUNCTION("""COMPUTED_VALUE"""),"달걀")</f>
        <v>달걀</v>
      </c>
    </row>
    <row r="1303">
      <c r="A1303" s="2" t="str">
        <f>IFERROR(__xludf.DUMMYFUNCTION("""COMPUTED_VALUE"""),"오리감자 너엇~!")</f>
        <v>오리감자 너엇~!</v>
      </c>
      <c r="B1303" s="2" t="str">
        <f>IFERROR(__xludf.DUMMYFUNCTION("""COMPUTED_VALUE"""),"어니언 파우더")</f>
        <v>어니언 파우더</v>
      </c>
    </row>
    <row r="1304">
      <c r="A1304" s="2" t="str">
        <f>IFERROR(__xludf.DUMMYFUNCTION("""COMPUTED_VALUE"""),"오리감자 너엇~!")</f>
        <v>오리감자 너엇~!</v>
      </c>
      <c r="B1304" s="2" t="str">
        <f>IFERROR(__xludf.DUMMYFUNCTION("""COMPUTED_VALUE"""),"파슬리")</f>
        <v>파슬리</v>
      </c>
    </row>
    <row r="1305">
      <c r="A1305" s="2" t="str">
        <f>IFERROR(__xludf.DUMMYFUNCTION("""COMPUTED_VALUE"""),"오리감자 너엇~!")</f>
        <v>오리감자 너엇~!</v>
      </c>
      <c r="B1305" s="2" t="str">
        <f>IFERROR(__xludf.DUMMYFUNCTION("""COMPUTED_VALUE"""),"훈제오리")</f>
        <v>훈제오리</v>
      </c>
    </row>
    <row r="1306">
      <c r="A1306" s="2" t="str">
        <f>IFERROR(__xludf.DUMMYFUNCTION("""COMPUTED_VALUE"""),"오리감자 너엇~!")</f>
        <v>오리감자 너엇~!</v>
      </c>
      <c r="B1306" s="2" t="str">
        <f>IFERROR(__xludf.DUMMYFUNCTION("""COMPUTED_VALUE"""),"아몬드")</f>
        <v>아몬드</v>
      </c>
    </row>
    <row r="1307">
      <c r="A1307" s="2" t="str">
        <f>IFERROR(__xludf.DUMMYFUNCTION("""COMPUTED_VALUE"""),"오리감자 너엇~!")</f>
        <v>오리감자 너엇~!</v>
      </c>
      <c r="B1307" s="2" t="str">
        <f>IFERROR(__xludf.DUMMYFUNCTION("""COMPUTED_VALUE"""),"호두")</f>
        <v>호두</v>
      </c>
    </row>
    <row r="1308">
      <c r="A1308" s="2" t="str">
        <f>IFERROR(__xludf.DUMMYFUNCTION("""COMPUTED_VALUE"""),"오리감자 너엇~!")</f>
        <v>오리감자 너엇~!</v>
      </c>
      <c r="B1308" s="2" t="str">
        <f>IFERROR(__xludf.DUMMYFUNCTION("""COMPUTED_VALUE"""),"밀가루")</f>
        <v>밀가루</v>
      </c>
    </row>
    <row r="1309">
      <c r="A1309" s="2" t="str">
        <f>IFERROR(__xludf.DUMMYFUNCTION("""COMPUTED_VALUE"""),"오리감자 너엇~!")</f>
        <v>오리감자 너엇~!</v>
      </c>
      <c r="B1309" s="2" t="str">
        <f>IFERROR(__xludf.DUMMYFUNCTION("""COMPUTED_VALUE"""),"소금")</f>
        <v>소금</v>
      </c>
    </row>
    <row r="1310">
      <c r="A1310" s="2" t="str">
        <f>IFERROR(__xludf.DUMMYFUNCTION("""COMPUTED_VALUE"""),"오리감자 너엇~!")</f>
        <v>오리감자 너엇~!</v>
      </c>
      <c r="B1310" s="2" t="str">
        <f>IFERROR(__xludf.DUMMYFUNCTION("""COMPUTED_VALUE"""),"양파")</f>
        <v>양파</v>
      </c>
    </row>
    <row r="1311">
      <c r="A1311" s="2" t="str">
        <f>IFERROR(__xludf.DUMMYFUNCTION("""COMPUTED_VALUE"""),"오리감자 너엇~!")</f>
        <v>오리감자 너엇~!</v>
      </c>
      <c r="B1311" s="2" t="str">
        <f>IFERROR(__xludf.DUMMYFUNCTION("""COMPUTED_VALUE"""),"마요네즈")</f>
        <v>마요네즈</v>
      </c>
    </row>
    <row r="1312">
      <c r="A1312" s="2" t="str">
        <f>IFERROR(__xludf.DUMMYFUNCTION("""COMPUTED_VALUE"""),"오리감자 너엇~!")</f>
        <v>오리감자 너엇~!</v>
      </c>
      <c r="B1312" s="2" t="str">
        <f>IFERROR(__xludf.DUMMYFUNCTION("""COMPUTED_VALUE"""),"레몬즙")</f>
        <v>레몬즙</v>
      </c>
    </row>
    <row r="1313">
      <c r="A1313" s="2" t="str">
        <f>IFERROR(__xludf.DUMMYFUNCTION("""COMPUTED_VALUE"""),"오리감자 너엇~!")</f>
        <v>오리감자 너엇~!</v>
      </c>
      <c r="B1313" s="2" t="str">
        <f>IFERROR(__xludf.DUMMYFUNCTION("""COMPUTED_VALUE"""),"올리고당")</f>
        <v>올리고당</v>
      </c>
    </row>
    <row r="1314">
      <c r="A1314" s="2" t="str">
        <f>IFERROR(__xludf.DUMMYFUNCTION("""COMPUTED_VALUE"""),"오리감자 너엇~!")</f>
        <v>오리감자 너엇~!</v>
      </c>
      <c r="B1314" s="2" t="str">
        <f>IFERROR(__xludf.DUMMYFUNCTION("""COMPUTED_VALUE"""),"간장")</f>
        <v>간장</v>
      </c>
    </row>
    <row r="1315">
      <c r="A1315" s="2" t="str">
        <f>IFERROR(__xludf.DUMMYFUNCTION("""COMPUTED_VALUE"""),"오리감자 너엇~!")</f>
        <v>오리감자 너엇~!</v>
      </c>
      <c r="B1315" s="2" t="str">
        <f>IFERROR(__xludf.DUMMYFUNCTION("""COMPUTED_VALUE"""),"들기름")</f>
        <v>들기름</v>
      </c>
    </row>
    <row r="1316">
      <c r="A1316" s="2" t="str">
        <f>IFERROR(__xludf.DUMMYFUNCTION("""COMPUTED_VALUE"""),"오리감자 너엇~!")</f>
        <v>오리감자 너엇~!</v>
      </c>
      <c r="B1316" s="2" t="str">
        <f>IFERROR(__xludf.DUMMYFUNCTION("""COMPUTED_VALUE"""),"올리브 오일")</f>
        <v>올리브 오일</v>
      </c>
    </row>
    <row r="1317">
      <c r="A1317" s="2" t="str">
        <f>IFERROR(__xludf.DUMMYFUNCTION("""COMPUTED_VALUE"""),"오리감자 너엇~!")</f>
        <v>오리감자 너엇~!</v>
      </c>
      <c r="B1317" s="2" t="str">
        <f>IFERROR(__xludf.DUMMYFUNCTION("""COMPUTED_VALUE"""),"다진 마늘")</f>
        <v>다진 마늘</v>
      </c>
    </row>
    <row r="1318">
      <c r="A1318" s="2" t="str">
        <f>IFERROR(__xludf.DUMMYFUNCTION("""COMPUTED_VALUE"""),"오리감자 너엇~!")</f>
        <v>오리감자 너엇~!</v>
      </c>
      <c r="B1318" s="2" t="str">
        <f>IFERROR(__xludf.DUMMYFUNCTION("""COMPUTED_VALUE"""),"식초")</f>
        <v>식초</v>
      </c>
    </row>
    <row r="1319">
      <c r="A1319" s="2" t="str">
        <f>IFERROR(__xludf.DUMMYFUNCTION("""COMPUTED_VALUE"""),"행사의 완자님")</f>
        <v>행사의 완자님</v>
      </c>
      <c r="B1319" s="2" t="str">
        <f>IFERROR(__xludf.DUMMYFUNCTION("""COMPUTED_VALUE"""),"삼겹살")</f>
        <v>삼겹살</v>
      </c>
    </row>
    <row r="1320">
      <c r="A1320" s="2" t="str">
        <f>IFERROR(__xludf.DUMMYFUNCTION("""COMPUTED_VALUE"""),"행사의 완자님")</f>
        <v>행사의 완자님</v>
      </c>
      <c r="B1320" s="2" t="str">
        <f>IFERROR(__xludf.DUMMYFUNCTION("""COMPUTED_VALUE"""),"새우")</f>
        <v>새우</v>
      </c>
    </row>
    <row r="1321">
      <c r="A1321" s="2" t="str">
        <f>IFERROR(__xludf.DUMMYFUNCTION("""COMPUTED_VALUE"""),"행사의 완자님")</f>
        <v>행사의 완자님</v>
      </c>
      <c r="B1321" s="2" t="str">
        <f>IFERROR(__xludf.DUMMYFUNCTION("""COMPUTED_VALUE"""),"달걀")</f>
        <v>달걀</v>
      </c>
    </row>
    <row r="1322">
      <c r="A1322" s="2" t="str">
        <f>IFERROR(__xludf.DUMMYFUNCTION("""COMPUTED_VALUE"""),"행사의 완자님")</f>
        <v>행사의 완자님</v>
      </c>
      <c r="B1322" s="2" t="str">
        <f>IFERROR(__xludf.DUMMYFUNCTION("""COMPUTED_VALUE"""),"청국장")</f>
        <v>청국장</v>
      </c>
    </row>
    <row r="1323">
      <c r="A1323" s="2" t="str">
        <f>IFERROR(__xludf.DUMMYFUNCTION("""COMPUTED_VALUE"""),"행사의 완자님")</f>
        <v>행사의 완자님</v>
      </c>
      <c r="B1323" s="2" t="str">
        <f>IFERROR(__xludf.DUMMYFUNCTION("""COMPUTED_VALUE"""),"양배추")</f>
        <v>양배추</v>
      </c>
    </row>
    <row r="1324">
      <c r="A1324" s="2" t="str">
        <f>IFERROR(__xludf.DUMMYFUNCTION("""COMPUTED_VALUE"""),"행사의 완자님")</f>
        <v>행사의 완자님</v>
      </c>
      <c r="B1324" s="2" t="str">
        <f>IFERROR(__xludf.DUMMYFUNCTION("""COMPUTED_VALUE"""),"김치")</f>
        <v>김치</v>
      </c>
    </row>
    <row r="1325">
      <c r="A1325" s="2" t="str">
        <f>IFERROR(__xludf.DUMMYFUNCTION("""COMPUTED_VALUE"""),"행사의 완자님")</f>
        <v>행사의 완자님</v>
      </c>
      <c r="B1325" s="2" t="str">
        <f>IFERROR(__xludf.DUMMYFUNCTION("""COMPUTED_VALUE"""),"번데기 통조림")</f>
        <v>번데기 통조림</v>
      </c>
    </row>
    <row r="1326">
      <c r="A1326" s="2" t="str">
        <f>IFERROR(__xludf.DUMMYFUNCTION("""COMPUTED_VALUE"""),"행사의 완자님")</f>
        <v>행사의 완자님</v>
      </c>
      <c r="B1326" s="2" t="str">
        <f>IFERROR(__xludf.DUMMYFUNCTION("""COMPUTED_VALUE"""),"고추기름")</f>
        <v>고추기름</v>
      </c>
    </row>
    <row r="1327">
      <c r="A1327" s="2" t="str">
        <f>IFERROR(__xludf.DUMMYFUNCTION("""COMPUTED_VALUE"""),"행사의 완자님")</f>
        <v>행사의 완자님</v>
      </c>
      <c r="B1327" s="2" t="str">
        <f>IFERROR(__xludf.DUMMYFUNCTION("""COMPUTED_VALUE"""),"유자청")</f>
        <v>유자청</v>
      </c>
    </row>
    <row r="1328">
      <c r="A1328" s="2" t="str">
        <f>IFERROR(__xludf.DUMMYFUNCTION("""COMPUTED_VALUE"""),"행사의 완자님")</f>
        <v>행사의 완자님</v>
      </c>
      <c r="B1328" s="2" t="str">
        <f>IFERROR(__xludf.DUMMYFUNCTION("""COMPUTED_VALUE"""),"소금")</f>
        <v>소금</v>
      </c>
    </row>
    <row r="1329">
      <c r="A1329" s="2" t="str">
        <f>IFERROR(__xludf.DUMMYFUNCTION("""COMPUTED_VALUE"""),"행사의 완자님")</f>
        <v>행사의 완자님</v>
      </c>
      <c r="B1329" s="2" t="str">
        <f>IFERROR(__xludf.DUMMYFUNCTION("""COMPUTED_VALUE"""),"후추")</f>
        <v>후추</v>
      </c>
    </row>
    <row r="1330">
      <c r="A1330" s="2" t="str">
        <f>IFERROR(__xludf.DUMMYFUNCTION("""COMPUTED_VALUE"""),"행사의 완자님")</f>
        <v>행사의 완자님</v>
      </c>
      <c r="B1330" s="2" t="str">
        <f>IFERROR(__xludf.DUMMYFUNCTION("""COMPUTED_VALUE"""),"버터")</f>
        <v>버터</v>
      </c>
    </row>
    <row r="1331">
      <c r="A1331" s="2" t="str">
        <f>IFERROR(__xludf.DUMMYFUNCTION("""COMPUTED_VALUE"""),"행사의 완자님")</f>
        <v>행사의 완자님</v>
      </c>
      <c r="B1331" s="2" t="str">
        <f>IFERROR(__xludf.DUMMYFUNCTION("""COMPUTED_VALUE"""),"대파")</f>
        <v>대파</v>
      </c>
    </row>
    <row r="1332">
      <c r="A1332" s="2" t="str">
        <f>IFERROR(__xludf.DUMMYFUNCTION("""COMPUTED_VALUE"""),"행사의 완자님")</f>
        <v>행사의 완자님</v>
      </c>
      <c r="B1332" s="2" t="str">
        <f>IFERROR(__xludf.DUMMYFUNCTION("""COMPUTED_VALUE"""),"고추")</f>
        <v>고추</v>
      </c>
    </row>
    <row r="1333">
      <c r="A1333" s="2" t="str">
        <f>IFERROR(__xludf.DUMMYFUNCTION("""COMPUTED_VALUE"""),"행사의 완자님")</f>
        <v>행사의 완자님</v>
      </c>
      <c r="B1333" s="2" t="str">
        <f>IFERROR(__xludf.DUMMYFUNCTION("""COMPUTED_VALUE"""),"고춧가루")</f>
        <v>고춧가루</v>
      </c>
    </row>
    <row r="1334">
      <c r="A1334" s="2" t="str">
        <f>IFERROR(__xludf.DUMMYFUNCTION("""COMPUTED_VALUE"""),"행사의 완자님")</f>
        <v>행사의 완자님</v>
      </c>
      <c r="B1334" s="2" t="str">
        <f>IFERROR(__xludf.DUMMYFUNCTION("""COMPUTED_VALUE"""),"전분")</f>
        <v>전분</v>
      </c>
    </row>
    <row r="1335">
      <c r="A1335" s="2" t="str">
        <f>IFERROR(__xludf.DUMMYFUNCTION("""COMPUTED_VALUE"""),"행사의 완자님")</f>
        <v>행사의 완자님</v>
      </c>
      <c r="B1335" s="2" t="str">
        <f>IFERROR(__xludf.DUMMYFUNCTION("""COMPUTED_VALUE"""),"탄산수")</f>
        <v>탄산수</v>
      </c>
    </row>
    <row r="1336">
      <c r="A1336" s="2" t="str">
        <f>IFERROR(__xludf.DUMMYFUNCTION("""COMPUTED_VALUE"""),"행사의 완자님")</f>
        <v>행사의 완자님</v>
      </c>
      <c r="B1336" s="2" t="str">
        <f>IFERROR(__xludf.DUMMYFUNCTION("""COMPUTED_VALUE"""),"마요네즈")</f>
        <v>마요네즈</v>
      </c>
    </row>
    <row r="1337">
      <c r="A1337" s="2" t="str">
        <f>IFERROR(__xludf.DUMMYFUNCTION("""COMPUTED_VALUE"""),"행사의 완자님")</f>
        <v>행사의 완자님</v>
      </c>
      <c r="B1337" s="2" t="str">
        <f>IFERROR(__xludf.DUMMYFUNCTION("""COMPUTED_VALUE"""),"다진 마늘")</f>
        <v>다진 마늘</v>
      </c>
    </row>
    <row r="1338">
      <c r="A1338" s="2" t="str">
        <f>IFERROR(__xludf.DUMMYFUNCTION("""COMPUTED_VALUE"""),"행사의 완자님")</f>
        <v>행사의 완자님</v>
      </c>
      <c r="B1338" s="2" t="str">
        <f>IFERROR(__xludf.DUMMYFUNCTION("""COMPUTED_VALUE"""),"핫소스")</f>
        <v>핫소스</v>
      </c>
    </row>
    <row r="1339">
      <c r="A1339" s="2" t="str">
        <f>IFERROR(__xludf.DUMMYFUNCTION("""COMPUTED_VALUE"""),"막창 한 번 믿어봐~")</f>
        <v>막창 한 번 믿어봐~</v>
      </c>
      <c r="B1339" s="2" t="str">
        <f>IFERROR(__xludf.DUMMYFUNCTION("""COMPUTED_VALUE"""),"막창")</f>
        <v>막창</v>
      </c>
    </row>
    <row r="1340">
      <c r="A1340" s="2" t="str">
        <f>IFERROR(__xludf.DUMMYFUNCTION("""COMPUTED_VALUE"""),"막창 한 번 믿어봐~")</f>
        <v>막창 한 번 믿어봐~</v>
      </c>
      <c r="B1340" s="2" t="str">
        <f>IFERROR(__xludf.DUMMYFUNCTION("""COMPUTED_VALUE"""),"우유")</f>
        <v>우유</v>
      </c>
    </row>
    <row r="1341">
      <c r="A1341" s="2" t="str">
        <f>IFERROR(__xludf.DUMMYFUNCTION("""COMPUTED_VALUE"""),"막창 한 번 믿어봐~")</f>
        <v>막창 한 번 믿어봐~</v>
      </c>
      <c r="B1341" s="2" t="str">
        <f>IFERROR(__xludf.DUMMYFUNCTION("""COMPUTED_VALUE"""),"레드 페퍼")</f>
        <v>레드 페퍼</v>
      </c>
    </row>
    <row r="1342">
      <c r="A1342" s="2" t="str">
        <f>IFERROR(__xludf.DUMMYFUNCTION("""COMPUTED_VALUE"""),"막창 한 번 믿어봐~")</f>
        <v>막창 한 번 믿어봐~</v>
      </c>
      <c r="B1342" s="2" t="str">
        <f>IFERROR(__xludf.DUMMYFUNCTION("""COMPUTED_VALUE"""),"마늘")</f>
        <v>마늘</v>
      </c>
    </row>
    <row r="1343">
      <c r="A1343" s="2" t="str">
        <f>IFERROR(__xludf.DUMMYFUNCTION("""COMPUTED_VALUE"""),"막창 한 번 믿어봐~")</f>
        <v>막창 한 번 믿어봐~</v>
      </c>
      <c r="B1343" s="2" t="str">
        <f>IFERROR(__xludf.DUMMYFUNCTION("""COMPUTED_VALUE"""),"식초")</f>
        <v>식초</v>
      </c>
    </row>
    <row r="1344">
      <c r="A1344" s="2" t="str">
        <f>IFERROR(__xludf.DUMMYFUNCTION("""COMPUTED_VALUE"""),"막창 한 번 믿어봐~")</f>
        <v>막창 한 번 믿어봐~</v>
      </c>
      <c r="B1344" s="2" t="str">
        <f>IFERROR(__xludf.DUMMYFUNCTION("""COMPUTED_VALUE"""),"올리브 오일")</f>
        <v>올리브 오일</v>
      </c>
    </row>
    <row r="1345">
      <c r="A1345" s="2" t="str">
        <f>IFERROR(__xludf.DUMMYFUNCTION("""COMPUTED_VALUE"""),"막창 한 번 믿어봐~")</f>
        <v>막창 한 번 믿어봐~</v>
      </c>
      <c r="B1345" s="2" t="str">
        <f>IFERROR(__xludf.DUMMYFUNCTION("""COMPUTED_VALUE"""),"버터")</f>
        <v>버터</v>
      </c>
    </row>
    <row r="1346">
      <c r="A1346" s="2" t="str">
        <f>IFERROR(__xludf.DUMMYFUNCTION("""COMPUTED_VALUE"""),"김마삼")</f>
        <v>김마삼</v>
      </c>
      <c r="B1346" s="2" t="str">
        <f>IFERROR(__xludf.DUMMYFUNCTION("""COMPUTED_VALUE"""),"당면")</f>
        <v>당면</v>
      </c>
    </row>
    <row r="1347">
      <c r="A1347" s="2" t="str">
        <f>IFERROR(__xludf.DUMMYFUNCTION("""COMPUTED_VALUE"""),"김마삼")</f>
        <v>김마삼</v>
      </c>
      <c r="B1347" s="2" t="str">
        <f>IFERROR(__xludf.DUMMYFUNCTION("""COMPUTED_VALUE"""),"갈릭 디핑소스")</f>
        <v>갈릭 디핑소스</v>
      </c>
    </row>
    <row r="1348">
      <c r="A1348" s="2" t="str">
        <f>IFERROR(__xludf.DUMMYFUNCTION("""COMPUTED_VALUE"""),"김마삼")</f>
        <v>김마삼</v>
      </c>
      <c r="B1348" s="2" t="str">
        <f>IFERROR(__xludf.DUMMYFUNCTION("""COMPUTED_VALUE"""),"명란젓")</f>
        <v>명란젓</v>
      </c>
    </row>
    <row r="1349">
      <c r="A1349" s="2" t="str">
        <f>IFERROR(__xludf.DUMMYFUNCTION("""COMPUTED_VALUE"""),"김마삼")</f>
        <v>김마삼</v>
      </c>
      <c r="B1349" s="2" t="str">
        <f>IFERROR(__xludf.DUMMYFUNCTION("""COMPUTED_VALUE"""),"슬라이스 체다 치즈")</f>
        <v>슬라이스 체다 치즈</v>
      </c>
    </row>
    <row r="1350">
      <c r="A1350" s="2" t="str">
        <f>IFERROR(__xludf.DUMMYFUNCTION("""COMPUTED_VALUE"""),"김마삼")</f>
        <v>김마삼</v>
      </c>
      <c r="B1350" s="2" t="str">
        <f>IFERROR(__xludf.DUMMYFUNCTION("""COMPUTED_VALUE"""),"새우")</f>
        <v>새우</v>
      </c>
    </row>
    <row r="1351">
      <c r="A1351" s="2" t="str">
        <f>IFERROR(__xludf.DUMMYFUNCTION("""COMPUTED_VALUE"""),"김마삼")</f>
        <v>김마삼</v>
      </c>
      <c r="B1351" s="2" t="str">
        <f>IFERROR(__xludf.DUMMYFUNCTION("""COMPUTED_VALUE"""),"김밥용 김")</f>
        <v>김밥용 김</v>
      </c>
    </row>
    <row r="1352">
      <c r="A1352" s="2" t="str">
        <f>IFERROR(__xludf.DUMMYFUNCTION("""COMPUTED_VALUE"""),"김마삼")</f>
        <v>김마삼</v>
      </c>
      <c r="B1352" s="2" t="str">
        <f>IFERROR(__xludf.DUMMYFUNCTION("""COMPUTED_VALUE"""),"간장")</f>
        <v>간장</v>
      </c>
    </row>
    <row r="1353">
      <c r="A1353" s="2" t="str">
        <f>IFERROR(__xludf.DUMMYFUNCTION("""COMPUTED_VALUE"""),"김마삼")</f>
        <v>김마삼</v>
      </c>
      <c r="B1353" s="2" t="str">
        <f>IFERROR(__xludf.DUMMYFUNCTION("""COMPUTED_VALUE"""),"소금")</f>
        <v>소금</v>
      </c>
    </row>
    <row r="1354">
      <c r="A1354" s="2" t="str">
        <f>IFERROR(__xludf.DUMMYFUNCTION("""COMPUTED_VALUE"""),"김마삼")</f>
        <v>김마삼</v>
      </c>
      <c r="B1354" s="2" t="str">
        <f>IFERROR(__xludf.DUMMYFUNCTION("""COMPUTED_VALUE"""),"후추")</f>
        <v>후추</v>
      </c>
    </row>
    <row r="1355">
      <c r="A1355" s="2" t="str">
        <f>IFERROR(__xludf.DUMMYFUNCTION("""COMPUTED_VALUE"""),"김마삼")</f>
        <v>김마삼</v>
      </c>
      <c r="B1355" s="2" t="str">
        <f>IFERROR(__xludf.DUMMYFUNCTION("""COMPUTED_VALUE"""),"튀김가루")</f>
        <v>튀김가루</v>
      </c>
    </row>
    <row r="1356">
      <c r="A1356" s="2" t="str">
        <f>IFERROR(__xludf.DUMMYFUNCTION("""COMPUTED_VALUE"""),"김마삼")</f>
        <v>김마삼</v>
      </c>
      <c r="B1356" s="2" t="str">
        <f>IFERROR(__xludf.DUMMYFUNCTION("""COMPUTED_VALUE"""),"밀가루")</f>
        <v>밀가루</v>
      </c>
    </row>
    <row r="1357">
      <c r="A1357" s="2" t="str">
        <f>IFERROR(__xludf.DUMMYFUNCTION("""COMPUTED_VALUE"""),"누르삼")</f>
        <v>누르삼</v>
      </c>
      <c r="B1357" s="2" t="str">
        <f>IFERROR(__xludf.DUMMYFUNCTION("""COMPUTED_VALUE"""),"막창")</f>
        <v>막창</v>
      </c>
    </row>
    <row r="1358">
      <c r="A1358" s="2" t="str">
        <f>IFERROR(__xludf.DUMMYFUNCTION("""COMPUTED_VALUE"""),"누르삼")</f>
        <v>누르삼</v>
      </c>
      <c r="B1358" s="2" t="str">
        <f>IFERROR(__xludf.DUMMYFUNCTION("""COMPUTED_VALUE"""),"레드 페퍼")</f>
        <v>레드 페퍼</v>
      </c>
    </row>
    <row r="1359">
      <c r="A1359" s="2" t="str">
        <f>IFERROR(__xludf.DUMMYFUNCTION("""COMPUTED_VALUE"""),"누르삼")</f>
        <v>누르삼</v>
      </c>
      <c r="B1359" s="2" t="str">
        <f>IFERROR(__xludf.DUMMYFUNCTION("""COMPUTED_VALUE"""),"토마토")</f>
        <v>토마토</v>
      </c>
    </row>
    <row r="1360">
      <c r="A1360" s="2" t="str">
        <f>IFERROR(__xludf.DUMMYFUNCTION("""COMPUTED_VALUE"""),"누르삼")</f>
        <v>누르삼</v>
      </c>
      <c r="B1360" s="2" t="str">
        <f>IFERROR(__xludf.DUMMYFUNCTION("""COMPUTED_VALUE"""),"브로콜리")</f>
        <v>브로콜리</v>
      </c>
    </row>
    <row r="1361">
      <c r="A1361" s="2" t="str">
        <f>IFERROR(__xludf.DUMMYFUNCTION("""COMPUTED_VALUE"""),"누르삼")</f>
        <v>누르삼</v>
      </c>
      <c r="B1361" s="2" t="str">
        <f>IFERROR(__xludf.DUMMYFUNCTION("""COMPUTED_VALUE"""),"베이컨")</f>
        <v>베이컨</v>
      </c>
    </row>
    <row r="1362">
      <c r="A1362" s="2" t="str">
        <f>IFERROR(__xludf.DUMMYFUNCTION("""COMPUTED_VALUE"""),"누르삼")</f>
        <v>누르삼</v>
      </c>
      <c r="B1362" s="2" t="str">
        <f>IFERROR(__xludf.DUMMYFUNCTION("""COMPUTED_VALUE"""),"달걀")</f>
        <v>달걀</v>
      </c>
    </row>
    <row r="1363">
      <c r="A1363" s="2" t="str">
        <f>IFERROR(__xludf.DUMMYFUNCTION("""COMPUTED_VALUE"""),"누르삼")</f>
        <v>누르삼</v>
      </c>
      <c r="B1363" s="2" t="str">
        <f>IFERROR(__xludf.DUMMYFUNCTION("""COMPUTED_VALUE"""),"명란젓")</f>
        <v>명란젓</v>
      </c>
    </row>
    <row r="1364">
      <c r="A1364" s="2" t="str">
        <f>IFERROR(__xludf.DUMMYFUNCTION("""COMPUTED_VALUE"""),"누르삼")</f>
        <v>누르삼</v>
      </c>
      <c r="B1364" s="2" t="str">
        <f>IFERROR(__xludf.DUMMYFUNCTION("""COMPUTED_VALUE"""),"누룽지")</f>
        <v>누룽지</v>
      </c>
    </row>
    <row r="1365">
      <c r="A1365" s="2" t="str">
        <f>IFERROR(__xludf.DUMMYFUNCTION("""COMPUTED_VALUE"""),"누르삼")</f>
        <v>누르삼</v>
      </c>
      <c r="B1365" s="2" t="str">
        <f>IFERROR(__xludf.DUMMYFUNCTION("""COMPUTED_VALUE"""),"슬라이스 체다 치즈")</f>
        <v>슬라이스 체다 치즈</v>
      </c>
    </row>
    <row r="1366">
      <c r="A1366" s="2" t="str">
        <f>IFERROR(__xludf.DUMMYFUNCTION("""COMPUTED_VALUE"""),"누르삼")</f>
        <v>누르삼</v>
      </c>
      <c r="B1366" s="2" t="str">
        <f>IFERROR(__xludf.DUMMYFUNCTION("""COMPUTED_VALUE"""),"울외 장아찌")</f>
        <v>울외 장아찌</v>
      </c>
    </row>
    <row r="1367">
      <c r="A1367" s="2" t="str">
        <f>IFERROR(__xludf.DUMMYFUNCTION("""COMPUTED_VALUE"""),"누르삼")</f>
        <v>누르삼</v>
      </c>
      <c r="B1367" s="2" t="str">
        <f>IFERROR(__xludf.DUMMYFUNCTION("""COMPUTED_VALUE"""),"당근")</f>
        <v>당근</v>
      </c>
    </row>
    <row r="1368">
      <c r="A1368" s="2" t="str">
        <f>IFERROR(__xludf.DUMMYFUNCTION("""COMPUTED_VALUE"""),"누르삼")</f>
        <v>누르삼</v>
      </c>
      <c r="B1368" s="2" t="str">
        <f>IFERROR(__xludf.DUMMYFUNCTION("""COMPUTED_VALUE"""),"양파")</f>
        <v>양파</v>
      </c>
    </row>
    <row r="1369">
      <c r="A1369" s="2" t="str">
        <f>IFERROR(__xludf.DUMMYFUNCTION("""COMPUTED_VALUE"""),"누르삼")</f>
        <v>누르삼</v>
      </c>
      <c r="B1369" s="2" t="str">
        <f>IFERROR(__xludf.DUMMYFUNCTION("""COMPUTED_VALUE"""),"소금")</f>
        <v>소금</v>
      </c>
    </row>
    <row r="1370">
      <c r="A1370" s="2" t="str">
        <f>IFERROR(__xludf.DUMMYFUNCTION("""COMPUTED_VALUE"""),"누르삼")</f>
        <v>누르삼</v>
      </c>
      <c r="B1370" s="2" t="str">
        <f>IFERROR(__xludf.DUMMYFUNCTION("""COMPUTED_VALUE"""),"후추")</f>
        <v>후추</v>
      </c>
    </row>
    <row r="1371">
      <c r="A1371" s="2" t="str">
        <f>IFERROR(__xludf.DUMMYFUNCTION("""COMPUTED_VALUE"""),"누르삼")</f>
        <v>누르삼</v>
      </c>
      <c r="B1371" s="2" t="str">
        <f>IFERROR(__xludf.DUMMYFUNCTION("""COMPUTED_VALUE"""),"토마토 소스")</f>
        <v>토마토 소스</v>
      </c>
    </row>
    <row r="1372">
      <c r="A1372" s="2" t="str">
        <f>IFERROR(__xludf.DUMMYFUNCTION("""COMPUTED_VALUE"""),"누르삼")</f>
        <v>누르삼</v>
      </c>
      <c r="B1372" s="2" t="str">
        <f>IFERROR(__xludf.DUMMYFUNCTION("""COMPUTED_VALUE"""),"올리브 오일")</f>
        <v>올리브 오일</v>
      </c>
    </row>
    <row r="1373">
      <c r="A1373" s="2" t="str">
        <f>IFERROR(__xludf.DUMMYFUNCTION("""COMPUTED_VALUE"""),"누르삼")</f>
        <v>누르삼</v>
      </c>
      <c r="B1373" s="2" t="str">
        <f>IFERROR(__xludf.DUMMYFUNCTION("""COMPUTED_VALUE"""),"참기름")</f>
        <v>참기름</v>
      </c>
    </row>
    <row r="1374">
      <c r="A1374" s="2" t="str">
        <f>IFERROR(__xludf.DUMMYFUNCTION("""COMPUTED_VALUE"""),"누르삼")</f>
        <v>누르삼</v>
      </c>
      <c r="B1374" s="2" t="str">
        <f>IFERROR(__xludf.DUMMYFUNCTION("""COMPUTED_VALUE"""),"설탕")</f>
        <v>설탕</v>
      </c>
    </row>
    <row r="1375">
      <c r="A1375" s="2" t="str">
        <f>IFERROR(__xludf.DUMMYFUNCTION("""COMPUTED_VALUE"""),"누르삼")</f>
        <v>누르삼</v>
      </c>
      <c r="B1375" s="2" t="str">
        <f>IFERROR(__xludf.DUMMYFUNCTION("""COMPUTED_VALUE"""),"대파")</f>
        <v>대파</v>
      </c>
    </row>
    <row r="1376">
      <c r="A1376" s="2" t="str">
        <f>IFERROR(__xludf.DUMMYFUNCTION("""COMPUTED_VALUE"""),"만두렀써니")</f>
        <v>만두렀써니</v>
      </c>
      <c r="B1376" s="2" t="str">
        <f>IFERROR(__xludf.DUMMYFUNCTION("""COMPUTED_VALUE"""),"소고기 등심")</f>
        <v>소고기 등심</v>
      </c>
    </row>
    <row r="1377">
      <c r="A1377" s="2" t="str">
        <f>IFERROR(__xludf.DUMMYFUNCTION("""COMPUTED_VALUE"""),"만두렀써니")</f>
        <v>만두렀써니</v>
      </c>
      <c r="B1377" s="2" t="str">
        <f>IFERROR(__xludf.DUMMYFUNCTION("""COMPUTED_VALUE"""),"우유")</f>
        <v>우유</v>
      </c>
    </row>
    <row r="1378">
      <c r="A1378" s="2" t="str">
        <f>IFERROR(__xludf.DUMMYFUNCTION("""COMPUTED_VALUE"""),"만두렀써니")</f>
        <v>만두렀써니</v>
      </c>
      <c r="B1378" s="2" t="str">
        <f>IFERROR(__xludf.DUMMYFUNCTION("""COMPUTED_VALUE"""),"파르메산 치즈")</f>
        <v>파르메산 치즈</v>
      </c>
    </row>
    <row r="1379">
      <c r="A1379" s="2" t="str">
        <f>IFERROR(__xludf.DUMMYFUNCTION("""COMPUTED_VALUE"""),"만두렀써니")</f>
        <v>만두렀써니</v>
      </c>
      <c r="B1379" s="2" t="str">
        <f>IFERROR(__xludf.DUMMYFUNCTION("""COMPUTED_VALUE"""),"설렁탕 국물")</f>
        <v>설렁탕 국물</v>
      </c>
    </row>
    <row r="1380">
      <c r="A1380" s="2" t="str">
        <f>IFERROR(__xludf.DUMMYFUNCTION("""COMPUTED_VALUE"""),"만두렀써니")</f>
        <v>만두렀써니</v>
      </c>
      <c r="B1380" s="2" t="str">
        <f>IFERROR(__xludf.DUMMYFUNCTION("""COMPUTED_VALUE"""),"밀싹")</f>
        <v>밀싹</v>
      </c>
    </row>
    <row r="1381">
      <c r="A1381" s="2" t="str">
        <f>IFERROR(__xludf.DUMMYFUNCTION("""COMPUTED_VALUE"""),"만두렀써니")</f>
        <v>만두렀써니</v>
      </c>
      <c r="B1381" s="2" t="str">
        <f>IFERROR(__xludf.DUMMYFUNCTION("""COMPUTED_VALUE"""),"소금")</f>
        <v>소금</v>
      </c>
    </row>
    <row r="1382">
      <c r="A1382" s="2" t="str">
        <f>IFERROR(__xludf.DUMMYFUNCTION("""COMPUTED_VALUE"""),"만두렀써니")</f>
        <v>만두렀써니</v>
      </c>
      <c r="B1382" s="2" t="str">
        <f>IFERROR(__xludf.DUMMYFUNCTION("""COMPUTED_VALUE"""),"후추")</f>
        <v>후추</v>
      </c>
    </row>
    <row r="1383">
      <c r="A1383" s="2" t="str">
        <f>IFERROR(__xludf.DUMMYFUNCTION("""COMPUTED_VALUE"""),"만두렀써니")</f>
        <v>만두렀써니</v>
      </c>
      <c r="B1383" s="2" t="str">
        <f>IFERROR(__xludf.DUMMYFUNCTION("""COMPUTED_VALUE"""),"양파")</f>
        <v>양파</v>
      </c>
    </row>
    <row r="1384">
      <c r="A1384" s="2" t="str">
        <f>IFERROR(__xludf.DUMMYFUNCTION("""COMPUTED_VALUE"""),"만두렀써니")</f>
        <v>만두렀써니</v>
      </c>
      <c r="B1384" s="2" t="str">
        <f>IFERROR(__xludf.DUMMYFUNCTION("""COMPUTED_VALUE"""),"밀가루")</f>
        <v>밀가루</v>
      </c>
    </row>
    <row r="1385">
      <c r="A1385" s="2" t="str">
        <f>IFERROR(__xludf.DUMMYFUNCTION("""COMPUTED_VALUE"""),"만두렀써니")</f>
        <v>만두렀써니</v>
      </c>
      <c r="B1385" s="2" t="str">
        <f>IFERROR(__xludf.DUMMYFUNCTION("""COMPUTED_VALUE"""),"버터")</f>
        <v>버터</v>
      </c>
    </row>
    <row r="1386">
      <c r="A1386" s="2" t="str">
        <f>IFERROR(__xludf.DUMMYFUNCTION("""COMPUTED_VALUE"""),"오겹시대")</f>
        <v>오겹시대</v>
      </c>
      <c r="B1386" s="2" t="str">
        <f>IFERROR(__xludf.DUMMYFUNCTION("""COMPUTED_VALUE"""),"사과즙")</f>
        <v>사과즙</v>
      </c>
    </row>
    <row r="1387">
      <c r="A1387" s="2" t="str">
        <f>IFERROR(__xludf.DUMMYFUNCTION("""COMPUTED_VALUE"""),"오겹시대")</f>
        <v>오겹시대</v>
      </c>
      <c r="B1387" s="2" t="str">
        <f>IFERROR(__xludf.DUMMYFUNCTION("""COMPUTED_VALUE"""),"오겹살")</f>
        <v>오겹살</v>
      </c>
    </row>
    <row r="1388">
      <c r="A1388" s="2" t="str">
        <f>IFERROR(__xludf.DUMMYFUNCTION("""COMPUTED_VALUE"""),"오겹시대")</f>
        <v>오겹시대</v>
      </c>
      <c r="B1388" s="2" t="str">
        <f>IFERROR(__xludf.DUMMYFUNCTION("""COMPUTED_VALUE"""),"양배추")</f>
        <v>양배추</v>
      </c>
    </row>
    <row r="1389">
      <c r="A1389" s="2" t="str">
        <f>IFERROR(__xludf.DUMMYFUNCTION("""COMPUTED_VALUE"""),"오겹시대")</f>
        <v>오겹시대</v>
      </c>
      <c r="B1389" s="2" t="str">
        <f>IFERROR(__xludf.DUMMYFUNCTION("""COMPUTED_VALUE"""),"시나몬 설탕")</f>
        <v>시나몬 설탕</v>
      </c>
    </row>
    <row r="1390">
      <c r="A1390" s="2" t="str">
        <f>IFERROR(__xludf.DUMMYFUNCTION("""COMPUTED_VALUE"""),"오겹시대")</f>
        <v>오겹시대</v>
      </c>
      <c r="B1390" s="2" t="str">
        <f>IFERROR(__xludf.DUMMYFUNCTION("""COMPUTED_VALUE"""),"살라미")</f>
        <v>살라미</v>
      </c>
    </row>
    <row r="1391">
      <c r="A1391" s="2" t="str">
        <f>IFERROR(__xludf.DUMMYFUNCTION("""COMPUTED_VALUE"""),"오겹시대")</f>
        <v>오겹시대</v>
      </c>
      <c r="B1391" s="2" t="str">
        <f>IFERROR(__xludf.DUMMYFUNCTION("""COMPUTED_VALUE"""),"마늘")</f>
        <v>마늘</v>
      </c>
    </row>
    <row r="1392">
      <c r="A1392" s="2" t="str">
        <f>IFERROR(__xludf.DUMMYFUNCTION("""COMPUTED_VALUE"""),"오겹시대")</f>
        <v>오겹시대</v>
      </c>
      <c r="B1392" s="2" t="str">
        <f>IFERROR(__xludf.DUMMYFUNCTION("""COMPUTED_VALUE"""),"대파")</f>
        <v>대파</v>
      </c>
    </row>
    <row r="1393">
      <c r="A1393" s="2" t="str">
        <f>IFERROR(__xludf.DUMMYFUNCTION("""COMPUTED_VALUE"""),"오겹시대")</f>
        <v>오겹시대</v>
      </c>
      <c r="B1393" s="2" t="str">
        <f>IFERROR(__xludf.DUMMYFUNCTION("""COMPUTED_VALUE"""),"당근")</f>
        <v>당근</v>
      </c>
    </row>
    <row r="1394">
      <c r="A1394" s="2" t="str">
        <f>IFERROR(__xludf.DUMMYFUNCTION("""COMPUTED_VALUE"""),"오겹시대")</f>
        <v>오겹시대</v>
      </c>
      <c r="B1394" s="2" t="str">
        <f>IFERROR(__xludf.DUMMYFUNCTION("""COMPUTED_VALUE"""),"양파")</f>
        <v>양파</v>
      </c>
    </row>
    <row r="1395">
      <c r="A1395" s="2" t="str">
        <f>IFERROR(__xludf.DUMMYFUNCTION("""COMPUTED_VALUE"""),"오겹시대")</f>
        <v>오겹시대</v>
      </c>
      <c r="B1395" s="2" t="str">
        <f>IFERROR(__xludf.DUMMYFUNCTION("""COMPUTED_VALUE"""),"올리브 오일")</f>
        <v>올리브 오일</v>
      </c>
    </row>
    <row r="1396">
      <c r="A1396" s="2" t="str">
        <f>IFERROR(__xludf.DUMMYFUNCTION("""COMPUTED_VALUE"""),"오겹시대")</f>
        <v>오겹시대</v>
      </c>
      <c r="B1396" s="2" t="str">
        <f>IFERROR(__xludf.DUMMYFUNCTION("""COMPUTED_VALUE"""),"소금")</f>
        <v>소금</v>
      </c>
    </row>
    <row r="1397">
      <c r="A1397" s="2" t="str">
        <f>IFERROR(__xludf.DUMMYFUNCTION("""COMPUTED_VALUE"""),"오겹시대")</f>
        <v>오겹시대</v>
      </c>
      <c r="B1397" s="2" t="str">
        <f>IFERROR(__xludf.DUMMYFUNCTION("""COMPUTED_VALUE"""),"후추")</f>
        <v>후추</v>
      </c>
    </row>
    <row r="1398">
      <c r="A1398" s="2" t="str">
        <f>IFERROR(__xludf.DUMMYFUNCTION("""COMPUTED_VALUE"""),"오겹시대")</f>
        <v>오겹시대</v>
      </c>
      <c r="B1398" s="2" t="str">
        <f>IFERROR(__xludf.DUMMYFUNCTION("""COMPUTED_VALUE"""),"레몬")</f>
        <v>레몬</v>
      </c>
    </row>
    <row r="1399">
      <c r="A1399" s="2" t="str">
        <f>IFERROR(__xludf.DUMMYFUNCTION("""COMPUTED_VALUE"""),"코드네임 써니")</f>
        <v>코드네임 써니</v>
      </c>
      <c r="B1399" s="2" t="str">
        <f>IFERROR(__xludf.DUMMYFUNCTION("""COMPUTED_VALUE"""),"대구")</f>
        <v>대구</v>
      </c>
    </row>
    <row r="1400">
      <c r="A1400" s="2" t="str">
        <f>IFERROR(__xludf.DUMMYFUNCTION("""COMPUTED_VALUE"""),"코드네임 써니")</f>
        <v>코드네임 써니</v>
      </c>
      <c r="B1400" s="2" t="str">
        <f>IFERROR(__xludf.DUMMYFUNCTION("""COMPUTED_VALUE"""),"살라미")</f>
        <v>살라미</v>
      </c>
    </row>
    <row r="1401">
      <c r="A1401" s="2" t="str">
        <f>IFERROR(__xludf.DUMMYFUNCTION("""COMPUTED_VALUE"""),"코드네임 써니")</f>
        <v>코드네임 써니</v>
      </c>
      <c r="B1401" s="2" t="str">
        <f>IFERROR(__xludf.DUMMYFUNCTION("""COMPUTED_VALUE"""),"데이츠")</f>
        <v>데이츠</v>
      </c>
    </row>
    <row r="1402">
      <c r="A1402" s="2" t="str">
        <f>IFERROR(__xludf.DUMMYFUNCTION("""COMPUTED_VALUE"""),"코드네임 써니")</f>
        <v>코드네임 써니</v>
      </c>
      <c r="B1402" s="2" t="str">
        <f>IFERROR(__xludf.DUMMYFUNCTION("""COMPUTED_VALUE"""),"설렁탕 국물")</f>
        <v>설렁탕 국물</v>
      </c>
    </row>
    <row r="1403">
      <c r="A1403" s="2" t="str">
        <f>IFERROR(__xludf.DUMMYFUNCTION("""COMPUTED_VALUE"""),"코드네임 써니")</f>
        <v>코드네임 써니</v>
      </c>
      <c r="B1403" s="2" t="str">
        <f>IFERROR(__xludf.DUMMYFUNCTION("""COMPUTED_VALUE"""),"꿀")</f>
        <v>꿀</v>
      </c>
    </row>
    <row r="1404">
      <c r="A1404" s="2" t="str">
        <f>IFERROR(__xludf.DUMMYFUNCTION("""COMPUTED_VALUE"""),"코드네임 써니")</f>
        <v>코드네임 써니</v>
      </c>
      <c r="B1404" s="2" t="str">
        <f>IFERROR(__xludf.DUMMYFUNCTION("""COMPUTED_VALUE"""),"데이츠 시럽")</f>
        <v>데이츠 시럽</v>
      </c>
    </row>
    <row r="1405">
      <c r="A1405" s="2" t="str">
        <f>IFERROR(__xludf.DUMMYFUNCTION("""COMPUTED_VALUE"""),"코드네임 써니")</f>
        <v>코드네임 써니</v>
      </c>
      <c r="B1405" s="2" t="str">
        <f>IFERROR(__xludf.DUMMYFUNCTION("""COMPUTED_VALUE"""),"샤프란")</f>
        <v>샤프란</v>
      </c>
    </row>
    <row r="1406">
      <c r="A1406" s="2" t="str">
        <f>IFERROR(__xludf.DUMMYFUNCTION("""COMPUTED_VALUE"""),"코드네임 써니")</f>
        <v>코드네임 써니</v>
      </c>
      <c r="B1406" s="2" t="str">
        <f>IFERROR(__xludf.DUMMYFUNCTION("""COMPUTED_VALUE"""),"감자")</f>
        <v>감자</v>
      </c>
    </row>
    <row r="1407">
      <c r="A1407" s="2" t="str">
        <f>IFERROR(__xludf.DUMMYFUNCTION("""COMPUTED_VALUE"""),"코드네임 써니")</f>
        <v>코드네임 써니</v>
      </c>
      <c r="B1407" s="2" t="str">
        <f>IFERROR(__xludf.DUMMYFUNCTION("""COMPUTED_VALUE"""),"파르메산 치즈")</f>
        <v>파르메산 치즈</v>
      </c>
    </row>
    <row r="1408">
      <c r="A1408" s="2" t="str">
        <f>IFERROR(__xludf.DUMMYFUNCTION("""COMPUTED_VALUE"""),"코드네임 써니")</f>
        <v>코드네임 써니</v>
      </c>
      <c r="B1408" s="2" t="str">
        <f>IFERROR(__xludf.DUMMYFUNCTION("""COMPUTED_VALUE"""),"밀싹")</f>
        <v>밀싹</v>
      </c>
    </row>
    <row r="1409">
      <c r="A1409" s="2" t="str">
        <f>IFERROR(__xludf.DUMMYFUNCTION("""COMPUTED_VALUE"""),"코드네임 써니")</f>
        <v>코드네임 써니</v>
      </c>
      <c r="B1409" s="2" t="str">
        <f>IFERROR(__xludf.DUMMYFUNCTION("""COMPUTED_VALUE"""),"올리브 오일")</f>
        <v>올리브 오일</v>
      </c>
    </row>
    <row r="1410">
      <c r="A1410" s="2" t="str">
        <f>IFERROR(__xludf.DUMMYFUNCTION("""COMPUTED_VALUE"""),"코드네임 써니")</f>
        <v>코드네임 써니</v>
      </c>
      <c r="B1410" s="2" t="str">
        <f>IFERROR(__xludf.DUMMYFUNCTION("""COMPUTED_VALUE"""),"레몬")</f>
        <v>레몬</v>
      </c>
    </row>
    <row r="1411">
      <c r="A1411" s="2" t="str">
        <f>IFERROR(__xludf.DUMMYFUNCTION("""COMPUTED_VALUE"""),"코드네임 써니")</f>
        <v>코드네임 써니</v>
      </c>
      <c r="B1411" s="2" t="str">
        <f>IFERROR(__xludf.DUMMYFUNCTION("""COMPUTED_VALUE"""),"소금")</f>
        <v>소금</v>
      </c>
    </row>
    <row r="1412">
      <c r="A1412" s="2" t="str">
        <f>IFERROR(__xludf.DUMMYFUNCTION("""COMPUTED_VALUE"""),"코드네임 써니")</f>
        <v>코드네임 써니</v>
      </c>
      <c r="B1412" s="2" t="str">
        <f>IFERROR(__xludf.DUMMYFUNCTION("""COMPUTED_VALUE"""),"후추")</f>
        <v>후추</v>
      </c>
    </row>
    <row r="1413">
      <c r="A1413" s="2" t="str">
        <f>IFERROR(__xludf.DUMMYFUNCTION("""COMPUTED_VALUE"""),"오시지")</f>
        <v>오시지</v>
      </c>
      <c r="B1413" s="2" t="str">
        <f>IFERROR(__xludf.DUMMYFUNCTION("""COMPUTED_VALUE"""),"오징어")</f>
        <v>오징어</v>
      </c>
    </row>
    <row r="1414">
      <c r="A1414" s="2" t="str">
        <f>IFERROR(__xludf.DUMMYFUNCTION("""COMPUTED_VALUE"""),"오시지")</f>
        <v>오시지</v>
      </c>
      <c r="B1414" s="2" t="str">
        <f>IFERROR(__xludf.DUMMYFUNCTION("""COMPUTED_VALUE"""),"양배추")</f>
        <v>양배추</v>
      </c>
    </row>
    <row r="1415">
      <c r="A1415" s="2" t="str">
        <f>IFERROR(__xludf.DUMMYFUNCTION("""COMPUTED_VALUE"""),"오시지")</f>
        <v>오시지</v>
      </c>
      <c r="B1415" s="2" t="str">
        <f>IFERROR(__xludf.DUMMYFUNCTION("""COMPUTED_VALUE"""),"오렌지 주스")</f>
        <v>오렌지 주스</v>
      </c>
    </row>
    <row r="1416">
      <c r="A1416" s="2" t="str">
        <f>IFERROR(__xludf.DUMMYFUNCTION("""COMPUTED_VALUE"""),"오시지")</f>
        <v>오시지</v>
      </c>
      <c r="B1416" s="2" t="str">
        <f>IFERROR(__xludf.DUMMYFUNCTION("""COMPUTED_VALUE"""),"케이퍼")</f>
        <v>케이퍼</v>
      </c>
    </row>
    <row r="1417">
      <c r="A1417" s="2" t="str">
        <f>IFERROR(__xludf.DUMMYFUNCTION("""COMPUTED_VALUE"""),"오시지")</f>
        <v>오시지</v>
      </c>
      <c r="B1417" s="2" t="str">
        <f>IFERROR(__xludf.DUMMYFUNCTION("""COMPUTED_VALUE"""),"버터")</f>
        <v>버터</v>
      </c>
    </row>
    <row r="1418">
      <c r="A1418" s="2" t="str">
        <f>IFERROR(__xludf.DUMMYFUNCTION("""COMPUTED_VALUE"""),"오시지")</f>
        <v>오시지</v>
      </c>
      <c r="B1418" s="2" t="str">
        <f>IFERROR(__xludf.DUMMYFUNCTION("""COMPUTED_VALUE"""),"다진 마늘")</f>
        <v>다진 마늘</v>
      </c>
    </row>
    <row r="1419">
      <c r="A1419" s="2" t="str">
        <f>IFERROR(__xludf.DUMMYFUNCTION("""COMPUTED_VALUE"""),"오시지")</f>
        <v>오시지</v>
      </c>
      <c r="B1419" s="2" t="str">
        <f>IFERROR(__xludf.DUMMYFUNCTION("""COMPUTED_VALUE"""),"후추")</f>
        <v>후추</v>
      </c>
    </row>
    <row r="1420">
      <c r="A1420" s="2" t="str">
        <f>IFERROR(__xludf.DUMMYFUNCTION("""COMPUTED_VALUE"""),"오시지")</f>
        <v>오시지</v>
      </c>
      <c r="B1420" s="2" t="str">
        <f>IFERROR(__xludf.DUMMYFUNCTION("""COMPUTED_VALUE"""),"설탕")</f>
        <v>설탕</v>
      </c>
    </row>
    <row r="1421">
      <c r="A1421" s="2" t="str">
        <f>IFERROR(__xludf.DUMMYFUNCTION("""COMPUTED_VALUE"""),"오시지")</f>
        <v>오시지</v>
      </c>
      <c r="B1421" s="2" t="str">
        <f>IFERROR(__xludf.DUMMYFUNCTION("""COMPUTED_VALUE"""),"고춧가루")</f>
        <v>고춧가루</v>
      </c>
    </row>
    <row r="1422">
      <c r="A1422" s="2" t="str">
        <f>IFERROR(__xludf.DUMMYFUNCTION("""COMPUTED_VALUE"""),"오시지")</f>
        <v>오시지</v>
      </c>
      <c r="B1422" s="2" t="str">
        <f>IFERROR(__xludf.DUMMYFUNCTION("""COMPUTED_VALUE"""),"소주")</f>
        <v>소주</v>
      </c>
    </row>
    <row r="1423">
      <c r="A1423" s="2" t="str">
        <f>IFERROR(__xludf.DUMMYFUNCTION("""COMPUTED_VALUE"""),"오시지")</f>
        <v>오시지</v>
      </c>
      <c r="B1423" s="2" t="str">
        <f>IFERROR(__xludf.DUMMYFUNCTION("""COMPUTED_VALUE"""),"맛술")</f>
        <v>맛술</v>
      </c>
    </row>
    <row r="1424">
      <c r="A1424" s="2" t="str">
        <f>IFERROR(__xludf.DUMMYFUNCTION("""COMPUTED_VALUE"""),"오시지")</f>
        <v>오시지</v>
      </c>
      <c r="B1424" s="2" t="str">
        <f>IFERROR(__xludf.DUMMYFUNCTION("""COMPUTED_VALUE"""),"간장")</f>
        <v>간장</v>
      </c>
    </row>
    <row r="1425">
      <c r="A1425" s="2" t="str">
        <f>IFERROR(__xludf.DUMMYFUNCTION("""COMPUTED_VALUE"""),"오시지")</f>
        <v>오시지</v>
      </c>
      <c r="B1425" s="2" t="str">
        <f>IFERROR(__xludf.DUMMYFUNCTION("""COMPUTED_VALUE"""),"다진 생강")</f>
        <v>다진 생강</v>
      </c>
    </row>
    <row r="1426">
      <c r="A1426" s="2" t="str">
        <f>IFERROR(__xludf.DUMMYFUNCTION("""COMPUTED_VALUE"""),"오시지")</f>
        <v>오시지</v>
      </c>
      <c r="B1426" s="2" t="str">
        <f>IFERROR(__xludf.DUMMYFUNCTION("""COMPUTED_VALUE"""),"전분")</f>
        <v>전분</v>
      </c>
    </row>
    <row r="1427">
      <c r="A1427" s="2" t="str">
        <f>IFERROR(__xludf.DUMMYFUNCTION("""COMPUTED_VALUE"""),"오시지")</f>
        <v>오시지</v>
      </c>
      <c r="B1427" s="2" t="str">
        <f>IFERROR(__xludf.DUMMYFUNCTION("""COMPUTED_VALUE"""),"마요네즈")</f>
        <v>마요네즈</v>
      </c>
    </row>
    <row r="1428">
      <c r="A1428" s="2" t="str">
        <f>IFERROR(__xludf.DUMMYFUNCTION("""COMPUTED_VALUE"""),"오시지")</f>
        <v>오시지</v>
      </c>
      <c r="B1428" s="2" t="str">
        <f>IFERROR(__xludf.DUMMYFUNCTION("""COMPUTED_VALUE"""),"대파")</f>
        <v>대파</v>
      </c>
    </row>
    <row r="1429">
      <c r="A1429" s="2" t="str">
        <f>IFERROR(__xludf.DUMMYFUNCTION("""COMPUTED_VALUE"""),"나이스 투 미튜")</f>
        <v>나이스 투 미튜</v>
      </c>
      <c r="B1429" s="2" t="str">
        <f>IFERROR(__xludf.DUMMYFUNCTION("""COMPUTED_VALUE"""),"컵라면")</f>
        <v>컵라면</v>
      </c>
    </row>
    <row r="1430">
      <c r="A1430" s="2" t="str">
        <f>IFERROR(__xludf.DUMMYFUNCTION("""COMPUTED_VALUE"""),"나이스 투 미튜")</f>
        <v>나이스 투 미튜</v>
      </c>
      <c r="B1430" s="2" t="str">
        <f>IFERROR(__xludf.DUMMYFUNCTION("""COMPUTED_VALUE"""),"감자칩")</f>
        <v>감자칩</v>
      </c>
    </row>
    <row r="1431">
      <c r="A1431" s="2" t="str">
        <f>IFERROR(__xludf.DUMMYFUNCTION("""COMPUTED_VALUE"""),"나이스 투 미튜")</f>
        <v>나이스 투 미튜</v>
      </c>
      <c r="B1431" s="2" t="str">
        <f>IFERROR(__xludf.DUMMYFUNCTION("""COMPUTED_VALUE"""),"야채참치")</f>
        <v>야채참치</v>
      </c>
    </row>
    <row r="1432">
      <c r="A1432" s="2" t="str">
        <f>IFERROR(__xludf.DUMMYFUNCTION("""COMPUTED_VALUE"""),"나이스 투 미튜")</f>
        <v>나이스 투 미튜</v>
      </c>
      <c r="B1432" s="2" t="str">
        <f>IFERROR(__xludf.DUMMYFUNCTION("""COMPUTED_VALUE"""),"달걀")</f>
        <v>달걀</v>
      </c>
    </row>
    <row r="1433">
      <c r="A1433" s="2" t="str">
        <f>IFERROR(__xludf.DUMMYFUNCTION("""COMPUTED_VALUE"""),"나이스 투 미튜")</f>
        <v>나이스 투 미튜</v>
      </c>
      <c r="B1433" s="2" t="str">
        <f>IFERROR(__xludf.DUMMYFUNCTION("""COMPUTED_VALUE"""),"밀가루")</f>
        <v>밀가루</v>
      </c>
    </row>
    <row r="1434">
      <c r="A1434" s="2" t="str">
        <f>IFERROR(__xludf.DUMMYFUNCTION("""COMPUTED_VALUE"""),"나이스 투 미튜")</f>
        <v>나이스 투 미튜</v>
      </c>
      <c r="B1434" s="2" t="str">
        <f>IFERROR(__xludf.DUMMYFUNCTION("""COMPUTED_VALUE"""),"소금")</f>
        <v>소금</v>
      </c>
    </row>
    <row r="1435">
      <c r="A1435" s="2" t="str">
        <f>IFERROR(__xludf.DUMMYFUNCTION("""COMPUTED_VALUE"""),"나이스 투 미튜")</f>
        <v>나이스 투 미튜</v>
      </c>
      <c r="B1435" s="2" t="str">
        <f>IFERROR(__xludf.DUMMYFUNCTION("""COMPUTED_VALUE"""),"후추")</f>
        <v>후추</v>
      </c>
    </row>
    <row r="1436">
      <c r="A1436" s="2" t="str">
        <f>IFERROR(__xludf.DUMMYFUNCTION("""COMPUTED_VALUE"""),"나이스 투 미튜")</f>
        <v>나이스 투 미튜</v>
      </c>
      <c r="B1436" s="2" t="str">
        <f>IFERROR(__xludf.DUMMYFUNCTION("""COMPUTED_VALUE"""),"버터")</f>
        <v>버터</v>
      </c>
    </row>
    <row r="1437">
      <c r="A1437" s="2" t="str">
        <f>IFERROR(__xludf.DUMMYFUNCTION("""COMPUTED_VALUE"""),"나이스 투 미튜")</f>
        <v>나이스 투 미튜</v>
      </c>
      <c r="B1437" s="2" t="str">
        <f>IFERROR(__xludf.DUMMYFUNCTION("""COMPUTED_VALUE"""),"레몬")</f>
        <v>레몬</v>
      </c>
    </row>
    <row r="1438">
      <c r="A1438" s="2" t="str">
        <f>IFERROR(__xludf.DUMMYFUNCTION("""COMPUTED_VALUE"""),"나이스 투 미튜")</f>
        <v>나이스 투 미튜</v>
      </c>
      <c r="B1438" s="2" t="str">
        <f>IFERROR(__xludf.DUMMYFUNCTION("""COMPUTED_VALUE"""),"케첩")</f>
        <v>케첩</v>
      </c>
    </row>
    <row r="1439">
      <c r="A1439" s="2" t="str">
        <f>IFERROR(__xludf.DUMMYFUNCTION("""COMPUTED_VALUE"""),"나이스 투 미튜")</f>
        <v>나이스 투 미튜</v>
      </c>
      <c r="B1439" s="2" t="str">
        <f>IFERROR(__xludf.DUMMYFUNCTION("""COMPUTED_VALUE"""),"마요네즈")</f>
        <v>마요네즈</v>
      </c>
    </row>
    <row r="1440">
      <c r="A1440" s="2" t="str">
        <f>IFERROR(__xludf.DUMMYFUNCTION("""COMPUTED_VALUE"""),"나이스 투 미튜")</f>
        <v>나이스 투 미튜</v>
      </c>
      <c r="B1440" s="2" t="str">
        <f>IFERROR(__xludf.DUMMYFUNCTION("""COMPUTED_VALUE"""),"방울토마토")</f>
        <v>방울토마토</v>
      </c>
    </row>
    <row r="1441">
      <c r="A1441" s="2" t="str">
        <f>IFERROR(__xludf.DUMMYFUNCTION("""COMPUTED_VALUE"""),"복침개")</f>
        <v>복침개</v>
      </c>
      <c r="B1441" s="2" t="str">
        <f>IFERROR(__xludf.DUMMYFUNCTION("""COMPUTED_VALUE"""),"햄 통조림")</f>
        <v>햄 통조림</v>
      </c>
    </row>
    <row r="1442">
      <c r="A1442" s="2" t="str">
        <f>IFERROR(__xludf.DUMMYFUNCTION("""COMPUTED_VALUE"""),"복침개")</f>
        <v>복침개</v>
      </c>
      <c r="B1442" s="2" t="str">
        <f>IFERROR(__xludf.DUMMYFUNCTION("""COMPUTED_VALUE"""),"인스턴트 우동")</f>
        <v>인스턴트 우동</v>
      </c>
    </row>
    <row r="1443">
      <c r="A1443" s="2" t="str">
        <f>IFERROR(__xludf.DUMMYFUNCTION("""COMPUTED_VALUE"""),"복침개")</f>
        <v>복침개</v>
      </c>
      <c r="B1443" s="2" t="str">
        <f>IFERROR(__xludf.DUMMYFUNCTION("""COMPUTED_VALUE"""),"양파")</f>
        <v>양파</v>
      </c>
    </row>
    <row r="1444">
      <c r="A1444" s="2" t="str">
        <f>IFERROR(__xludf.DUMMYFUNCTION("""COMPUTED_VALUE"""),"복침개")</f>
        <v>복침개</v>
      </c>
      <c r="B1444" s="2" t="str">
        <f>IFERROR(__xludf.DUMMYFUNCTION("""COMPUTED_VALUE"""),"대파")</f>
        <v>대파</v>
      </c>
    </row>
    <row r="1445">
      <c r="A1445" s="2" t="str">
        <f>IFERROR(__xludf.DUMMYFUNCTION("""COMPUTED_VALUE"""),"복침개")</f>
        <v>복침개</v>
      </c>
      <c r="B1445" s="2" t="str">
        <f>IFERROR(__xludf.DUMMYFUNCTION("""COMPUTED_VALUE"""),"당근")</f>
        <v>당근</v>
      </c>
    </row>
    <row r="1446">
      <c r="A1446" s="2" t="str">
        <f>IFERROR(__xludf.DUMMYFUNCTION("""COMPUTED_VALUE"""),"복침개")</f>
        <v>복침개</v>
      </c>
      <c r="B1446" s="2" t="str">
        <f>IFERROR(__xludf.DUMMYFUNCTION("""COMPUTED_VALUE"""),"다진 마늘")</f>
        <v>다진 마늘</v>
      </c>
    </row>
    <row r="1447">
      <c r="A1447" s="2" t="str">
        <f>IFERROR(__xludf.DUMMYFUNCTION("""COMPUTED_VALUE"""),"복침개")</f>
        <v>복침개</v>
      </c>
      <c r="B1447" s="2" t="str">
        <f>IFERROR(__xludf.DUMMYFUNCTION("""COMPUTED_VALUE"""),"전분")</f>
        <v>전분</v>
      </c>
    </row>
    <row r="1448">
      <c r="A1448" s="2" t="str">
        <f>IFERROR(__xludf.DUMMYFUNCTION("""COMPUTED_VALUE"""),"토달토달")</f>
        <v>토달토달</v>
      </c>
      <c r="B1448" s="2" t="str">
        <f>IFERROR(__xludf.DUMMYFUNCTION("""COMPUTED_VALUE"""),"방울토마토")</f>
        <v>방울토마토</v>
      </c>
    </row>
    <row r="1449">
      <c r="A1449" s="2" t="str">
        <f>IFERROR(__xludf.DUMMYFUNCTION("""COMPUTED_VALUE"""),"토달토달")</f>
        <v>토달토달</v>
      </c>
      <c r="B1449" s="2" t="str">
        <f>IFERROR(__xludf.DUMMYFUNCTION("""COMPUTED_VALUE"""),"식빵")</f>
        <v>식빵</v>
      </c>
    </row>
    <row r="1450">
      <c r="A1450" s="2" t="str">
        <f>IFERROR(__xludf.DUMMYFUNCTION("""COMPUTED_VALUE"""),"토달토달")</f>
        <v>토달토달</v>
      </c>
      <c r="B1450" s="2" t="str">
        <f>IFERROR(__xludf.DUMMYFUNCTION("""COMPUTED_VALUE"""),"곰탕라면")</f>
        <v>곰탕라면</v>
      </c>
    </row>
    <row r="1451">
      <c r="A1451" s="2" t="str">
        <f>IFERROR(__xludf.DUMMYFUNCTION("""COMPUTED_VALUE"""),"토달토달")</f>
        <v>토달토달</v>
      </c>
      <c r="B1451" s="2" t="str">
        <f>IFERROR(__xludf.DUMMYFUNCTION("""COMPUTED_VALUE"""),"달걀")</f>
        <v>달걀</v>
      </c>
    </row>
    <row r="1452">
      <c r="A1452" s="2" t="str">
        <f>IFERROR(__xludf.DUMMYFUNCTION("""COMPUTED_VALUE"""),"토달토달")</f>
        <v>토달토달</v>
      </c>
      <c r="B1452" s="2" t="str">
        <f>IFERROR(__xludf.DUMMYFUNCTION("""COMPUTED_VALUE"""),"마늘")</f>
        <v>마늘</v>
      </c>
    </row>
    <row r="1453">
      <c r="A1453" s="2" t="str">
        <f>IFERROR(__xludf.DUMMYFUNCTION("""COMPUTED_VALUE"""),"토달토달")</f>
        <v>토달토달</v>
      </c>
      <c r="B1453" s="2" t="str">
        <f>IFERROR(__xludf.DUMMYFUNCTION("""COMPUTED_VALUE"""),"참기름")</f>
        <v>참기름</v>
      </c>
    </row>
    <row r="1454">
      <c r="A1454" s="2" t="str">
        <f>IFERROR(__xludf.DUMMYFUNCTION("""COMPUTED_VALUE"""),"토달토달")</f>
        <v>토달토달</v>
      </c>
      <c r="B1454" s="2" t="str">
        <f>IFERROR(__xludf.DUMMYFUNCTION("""COMPUTED_VALUE"""),"간장")</f>
        <v>간장</v>
      </c>
    </row>
    <row r="1455">
      <c r="A1455" s="2" t="str">
        <f>IFERROR(__xludf.DUMMYFUNCTION("""COMPUTED_VALUE"""),"토달토달")</f>
        <v>토달토달</v>
      </c>
      <c r="B1455" s="2" t="str">
        <f>IFERROR(__xludf.DUMMYFUNCTION("""COMPUTED_VALUE"""),"식초")</f>
        <v>식초</v>
      </c>
    </row>
    <row r="1456">
      <c r="A1456" s="2" t="str">
        <f>IFERROR(__xludf.DUMMYFUNCTION("""COMPUTED_VALUE"""),"토달토달")</f>
        <v>토달토달</v>
      </c>
      <c r="B1456" s="2" t="str">
        <f>IFERROR(__xludf.DUMMYFUNCTION("""COMPUTED_VALUE"""),"맛술")</f>
        <v>맛술</v>
      </c>
    </row>
    <row r="1457">
      <c r="A1457" s="2" t="str">
        <f>IFERROR(__xludf.DUMMYFUNCTION("""COMPUTED_VALUE"""),"토달토달")</f>
        <v>토달토달</v>
      </c>
      <c r="B1457" s="2" t="str">
        <f>IFERROR(__xludf.DUMMYFUNCTION("""COMPUTED_VALUE"""),"전분")</f>
        <v>전분</v>
      </c>
    </row>
    <row r="1458">
      <c r="A1458" s="2" t="str">
        <f>IFERROR(__xludf.DUMMYFUNCTION("""COMPUTED_VALUE"""),"아육동")</f>
        <v>아육동</v>
      </c>
      <c r="B1458" s="2" t="str">
        <f>IFERROR(__xludf.DUMMYFUNCTION("""COMPUTED_VALUE"""),"육포")</f>
        <v>육포</v>
      </c>
    </row>
    <row r="1459">
      <c r="A1459" s="2" t="str">
        <f>IFERROR(__xludf.DUMMYFUNCTION("""COMPUTED_VALUE"""),"아육동")</f>
        <v>아육동</v>
      </c>
      <c r="B1459" s="2" t="str">
        <f>IFERROR(__xludf.DUMMYFUNCTION("""COMPUTED_VALUE"""),"장조림 통조림")</f>
        <v>장조림 통조림</v>
      </c>
    </row>
    <row r="1460">
      <c r="A1460" s="2" t="str">
        <f>IFERROR(__xludf.DUMMYFUNCTION("""COMPUTED_VALUE"""),"아육동")</f>
        <v>아육동</v>
      </c>
      <c r="B1460" s="2" t="str">
        <f>IFERROR(__xludf.DUMMYFUNCTION("""COMPUTED_VALUE"""),"깻잎 장아찌 통조림")</f>
        <v>깻잎 장아찌 통조림</v>
      </c>
    </row>
    <row r="1461">
      <c r="A1461" s="2" t="str">
        <f>IFERROR(__xludf.DUMMYFUNCTION("""COMPUTED_VALUE"""),"아육동")</f>
        <v>아육동</v>
      </c>
      <c r="B1461" s="2" t="str">
        <f>IFERROR(__xludf.DUMMYFUNCTION("""COMPUTED_VALUE"""),"인스턴트 우동")</f>
        <v>인스턴트 우동</v>
      </c>
    </row>
    <row r="1462">
      <c r="A1462" s="2" t="str">
        <f>IFERROR(__xludf.DUMMYFUNCTION("""COMPUTED_VALUE"""),"아육동")</f>
        <v>아육동</v>
      </c>
      <c r="B1462" s="2" t="str">
        <f>IFERROR(__xludf.DUMMYFUNCTION("""COMPUTED_VALUE"""),"양파")</f>
        <v>양파</v>
      </c>
    </row>
    <row r="1463">
      <c r="A1463" s="2" t="str">
        <f>IFERROR(__xludf.DUMMYFUNCTION("""COMPUTED_VALUE"""),"아육동")</f>
        <v>아육동</v>
      </c>
      <c r="B1463" s="2" t="str">
        <f>IFERROR(__xludf.DUMMYFUNCTION("""COMPUTED_VALUE"""),"마늘")</f>
        <v>마늘</v>
      </c>
    </row>
    <row r="1464">
      <c r="A1464" s="2" t="str">
        <f>IFERROR(__xludf.DUMMYFUNCTION("""COMPUTED_VALUE"""),"아육동")</f>
        <v>아육동</v>
      </c>
      <c r="B1464" s="2" t="str">
        <f>IFERROR(__xludf.DUMMYFUNCTION("""COMPUTED_VALUE"""),"당근")</f>
        <v>당근</v>
      </c>
    </row>
    <row r="1465">
      <c r="A1465" s="2" t="str">
        <f>IFERROR(__xludf.DUMMYFUNCTION("""COMPUTED_VALUE"""),"아육동")</f>
        <v>아육동</v>
      </c>
      <c r="B1465" s="2" t="str">
        <f>IFERROR(__xludf.DUMMYFUNCTION("""COMPUTED_VALUE"""),"대파")</f>
        <v>대파</v>
      </c>
    </row>
    <row r="1466">
      <c r="A1466" s="2" t="str">
        <f>IFERROR(__xludf.DUMMYFUNCTION("""COMPUTED_VALUE"""),"아육동")</f>
        <v>아육동</v>
      </c>
      <c r="B1466" s="2" t="str">
        <f>IFERROR(__xludf.DUMMYFUNCTION("""COMPUTED_VALUE"""),"소주")</f>
        <v>소주</v>
      </c>
    </row>
    <row r="1467">
      <c r="A1467" s="2" t="str">
        <f>IFERROR(__xludf.DUMMYFUNCTION("""COMPUTED_VALUE"""),"아육동")</f>
        <v>아육동</v>
      </c>
      <c r="B1467" s="2" t="str">
        <f>IFERROR(__xludf.DUMMYFUNCTION("""COMPUTED_VALUE"""),"밀가루")</f>
        <v>밀가루</v>
      </c>
    </row>
    <row r="1468">
      <c r="A1468" s="2" t="str">
        <f>IFERROR(__xludf.DUMMYFUNCTION("""COMPUTED_VALUE"""),"아육동")</f>
        <v>아육동</v>
      </c>
      <c r="B1468" s="2" t="str">
        <f>IFERROR(__xludf.DUMMYFUNCTION("""COMPUTED_VALUE"""),"소금")</f>
        <v>소금</v>
      </c>
    </row>
    <row r="1469">
      <c r="A1469" s="2" t="str">
        <f>IFERROR(__xludf.DUMMYFUNCTION("""COMPUTED_VALUE"""),"아육동")</f>
        <v>아육동</v>
      </c>
      <c r="B1469" s="2" t="str">
        <f>IFERROR(__xludf.DUMMYFUNCTION("""COMPUTED_VALUE"""),"참기름")</f>
        <v>참기름</v>
      </c>
    </row>
    <row r="1470">
      <c r="A1470" s="2" t="str">
        <f>IFERROR(__xludf.DUMMYFUNCTION("""COMPUTED_VALUE"""),"아육동")</f>
        <v>아육동</v>
      </c>
      <c r="B1470" s="2" t="str">
        <f>IFERROR(__xludf.DUMMYFUNCTION("""COMPUTED_VALUE"""),"다진 마늘")</f>
        <v>다진 마늘</v>
      </c>
    </row>
    <row r="1471">
      <c r="A1471" s="2" t="str">
        <f>IFERROR(__xludf.DUMMYFUNCTION("""COMPUTED_VALUE"""),"아육동")</f>
        <v>아육동</v>
      </c>
      <c r="B1471" s="2" t="str">
        <f>IFERROR(__xludf.DUMMYFUNCTION("""COMPUTED_VALUE"""),"청양고추")</f>
        <v>청양고추</v>
      </c>
    </row>
    <row r="1472">
      <c r="A1472" s="2" t="str">
        <f>IFERROR(__xludf.DUMMYFUNCTION("""COMPUTED_VALUE"""),"아육동")</f>
        <v>아육동</v>
      </c>
      <c r="B1472" s="2" t="str">
        <f>IFERROR(__xludf.DUMMYFUNCTION("""COMPUTED_VALUE"""),"설탕")</f>
        <v>설탕</v>
      </c>
    </row>
    <row r="1473">
      <c r="A1473" s="2" t="str">
        <f>IFERROR(__xludf.DUMMYFUNCTION("""COMPUTED_VALUE"""),"뽀빠이롤")</f>
        <v>뽀빠이롤</v>
      </c>
      <c r="B1473" s="2" t="str">
        <f>IFERROR(__xludf.DUMMYFUNCTION("""COMPUTED_VALUE"""),"냉동 시금치")</f>
        <v>냉동 시금치</v>
      </c>
    </row>
    <row r="1474">
      <c r="A1474" s="2" t="str">
        <f>IFERROR(__xludf.DUMMYFUNCTION("""COMPUTED_VALUE"""),"뽀빠이롤")</f>
        <v>뽀빠이롤</v>
      </c>
      <c r="B1474" s="2" t="str">
        <f>IFERROR(__xludf.DUMMYFUNCTION("""COMPUTED_VALUE"""),"훈제 연어")</f>
        <v>훈제 연어</v>
      </c>
    </row>
    <row r="1475">
      <c r="A1475" s="2" t="str">
        <f>IFERROR(__xludf.DUMMYFUNCTION("""COMPUTED_VALUE"""),"뽀빠이롤")</f>
        <v>뽀빠이롤</v>
      </c>
      <c r="B1475" s="2" t="str">
        <f>IFERROR(__xludf.DUMMYFUNCTION("""COMPUTED_VALUE"""),"크림 치즈")</f>
        <v>크림 치즈</v>
      </c>
    </row>
    <row r="1476">
      <c r="A1476" s="2" t="str">
        <f>IFERROR(__xludf.DUMMYFUNCTION("""COMPUTED_VALUE"""),"뽀빠이롤")</f>
        <v>뽀빠이롤</v>
      </c>
      <c r="B1476" s="2" t="str">
        <f>IFERROR(__xludf.DUMMYFUNCTION("""COMPUTED_VALUE"""),"페타 치즈")</f>
        <v>페타 치즈</v>
      </c>
    </row>
    <row r="1477">
      <c r="A1477" s="2" t="str">
        <f>IFERROR(__xludf.DUMMYFUNCTION("""COMPUTED_VALUE"""),"뽀빠이롤")</f>
        <v>뽀빠이롤</v>
      </c>
      <c r="B1477" s="2" t="str">
        <f>IFERROR(__xludf.DUMMYFUNCTION("""COMPUTED_VALUE"""),"플레인 요거트")</f>
        <v>플레인 요거트</v>
      </c>
    </row>
    <row r="1478">
      <c r="A1478" s="2" t="str">
        <f>IFERROR(__xludf.DUMMYFUNCTION("""COMPUTED_VALUE"""),"뽀빠이롤")</f>
        <v>뽀빠이롤</v>
      </c>
      <c r="B1478" s="2" t="str">
        <f>IFERROR(__xludf.DUMMYFUNCTION("""COMPUTED_VALUE"""),"샐러드 채소")</f>
        <v>샐러드 채소</v>
      </c>
    </row>
    <row r="1479">
      <c r="A1479" s="2" t="str">
        <f>IFERROR(__xludf.DUMMYFUNCTION("""COMPUTED_VALUE"""),"뽀빠이롤")</f>
        <v>뽀빠이롤</v>
      </c>
      <c r="B1479" s="2" t="str">
        <f>IFERROR(__xludf.DUMMYFUNCTION("""COMPUTED_VALUE"""),"마요네즈")</f>
        <v>마요네즈</v>
      </c>
    </row>
    <row r="1480">
      <c r="A1480" s="2" t="str">
        <f>IFERROR(__xludf.DUMMYFUNCTION("""COMPUTED_VALUE"""),"뽀빠이롤")</f>
        <v>뽀빠이롤</v>
      </c>
      <c r="B1480" s="2" t="str">
        <f>IFERROR(__xludf.DUMMYFUNCTION("""COMPUTED_VALUE"""),"소금")</f>
        <v>소금</v>
      </c>
    </row>
    <row r="1481">
      <c r="A1481" s="2" t="str">
        <f>IFERROR(__xludf.DUMMYFUNCTION("""COMPUTED_VALUE"""),"뽀빠이롤")</f>
        <v>뽀빠이롤</v>
      </c>
      <c r="B1481" s="2" t="str">
        <f>IFERROR(__xludf.DUMMYFUNCTION("""COMPUTED_VALUE"""),"탄산수")</f>
        <v>탄산수</v>
      </c>
    </row>
    <row r="1482">
      <c r="A1482" s="2" t="str">
        <f>IFERROR(__xludf.DUMMYFUNCTION("""COMPUTED_VALUE"""),"뽀빠이롤")</f>
        <v>뽀빠이롤</v>
      </c>
      <c r="B1482" s="2" t="str">
        <f>IFERROR(__xludf.DUMMYFUNCTION("""COMPUTED_VALUE"""),"밀가루")</f>
        <v>밀가루</v>
      </c>
    </row>
    <row r="1483">
      <c r="A1483" s="2" t="str">
        <f>IFERROR(__xludf.DUMMYFUNCTION("""COMPUTED_VALUE"""),"뽀빠이롤")</f>
        <v>뽀빠이롤</v>
      </c>
      <c r="B1483" s="2" t="str">
        <f>IFERROR(__xludf.DUMMYFUNCTION("""COMPUTED_VALUE"""),"꿀")</f>
        <v>꿀</v>
      </c>
    </row>
    <row r="1484">
      <c r="A1484" s="2" t="str">
        <f>IFERROR(__xludf.DUMMYFUNCTION("""COMPUTED_VALUE"""),"부드러어")</f>
        <v>부드러어</v>
      </c>
      <c r="B1484" s="2" t="str">
        <f>IFERROR(__xludf.DUMMYFUNCTION("""COMPUTED_VALUE"""),"달걀")</f>
        <v>달걀</v>
      </c>
    </row>
    <row r="1485">
      <c r="A1485" s="2" t="str">
        <f>IFERROR(__xludf.DUMMYFUNCTION("""COMPUTED_VALUE"""),"부드러어")</f>
        <v>부드러어</v>
      </c>
      <c r="B1485" s="2" t="str">
        <f>IFERROR(__xludf.DUMMYFUNCTION("""COMPUTED_VALUE"""),"살라미")</f>
        <v>살라미</v>
      </c>
    </row>
    <row r="1486">
      <c r="A1486" s="2" t="str">
        <f>IFERROR(__xludf.DUMMYFUNCTION("""COMPUTED_VALUE"""),"부드러어")</f>
        <v>부드러어</v>
      </c>
      <c r="B1486" s="2" t="str">
        <f>IFERROR(__xludf.DUMMYFUNCTION("""COMPUTED_VALUE"""),"우유")</f>
        <v>우유</v>
      </c>
    </row>
    <row r="1487">
      <c r="A1487" s="2" t="str">
        <f>IFERROR(__xludf.DUMMYFUNCTION("""COMPUTED_VALUE"""),"부드러어")</f>
        <v>부드러어</v>
      </c>
      <c r="B1487" s="2" t="str">
        <f>IFERROR(__xludf.DUMMYFUNCTION("""COMPUTED_VALUE"""),"방울양배추")</f>
        <v>방울양배추</v>
      </c>
    </row>
    <row r="1488">
      <c r="A1488" s="2" t="str">
        <f>IFERROR(__xludf.DUMMYFUNCTION("""COMPUTED_VALUE"""),"부드러어")</f>
        <v>부드러어</v>
      </c>
      <c r="B1488" s="2" t="str">
        <f>IFERROR(__xludf.DUMMYFUNCTION("""COMPUTED_VALUE"""),"냉동 대구살")</f>
        <v>냉동 대구살</v>
      </c>
    </row>
    <row r="1489">
      <c r="A1489" s="2" t="str">
        <f>IFERROR(__xludf.DUMMYFUNCTION("""COMPUTED_VALUE"""),"부드러어")</f>
        <v>부드러어</v>
      </c>
      <c r="B1489" s="2" t="str">
        <f>IFERROR(__xludf.DUMMYFUNCTION("""COMPUTED_VALUE"""),"방울토마토")</f>
        <v>방울토마토</v>
      </c>
    </row>
    <row r="1490">
      <c r="A1490" s="2" t="str">
        <f>IFERROR(__xludf.DUMMYFUNCTION("""COMPUTED_VALUE"""),"부드러어")</f>
        <v>부드러어</v>
      </c>
      <c r="B1490" s="2" t="str">
        <f>IFERROR(__xludf.DUMMYFUNCTION("""COMPUTED_VALUE"""),"소금")</f>
        <v>소금</v>
      </c>
    </row>
    <row r="1491">
      <c r="A1491" s="2" t="str">
        <f>IFERROR(__xludf.DUMMYFUNCTION("""COMPUTED_VALUE"""),"부드러어")</f>
        <v>부드러어</v>
      </c>
      <c r="B1491" s="2" t="str">
        <f>IFERROR(__xludf.DUMMYFUNCTION("""COMPUTED_VALUE"""),"후추")</f>
        <v>후추</v>
      </c>
    </row>
    <row r="1492">
      <c r="A1492" s="2" t="str">
        <f>IFERROR(__xludf.DUMMYFUNCTION("""COMPUTED_VALUE"""),"부드러어")</f>
        <v>부드러어</v>
      </c>
      <c r="B1492" s="2" t="str">
        <f>IFERROR(__xludf.DUMMYFUNCTION("""COMPUTED_VALUE"""),"올리브 오일")</f>
        <v>올리브 오일</v>
      </c>
    </row>
    <row r="1493">
      <c r="A1493" s="2" t="str">
        <f>IFERROR(__xludf.DUMMYFUNCTION("""COMPUTED_VALUE"""),"부드러어")</f>
        <v>부드러어</v>
      </c>
      <c r="B1493" s="2" t="str">
        <f>IFERROR(__xludf.DUMMYFUNCTION("""COMPUTED_VALUE"""),"버터")</f>
        <v>버터</v>
      </c>
    </row>
    <row r="1494">
      <c r="A1494" s="2" t="str">
        <f>IFERROR(__xludf.DUMMYFUNCTION("""COMPUTED_VALUE"""),"부드러어")</f>
        <v>부드러어</v>
      </c>
      <c r="B1494" s="2" t="str">
        <f>IFERROR(__xludf.DUMMYFUNCTION("""COMPUTED_VALUE"""),"밀가루")</f>
        <v>밀가루</v>
      </c>
    </row>
    <row r="1495">
      <c r="A1495" s="2" t="str">
        <f>IFERROR(__xludf.DUMMYFUNCTION("""COMPUTED_VALUE"""),"부드러어")</f>
        <v>부드러어</v>
      </c>
      <c r="B1495" s="2" t="str">
        <f>IFERROR(__xludf.DUMMYFUNCTION("""COMPUTED_VALUE"""),"화이트 와인")</f>
        <v>화이트 와인</v>
      </c>
    </row>
    <row r="1496">
      <c r="A1496" s="2" t="str">
        <f>IFERROR(__xludf.DUMMYFUNCTION("""COMPUTED_VALUE"""),"부드러어")</f>
        <v>부드러어</v>
      </c>
      <c r="B1496" s="2" t="str">
        <f>IFERROR(__xludf.DUMMYFUNCTION("""COMPUTED_VALUE"""),"꿀")</f>
        <v>꿀</v>
      </c>
    </row>
    <row r="1497">
      <c r="A1497" s="2" t="str">
        <f>IFERROR(__xludf.DUMMYFUNCTION("""COMPUTED_VALUE"""),"부드러어")</f>
        <v>부드러어</v>
      </c>
      <c r="B1497" s="2" t="str">
        <f>IFERROR(__xludf.DUMMYFUNCTION("""COMPUTED_VALUE"""),"레몬")</f>
        <v>레몬</v>
      </c>
    </row>
    <row r="1498">
      <c r="A1498" s="2" t="str">
        <f>IFERROR(__xludf.DUMMYFUNCTION("""COMPUTED_VALUE"""),"부드러어")</f>
        <v>부드러어</v>
      </c>
      <c r="B1498" s="2" t="str">
        <f>IFERROR(__xludf.DUMMYFUNCTION("""COMPUTED_VALUE"""),"대파")</f>
        <v>대파</v>
      </c>
    </row>
    <row r="1499">
      <c r="A1499" s="2" t="str">
        <f>IFERROR(__xludf.DUMMYFUNCTION("""COMPUTED_VALUE"""),"오린기")</f>
        <v>오린기</v>
      </c>
      <c r="B1499" s="2" t="str">
        <f>IFERROR(__xludf.DUMMYFUNCTION("""COMPUTED_VALUE"""),"반건조 오징어")</f>
        <v>반건조 오징어</v>
      </c>
    </row>
    <row r="1500">
      <c r="A1500" s="2" t="str">
        <f>IFERROR(__xludf.DUMMYFUNCTION("""COMPUTED_VALUE"""),"오린기")</f>
        <v>오린기</v>
      </c>
      <c r="B1500" s="2" t="str">
        <f>IFERROR(__xludf.DUMMYFUNCTION("""COMPUTED_VALUE"""),"옥수수 전분")</f>
        <v>옥수수 전분</v>
      </c>
    </row>
    <row r="1501">
      <c r="A1501" s="2" t="str">
        <f>IFERROR(__xludf.DUMMYFUNCTION("""COMPUTED_VALUE"""),"오린기")</f>
        <v>오린기</v>
      </c>
      <c r="B1501" s="2" t="str">
        <f>IFERROR(__xludf.DUMMYFUNCTION("""COMPUTED_VALUE"""),"달걀")</f>
        <v>달걀</v>
      </c>
    </row>
    <row r="1502">
      <c r="A1502" s="2" t="str">
        <f>IFERROR(__xludf.DUMMYFUNCTION("""COMPUTED_VALUE"""),"오린기")</f>
        <v>오린기</v>
      </c>
      <c r="B1502" s="2" t="str">
        <f>IFERROR(__xludf.DUMMYFUNCTION("""COMPUTED_VALUE"""),"코코넛 밀크")</f>
        <v>코코넛 밀크</v>
      </c>
    </row>
    <row r="1503">
      <c r="A1503" s="2" t="str">
        <f>IFERROR(__xludf.DUMMYFUNCTION("""COMPUTED_VALUE"""),"오린기")</f>
        <v>오린기</v>
      </c>
      <c r="B1503" s="2" t="str">
        <f>IFERROR(__xludf.DUMMYFUNCTION("""COMPUTED_VALUE"""),"고추냉이")</f>
        <v>고추냉이</v>
      </c>
    </row>
    <row r="1504">
      <c r="A1504" s="2" t="str">
        <f>IFERROR(__xludf.DUMMYFUNCTION("""COMPUTED_VALUE"""),"오린기")</f>
        <v>오린기</v>
      </c>
      <c r="B1504" s="2" t="str">
        <f>IFERROR(__xludf.DUMMYFUNCTION("""COMPUTED_VALUE"""),"양파")</f>
        <v>양파</v>
      </c>
    </row>
    <row r="1505">
      <c r="A1505" s="2" t="str">
        <f>IFERROR(__xludf.DUMMYFUNCTION("""COMPUTED_VALUE"""),"오린기")</f>
        <v>오린기</v>
      </c>
      <c r="B1505" s="2" t="str">
        <f>IFERROR(__xludf.DUMMYFUNCTION("""COMPUTED_VALUE"""),"감자 전분")</f>
        <v>감자 전분</v>
      </c>
    </row>
    <row r="1506">
      <c r="A1506" s="2" t="str">
        <f>IFERROR(__xludf.DUMMYFUNCTION("""COMPUTED_VALUE"""),"오린기")</f>
        <v>오린기</v>
      </c>
      <c r="B1506" s="2" t="str">
        <f>IFERROR(__xludf.DUMMYFUNCTION("""COMPUTED_VALUE"""),"식용유")</f>
        <v>식용유</v>
      </c>
    </row>
    <row r="1507">
      <c r="A1507" s="2" t="str">
        <f>IFERROR(__xludf.DUMMYFUNCTION("""COMPUTED_VALUE"""),"오린기")</f>
        <v>오린기</v>
      </c>
      <c r="B1507" s="2" t="str">
        <f>IFERROR(__xludf.DUMMYFUNCTION("""COMPUTED_VALUE"""),"마요네즈")</f>
        <v>마요네즈</v>
      </c>
    </row>
    <row r="1508">
      <c r="A1508" s="2" t="str">
        <f>IFERROR(__xludf.DUMMYFUNCTION("""COMPUTED_VALUE"""),"오린기")</f>
        <v>오린기</v>
      </c>
      <c r="B1508" s="2" t="str">
        <f>IFERROR(__xludf.DUMMYFUNCTION("""COMPUTED_VALUE"""),"레몬")</f>
        <v>레몬</v>
      </c>
    </row>
    <row r="1509">
      <c r="A1509" s="2" t="str">
        <f>IFERROR(__xludf.DUMMYFUNCTION("""COMPUTED_VALUE"""),"오린기")</f>
        <v>오린기</v>
      </c>
      <c r="B1509" s="2" t="str">
        <f>IFERROR(__xludf.DUMMYFUNCTION("""COMPUTED_VALUE"""),"설탕")</f>
        <v>설탕</v>
      </c>
    </row>
    <row r="1510">
      <c r="A1510" s="2" t="str">
        <f>IFERROR(__xludf.DUMMYFUNCTION("""COMPUTED_VALUE"""),"허니버터징")</f>
        <v>허니버터징</v>
      </c>
      <c r="B1510" s="2" t="str">
        <f>IFERROR(__xludf.DUMMYFUNCTION("""COMPUTED_VALUE"""),"반건조 오징어")</f>
        <v>반건조 오징어</v>
      </c>
    </row>
    <row r="1511">
      <c r="A1511" s="2" t="str">
        <f>IFERROR(__xludf.DUMMYFUNCTION("""COMPUTED_VALUE"""),"허니버터징")</f>
        <v>허니버터징</v>
      </c>
      <c r="B1511" s="2" t="str">
        <f>IFERROR(__xludf.DUMMYFUNCTION("""COMPUTED_VALUE"""),"브로콜리")</f>
        <v>브로콜리</v>
      </c>
    </row>
    <row r="1512">
      <c r="A1512" s="2" t="str">
        <f>IFERROR(__xludf.DUMMYFUNCTION("""COMPUTED_VALUE"""),"허니버터징")</f>
        <v>허니버터징</v>
      </c>
      <c r="B1512" s="2" t="str">
        <f>IFERROR(__xludf.DUMMYFUNCTION("""COMPUTED_VALUE"""),"애호박")</f>
        <v>애호박</v>
      </c>
    </row>
    <row r="1513">
      <c r="A1513" s="2" t="str">
        <f>IFERROR(__xludf.DUMMYFUNCTION("""COMPUTED_VALUE"""),"허니버터징")</f>
        <v>허니버터징</v>
      </c>
      <c r="B1513" s="2" t="str">
        <f>IFERROR(__xludf.DUMMYFUNCTION("""COMPUTED_VALUE"""),"방울양배추")</f>
        <v>방울양배추</v>
      </c>
    </row>
    <row r="1514">
      <c r="A1514" s="2" t="str">
        <f>IFERROR(__xludf.DUMMYFUNCTION("""COMPUTED_VALUE"""),"허니버터징")</f>
        <v>허니버터징</v>
      </c>
      <c r="B1514" s="2" t="str">
        <f>IFERROR(__xludf.DUMMYFUNCTION("""COMPUTED_VALUE"""),"쪽파")</f>
        <v>쪽파</v>
      </c>
    </row>
    <row r="1515">
      <c r="A1515" s="2" t="str">
        <f>IFERROR(__xludf.DUMMYFUNCTION("""COMPUTED_VALUE"""),"허니버터징")</f>
        <v>허니버터징</v>
      </c>
      <c r="B1515" s="2" t="str">
        <f>IFERROR(__xludf.DUMMYFUNCTION("""COMPUTED_VALUE"""),"매실청")</f>
        <v>매실청</v>
      </c>
    </row>
    <row r="1516">
      <c r="A1516" s="2" t="str">
        <f>IFERROR(__xludf.DUMMYFUNCTION("""COMPUTED_VALUE"""),"허니버터징")</f>
        <v>허니버터징</v>
      </c>
      <c r="B1516" s="2" t="str">
        <f>IFERROR(__xludf.DUMMYFUNCTION("""COMPUTED_VALUE"""),"쯔유")</f>
        <v>쯔유</v>
      </c>
    </row>
    <row r="1517">
      <c r="A1517" s="2" t="str">
        <f>IFERROR(__xludf.DUMMYFUNCTION("""COMPUTED_VALUE"""),"허니버터징")</f>
        <v>허니버터징</v>
      </c>
      <c r="B1517" s="2" t="str">
        <f>IFERROR(__xludf.DUMMYFUNCTION("""COMPUTED_VALUE"""),"파슬리")</f>
        <v>파슬리</v>
      </c>
    </row>
    <row r="1518">
      <c r="A1518" s="2" t="str">
        <f>IFERROR(__xludf.DUMMYFUNCTION("""COMPUTED_VALUE"""),"허니버터징")</f>
        <v>허니버터징</v>
      </c>
      <c r="B1518" s="2" t="str">
        <f>IFERROR(__xludf.DUMMYFUNCTION("""COMPUTED_VALUE"""),"달걀")</f>
        <v>달걀</v>
      </c>
    </row>
    <row r="1519">
      <c r="A1519" s="2" t="str">
        <f>IFERROR(__xludf.DUMMYFUNCTION("""COMPUTED_VALUE"""),"허니버터징")</f>
        <v>허니버터징</v>
      </c>
      <c r="B1519" s="2" t="str">
        <f>IFERROR(__xludf.DUMMYFUNCTION("""COMPUTED_VALUE"""),"오이지")</f>
        <v>오이지</v>
      </c>
    </row>
    <row r="1520">
      <c r="A1520" s="2" t="str">
        <f>IFERROR(__xludf.DUMMYFUNCTION("""COMPUTED_VALUE"""),"허니버터징")</f>
        <v>허니버터징</v>
      </c>
      <c r="B1520" s="2" t="str">
        <f>IFERROR(__xludf.DUMMYFUNCTION("""COMPUTED_VALUE"""),"소금")</f>
        <v>소금</v>
      </c>
    </row>
    <row r="1521">
      <c r="A1521" s="2" t="str">
        <f>IFERROR(__xludf.DUMMYFUNCTION("""COMPUTED_VALUE"""),"허니버터징")</f>
        <v>허니버터징</v>
      </c>
      <c r="B1521" s="2" t="str">
        <f>IFERROR(__xludf.DUMMYFUNCTION("""COMPUTED_VALUE"""),"양파")</f>
        <v>양파</v>
      </c>
    </row>
    <row r="1522">
      <c r="A1522" s="2" t="str">
        <f>IFERROR(__xludf.DUMMYFUNCTION("""COMPUTED_VALUE"""),"허니버터징")</f>
        <v>허니버터징</v>
      </c>
      <c r="B1522" s="2" t="str">
        <f>IFERROR(__xludf.DUMMYFUNCTION("""COMPUTED_VALUE"""),"레몬")</f>
        <v>레몬</v>
      </c>
    </row>
    <row r="1523">
      <c r="A1523" s="2" t="str">
        <f>IFERROR(__xludf.DUMMYFUNCTION("""COMPUTED_VALUE"""),"허니버터징")</f>
        <v>허니버터징</v>
      </c>
      <c r="B1523" s="2" t="str">
        <f>IFERROR(__xludf.DUMMYFUNCTION("""COMPUTED_VALUE"""),"마늘")</f>
        <v>마늘</v>
      </c>
    </row>
    <row r="1524">
      <c r="A1524" s="2" t="str">
        <f>IFERROR(__xludf.DUMMYFUNCTION("""COMPUTED_VALUE"""),"허니버터징")</f>
        <v>허니버터징</v>
      </c>
      <c r="B1524" s="2" t="str">
        <f>IFERROR(__xludf.DUMMYFUNCTION("""COMPUTED_VALUE"""),"고추")</f>
        <v>고추</v>
      </c>
    </row>
    <row r="1525">
      <c r="A1525" s="2" t="str">
        <f>IFERROR(__xludf.DUMMYFUNCTION("""COMPUTED_VALUE"""),"허니버터징")</f>
        <v>허니버터징</v>
      </c>
      <c r="B1525" s="2" t="str">
        <f>IFERROR(__xludf.DUMMYFUNCTION("""COMPUTED_VALUE"""),"꿀")</f>
        <v>꿀</v>
      </c>
    </row>
    <row r="1526">
      <c r="A1526" s="2" t="str">
        <f>IFERROR(__xludf.DUMMYFUNCTION("""COMPUTED_VALUE"""),"허니버터징")</f>
        <v>허니버터징</v>
      </c>
      <c r="B1526" s="2" t="str">
        <f>IFERROR(__xludf.DUMMYFUNCTION("""COMPUTED_VALUE"""),"후추")</f>
        <v>후추</v>
      </c>
    </row>
    <row r="1527">
      <c r="A1527" s="2" t="str">
        <f>IFERROR(__xludf.DUMMYFUNCTION("""COMPUTED_VALUE"""),"허니버터징")</f>
        <v>허니버터징</v>
      </c>
      <c r="B1527" s="2" t="str">
        <f>IFERROR(__xludf.DUMMYFUNCTION("""COMPUTED_VALUE"""),"버터")</f>
        <v>버터</v>
      </c>
    </row>
    <row r="1528">
      <c r="A1528" s="2" t="str">
        <f>IFERROR(__xludf.DUMMYFUNCTION("""COMPUTED_VALUE"""),"허니버터징")</f>
        <v>허니버터징</v>
      </c>
      <c r="B1528" s="2" t="str">
        <f>IFERROR(__xludf.DUMMYFUNCTION("""COMPUTED_VALUE"""),"대파")</f>
        <v>대파</v>
      </c>
    </row>
    <row r="1529">
      <c r="A1529" s="2" t="str">
        <f>IFERROR(__xludf.DUMMYFUNCTION("""COMPUTED_VALUE"""),"허니버터징")</f>
        <v>허니버터징</v>
      </c>
      <c r="B1529" s="2" t="str">
        <f>IFERROR(__xludf.DUMMYFUNCTION("""COMPUTED_VALUE"""),"다진 마늘")</f>
        <v>다진 마늘</v>
      </c>
    </row>
    <row r="1530">
      <c r="A1530" s="2" t="str">
        <f>IFERROR(__xludf.DUMMYFUNCTION("""COMPUTED_VALUE"""),"허니버터징")</f>
        <v>허니버터징</v>
      </c>
      <c r="B1530" s="2" t="str">
        <f>IFERROR(__xludf.DUMMYFUNCTION("""COMPUTED_VALUE"""),"참기름")</f>
        <v>참기름</v>
      </c>
    </row>
    <row r="1531">
      <c r="A1531" s="2" t="str">
        <f>IFERROR(__xludf.DUMMYFUNCTION("""COMPUTED_VALUE"""),"허니버터징")</f>
        <v>허니버터징</v>
      </c>
      <c r="B1531" s="2" t="str">
        <f>IFERROR(__xludf.DUMMYFUNCTION("""COMPUTED_VALUE"""),"깨")</f>
        <v>깨</v>
      </c>
    </row>
    <row r="1532">
      <c r="A1532" s="2" t="str">
        <f>IFERROR(__xludf.DUMMYFUNCTION("""COMPUTED_VALUE"""),"납작 탕수육")</f>
        <v>납작 탕수육</v>
      </c>
      <c r="B1532" s="2" t="str">
        <f>IFERROR(__xludf.DUMMYFUNCTION("""COMPUTED_VALUE"""),"대파")</f>
        <v>대파</v>
      </c>
    </row>
    <row r="1533">
      <c r="A1533" s="2" t="str">
        <f>IFERROR(__xludf.DUMMYFUNCTION("""COMPUTED_VALUE"""),"납작 탕수육")</f>
        <v>납작 탕수육</v>
      </c>
      <c r="B1533" s="2" t="str">
        <f>IFERROR(__xludf.DUMMYFUNCTION("""COMPUTED_VALUE"""),"소고기 등심")</f>
        <v>소고기 등심</v>
      </c>
    </row>
    <row r="1534">
      <c r="A1534" s="2" t="str">
        <f>IFERROR(__xludf.DUMMYFUNCTION("""COMPUTED_VALUE"""),"납작 탕수육")</f>
        <v>납작 탕수육</v>
      </c>
      <c r="B1534" s="2" t="str">
        <f>IFERROR(__xludf.DUMMYFUNCTION("""COMPUTED_VALUE"""),"찹쌀가루")</f>
        <v>찹쌀가루</v>
      </c>
    </row>
    <row r="1535">
      <c r="A1535" s="2" t="str">
        <f>IFERROR(__xludf.DUMMYFUNCTION("""COMPUTED_VALUE"""),"납작 탕수육")</f>
        <v>납작 탕수육</v>
      </c>
      <c r="B1535" s="2" t="str">
        <f>IFERROR(__xludf.DUMMYFUNCTION("""COMPUTED_VALUE"""),"달걀")</f>
        <v>달걀</v>
      </c>
    </row>
    <row r="1536">
      <c r="A1536" s="2" t="str">
        <f>IFERROR(__xludf.DUMMYFUNCTION("""COMPUTED_VALUE"""),"납작 탕수육")</f>
        <v>납작 탕수육</v>
      </c>
      <c r="B1536" s="2" t="str">
        <f>IFERROR(__xludf.DUMMYFUNCTION("""COMPUTED_VALUE"""),"당근")</f>
        <v>당근</v>
      </c>
    </row>
    <row r="1537">
      <c r="A1537" s="2" t="str">
        <f>IFERROR(__xludf.DUMMYFUNCTION("""COMPUTED_VALUE"""),"납작 탕수육")</f>
        <v>납작 탕수육</v>
      </c>
      <c r="B1537" s="2" t="str">
        <f>IFERROR(__xludf.DUMMYFUNCTION("""COMPUTED_VALUE"""),"토마토소스")</f>
        <v>토마토소스</v>
      </c>
    </row>
    <row r="1538">
      <c r="A1538" s="2" t="str">
        <f>IFERROR(__xludf.DUMMYFUNCTION("""COMPUTED_VALUE"""),"납작 탕수육")</f>
        <v>납작 탕수육</v>
      </c>
      <c r="B1538" s="2" t="str">
        <f>IFERROR(__xludf.DUMMYFUNCTION("""COMPUTED_VALUE"""),"굴소스")</f>
        <v>굴소스</v>
      </c>
    </row>
    <row r="1539">
      <c r="A1539" s="2" t="str">
        <f>IFERROR(__xludf.DUMMYFUNCTION("""COMPUTED_VALUE"""),"납작 탕수육")</f>
        <v>납작 탕수육</v>
      </c>
      <c r="B1539" s="2" t="str">
        <f>IFERROR(__xludf.DUMMYFUNCTION("""COMPUTED_VALUE"""),"식용유")</f>
        <v>식용유</v>
      </c>
    </row>
    <row r="1540">
      <c r="A1540" s="2" t="str">
        <f>IFERROR(__xludf.DUMMYFUNCTION("""COMPUTED_VALUE"""),"납작 탕수육")</f>
        <v>납작 탕수육</v>
      </c>
      <c r="B1540" s="2" t="str">
        <f>IFERROR(__xludf.DUMMYFUNCTION("""COMPUTED_VALUE"""),"고춧가루")</f>
        <v>고춧가루</v>
      </c>
    </row>
    <row r="1541">
      <c r="A1541" s="2" t="str">
        <f>IFERROR(__xludf.DUMMYFUNCTION("""COMPUTED_VALUE"""),"납작 탕수육")</f>
        <v>납작 탕수육</v>
      </c>
      <c r="B1541" s="2" t="str">
        <f>IFERROR(__xludf.DUMMYFUNCTION("""COMPUTED_VALUE"""),"전분")</f>
        <v>전분</v>
      </c>
    </row>
    <row r="1542">
      <c r="A1542" s="2" t="str">
        <f>IFERROR(__xludf.DUMMYFUNCTION("""COMPUTED_VALUE"""),"납작 탕수육")</f>
        <v>납작 탕수육</v>
      </c>
      <c r="B1542" s="2" t="str">
        <f>IFERROR(__xludf.DUMMYFUNCTION("""COMPUTED_VALUE"""),"고추")</f>
        <v>고추</v>
      </c>
    </row>
    <row r="1543">
      <c r="A1543" s="2" t="str">
        <f>IFERROR(__xludf.DUMMYFUNCTION("""COMPUTED_VALUE"""),"납작 탕수육")</f>
        <v>납작 탕수육</v>
      </c>
      <c r="B1543" s="2" t="str">
        <f>IFERROR(__xludf.DUMMYFUNCTION("""COMPUTED_VALUE"""),"양파")</f>
        <v>양파</v>
      </c>
    </row>
    <row r="1544">
      <c r="A1544" s="2" t="str">
        <f>IFERROR(__xludf.DUMMYFUNCTION("""COMPUTED_VALUE"""),"납작 탕수육")</f>
        <v>납작 탕수육</v>
      </c>
      <c r="B1544" s="2" t="str">
        <f>IFERROR(__xludf.DUMMYFUNCTION("""COMPUTED_VALUE"""),"마늘")</f>
        <v>마늘</v>
      </c>
    </row>
    <row r="1545">
      <c r="A1545" s="2" t="str">
        <f>IFERROR(__xludf.DUMMYFUNCTION("""COMPUTED_VALUE"""),"납작 탕수육")</f>
        <v>납작 탕수육</v>
      </c>
      <c r="B1545" s="2" t="str">
        <f>IFERROR(__xludf.DUMMYFUNCTION("""COMPUTED_VALUE"""),"다진 마늘")</f>
        <v>다진 마늘</v>
      </c>
    </row>
    <row r="1546">
      <c r="A1546" s="2" t="str">
        <f>IFERROR(__xludf.DUMMYFUNCTION("""COMPUTED_VALUE"""),"납작 탕수육")</f>
        <v>납작 탕수육</v>
      </c>
      <c r="B1546" s="2" t="str">
        <f>IFERROR(__xludf.DUMMYFUNCTION("""COMPUTED_VALUE"""),"간장")</f>
        <v>간장</v>
      </c>
    </row>
    <row r="1547">
      <c r="A1547" s="2" t="str">
        <f>IFERROR(__xludf.DUMMYFUNCTION("""COMPUTED_VALUE"""),"납작 탕수육")</f>
        <v>납작 탕수육</v>
      </c>
      <c r="B1547" s="2" t="str">
        <f>IFERROR(__xludf.DUMMYFUNCTION("""COMPUTED_VALUE"""),"설탕")</f>
        <v>설탕</v>
      </c>
    </row>
    <row r="1548">
      <c r="A1548" s="2" t="str">
        <f>IFERROR(__xludf.DUMMYFUNCTION("""COMPUTED_VALUE"""),"샐러드 올리오")</f>
        <v>샐러드 올리오</v>
      </c>
      <c r="B1548" s="2" t="str">
        <f>IFERROR(__xludf.DUMMYFUNCTION("""COMPUTED_VALUE"""),"애호박")</f>
        <v>애호박</v>
      </c>
    </row>
    <row r="1549">
      <c r="A1549" s="2" t="str">
        <f>IFERROR(__xludf.DUMMYFUNCTION("""COMPUTED_VALUE"""),"샐러드 올리오")</f>
        <v>샐러드 올리오</v>
      </c>
      <c r="B1549" s="2" t="str">
        <f>IFERROR(__xludf.DUMMYFUNCTION("""COMPUTED_VALUE"""),"토마토")</f>
        <v>토마토</v>
      </c>
    </row>
    <row r="1550">
      <c r="A1550" s="2" t="str">
        <f>IFERROR(__xludf.DUMMYFUNCTION("""COMPUTED_VALUE"""),"샐러드 올리오")</f>
        <v>샐러드 올리오</v>
      </c>
      <c r="B1550" s="2" t="str">
        <f>IFERROR(__xludf.DUMMYFUNCTION("""COMPUTED_VALUE"""),"파스타면")</f>
        <v>파스타면</v>
      </c>
    </row>
    <row r="1551">
      <c r="A1551" s="2" t="str">
        <f>IFERROR(__xludf.DUMMYFUNCTION("""COMPUTED_VALUE"""),"샐러드 올리오")</f>
        <v>샐러드 올리오</v>
      </c>
      <c r="B1551" s="2" t="str">
        <f>IFERROR(__xludf.DUMMYFUNCTION("""COMPUTED_VALUE"""),"새싹 채소")</f>
        <v>새싹 채소</v>
      </c>
    </row>
    <row r="1552">
      <c r="A1552" s="2" t="str">
        <f>IFERROR(__xludf.DUMMYFUNCTION("""COMPUTED_VALUE"""),"샐러드 올리오")</f>
        <v>샐러드 올리오</v>
      </c>
      <c r="B1552" s="2" t="str">
        <f>IFERROR(__xludf.DUMMYFUNCTION("""COMPUTED_VALUE"""),"마늘")</f>
        <v>마늘</v>
      </c>
    </row>
    <row r="1553">
      <c r="A1553" s="2" t="str">
        <f>IFERROR(__xludf.DUMMYFUNCTION("""COMPUTED_VALUE"""),"샐러드 올리오")</f>
        <v>샐러드 올리오</v>
      </c>
      <c r="B1553" s="2" t="str">
        <f>IFERROR(__xludf.DUMMYFUNCTION("""COMPUTED_VALUE"""),"후추")</f>
        <v>후추</v>
      </c>
    </row>
    <row r="1554">
      <c r="A1554" s="2" t="str">
        <f>IFERROR(__xludf.DUMMYFUNCTION("""COMPUTED_VALUE"""),"샐러드 올리오")</f>
        <v>샐러드 올리오</v>
      </c>
      <c r="B1554" s="2" t="str">
        <f>IFERROR(__xludf.DUMMYFUNCTION("""COMPUTED_VALUE"""),"소금")</f>
        <v>소금</v>
      </c>
    </row>
    <row r="1555">
      <c r="A1555" s="2" t="str">
        <f>IFERROR(__xludf.DUMMYFUNCTION("""COMPUTED_VALUE"""),"샐러드 올리오")</f>
        <v>샐러드 올리오</v>
      </c>
      <c r="B1555" s="2" t="str">
        <f>IFERROR(__xludf.DUMMYFUNCTION("""COMPUTED_VALUE"""),"올리브 오일")</f>
        <v>올리브 오일</v>
      </c>
    </row>
    <row r="1556">
      <c r="A1556" s="2" t="str">
        <f>IFERROR(__xludf.DUMMYFUNCTION("""COMPUTED_VALUE"""),"샐러드 올리오")</f>
        <v>샐러드 올리오</v>
      </c>
      <c r="B1556" s="2" t="str">
        <f>IFERROR(__xludf.DUMMYFUNCTION("""COMPUTED_VALUE"""),"레몬즙")</f>
        <v>레몬즙</v>
      </c>
    </row>
    <row r="1557">
      <c r="A1557" s="2" t="str">
        <f>IFERROR(__xludf.DUMMYFUNCTION("""COMPUTED_VALUE"""),"샐러드 올리오")</f>
        <v>샐러드 올리오</v>
      </c>
      <c r="B1557" s="2" t="str">
        <f>IFERROR(__xludf.DUMMYFUNCTION("""COMPUTED_VALUE"""),"설탕")</f>
        <v>설탕</v>
      </c>
    </row>
    <row r="1558">
      <c r="A1558" s="2" t="str">
        <f>IFERROR(__xludf.DUMMYFUNCTION("""COMPUTED_VALUE"""),"소고기 냉부")</f>
        <v>소고기 냉부</v>
      </c>
      <c r="B1558" s="2" t="str">
        <f>IFERROR(__xludf.DUMMYFUNCTION("""COMPUTED_VALUE"""),"무")</f>
        <v>무</v>
      </c>
    </row>
    <row r="1559">
      <c r="A1559" s="2" t="str">
        <f>IFERROR(__xludf.DUMMYFUNCTION("""COMPUTED_VALUE"""),"소고기 냉부")</f>
        <v>소고기 냉부</v>
      </c>
      <c r="B1559" s="2" t="str">
        <f>IFERROR(__xludf.DUMMYFUNCTION("""COMPUTED_VALUE"""),"당근")</f>
        <v>당근</v>
      </c>
    </row>
    <row r="1560">
      <c r="A1560" s="2" t="str">
        <f>IFERROR(__xludf.DUMMYFUNCTION("""COMPUTED_VALUE"""),"소고기 냉부")</f>
        <v>소고기 냉부</v>
      </c>
      <c r="B1560" s="2" t="str">
        <f>IFERROR(__xludf.DUMMYFUNCTION("""COMPUTED_VALUE"""),"다시마")</f>
        <v>다시마</v>
      </c>
    </row>
    <row r="1561">
      <c r="A1561" s="2" t="str">
        <f>IFERROR(__xludf.DUMMYFUNCTION("""COMPUTED_VALUE"""),"소고기 냉부")</f>
        <v>소고기 냉부</v>
      </c>
      <c r="B1561" s="2" t="str">
        <f>IFERROR(__xludf.DUMMYFUNCTION("""COMPUTED_VALUE"""),"애호박")</f>
        <v>애호박</v>
      </c>
    </row>
    <row r="1562">
      <c r="A1562" s="2" t="str">
        <f>IFERROR(__xludf.DUMMYFUNCTION("""COMPUTED_VALUE"""),"소고기 냉부")</f>
        <v>소고기 냉부</v>
      </c>
      <c r="B1562" s="2" t="str">
        <f>IFERROR(__xludf.DUMMYFUNCTION("""COMPUTED_VALUE"""),"양배추")</f>
        <v>양배추</v>
      </c>
    </row>
    <row r="1563">
      <c r="A1563" s="2" t="str">
        <f>IFERROR(__xludf.DUMMYFUNCTION("""COMPUTED_VALUE"""),"소고기 냉부")</f>
        <v>소고기 냉부</v>
      </c>
      <c r="B1563" s="2" t="str">
        <f>IFERROR(__xludf.DUMMYFUNCTION("""COMPUTED_VALUE"""),"청경채")</f>
        <v>청경채</v>
      </c>
    </row>
    <row r="1564">
      <c r="A1564" s="2" t="str">
        <f>IFERROR(__xludf.DUMMYFUNCTION("""COMPUTED_VALUE"""),"소고기 냉부")</f>
        <v>소고기 냉부</v>
      </c>
      <c r="B1564" s="2" t="str">
        <f>IFERROR(__xludf.DUMMYFUNCTION("""COMPUTED_VALUE"""),"달걀")</f>
        <v>달걀</v>
      </c>
    </row>
    <row r="1565">
      <c r="A1565" s="2" t="str">
        <f>IFERROR(__xludf.DUMMYFUNCTION("""COMPUTED_VALUE"""),"소고기 냉부")</f>
        <v>소고기 냉부</v>
      </c>
      <c r="B1565" s="2" t="str">
        <f>IFERROR(__xludf.DUMMYFUNCTION("""COMPUTED_VALUE"""),"일본 된장")</f>
        <v>일본 된장</v>
      </c>
    </row>
    <row r="1566">
      <c r="A1566" s="2" t="str">
        <f>IFERROR(__xludf.DUMMYFUNCTION("""COMPUTED_VALUE"""),"소고기 냉부")</f>
        <v>소고기 냉부</v>
      </c>
      <c r="B1566" s="2" t="str">
        <f>IFERROR(__xludf.DUMMYFUNCTION("""COMPUTED_VALUE"""),"소고기")</f>
        <v>소고기</v>
      </c>
    </row>
    <row r="1567">
      <c r="A1567" s="2" t="str">
        <f>IFERROR(__xludf.DUMMYFUNCTION("""COMPUTED_VALUE"""),"소고기 냉부")</f>
        <v>소고기 냉부</v>
      </c>
      <c r="B1567" s="2" t="str">
        <f>IFERROR(__xludf.DUMMYFUNCTION("""COMPUTED_VALUE"""),"소금")</f>
        <v>소금</v>
      </c>
    </row>
    <row r="1568">
      <c r="A1568" s="2" t="str">
        <f>IFERROR(__xludf.DUMMYFUNCTION("""COMPUTED_VALUE"""),"소고기 냉부")</f>
        <v>소고기 냉부</v>
      </c>
      <c r="B1568" s="2" t="str">
        <f>IFERROR(__xludf.DUMMYFUNCTION("""COMPUTED_VALUE"""),"참깨")</f>
        <v>참깨</v>
      </c>
    </row>
    <row r="1569">
      <c r="A1569" s="2" t="str">
        <f>IFERROR(__xludf.DUMMYFUNCTION("""COMPUTED_VALUE"""),"소고기 냉부")</f>
        <v>소고기 냉부</v>
      </c>
      <c r="B1569" s="2" t="str">
        <f>IFERROR(__xludf.DUMMYFUNCTION("""COMPUTED_VALUE"""),"마요네즈")</f>
        <v>마요네즈</v>
      </c>
    </row>
    <row r="1570">
      <c r="A1570" s="2" t="str">
        <f>IFERROR(__xludf.DUMMYFUNCTION("""COMPUTED_VALUE"""),"소고기 냉부")</f>
        <v>소고기 냉부</v>
      </c>
      <c r="B1570" s="2" t="str">
        <f>IFERROR(__xludf.DUMMYFUNCTION("""COMPUTED_VALUE"""),"간장")</f>
        <v>간장</v>
      </c>
    </row>
    <row r="1571">
      <c r="A1571" s="2" t="str">
        <f>IFERROR(__xludf.DUMMYFUNCTION("""COMPUTED_VALUE"""),"소고기 냉부")</f>
        <v>소고기 냉부</v>
      </c>
      <c r="B1571" s="2" t="str">
        <f>IFERROR(__xludf.DUMMYFUNCTION("""COMPUTED_VALUE"""),"설탕")</f>
        <v>설탕</v>
      </c>
    </row>
    <row r="1572">
      <c r="A1572" s="2" t="str">
        <f>IFERROR(__xludf.DUMMYFUNCTION("""COMPUTED_VALUE"""),"소고기 냉부")</f>
        <v>소고기 냉부</v>
      </c>
      <c r="B1572" s="2" t="str">
        <f>IFERROR(__xludf.DUMMYFUNCTION("""COMPUTED_VALUE"""),"식초")</f>
        <v>식초</v>
      </c>
    </row>
    <row r="1573">
      <c r="A1573" s="2" t="str">
        <f>IFERROR(__xludf.DUMMYFUNCTION("""COMPUTED_VALUE"""),"소고기 냉부")</f>
        <v>소고기 냉부</v>
      </c>
      <c r="B1573" s="2" t="str">
        <f>IFERROR(__xludf.DUMMYFUNCTION("""COMPUTED_VALUE"""),"통마늘")</f>
        <v>통마늘</v>
      </c>
    </row>
    <row r="1574">
      <c r="A1574" s="2" t="str">
        <f>IFERROR(__xludf.DUMMYFUNCTION("""COMPUTED_VALUE"""),"소고기 냉부")</f>
        <v>소고기 냉부</v>
      </c>
      <c r="B1574" s="2" t="str">
        <f>IFERROR(__xludf.DUMMYFUNCTION("""COMPUTED_VALUE"""),"다진 마늘")</f>
        <v>다진 마늘</v>
      </c>
    </row>
    <row r="1575">
      <c r="A1575" s="2" t="str">
        <f>IFERROR(__xludf.DUMMYFUNCTION("""COMPUTED_VALUE"""),"소고기 냉부")</f>
        <v>소고기 냉부</v>
      </c>
      <c r="B1575" s="2" t="str">
        <f>IFERROR(__xludf.DUMMYFUNCTION("""COMPUTED_VALUE"""),"참기름")</f>
        <v>참기름</v>
      </c>
    </row>
    <row r="1576">
      <c r="A1576" s="2" t="str">
        <f>IFERROR(__xludf.DUMMYFUNCTION("""COMPUTED_VALUE"""),"채면차림")</f>
        <v>채면차림</v>
      </c>
      <c r="B1576" s="2" t="str">
        <f>IFERROR(__xludf.DUMMYFUNCTION("""COMPUTED_VALUE"""),"채끝살")</f>
        <v>채끝살</v>
      </c>
    </row>
    <row r="1577">
      <c r="A1577" s="2" t="str">
        <f>IFERROR(__xludf.DUMMYFUNCTION("""COMPUTED_VALUE"""),"채면차림")</f>
        <v>채면차림</v>
      </c>
      <c r="B1577" s="2" t="str">
        <f>IFERROR(__xludf.DUMMYFUNCTION("""COMPUTED_VALUE"""),"두릅 장아찌")</f>
        <v>두릅 장아찌</v>
      </c>
    </row>
    <row r="1578">
      <c r="A1578" s="2" t="str">
        <f>IFERROR(__xludf.DUMMYFUNCTION("""COMPUTED_VALUE"""),"채면차림")</f>
        <v>채면차림</v>
      </c>
      <c r="B1578" s="2" t="str">
        <f>IFERROR(__xludf.DUMMYFUNCTION("""COMPUTED_VALUE"""),"마늘 장아찌")</f>
        <v>마늘 장아찌</v>
      </c>
    </row>
    <row r="1579">
      <c r="A1579" s="2" t="str">
        <f>IFERROR(__xludf.DUMMYFUNCTION("""COMPUTED_VALUE"""),"채면차림")</f>
        <v>채면차림</v>
      </c>
      <c r="B1579" s="2" t="str">
        <f>IFERROR(__xludf.DUMMYFUNCTION("""COMPUTED_VALUE"""),"고구마")</f>
        <v>고구마</v>
      </c>
    </row>
    <row r="1580">
      <c r="A1580" s="2" t="str">
        <f>IFERROR(__xludf.DUMMYFUNCTION("""COMPUTED_VALUE"""),"채면차림")</f>
        <v>채면차림</v>
      </c>
      <c r="B1580" s="2" t="str">
        <f>IFERROR(__xludf.DUMMYFUNCTION("""COMPUTED_VALUE"""),"당근")</f>
        <v>당근</v>
      </c>
    </row>
    <row r="1581">
      <c r="A1581" s="2" t="str">
        <f>IFERROR(__xludf.DUMMYFUNCTION("""COMPUTED_VALUE"""),"채면차림")</f>
        <v>채면차림</v>
      </c>
      <c r="B1581" s="2" t="str">
        <f>IFERROR(__xludf.DUMMYFUNCTION("""COMPUTED_VALUE"""),"무")</f>
        <v>무</v>
      </c>
    </row>
    <row r="1582">
      <c r="A1582" s="2" t="str">
        <f>IFERROR(__xludf.DUMMYFUNCTION("""COMPUTED_VALUE"""),"채면차림")</f>
        <v>채면차림</v>
      </c>
      <c r="B1582" s="2" t="str">
        <f>IFERROR(__xludf.DUMMYFUNCTION("""COMPUTED_VALUE"""),"대파")</f>
        <v>대파</v>
      </c>
    </row>
    <row r="1583">
      <c r="A1583" s="2" t="str">
        <f>IFERROR(__xludf.DUMMYFUNCTION("""COMPUTED_VALUE"""),"채면차림")</f>
        <v>채면차림</v>
      </c>
      <c r="B1583" s="2" t="str">
        <f>IFERROR(__xludf.DUMMYFUNCTION("""COMPUTED_VALUE"""),"레몬&amp;산수유청")</f>
        <v>레몬&amp;산수유청</v>
      </c>
    </row>
    <row r="1584">
      <c r="A1584" s="2" t="str">
        <f>IFERROR(__xludf.DUMMYFUNCTION("""COMPUTED_VALUE"""),"채면차림")</f>
        <v>채면차림</v>
      </c>
      <c r="B1584" s="2" t="str">
        <f>IFERROR(__xludf.DUMMYFUNCTION("""COMPUTED_VALUE"""),"새싹 채소")</f>
        <v>새싹 채소</v>
      </c>
    </row>
    <row r="1585">
      <c r="A1585" s="2" t="str">
        <f>IFERROR(__xludf.DUMMYFUNCTION("""COMPUTED_VALUE"""),"채면차림")</f>
        <v>채면차림</v>
      </c>
      <c r="B1585" s="2" t="str">
        <f>IFERROR(__xludf.DUMMYFUNCTION("""COMPUTED_VALUE"""),"견과류")</f>
        <v>견과류</v>
      </c>
    </row>
    <row r="1586">
      <c r="A1586" s="2" t="str">
        <f>IFERROR(__xludf.DUMMYFUNCTION("""COMPUTED_VALUE"""),"채면차림")</f>
        <v>채면차림</v>
      </c>
      <c r="B1586" s="2" t="str">
        <f>IFERROR(__xludf.DUMMYFUNCTION("""COMPUTED_VALUE"""),"소금")</f>
        <v>소금</v>
      </c>
    </row>
    <row r="1587">
      <c r="A1587" s="2" t="str">
        <f>IFERROR(__xludf.DUMMYFUNCTION("""COMPUTED_VALUE"""),"채면차림")</f>
        <v>채면차림</v>
      </c>
      <c r="B1587" s="2" t="str">
        <f>IFERROR(__xludf.DUMMYFUNCTION("""COMPUTED_VALUE"""),"후추")</f>
        <v>후추</v>
      </c>
    </row>
    <row r="1588">
      <c r="A1588" s="2" t="str">
        <f>IFERROR(__xludf.DUMMYFUNCTION("""COMPUTED_VALUE"""),"채면차림")</f>
        <v>채면차림</v>
      </c>
      <c r="B1588" s="2" t="str">
        <f>IFERROR(__xludf.DUMMYFUNCTION("""COMPUTED_VALUE"""),"고춧가루")</f>
        <v>고춧가루</v>
      </c>
    </row>
    <row r="1589">
      <c r="A1589" s="2" t="str">
        <f>IFERROR(__xludf.DUMMYFUNCTION("""COMPUTED_VALUE"""),"채면차림")</f>
        <v>채면차림</v>
      </c>
      <c r="B1589" s="2" t="str">
        <f>IFERROR(__xludf.DUMMYFUNCTION("""COMPUTED_VALUE"""),"올리브 오일")</f>
        <v>올리브 오일</v>
      </c>
    </row>
    <row r="1590">
      <c r="A1590" s="2" t="str">
        <f>IFERROR(__xludf.DUMMYFUNCTION("""COMPUTED_VALUE"""),"채면차림")</f>
        <v>채면차림</v>
      </c>
      <c r="B1590" s="2" t="str">
        <f>IFERROR(__xludf.DUMMYFUNCTION("""COMPUTED_VALUE"""),"레몬즙")</f>
        <v>레몬즙</v>
      </c>
    </row>
    <row r="1591">
      <c r="A1591" s="2" t="str">
        <f>IFERROR(__xludf.DUMMYFUNCTION("""COMPUTED_VALUE"""),"채면차림")</f>
        <v>채면차림</v>
      </c>
      <c r="B1591" s="2" t="str">
        <f>IFERROR(__xludf.DUMMYFUNCTION("""COMPUTED_VALUE"""),"버터")</f>
        <v>버터</v>
      </c>
    </row>
    <row r="1592">
      <c r="A1592" s="2" t="str">
        <f>IFERROR(__xludf.DUMMYFUNCTION("""COMPUTED_VALUE"""),"채면차림")</f>
        <v>채면차림</v>
      </c>
      <c r="B1592" s="2" t="str">
        <f>IFERROR(__xludf.DUMMYFUNCTION("""COMPUTED_VALUE"""),"마늘")</f>
        <v>마늘</v>
      </c>
    </row>
    <row r="1593">
      <c r="A1593" s="2" t="str">
        <f>IFERROR(__xludf.DUMMYFUNCTION("""COMPUTED_VALUE"""),"채면차림")</f>
        <v>채면차림</v>
      </c>
      <c r="B1593" s="2" t="str">
        <f>IFERROR(__xludf.DUMMYFUNCTION("""COMPUTED_VALUE"""),"양파")</f>
        <v>양파</v>
      </c>
    </row>
    <row r="1594">
      <c r="A1594" s="2" t="str">
        <f>IFERROR(__xludf.DUMMYFUNCTION("""COMPUTED_VALUE"""),"채면차림")</f>
        <v>채면차림</v>
      </c>
      <c r="B1594" s="2" t="str">
        <f>IFERROR(__xludf.DUMMYFUNCTION("""COMPUTED_VALUE"""),"간장")</f>
        <v>간장</v>
      </c>
    </row>
    <row r="1595">
      <c r="A1595" s="2" t="str">
        <f>IFERROR(__xludf.DUMMYFUNCTION("""COMPUTED_VALUE"""),"보아 씨, 초면입니다")</f>
        <v>보아 씨, 초면입니다</v>
      </c>
      <c r="B1595" s="2" t="str">
        <f>IFERROR(__xludf.DUMMYFUNCTION("""COMPUTED_VALUE"""),"소면")</f>
        <v>소면</v>
      </c>
    </row>
    <row r="1596">
      <c r="A1596" s="2" t="str">
        <f>IFERROR(__xludf.DUMMYFUNCTION("""COMPUTED_VALUE"""),"보아 씨, 초면입니다")</f>
        <v>보아 씨, 초면입니다</v>
      </c>
      <c r="B1596" s="2" t="str">
        <f>IFERROR(__xludf.DUMMYFUNCTION("""COMPUTED_VALUE"""),"표고버섯")</f>
        <v>표고버섯</v>
      </c>
    </row>
    <row r="1597">
      <c r="A1597" s="2" t="str">
        <f>IFERROR(__xludf.DUMMYFUNCTION("""COMPUTED_VALUE"""),"보아 씨, 초면입니다")</f>
        <v>보아 씨, 초면입니다</v>
      </c>
      <c r="B1597" s="2" t="str">
        <f>IFERROR(__xludf.DUMMYFUNCTION("""COMPUTED_VALUE"""),"소고기 안심")</f>
        <v>소고기 안심</v>
      </c>
    </row>
    <row r="1598">
      <c r="A1598" s="2" t="str">
        <f>IFERROR(__xludf.DUMMYFUNCTION("""COMPUTED_VALUE"""),"보아 씨, 초면입니다")</f>
        <v>보아 씨, 초면입니다</v>
      </c>
      <c r="B1598" s="2" t="str">
        <f>IFERROR(__xludf.DUMMYFUNCTION("""COMPUTED_VALUE"""),"오징어")</f>
        <v>오징어</v>
      </c>
    </row>
    <row r="1599">
      <c r="A1599" s="2" t="str">
        <f>IFERROR(__xludf.DUMMYFUNCTION("""COMPUTED_VALUE"""),"보아 씨, 초면입니다")</f>
        <v>보아 씨, 초면입니다</v>
      </c>
      <c r="B1599" s="2" t="str">
        <f>IFERROR(__xludf.DUMMYFUNCTION("""COMPUTED_VALUE"""),"미나리")</f>
        <v>미나리</v>
      </c>
    </row>
    <row r="1600">
      <c r="A1600" s="2" t="str">
        <f>IFERROR(__xludf.DUMMYFUNCTION("""COMPUTED_VALUE"""),"보아 씨, 초면입니다")</f>
        <v>보아 씨, 초면입니다</v>
      </c>
      <c r="B1600" s="2" t="str">
        <f>IFERROR(__xludf.DUMMYFUNCTION("""COMPUTED_VALUE"""),"파채")</f>
        <v>파채</v>
      </c>
    </row>
    <row r="1601">
      <c r="A1601" s="2" t="str">
        <f>IFERROR(__xludf.DUMMYFUNCTION("""COMPUTED_VALUE"""),"보아 씨, 초면입니다")</f>
        <v>보아 씨, 초면입니다</v>
      </c>
      <c r="B1601" s="2" t="str">
        <f>IFERROR(__xludf.DUMMYFUNCTION("""COMPUTED_VALUE"""),"청양고추")</f>
        <v>청양고추</v>
      </c>
    </row>
    <row r="1602">
      <c r="A1602" s="2" t="str">
        <f>IFERROR(__xludf.DUMMYFUNCTION("""COMPUTED_VALUE"""),"보아 씨, 초면입니다")</f>
        <v>보아 씨, 초면입니다</v>
      </c>
      <c r="B1602" s="2" t="str">
        <f>IFERROR(__xludf.DUMMYFUNCTION("""COMPUTED_VALUE"""),"양파")</f>
        <v>양파</v>
      </c>
    </row>
    <row r="1603">
      <c r="A1603" s="2" t="str">
        <f>IFERROR(__xludf.DUMMYFUNCTION("""COMPUTED_VALUE"""),"보아 씨, 초면입니다")</f>
        <v>보아 씨, 초면입니다</v>
      </c>
      <c r="B1603" s="2" t="str">
        <f>IFERROR(__xludf.DUMMYFUNCTION("""COMPUTED_VALUE"""),"대파")</f>
        <v>대파</v>
      </c>
    </row>
    <row r="1604">
      <c r="A1604" s="2" t="str">
        <f>IFERROR(__xludf.DUMMYFUNCTION("""COMPUTED_VALUE"""),"보아 씨, 초면입니다")</f>
        <v>보아 씨, 초면입니다</v>
      </c>
      <c r="B1604" s="2" t="str">
        <f>IFERROR(__xludf.DUMMYFUNCTION("""COMPUTED_VALUE"""),"청양고추")</f>
        <v>청양고추</v>
      </c>
    </row>
    <row r="1605">
      <c r="A1605" s="2" t="str">
        <f>IFERROR(__xludf.DUMMYFUNCTION("""COMPUTED_VALUE"""),"보아 씨, 초면입니다")</f>
        <v>보아 씨, 초면입니다</v>
      </c>
      <c r="B1605" s="2" t="str">
        <f>IFERROR(__xludf.DUMMYFUNCTION("""COMPUTED_VALUE"""),"소금")</f>
        <v>소금</v>
      </c>
    </row>
    <row r="1606">
      <c r="A1606" s="2" t="str">
        <f>IFERROR(__xludf.DUMMYFUNCTION("""COMPUTED_VALUE"""),"보아 씨, 초면입니다")</f>
        <v>보아 씨, 초면입니다</v>
      </c>
      <c r="B1606" s="2" t="str">
        <f>IFERROR(__xludf.DUMMYFUNCTION("""COMPUTED_VALUE"""),"다진 마늘")</f>
        <v>다진 마늘</v>
      </c>
    </row>
    <row r="1607">
      <c r="A1607" s="2" t="str">
        <f>IFERROR(__xludf.DUMMYFUNCTION("""COMPUTED_VALUE"""),"보아 씨, 초면입니다")</f>
        <v>보아 씨, 초면입니다</v>
      </c>
      <c r="B1607" s="2" t="str">
        <f>IFERROR(__xludf.DUMMYFUNCTION("""COMPUTED_VALUE"""),"후추")</f>
        <v>후추</v>
      </c>
    </row>
    <row r="1608">
      <c r="A1608" s="2" t="str">
        <f>IFERROR(__xludf.DUMMYFUNCTION("""COMPUTED_VALUE"""),"보아 씨, 초면입니다")</f>
        <v>보아 씨, 초면입니다</v>
      </c>
      <c r="B1608" s="2" t="str">
        <f>IFERROR(__xludf.DUMMYFUNCTION("""COMPUTED_VALUE"""),"맛술")</f>
        <v>맛술</v>
      </c>
    </row>
    <row r="1609">
      <c r="A1609" s="2" t="str">
        <f>IFERROR(__xludf.DUMMYFUNCTION("""COMPUTED_VALUE"""),"보아 씨, 초면입니다")</f>
        <v>보아 씨, 초면입니다</v>
      </c>
      <c r="B1609" s="2" t="str">
        <f>IFERROR(__xludf.DUMMYFUNCTION("""COMPUTED_VALUE"""),"간장")</f>
        <v>간장</v>
      </c>
    </row>
    <row r="1610">
      <c r="A1610" s="2" t="str">
        <f>IFERROR(__xludf.DUMMYFUNCTION("""COMPUTED_VALUE"""),"보아 씨, 초면입니다")</f>
        <v>보아 씨, 초면입니다</v>
      </c>
      <c r="B1610" s="2" t="str">
        <f>IFERROR(__xludf.DUMMYFUNCTION("""COMPUTED_VALUE"""),"고춧가루")</f>
        <v>고춧가루</v>
      </c>
    </row>
    <row r="1611">
      <c r="A1611" s="2" t="str">
        <f>IFERROR(__xludf.DUMMYFUNCTION("""COMPUTED_VALUE"""),"보아 씨, 초면입니다")</f>
        <v>보아 씨, 초면입니다</v>
      </c>
      <c r="B1611" s="2" t="str">
        <f>IFERROR(__xludf.DUMMYFUNCTION("""COMPUTED_VALUE"""),"통마늘")</f>
        <v>통마늘</v>
      </c>
    </row>
    <row r="1612">
      <c r="A1612" s="2" t="str">
        <f>IFERROR(__xludf.DUMMYFUNCTION("""COMPUTED_VALUE"""),"보아 씨, 초면입니다")</f>
        <v>보아 씨, 초면입니다</v>
      </c>
      <c r="B1612" s="2" t="str">
        <f>IFERROR(__xludf.DUMMYFUNCTION("""COMPUTED_VALUE"""),"참기름")</f>
        <v>참기름</v>
      </c>
    </row>
    <row r="1613">
      <c r="A1613" s="2" t="str">
        <f>IFERROR(__xludf.DUMMYFUNCTION("""COMPUTED_VALUE"""),"최.면.석")</f>
        <v>최.면.석</v>
      </c>
      <c r="B1613" s="2" t="str">
        <f>IFERROR(__xludf.DUMMYFUNCTION("""COMPUTED_VALUE"""),"달걀")</f>
        <v>달걀</v>
      </c>
    </row>
    <row r="1614">
      <c r="A1614" s="2" t="str">
        <f>IFERROR(__xludf.DUMMYFUNCTION("""COMPUTED_VALUE"""),"최.면.석")</f>
        <v>최.면.석</v>
      </c>
      <c r="B1614" s="2" t="str">
        <f>IFERROR(__xludf.DUMMYFUNCTION("""COMPUTED_VALUE"""),"아스파라거스")</f>
        <v>아스파라거스</v>
      </c>
    </row>
    <row r="1615">
      <c r="A1615" s="2" t="str">
        <f>IFERROR(__xludf.DUMMYFUNCTION("""COMPUTED_VALUE"""),"최.면.석")</f>
        <v>최.면.석</v>
      </c>
      <c r="B1615" s="2" t="str">
        <f>IFERROR(__xludf.DUMMYFUNCTION("""COMPUTED_VALUE"""),"새우")</f>
        <v>새우</v>
      </c>
    </row>
    <row r="1616">
      <c r="A1616" s="2" t="str">
        <f>IFERROR(__xludf.DUMMYFUNCTION("""COMPUTED_VALUE"""),"최.면.석")</f>
        <v>최.면.석</v>
      </c>
      <c r="B1616" s="2" t="str">
        <f>IFERROR(__xludf.DUMMYFUNCTION("""COMPUTED_VALUE"""),"멸치육수")</f>
        <v>멸치육수</v>
      </c>
    </row>
    <row r="1617">
      <c r="A1617" s="2" t="str">
        <f>IFERROR(__xludf.DUMMYFUNCTION("""COMPUTED_VALUE"""),"최.면.석")</f>
        <v>최.면.석</v>
      </c>
      <c r="B1617" s="2" t="str">
        <f>IFERROR(__xludf.DUMMYFUNCTION("""COMPUTED_VALUE"""),"카레가루")</f>
        <v>카레가루</v>
      </c>
    </row>
    <row r="1618">
      <c r="A1618" s="2" t="str">
        <f>IFERROR(__xludf.DUMMYFUNCTION("""COMPUTED_VALUE"""),"최.면.석")</f>
        <v>최.면.석</v>
      </c>
      <c r="B1618" s="2" t="str">
        <f>IFERROR(__xludf.DUMMYFUNCTION("""COMPUTED_VALUE"""),"밀가루")</f>
        <v>밀가루</v>
      </c>
    </row>
    <row r="1619">
      <c r="A1619" s="2" t="str">
        <f>IFERROR(__xludf.DUMMYFUNCTION("""COMPUTED_VALUE"""),"최.면.석")</f>
        <v>최.면.석</v>
      </c>
      <c r="B1619" s="2" t="str">
        <f>IFERROR(__xludf.DUMMYFUNCTION("""COMPUTED_VALUE"""),"청양고추")</f>
        <v>청양고추</v>
      </c>
    </row>
    <row r="1620">
      <c r="A1620" s="2" t="str">
        <f>IFERROR(__xludf.DUMMYFUNCTION("""COMPUTED_VALUE"""),"최.면.석")</f>
        <v>최.면.석</v>
      </c>
      <c r="B1620" s="2" t="str">
        <f>IFERROR(__xludf.DUMMYFUNCTION("""COMPUTED_VALUE"""),"마늘")</f>
        <v>마늘</v>
      </c>
    </row>
    <row r="1621">
      <c r="A1621" s="2" t="str">
        <f>IFERROR(__xludf.DUMMYFUNCTION("""COMPUTED_VALUE"""),"최.면.석")</f>
        <v>최.면.석</v>
      </c>
      <c r="B1621" s="2" t="str">
        <f>IFERROR(__xludf.DUMMYFUNCTION("""COMPUTED_VALUE"""),"소금")</f>
        <v>소금</v>
      </c>
    </row>
    <row r="1622">
      <c r="A1622" s="2" t="str">
        <f>IFERROR(__xludf.DUMMYFUNCTION("""COMPUTED_VALUE"""),"최.면.석")</f>
        <v>최.면.석</v>
      </c>
      <c r="B1622" s="2" t="str">
        <f>IFERROR(__xludf.DUMMYFUNCTION("""COMPUTED_VALUE"""),"후추")</f>
        <v>후추</v>
      </c>
    </row>
    <row r="1623">
      <c r="A1623" s="2" t="str">
        <f>IFERROR(__xludf.DUMMYFUNCTION("""COMPUTED_VALUE"""),"최.면.석")</f>
        <v>최.면.석</v>
      </c>
      <c r="B1623" s="2" t="str">
        <f>IFERROR(__xludf.DUMMYFUNCTION("""COMPUTED_VALUE"""),"화이트 와인")</f>
        <v>화이트 와인</v>
      </c>
    </row>
    <row r="1624">
      <c r="A1624" s="2" t="str">
        <f>IFERROR(__xludf.DUMMYFUNCTION("""COMPUTED_VALUE"""),"최.면.석")</f>
        <v>최.면.석</v>
      </c>
      <c r="B1624" s="2" t="str">
        <f>IFERROR(__xludf.DUMMYFUNCTION("""COMPUTED_VALUE"""),"올리브 오일")</f>
        <v>올리브 오일</v>
      </c>
    </row>
    <row r="1625">
      <c r="A1625" s="2" t="str">
        <f>IFERROR(__xludf.DUMMYFUNCTION("""COMPUTED_VALUE"""),"맛있게 자시오")</f>
        <v>맛있게 자시오</v>
      </c>
      <c r="B1625" s="2" t="str">
        <f>IFERROR(__xludf.DUMMYFUNCTION("""COMPUTED_VALUE"""),"냉면육수")</f>
        <v>냉면육수</v>
      </c>
    </row>
    <row r="1626">
      <c r="A1626" s="2" t="str">
        <f>IFERROR(__xludf.DUMMYFUNCTION("""COMPUTED_VALUE"""),"맛있게 자시오")</f>
        <v>맛있게 자시오</v>
      </c>
      <c r="B1626" s="2" t="str">
        <f>IFERROR(__xludf.DUMMYFUNCTION("""COMPUTED_VALUE"""),"표고버섯")</f>
        <v>표고버섯</v>
      </c>
    </row>
    <row r="1627">
      <c r="A1627" s="2" t="str">
        <f>IFERROR(__xludf.DUMMYFUNCTION("""COMPUTED_VALUE"""),"맛있게 자시오")</f>
        <v>맛있게 자시오</v>
      </c>
      <c r="B1627" s="2" t="str">
        <f>IFERROR(__xludf.DUMMYFUNCTION("""COMPUTED_VALUE"""),"잣")</f>
        <v>잣</v>
      </c>
    </row>
    <row r="1628">
      <c r="A1628" s="2" t="str">
        <f>IFERROR(__xludf.DUMMYFUNCTION("""COMPUTED_VALUE"""),"맛있게 자시오")</f>
        <v>맛있게 자시오</v>
      </c>
      <c r="B1628" s="2" t="str">
        <f>IFERROR(__xludf.DUMMYFUNCTION("""COMPUTED_VALUE"""),"소고기 안심")</f>
        <v>소고기 안심</v>
      </c>
    </row>
    <row r="1629">
      <c r="A1629" s="2" t="str">
        <f>IFERROR(__xludf.DUMMYFUNCTION("""COMPUTED_VALUE"""),"맛있게 자시오")</f>
        <v>맛있게 자시오</v>
      </c>
      <c r="B1629" s="2" t="str">
        <f>IFERROR(__xludf.DUMMYFUNCTION("""COMPUTED_VALUE"""),"카레가루")</f>
        <v>카레가루</v>
      </c>
    </row>
    <row r="1630">
      <c r="A1630" s="2" t="str">
        <f>IFERROR(__xludf.DUMMYFUNCTION("""COMPUTED_VALUE"""),"맛있게 자시오")</f>
        <v>맛있게 자시오</v>
      </c>
      <c r="B1630" s="2" t="str">
        <f>IFERROR(__xludf.DUMMYFUNCTION("""COMPUTED_VALUE"""),"새우")</f>
        <v>새우</v>
      </c>
    </row>
    <row r="1631">
      <c r="A1631" s="2" t="str">
        <f>IFERROR(__xludf.DUMMYFUNCTION("""COMPUTED_VALUE"""),"맛있게 자시오")</f>
        <v>맛있게 자시오</v>
      </c>
      <c r="B1631" s="2" t="str">
        <f>IFERROR(__xludf.DUMMYFUNCTION("""COMPUTED_VALUE"""),"쑥갓")</f>
        <v>쑥갓</v>
      </c>
    </row>
    <row r="1632">
      <c r="A1632" s="2" t="str">
        <f>IFERROR(__xludf.DUMMYFUNCTION("""COMPUTED_VALUE"""),"맛있게 자시오")</f>
        <v>맛있게 자시오</v>
      </c>
      <c r="B1632" s="2" t="str">
        <f>IFERROR(__xludf.DUMMYFUNCTION("""COMPUTED_VALUE"""),"청양고추")</f>
        <v>청양고추</v>
      </c>
    </row>
    <row r="1633">
      <c r="A1633" s="2" t="str">
        <f>IFERROR(__xludf.DUMMYFUNCTION("""COMPUTED_VALUE"""),"맛있게 자시오")</f>
        <v>맛있게 자시오</v>
      </c>
      <c r="B1633" s="2" t="str">
        <f>IFERROR(__xludf.DUMMYFUNCTION("""COMPUTED_VALUE"""),"후추")</f>
        <v>후추</v>
      </c>
    </row>
    <row r="1634">
      <c r="A1634" s="2" t="str">
        <f>IFERROR(__xludf.DUMMYFUNCTION("""COMPUTED_VALUE"""),"맛있게 자시오")</f>
        <v>맛있게 자시오</v>
      </c>
      <c r="B1634" s="2" t="str">
        <f>IFERROR(__xludf.DUMMYFUNCTION("""COMPUTED_VALUE"""),"레몬")</f>
        <v>레몬</v>
      </c>
    </row>
    <row r="1635">
      <c r="A1635" s="2" t="str">
        <f>IFERROR(__xludf.DUMMYFUNCTION("""COMPUTED_VALUE"""),"맛있게 자시오")</f>
        <v>맛있게 자시오</v>
      </c>
      <c r="B1635" s="2" t="str">
        <f>IFERROR(__xludf.DUMMYFUNCTION("""COMPUTED_VALUE"""),"버터")</f>
        <v>버터</v>
      </c>
    </row>
    <row r="1636">
      <c r="A1636" s="2" t="str">
        <f>IFERROR(__xludf.DUMMYFUNCTION("""COMPUTED_VALUE"""),"맛있게 자시오")</f>
        <v>맛있게 자시오</v>
      </c>
      <c r="B1636" s="2" t="str">
        <f>IFERROR(__xludf.DUMMYFUNCTION("""COMPUTED_VALUE"""),"소금")</f>
        <v>소금</v>
      </c>
    </row>
    <row r="1637">
      <c r="A1637" s="2" t="str">
        <f>IFERROR(__xludf.DUMMYFUNCTION("""COMPUTED_VALUE"""),"맛있게 자시오")</f>
        <v>맛있게 자시오</v>
      </c>
      <c r="B1637" s="2" t="str">
        <f>IFERROR(__xludf.DUMMYFUNCTION("""COMPUTED_VALUE"""),"고춧가루")</f>
        <v>고춧가루</v>
      </c>
    </row>
    <row r="1638">
      <c r="A1638" s="2" t="str">
        <f>IFERROR(__xludf.DUMMYFUNCTION("""COMPUTED_VALUE"""),"옥돔이 맛있돔")</f>
        <v>옥돔이 맛있돔</v>
      </c>
      <c r="B1638" s="2" t="str">
        <f>IFERROR(__xludf.DUMMYFUNCTION("""COMPUTED_VALUE"""),"멸치육수")</f>
        <v>멸치육수</v>
      </c>
    </row>
    <row r="1639">
      <c r="A1639" s="2" t="str">
        <f>IFERROR(__xludf.DUMMYFUNCTION("""COMPUTED_VALUE"""),"옥돔이 맛있돔")</f>
        <v>옥돔이 맛있돔</v>
      </c>
      <c r="B1639" s="2" t="str">
        <f>IFERROR(__xludf.DUMMYFUNCTION("""COMPUTED_VALUE"""),"옥돔")</f>
        <v>옥돔</v>
      </c>
    </row>
    <row r="1640">
      <c r="A1640" s="2" t="str">
        <f>IFERROR(__xludf.DUMMYFUNCTION("""COMPUTED_VALUE"""),"옥돔이 맛있돔")</f>
        <v>옥돔이 맛있돔</v>
      </c>
      <c r="B1640" s="2" t="str">
        <f>IFERROR(__xludf.DUMMYFUNCTION("""COMPUTED_VALUE"""),"북어채")</f>
        <v>북어채</v>
      </c>
    </row>
    <row r="1641">
      <c r="A1641" s="2" t="str">
        <f>IFERROR(__xludf.DUMMYFUNCTION("""COMPUTED_VALUE"""),"옥돔이 맛있돔")</f>
        <v>옥돔이 맛있돔</v>
      </c>
      <c r="B1641" s="2" t="str">
        <f>IFERROR(__xludf.DUMMYFUNCTION("""COMPUTED_VALUE"""),"고추장아찌")</f>
        <v>고추장아찌</v>
      </c>
    </row>
    <row r="1642">
      <c r="A1642" s="2" t="str">
        <f>IFERROR(__xludf.DUMMYFUNCTION("""COMPUTED_VALUE"""),"옥돔이 맛있돔")</f>
        <v>옥돔이 맛있돔</v>
      </c>
      <c r="B1642" s="2" t="str">
        <f>IFERROR(__xludf.DUMMYFUNCTION("""COMPUTED_VALUE"""),"깻잎")</f>
        <v>깻잎</v>
      </c>
    </row>
    <row r="1643">
      <c r="A1643" s="2" t="str">
        <f>IFERROR(__xludf.DUMMYFUNCTION("""COMPUTED_VALUE"""),"옥돔이 맛있돔")</f>
        <v>옥돔이 맛있돔</v>
      </c>
      <c r="B1643" s="2" t="str">
        <f>IFERROR(__xludf.DUMMYFUNCTION("""COMPUTED_VALUE"""),"소금")</f>
        <v>소금</v>
      </c>
    </row>
    <row r="1644">
      <c r="A1644" s="2" t="str">
        <f>IFERROR(__xludf.DUMMYFUNCTION("""COMPUTED_VALUE"""),"옥돔이 맛있돔")</f>
        <v>옥돔이 맛있돔</v>
      </c>
      <c r="B1644" s="2" t="str">
        <f>IFERROR(__xludf.DUMMYFUNCTION("""COMPUTED_VALUE"""),"후추")</f>
        <v>후추</v>
      </c>
    </row>
    <row r="1645">
      <c r="A1645" s="2" t="str">
        <f>IFERROR(__xludf.DUMMYFUNCTION("""COMPUTED_VALUE"""),"옥돔이 맛있돔")</f>
        <v>옥돔이 맛있돔</v>
      </c>
      <c r="B1645" s="2" t="str">
        <f>IFERROR(__xludf.DUMMYFUNCTION("""COMPUTED_VALUE"""),"양파")</f>
        <v>양파</v>
      </c>
    </row>
    <row r="1646">
      <c r="A1646" s="2" t="str">
        <f>IFERROR(__xludf.DUMMYFUNCTION("""COMPUTED_VALUE"""),"옥돔이 맛있돔")</f>
        <v>옥돔이 맛있돔</v>
      </c>
      <c r="B1646" s="2" t="str">
        <f>IFERROR(__xludf.DUMMYFUNCTION("""COMPUTED_VALUE"""),"대파")</f>
        <v>대파</v>
      </c>
    </row>
    <row r="1647">
      <c r="A1647" s="2" t="str">
        <f>IFERROR(__xludf.DUMMYFUNCTION("""COMPUTED_VALUE"""),"옥돔이 맛있돔")</f>
        <v>옥돔이 맛있돔</v>
      </c>
      <c r="B1647" s="2" t="str">
        <f>IFERROR(__xludf.DUMMYFUNCTION("""COMPUTED_VALUE"""),"마늘")</f>
        <v>마늘</v>
      </c>
    </row>
    <row r="1648">
      <c r="A1648" s="2" t="str">
        <f>IFERROR(__xludf.DUMMYFUNCTION("""COMPUTED_VALUE"""),"옥돔이 맛있돔")</f>
        <v>옥돔이 맛있돔</v>
      </c>
      <c r="B1648" s="2" t="str">
        <f>IFERROR(__xludf.DUMMYFUNCTION("""COMPUTED_VALUE"""),"즉석밥")</f>
        <v>즉석밥</v>
      </c>
    </row>
    <row r="1649">
      <c r="A1649" s="2" t="str">
        <f>IFERROR(__xludf.DUMMYFUNCTION("""COMPUTED_VALUE"""),"옥돔이 맛있돔")</f>
        <v>옥돔이 맛있돔</v>
      </c>
      <c r="B1649" s="2" t="str">
        <f>IFERROR(__xludf.DUMMYFUNCTION("""COMPUTED_VALUE"""),"맛술")</f>
        <v>맛술</v>
      </c>
    </row>
    <row r="1650">
      <c r="A1650" s="2" t="str">
        <f>IFERROR(__xludf.DUMMYFUNCTION("""COMPUTED_VALUE"""),"옥돔이 맛있돔")</f>
        <v>옥돔이 맛있돔</v>
      </c>
      <c r="B1650" s="2" t="str">
        <f>IFERROR(__xludf.DUMMYFUNCTION("""COMPUTED_VALUE"""),"설탕")</f>
        <v>설탕</v>
      </c>
    </row>
    <row r="1651">
      <c r="A1651" s="2" t="str">
        <f>IFERROR(__xludf.DUMMYFUNCTION("""COMPUTED_VALUE"""),"옥돔이 맛있돔")</f>
        <v>옥돔이 맛있돔</v>
      </c>
      <c r="B1651" s="2" t="str">
        <f>IFERROR(__xludf.DUMMYFUNCTION("""COMPUTED_VALUE"""),"참기름")</f>
        <v>참기름</v>
      </c>
    </row>
    <row r="1652">
      <c r="A1652" s="2" t="str">
        <f>IFERROR(__xludf.DUMMYFUNCTION("""COMPUTED_VALUE"""),"키스 버거")</f>
        <v>키스 버거</v>
      </c>
      <c r="B1652" s="2" t="str">
        <f>IFERROR(__xludf.DUMMYFUNCTION("""COMPUTED_VALUE"""),"베이컨")</f>
        <v>베이컨</v>
      </c>
    </row>
    <row r="1653">
      <c r="A1653" s="2" t="str">
        <f>IFERROR(__xludf.DUMMYFUNCTION("""COMPUTED_VALUE"""),"키스 버거")</f>
        <v>키스 버거</v>
      </c>
      <c r="B1653" s="2" t="str">
        <f>IFERROR(__xludf.DUMMYFUNCTION("""COMPUTED_VALUE"""),"새우")</f>
        <v>새우</v>
      </c>
    </row>
    <row r="1654">
      <c r="A1654" s="2" t="str">
        <f>IFERROR(__xludf.DUMMYFUNCTION("""COMPUTED_VALUE"""),"키스 버거")</f>
        <v>키스 버거</v>
      </c>
      <c r="B1654" s="2" t="str">
        <f>IFERROR(__xludf.DUMMYFUNCTION("""COMPUTED_VALUE"""),"소고기 안심")</f>
        <v>소고기 안심</v>
      </c>
    </row>
    <row r="1655">
      <c r="A1655" s="2" t="str">
        <f>IFERROR(__xludf.DUMMYFUNCTION("""COMPUTED_VALUE"""),"키스 버거")</f>
        <v>키스 버거</v>
      </c>
      <c r="B1655" s="2" t="str">
        <f>IFERROR(__xludf.DUMMYFUNCTION("""COMPUTED_VALUE"""),"바질")</f>
        <v>바질</v>
      </c>
    </row>
    <row r="1656">
      <c r="A1656" s="2" t="str">
        <f>IFERROR(__xludf.DUMMYFUNCTION("""COMPUTED_VALUE"""),"키스 버거")</f>
        <v>키스 버거</v>
      </c>
      <c r="B1656" s="2" t="str">
        <f>IFERROR(__xludf.DUMMYFUNCTION("""COMPUTED_VALUE"""),"사과")</f>
        <v>사과</v>
      </c>
    </row>
    <row r="1657">
      <c r="A1657" s="2" t="str">
        <f>IFERROR(__xludf.DUMMYFUNCTION("""COMPUTED_VALUE"""),"키스 버거")</f>
        <v>키스 버거</v>
      </c>
      <c r="B1657" s="2" t="str">
        <f>IFERROR(__xludf.DUMMYFUNCTION("""COMPUTED_VALUE"""),"오이 장아찌")</f>
        <v>오이 장아찌</v>
      </c>
    </row>
    <row r="1658">
      <c r="A1658" s="2" t="str">
        <f>IFERROR(__xludf.DUMMYFUNCTION("""COMPUTED_VALUE"""),"키스 버거")</f>
        <v>키스 버거</v>
      </c>
      <c r="B1658" s="2" t="str">
        <f>IFERROR(__xludf.DUMMYFUNCTION("""COMPUTED_VALUE"""),"고추 장아찌")</f>
        <v>고추 장아찌</v>
      </c>
    </row>
    <row r="1659">
      <c r="A1659" s="2" t="str">
        <f>IFERROR(__xludf.DUMMYFUNCTION("""COMPUTED_VALUE"""),"키스 버거")</f>
        <v>키스 버거</v>
      </c>
      <c r="B1659" s="2" t="str">
        <f>IFERROR(__xludf.DUMMYFUNCTION("""COMPUTED_VALUE"""),"진저 시럽")</f>
        <v>진저 시럽</v>
      </c>
    </row>
    <row r="1660">
      <c r="A1660" s="2" t="str">
        <f>IFERROR(__xludf.DUMMYFUNCTION("""COMPUTED_VALUE"""),"키스 버거")</f>
        <v>키스 버거</v>
      </c>
      <c r="B1660" s="2" t="str">
        <f>IFERROR(__xludf.DUMMYFUNCTION("""COMPUTED_VALUE"""),"훈제 닭가슴살")</f>
        <v>훈제 닭가슴살</v>
      </c>
    </row>
    <row r="1661">
      <c r="A1661" s="2" t="str">
        <f>IFERROR(__xludf.DUMMYFUNCTION("""COMPUTED_VALUE"""),"키스 버거")</f>
        <v>키스 버거</v>
      </c>
      <c r="B1661" s="2" t="str">
        <f>IFERROR(__xludf.DUMMYFUNCTION("""COMPUTED_VALUE"""),"명이나물")</f>
        <v>명이나물</v>
      </c>
    </row>
    <row r="1662">
      <c r="A1662" s="2" t="str">
        <f>IFERROR(__xludf.DUMMYFUNCTION("""COMPUTED_VALUE"""),"키스 버거")</f>
        <v>키스 버거</v>
      </c>
      <c r="B1662" s="2" t="str">
        <f>IFERROR(__xludf.DUMMYFUNCTION("""COMPUTED_VALUE"""),"버터")</f>
        <v>버터</v>
      </c>
    </row>
    <row r="1663">
      <c r="A1663" s="2" t="str">
        <f>IFERROR(__xludf.DUMMYFUNCTION("""COMPUTED_VALUE"""),"키스 버거")</f>
        <v>키스 버거</v>
      </c>
      <c r="B1663" s="2" t="str">
        <f>IFERROR(__xludf.DUMMYFUNCTION("""COMPUTED_VALUE"""),"후추")</f>
        <v>후추</v>
      </c>
    </row>
    <row r="1664">
      <c r="A1664" s="2" t="str">
        <f>IFERROR(__xludf.DUMMYFUNCTION("""COMPUTED_VALUE"""),"키스 버거")</f>
        <v>키스 버거</v>
      </c>
      <c r="B1664" s="2" t="str">
        <f>IFERROR(__xludf.DUMMYFUNCTION("""COMPUTED_VALUE"""),"소금")</f>
        <v>소금</v>
      </c>
    </row>
    <row r="1665">
      <c r="A1665" s="2" t="str">
        <f>IFERROR(__xludf.DUMMYFUNCTION("""COMPUTED_VALUE"""),"키스 버거")</f>
        <v>키스 버거</v>
      </c>
      <c r="B1665" s="2" t="str">
        <f>IFERROR(__xludf.DUMMYFUNCTION("""COMPUTED_VALUE"""),"양파")</f>
        <v>양파</v>
      </c>
    </row>
    <row r="1666">
      <c r="A1666" s="2" t="str">
        <f>IFERROR(__xludf.DUMMYFUNCTION("""COMPUTED_VALUE"""),"키스 버거")</f>
        <v>키스 버거</v>
      </c>
      <c r="B1666" s="2" t="str">
        <f>IFERROR(__xludf.DUMMYFUNCTION("""COMPUTED_VALUE"""),"마요네즈")</f>
        <v>마요네즈</v>
      </c>
    </row>
    <row r="1667">
      <c r="A1667" s="2" t="str">
        <f>IFERROR(__xludf.DUMMYFUNCTION("""COMPUTED_VALUE"""),"키스 버거")</f>
        <v>키스 버거</v>
      </c>
      <c r="B1667" s="2" t="str">
        <f>IFERROR(__xludf.DUMMYFUNCTION("""COMPUTED_VALUE"""),"올리브 오일")</f>
        <v>올리브 오일</v>
      </c>
    </row>
    <row r="1668">
      <c r="A1668" s="2" t="str">
        <f>IFERROR(__xludf.DUMMYFUNCTION("""COMPUTED_VALUE"""),"키스 버거")</f>
        <v>키스 버거</v>
      </c>
      <c r="B1668" s="2" t="str">
        <f>IFERROR(__xludf.DUMMYFUNCTION("""COMPUTED_VALUE"""),"레몬즙")</f>
        <v>레몬즙</v>
      </c>
    </row>
    <row r="1669">
      <c r="A1669" s="2" t="str">
        <f>IFERROR(__xludf.DUMMYFUNCTION("""COMPUTED_VALUE"""),"소시지 달콤하시지")</f>
        <v>소시지 달콤하시지</v>
      </c>
      <c r="B1669" s="2" t="str">
        <f>IFERROR(__xludf.DUMMYFUNCTION("""COMPUTED_VALUE"""),"소시지")</f>
        <v>소시지</v>
      </c>
    </row>
    <row r="1670">
      <c r="A1670" s="2" t="str">
        <f>IFERROR(__xludf.DUMMYFUNCTION("""COMPUTED_VALUE"""),"소시지 달콤하시지")</f>
        <v>소시지 달콤하시지</v>
      </c>
      <c r="B1670" s="2" t="str">
        <f>IFERROR(__xludf.DUMMYFUNCTION("""COMPUTED_VALUE"""),"새우")</f>
        <v>새우</v>
      </c>
    </row>
    <row r="1671">
      <c r="A1671" s="2" t="str">
        <f>IFERROR(__xludf.DUMMYFUNCTION("""COMPUTED_VALUE"""),"소시지 달콤하시지")</f>
        <v>소시지 달콤하시지</v>
      </c>
      <c r="B1671" s="2" t="str">
        <f>IFERROR(__xludf.DUMMYFUNCTION("""COMPUTED_VALUE"""),"만가닥버섯")</f>
        <v>만가닥버섯</v>
      </c>
    </row>
    <row r="1672">
      <c r="A1672" s="2" t="str">
        <f>IFERROR(__xludf.DUMMYFUNCTION("""COMPUTED_VALUE"""),"소시지 달콤하시지")</f>
        <v>소시지 달콤하시지</v>
      </c>
      <c r="B1672" s="2" t="str">
        <f>IFERROR(__xludf.DUMMYFUNCTION("""COMPUTED_VALUE"""),"베이컨")</f>
        <v>베이컨</v>
      </c>
    </row>
    <row r="1673">
      <c r="A1673" s="2" t="str">
        <f>IFERROR(__xludf.DUMMYFUNCTION("""COMPUTED_VALUE"""),"소시지 달콤하시지")</f>
        <v>소시지 달콤하시지</v>
      </c>
      <c r="B1673" s="2" t="str">
        <f>IFERROR(__xludf.DUMMYFUNCTION("""COMPUTED_VALUE"""),"우유")</f>
        <v>우유</v>
      </c>
    </row>
    <row r="1674">
      <c r="A1674" s="2" t="str">
        <f>IFERROR(__xludf.DUMMYFUNCTION("""COMPUTED_VALUE"""),"소시지 달콤하시지")</f>
        <v>소시지 달콤하시지</v>
      </c>
      <c r="B1674" s="2" t="str">
        <f>IFERROR(__xludf.DUMMYFUNCTION("""COMPUTED_VALUE"""),"발사믹 크림")</f>
        <v>발사믹 크림</v>
      </c>
    </row>
    <row r="1675">
      <c r="A1675" s="2" t="str">
        <f>IFERROR(__xludf.DUMMYFUNCTION("""COMPUTED_VALUE"""),"소시지 달콤하시지")</f>
        <v>소시지 달콤하시지</v>
      </c>
      <c r="B1675" s="2" t="str">
        <f>IFERROR(__xludf.DUMMYFUNCTION("""COMPUTED_VALUE"""),"소금")</f>
        <v>소금</v>
      </c>
    </row>
    <row r="1676">
      <c r="A1676" s="2" t="str">
        <f>IFERROR(__xludf.DUMMYFUNCTION("""COMPUTED_VALUE"""),"소시지 달콤하시지")</f>
        <v>소시지 달콤하시지</v>
      </c>
      <c r="B1676" s="2" t="str">
        <f>IFERROR(__xludf.DUMMYFUNCTION("""COMPUTED_VALUE"""),"마늘")</f>
        <v>마늘</v>
      </c>
    </row>
    <row r="1677">
      <c r="A1677" s="2" t="str">
        <f>IFERROR(__xludf.DUMMYFUNCTION("""COMPUTED_VALUE"""),"소시지 달콤하시지")</f>
        <v>소시지 달콤하시지</v>
      </c>
      <c r="B1677" s="2" t="str">
        <f>IFERROR(__xludf.DUMMYFUNCTION("""COMPUTED_VALUE"""),"양파")</f>
        <v>양파</v>
      </c>
    </row>
    <row r="1678">
      <c r="A1678" s="2" t="str">
        <f>IFERROR(__xludf.DUMMYFUNCTION("""COMPUTED_VALUE"""),"소시지 달콤하시지")</f>
        <v>소시지 달콤하시지</v>
      </c>
      <c r="B1678" s="2" t="str">
        <f>IFERROR(__xludf.DUMMYFUNCTION("""COMPUTED_VALUE"""),"버터")</f>
        <v>버터</v>
      </c>
    </row>
    <row r="1679">
      <c r="A1679" s="2" t="str">
        <f>IFERROR(__xludf.DUMMYFUNCTION("""COMPUTED_VALUE"""),"소시지 달콤하시지")</f>
        <v>소시지 달콤하시지</v>
      </c>
      <c r="B1679" s="2" t="str">
        <f>IFERROR(__xludf.DUMMYFUNCTION("""COMPUTED_VALUE"""),"밀가루")</f>
        <v>밀가루</v>
      </c>
    </row>
    <row r="1680">
      <c r="A1680" s="2" t="str">
        <f>IFERROR(__xludf.DUMMYFUNCTION("""COMPUTED_VALUE"""),"소시지 달콤하시지")</f>
        <v>소시지 달콤하시지</v>
      </c>
      <c r="B1680" s="2" t="str">
        <f>IFERROR(__xludf.DUMMYFUNCTION("""COMPUTED_VALUE"""),"후추")</f>
        <v>후추</v>
      </c>
    </row>
    <row r="1681">
      <c r="A1681" s="2" t="str">
        <f>IFERROR(__xludf.DUMMYFUNCTION("""COMPUTED_VALUE"""),"소시지 달콤하시지")</f>
        <v>소시지 달콤하시지</v>
      </c>
      <c r="B1681" s="2" t="str">
        <f>IFERROR(__xludf.DUMMYFUNCTION("""COMPUTED_VALUE"""),"레몬즙")</f>
        <v>레몬즙</v>
      </c>
    </row>
    <row r="1682">
      <c r="A1682" s="2" t="str">
        <f>IFERROR(__xludf.DUMMYFUNCTION("""COMPUTED_VALUE"""),"소시지 달콤하시지")</f>
        <v>소시지 달콤하시지</v>
      </c>
      <c r="B1682" s="2" t="str">
        <f>IFERROR(__xludf.DUMMYFUNCTION("""COMPUTED_VALUE"""),"대파")</f>
        <v>대파</v>
      </c>
    </row>
    <row r="1683">
      <c r="A1683" s="2" t="str">
        <f>IFERROR(__xludf.DUMMYFUNCTION("""COMPUTED_VALUE"""),"소고기가 살아있네~")</f>
        <v>소고기가 살아있네~</v>
      </c>
      <c r="B1683" s="2" t="str">
        <f>IFERROR(__xludf.DUMMYFUNCTION("""COMPUTED_VALUE"""),"소고기 안심")</f>
        <v>소고기 안심</v>
      </c>
    </row>
    <row r="1684">
      <c r="A1684" s="2" t="str">
        <f>IFERROR(__xludf.DUMMYFUNCTION("""COMPUTED_VALUE"""),"소고기가 살아있네~")</f>
        <v>소고기가 살아있네~</v>
      </c>
      <c r="B1684" s="2" t="str">
        <f>IFERROR(__xludf.DUMMYFUNCTION("""COMPUTED_VALUE"""),"오이 장아찌")</f>
        <v>오이 장아찌</v>
      </c>
    </row>
    <row r="1685">
      <c r="A1685" s="2" t="str">
        <f>IFERROR(__xludf.DUMMYFUNCTION("""COMPUTED_VALUE"""),"소고기가 살아있네~")</f>
        <v>소고기가 살아있네~</v>
      </c>
      <c r="B1685" s="2" t="str">
        <f>IFERROR(__xludf.DUMMYFUNCTION("""COMPUTED_VALUE"""),"달걀")</f>
        <v>달걀</v>
      </c>
    </row>
    <row r="1686">
      <c r="A1686" s="2" t="str">
        <f>IFERROR(__xludf.DUMMYFUNCTION("""COMPUTED_VALUE"""),"소고기가 살아있네~")</f>
        <v>소고기가 살아있네~</v>
      </c>
      <c r="B1686" s="2" t="str">
        <f>IFERROR(__xludf.DUMMYFUNCTION("""COMPUTED_VALUE"""),"쌈채소")</f>
        <v>쌈채소</v>
      </c>
    </row>
    <row r="1687">
      <c r="A1687" s="2" t="str">
        <f>IFERROR(__xludf.DUMMYFUNCTION("""COMPUTED_VALUE"""),"소고기가 살아있네~")</f>
        <v>소고기가 살아있네~</v>
      </c>
      <c r="B1687" s="2" t="str">
        <f>IFERROR(__xludf.DUMMYFUNCTION("""COMPUTED_VALUE"""),"유자청")</f>
        <v>유자청</v>
      </c>
    </row>
    <row r="1688">
      <c r="A1688" s="2" t="str">
        <f>IFERROR(__xludf.DUMMYFUNCTION("""COMPUTED_VALUE"""),"소고기가 살아있네~")</f>
        <v>소고기가 살아있네~</v>
      </c>
      <c r="B1688" s="2" t="str">
        <f>IFERROR(__xludf.DUMMYFUNCTION("""COMPUTED_VALUE"""),"발사믹 식초")</f>
        <v>발사믹 식초</v>
      </c>
    </row>
    <row r="1689">
      <c r="A1689" s="2" t="str">
        <f>IFERROR(__xludf.DUMMYFUNCTION("""COMPUTED_VALUE"""),"소고기가 살아있네~")</f>
        <v>소고기가 살아있네~</v>
      </c>
      <c r="B1689" s="2" t="str">
        <f>IFERROR(__xludf.DUMMYFUNCTION("""COMPUTED_VALUE"""),"발사믹 크림")</f>
        <v>발사믹 크림</v>
      </c>
    </row>
    <row r="1690">
      <c r="A1690" s="2" t="str">
        <f>IFERROR(__xludf.DUMMYFUNCTION("""COMPUTED_VALUE"""),"소고기가 살아있네~")</f>
        <v>소고기가 살아있네~</v>
      </c>
      <c r="B1690" s="2" t="str">
        <f>IFERROR(__xludf.DUMMYFUNCTION("""COMPUTED_VALUE"""),"파슬리")</f>
        <v>파슬리</v>
      </c>
    </row>
    <row r="1691">
      <c r="A1691" s="2" t="str">
        <f>IFERROR(__xludf.DUMMYFUNCTION("""COMPUTED_VALUE"""),"소고기가 살아있네~")</f>
        <v>소고기가 살아있네~</v>
      </c>
      <c r="B1691" s="2" t="str">
        <f>IFERROR(__xludf.DUMMYFUNCTION("""COMPUTED_VALUE"""),"양파")</f>
        <v>양파</v>
      </c>
    </row>
    <row r="1692">
      <c r="A1692" s="2" t="str">
        <f>IFERROR(__xludf.DUMMYFUNCTION("""COMPUTED_VALUE"""),"소고기가 살아있네~")</f>
        <v>소고기가 살아있네~</v>
      </c>
      <c r="B1692" s="2" t="str">
        <f>IFERROR(__xludf.DUMMYFUNCTION("""COMPUTED_VALUE"""),"청양고추")</f>
        <v>청양고추</v>
      </c>
    </row>
    <row r="1693">
      <c r="A1693" s="2" t="str">
        <f>IFERROR(__xludf.DUMMYFUNCTION("""COMPUTED_VALUE"""),"소고기가 살아있네~")</f>
        <v>소고기가 살아있네~</v>
      </c>
      <c r="B1693" s="2" t="str">
        <f>IFERROR(__xludf.DUMMYFUNCTION("""COMPUTED_VALUE"""),"소금")</f>
        <v>소금</v>
      </c>
    </row>
    <row r="1694">
      <c r="A1694" s="2" t="str">
        <f>IFERROR(__xludf.DUMMYFUNCTION("""COMPUTED_VALUE"""),"소고기가 살아있네~")</f>
        <v>소고기가 살아있네~</v>
      </c>
      <c r="B1694" s="2" t="str">
        <f>IFERROR(__xludf.DUMMYFUNCTION("""COMPUTED_VALUE"""),"올리브 오일")</f>
        <v>올리브 오일</v>
      </c>
    </row>
    <row r="1695">
      <c r="A1695" s="2" t="str">
        <f>IFERROR(__xludf.DUMMYFUNCTION("""COMPUTED_VALUE"""),"소고기가 살아있네~")</f>
        <v>소고기가 살아있네~</v>
      </c>
      <c r="B1695" s="2" t="str">
        <f>IFERROR(__xludf.DUMMYFUNCTION("""COMPUTED_VALUE"""),"핫소스")</f>
        <v>핫소스</v>
      </c>
    </row>
    <row r="1696">
      <c r="A1696" s="2" t="str">
        <f>IFERROR(__xludf.DUMMYFUNCTION("""COMPUTED_VALUE"""),"소고기가 살아있네~")</f>
        <v>소고기가 살아있네~</v>
      </c>
      <c r="B1696" s="2" t="str">
        <f>IFERROR(__xludf.DUMMYFUNCTION("""COMPUTED_VALUE"""),"케첩")</f>
        <v>케첩</v>
      </c>
    </row>
    <row r="1697">
      <c r="A1697" s="2" t="str">
        <f>IFERROR(__xludf.DUMMYFUNCTION("""COMPUTED_VALUE"""),"소고기가 살아있네~")</f>
        <v>소고기가 살아있네~</v>
      </c>
      <c r="B1697" s="2" t="str">
        <f>IFERROR(__xludf.DUMMYFUNCTION("""COMPUTED_VALUE"""),"머스터드")</f>
        <v>머스터드</v>
      </c>
    </row>
    <row r="1698">
      <c r="A1698" s="2" t="str">
        <f>IFERROR(__xludf.DUMMYFUNCTION("""COMPUTED_VALUE"""),"소고기가 살아있네~")</f>
        <v>소고기가 살아있네~</v>
      </c>
      <c r="B1698" s="2" t="str">
        <f>IFERROR(__xludf.DUMMYFUNCTION("""COMPUTED_VALUE"""),"레몬즙")</f>
        <v>레몬즙</v>
      </c>
    </row>
    <row r="1699">
      <c r="A1699" s="2" t="str">
        <f>IFERROR(__xludf.DUMMYFUNCTION("""COMPUTED_VALUE"""),"소고기가 살아있네~")</f>
        <v>소고기가 살아있네~</v>
      </c>
      <c r="B1699" s="2" t="str">
        <f>IFERROR(__xludf.DUMMYFUNCTION("""COMPUTED_VALUE"""),"후추")</f>
        <v>후추</v>
      </c>
    </row>
    <row r="1700">
      <c r="A1700" s="2" t="str">
        <f>IFERROR(__xludf.DUMMYFUNCTION("""COMPUTED_VALUE"""),"족발 먹을 곤약?")</f>
        <v>족발 먹을 곤약?</v>
      </c>
      <c r="B1700" s="2" t="str">
        <f>IFERROR(__xludf.DUMMYFUNCTION("""COMPUTED_VALUE"""),"곤약")</f>
        <v>곤약</v>
      </c>
    </row>
    <row r="1701">
      <c r="A1701" s="2" t="str">
        <f>IFERROR(__xludf.DUMMYFUNCTION("""COMPUTED_VALUE"""),"족발 먹을 곤약?")</f>
        <v>족발 먹을 곤약?</v>
      </c>
      <c r="B1701" s="2" t="str">
        <f>IFERROR(__xludf.DUMMYFUNCTION("""COMPUTED_VALUE"""),"유자청")</f>
        <v>유자청</v>
      </c>
    </row>
    <row r="1702">
      <c r="A1702" s="2" t="str">
        <f>IFERROR(__xludf.DUMMYFUNCTION("""COMPUTED_VALUE"""),"족발 먹을 곤약?")</f>
        <v>족발 먹을 곤약?</v>
      </c>
      <c r="B1702" s="2" t="str">
        <f>IFERROR(__xludf.DUMMYFUNCTION("""COMPUTED_VALUE"""),"족발")</f>
        <v>족발</v>
      </c>
    </row>
    <row r="1703">
      <c r="A1703" s="2" t="str">
        <f>IFERROR(__xludf.DUMMYFUNCTION("""COMPUTED_VALUE"""),"족발 먹을 곤약?")</f>
        <v>족발 먹을 곤약?</v>
      </c>
      <c r="B1703" s="2" t="str">
        <f>IFERROR(__xludf.DUMMYFUNCTION("""COMPUTED_VALUE"""),"상추")</f>
        <v>상추</v>
      </c>
    </row>
    <row r="1704">
      <c r="A1704" s="2" t="str">
        <f>IFERROR(__xludf.DUMMYFUNCTION("""COMPUTED_VALUE"""),"족발 먹을 곤약?")</f>
        <v>족발 먹을 곤약?</v>
      </c>
      <c r="B1704" s="2" t="str">
        <f>IFERROR(__xludf.DUMMYFUNCTION("""COMPUTED_VALUE"""),"고춧가루")</f>
        <v>고춧가루</v>
      </c>
    </row>
    <row r="1705">
      <c r="A1705" s="2" t="str">
        <f>IFERROR(__xludf.DUMMYFUNCTION("""COMPUTED_VALUE"""),"족발 먹을 곤약?")</f>
        <v>족발 먹을 곤약?</v>
      </c>
      <c r="B1705" s="2" t="str">
        <f>IFERROR(__xludf.DUMMYFUNCTION("""COMPUTED_VALUE"""),"간장")</f>
        <v>간장</v>
      </c>
    </row>
    <row r="1706">
      <c r="A1706" s="2" t="str">
        <f>IFERROR(__xludf.DUMMYFUNCTION("""COMPUTED_VALUE"""),"족발 먹을 곤약?")</f>
        <v>족발 먹을 곤약?</v>
      </c>
      <c r="B1706" s="2" t="str">
        <f>IFERROR(__xludf.DUMMYFUNCTION("""COMPUTED_VALUE"""),"다진 마늘")</f>
        <v>다진 마늘</v>
      </c>
    </row>
    <row r="1707">
      <c r="A1707" s="2" t="str">
        <f>IFERROR(__xludf.DUMMYFUNCTION("""COMPUTED_VALUE"""),"술푸자냐")</f>
        <v>술푸자냐</v>
      </c>
      <c r="B1707" s="2" t="str">
        <f>IFERROR(__xludf.DUMMYFUNCTION("""COMPUTED_VALUE"""),"방울토마토")</f>
        <v>방울토마토</v>
      </c>
    </row>
    <row r="1708">
      <c r="A1708" s="2" t="str">
        <f>IFERROR(__xludf.DUMMYFUNCTION("""COMPUTED_VALUE"""),"술푸자냐")</f>
        <v>술푸자냐</v>
      </c>
      <c r="B1708" s="2" t="str">
        <f>IFERROR(__xludf.DUMMYFUNCTION("""COMPUTED_VALUE"""),"미역")</f>
        <v>미역</v>
      </c>
    </row>
    <row r="1709">
      <c r="A1709" s="2" t="str">
        <f>IFERROR(__xludf.DUMMYFUNCTION("""COMPUTED_VALUE"""),"술푸자냐")</f>
        <v>술푸자냐</v>
      </c>
      <c r="B1709" s="2" t="str">
        <f>IFERROR(__xludf.DUMMYFUNCTION("""COMPUTED_VALUE"""),"크림치즈")</f>
        <v>크림치즈</v>
      </c>
    </row>
    <row r="1710">
      <c r="A1710" s="2" t="str">
        <f>IFERROR(__xludf.DUMMYFUNCTION("""COMPUTED_VALUE"""),"술푸자냐")</f>
        <v>술푸자냐</v>
      </c>
      <c r="B1710" s="2" t="str">
        <f>IFERROR(__xludf.DUMMYFUNCTION("""COMPUTED_VALUE"""),"술떡")</f>
        <v>술떡</v>
      </c>
    </row>
    <row r="1711">
      <c r="A1711" s="2" t="str">
        <f>IFERROR(__xludf.DUMMYFUNCTION("""COMPUTED_VALUE"""),"술푸자냐")</f>
        <v>술푸자냐</v>
      </c>
      <c r="B1711" s="2" t="str">
        <f>IFERROR(__xludf.DUMMYFUNCTION("""COMPUTED_VALUE"""),"에멘탈 치즈")</f>
        <v>에멘탈 치즈</v>
      </c>
    </row>
    <row r="1712">
      <c r="A1712" s="2" t="str">
        <f>IFERROR(__xludf.DUMMYFUNCTION("""COMPUTED_VALUE"""),"술푸자냐")</f>
        <v>술푸자냐</v>
      </c>
      <c r="B1712" s="2" t="str">
        <f>IFERROR(__xludf.DUMMYFUNCTION("""COMPUTED_VALUE"""),"체다 치즈")</f>
        <v>체다 치즈</v>
      </c>
    </row>
    <row r="1713">
      <c r="A1713" s="2" t="str">
        <f>IFERROR(__xludf.DUMMYFUNCTION("""COMPUTED_VALUE"""),"술푸자냐")</f>
        <v>술푸자냐</v>
      </c>
      <c r="B1713" s="2" t="str">
        <f>IFERROR(__xludf.DUMMYFUNCTION("""COMPUTED_VALUE"""),"생모차렐라 치즈")</f>
        <v>생모차렐라 치즈</v>
      </c>
    </row>
    <row r="1714">
      <c r="A1714" s="2" t="str">
        <f>IFERROR(__xludf.DUMMYFUNCTION("""COMPUTED_VALUE"""),"술푸자냐")</f>
        <v>술푸자냐</v>
      </c>
      <c r="B1714" s="2" t="str">
        <f>IFERROR(__xludf.DUMMYFUNCTION("""COMPUTED_VALUE"""),"하몬")</f>
        <v>하몬</v>
      </c>
    </row>
    <row r="1715">
      <c r="A1715" s="2" t="str">
        <f>IFERROR(__xludf.DUMMYFUNCTION("""COMPUTED_VALUE"""),"술푸자냐")</f>
        <v>술푸자냐</v>
      </c>
      <c r="B1715" s="2" t="str">
        <f>IFERROR(__xludf.DUMMYFUNCTION("""COMPUTED_VALUE"""),"김")</f>
        <v>김</v>
      </c>
    </row>
    <row r="1716">
      <c r="A1716" s="2" t="str">
        <f>IFERROR(__xludf.DUMMYFUNCTION("""COMPUTED_VALUE"""),"술푸자냐")</f>
        <v>술푸자냐</v>
      </c>
      <c r="B1716" s="2" t="str">
        <f>IFERROR(__xludf.DUMMYFUNCTION("""COMPUTED_VALUE"""),"소금")</f>
        <v>소금</v>
      </c>
    </row>
    <row r="1717">
      <c r="A1717" s="2" t="str">
        <f>IFERROR(__xludf.DUMMYFUNCTION("""COMPUTED_VALUE"""),"술푸자냐")</f>
        <v>술푸자냐</v>
      </c>
      <c r="B1717" s="2" t="str">
        <f>IFERROR(__xludf.DUMMYFUNCTION("""COMPUTED_VALUE"""),"후추")</f>
        <v>후추</v>
      </c>
    </row>
    <row r="1718">
      <c r="A1718" s="2" t="str">
        <f>IFERROR(__xludf.DUMMYFUNCTION("""COMPUTED_VALUE"""),"술푸자냐")</f>
        <v>술푸자냐</v>
      </c>
      <c r="B1718" s="2" t="str">
        <f>IFERROR(__xludf.DUMMYFUNCTION("""COMPUTED_VALUE"""),"파르메산 치즈")</f>
        <v>파르메산 치즈</v>
      </c>
    </row>
    <row r="1719">
      <c r="A1719" s="2" t="str">
        <f>IFERROR(__xludf.DUMMYFUNCTION("""COMPUTED_VALUE"""),"새로운 샐러드와 수란잔")</f>
        <v>새로운 샐러드와 수란잔</v>
      </c>
      <c r="B1719" s="2" t="str">
        <f>IFERROR(__xludf.DUMMYFUNCTION("""COMPUTED_VALUE"""),"방울토마토")</f>
        <v>방울토마토</v>
      </c>
    </row>
    <row r="1720">
      <c r="A1720" s="2" t="str">
        <f>IFERROR(__xludf.DUMMYFUNCTION("""COMPUTED_VALUE"""),"새로운 샐러드와 수란잔")</f>
        <v>새로운 샐러드와 수란잔</v>
      </c>
      <c r="B1720" s="2" t="str">
        <f>IFERROR(__xludf.DUMMYFUNCTION("""COMPUTED_VALUE"""),"미역")</f>
        <v>미역</v>
      </c>
    </row>
    <row r="1721">
      <c r="A1721" s="2" t="str">
        <f>IFERROR(__xludf.DUMMYFUNCTION("""COMPUTED_VALUE"""),"새로운 샐러드와 수란잔")</f>
        <v>새로운 샐러드와 수란잔</v>
      </c>
      <c r="B1721" s="2" t="str">
        <f>IFERROR(__xludf.DUMMYFUNCTION("""COMPUTED_VALUE"""),"달걀")</f>
        <v>달걀</v>
      </c>
    </row>
    <row r="1722">
      <c r="A1722" s="2" t="str">
        <f>IFERROR(__xludf.DUMMYFUNCTION("""COMPUTED_VALUE"""),"새로운 샐러드와 수란잔")</f>
        <v>새로운 샐러드와 수란잔</v>
      </c>
      <c r="B1722" s="2" t="str">
        <f>IFERROR(__xludf.DUMMYFUNCTION("""COMPUTED_VALUE"""),"생모차렐라 치즈")</f>
        <v>생모차렐라 치즈</v>
      </c>
    </row>
    <row r="1723">
      <c r="A1723" s="2" t="str">
        <f>IFERROR(__xludf.DUMMYFUNCTION("""COMPUTED_VALUE"""),"새로운 샐러드와 수란잔")</f>
        <v>새로운 샐러드와 수란잔</v>
      </c>
      <c r="B1723" s="2" t="str">
        <f>IFERROR(__xludf.DUMMYFUNCTION("""COMPUTED_VALUE"""),"그린 올리브")</f>
        <v>그린 올리브</v>
      </c>
    </row>
    <row r="1724">
      <c r="A1724" s="2" t="str">
        <f>IFERROR(__xludf.DUMMYFUNCTION("""COMPUTED_VALUE"""),"새로운 샐러드와 수란잔")</f>
        <v>새로운 샐러드와 수란잔</v>
      </c>
      <c r="B1724" s="2" t="str">
        <f>IFERROR(__xludf.DUMMYFUNCTION("""COMPUTED_VALUE"""),"하몬")</f>
        <v>하몬</v>
      </c>
    </row>
    <row r="1725">
      <c r="A1725" s="2" t="str">
        <f>IFERROR(__xludf.DUMMYFUNCTION("""COMPUTED_VALUE"""),"새로운 샐러드와 수란잔")</f>
        <v>새로운 샐러드와 수란잔</v>
      </c>
      <c r="B1725" s="2" t="str">
        <f>IFERROR(__xludf.DUMMYFUNCTION("""COMPUTED_VALUE"""),"식초")</f>
        <v>식초</v>
      </c>
    </row>
    <row r="1726">
      <c r="A1726" s="2" t="str">
        <f>IFERROR(__xludf.DUMMYFUNCTION("""COMPUTED_VALUE"""),"새로운 샐러드와 수란잔")</f>
        <v>새로운 샐러드와 수란잔</v>
      </c>
      <c r="B1726" s="2" t="str">
        <f>IFERROR(__xludf.DUMMYFUNCTION("""COMPUTED_VALUE"""),"올리브 오일")</f>
        <v>올리브 오일</v>
      </c>
    </row>
    <row r="1727">
      <c r="A1727" s="2" t="str">
        <f>IFERROR(__xludf.DUMMYFUNCTION("""COMPUTED_VALUE"""),"새로운 샐러드와 수란잔")</f>
        <v>새로운 샐러드와 수란잔</v>
      </c>
      <c r="B1727" s="2" t="str">
        <f>IFERROR(__xludf.DUMMYFUNCTION("""COMPUTED_VALUE"""),"화이트 와인")</f>
        <v>화이트 와인</v>
      </c>
    </row>
    <row r="1728">
      <c r="A1728" s="2" t="str">
        <f>IFERROR(__xludf.DUMMYFUNCTION("""COMPUTED_VALUE"""),"새로운 샐러드와 수란잔")</f>
        <v>새로운 샐러드와 수란잔</v>
      </c>
      <c r="B1728" s="2" t="str">
        <f>IFERROR(__xludf.DUMMYFUNCTION("""COMPUTED_VALUE"""),"소금")</f>
        <v>소금</v>
      </c>
    </row>
    <row r="1729">
      <c r="A1729" s="2" t="str">
        <f>IFERROR(__xludf.DUMMYFUNCTION("""COMPUTED_VALUE"""),"새로운 샐러드와 수란잔")</f>
        <v>새로운 샐러드와 수란잔</v>
      </c>
      <c r="B1729" s="2" t="str">
        <f>IFERROR(__xludf.DUMMYFUNCTION("""COMPUTED_VALUE"""),"후추")</f>
        <v>후추</v>
      </c>
    </row>
    <row r="1730">
      <c r="A1730" s="2" t="str">
        <f>IFERROR(__xludf.DUMMYFUNCTION("""COMPUTED_VALUE"""),"새로운 샐러드와 수란잔")</f>
        <v>새로운 샐러드와 수란잔</v>
      </c>
      <c r="B1730" s="2" t="str">
        <f>IFERROR(__xludf.DUMMYFUNCTION("""COMPUTED_VALUE"""),"레몬즙")</f>
        <v>레몬즙</v>
      </c>
    </row>
    <row r="1731">
      <c r="A1731" s="2" t="str">
        <f>IFERROR(__xludf.DUMMYFUNCTION("""COMPUTED_VALUE"""),"새로운 샐러드와 수란잔")</f>
        <v>새로운 샐러드와 수란잔</v>
      </c>
      <c r="B1731" s="2" t="str">
        <f>IFERROR(__xludf.DUMMYFUNCTION("""COMPUTED_VALUE"""),"버터")</f>
        <v>버터</v>
      </c>
    </row>
    <row r="1732">
      <c r="A1732" s="2" t="str">
        <f>IFERROR(__xludf.DUMMYFUNCTION("""COMPUTED_VALUE"""),"새로운 샐러드와 수란잔")</f>
        <v>새로운 샐러드와 수란잔</v>
      </c>
      <c r="B1732" s="2" t="str">
        <f>IFERROR(__xludf.DUMMYFUNCTION("""COMPUTED_VALUE"""),"다진 마늘")</f>
        <v>다진 마늘</v>
      </c>
    </row>
    <row r="1733">
      <c r="A1733" s="2" t="str">
        <f>IFERROR(__xludf.DUMMYFUNCTION("""COMPUTED_VALUE"""),"별미 리소토")</f>
        <v>별미 리소토</v>
      </c>
      <c r="B1733" s="2" t="str">
        <f>IFERROR(__xludf.DUMMYFUNCTION("""COMPUTED_VALUE"""),"하몬")</f>
        <v>하몬</v>
      </c>
    </row>
    <row r="1734">
      <c r="A1734" s="2" t="str">
        <f>IFERROR(__xludf.DUMMYFUNCTION("""COMPUTED_VALUE"""),"별미 리소토")</f>
        <v>별미 리소토</v>
      </c>
      <c r="B1734" s="2" t="str">
        <f>IFERROR(__xludf.DUMMYFUNCTION("""COMPUTED_VALUE"""),"차돌박이")</f>
        <v>차돌박이</v>
      </c>
    </row>
    <row r="1735">
      <c r="A1735" s="2" t="str">
        <f>IFERROR(__xludf.DUMMYFUNCTION("""COMPUTED_VALUE"""),"별미 리소토")</f>
        <v>별미 리소토</v>
      </c>
      <c r="B1735" s="2" t="str">
        <f>IFERROR(__xludf.DUMMYFUNCTION("""COMPUTED_VALUE"""),"미역")</f>
        <v>미역</v>
      </c>
    </row>
    <row r="1736">
      <c r="A1736" s="2" t="str">
        <f>IFERROR(__xludf.DUMMYFUNCTION("""COMPUTED_VALUE"""),"별미 리소토")</f>
        <v>별미 리소토</v>
      </c>
      <c r="B1736" s="2" t="str">
        <f>IFERROR(__xludf.DUMMYFUNCTION("""COMPUTED_VALUE"""),"방울토마토")</f>
        <v>방울토마토</v>
      </c>
    </row>
    <row r="1737">
      <c r="A1737" s="2" t="str">
        <f>IFERROR(__xludf.DUMMYFUNCTION("""COMPUTED_VALUE"""),"별미 리소토")</f>
        <v>별미 리소토</v>
      </c>
      <c r="B1737" s="2" t="str">
        <f>IFERROR(__xludf.DUMMYFUNCTION("""COMPUTED_VALUE"""),"크림치즈")</f>
        <v>크림치즈</v>
      </c>
    </row>
    <row r="1738">
      <c r="A1738" s="2" t="str">
        <f>IFERROR(__xludf.DUMMYFUNCTION("""COMPUTED_VALUE"""),"별미 리소토")</f>
        <v>별미 리소토</v>
      </c>
      <c r="B1738" s="2" t="str">
        <f>IFERROR(__xludf.DUMMYFUNCTION("""COMPUTED_VALUE"""),"견과류")</f>
        <v>견과류</v>
      </c>
    </row>
    <row r="1739">
      <c r="A1739" s="2" t="str">
        <f>IFERROR(__xludf.DUMMYFUNCTION("""COMPUTED_VALUE"""),"별미 리소토")</f>
        <v>별미 리소토</v>
      </c>
      <c r="B1739" s="2" t="str">
        <f>IFERROR(__xludf.DUMMYFUNCTION("""COMPUTED_VALUE"""),"양파")</f>
        <v>양파</v>
      </c>
    </row>
    <row r="1740">
      <c r="A1740" s="2" t="str">
        <f>IFERROR(__xludf.DUMMYFUNCTION("""COMPUTED_VALUE"""),"별미 리소토")</f>
        <v>별미 리소토</v>
      </c>
      <c r="B1740" s="2" t="str">
        <f>IFERROR(__xludf.DUMMYFUNCTION("""COMPUTED_VALUE"""),"당근")</f>
        <v>당근</v>
      </c>
    </row>
    <row r="1741">
      <c r="A1741" s="2" t="str">
        <f>IFERROR(__xludf.DUMMYFUNCTION("""COMPUTED_VALUE"""),"별미 리소토")</f>
        <v>별미 리소토</v>
      </c>
      <c r="B1741" s="2" t="str">
        <f>IFERROR(__xludf.DUMMYFUNCTION("""COMPUTED_VALUE"""),"올리브 오일")</f>
        <v>올리브 오일</v>
      </c>
    </row>
    <row r="1742">
      <c r="A1742" s="2" t="str">
        <f>IFERROR(__xludf.DUMMYFUNCTION("""COMPUTED_VALUE"""),"별미 리소토")</f>
        <v>별미 리소토</v>
      </c>
      <c r="B1742" s="2" t="str">
        <f>IFERROR(__xludf.DUMMYFUNCTION("""COMPUTED_VALUE"""),"마늘")</f>
        <v>마늘</v>
      </c>
    </row>
    <row r="1743">
      <c r="A1743" s="2" t="str">
        <f>IFERROR(__xludf.DUMMYFUNCTION("""COMPUTED_VALUE"""),"별미 리소토")</f>
        <v>별미 리소토</v>
      </c>
      <c r="B1743" s="2" t="str">
        <f>IFERROR(__xludf.DUMMYFUNCTION("""COMPUTED_VALUE"""),"참기름")</f>
        <v>참기름</v>
      </c>
    </row>
    <row r="1744">
      <c r="A1744" s="2" t="str">
        <f>IFERROR(__xludf.DUMMYFUNCTION("""COMPUTED_VALUE"""),"별미 리소토")</f>
        <v>별미 리소토</v>
      </c>
      <c r="B1744" s="2" t="str">
        <f>IFERROR(__xludf.DUMMYFUNCTION("""COMPUTED_VALUE"""),"파르메산 치즈")</f>
        <v>파르메산 치즈</v>
      </c>
    </row>
    <row r="1745">
      <c r="A1745" s="2" t="str">
        <f>IFERROR(__xludf.DUMMYFUNCTION("""COMPUTED_VALUE"""),"별미 리소토")</f>
        <v>별미 리소토</v>
      </c>
      <c r="B1745" s="2" t="str">
        <f>IFERROR(__xludf.DUMMYFUNCTION("""COMPUTED_VALUE"""),"대파")</f>
        <v>대파</v>
      </c>
    </row>
    <row r="1746">
      <c r="A1746" s="2" t="str">
        <f>IFERROR(__xludf.DUMMYFUNCTION("""COMPUTED_VALUE"""),"별미 리소토")</f>
        <v>별미 리소토</v>
      </c>
      <c r="B1746" s="2" t="str">
        <f>IFERROR(__xludf.DUMMYFUNCTION("""COMPUTED_VALUE"""),"소금")</f>
        <v>소금</v>
      </c>
    </row>
    <row r="1747">
      <c r="A1747" s="2" t="str">
        <f>IFERROR(__xludf.DUMMYFUNCTION("""COMPUTED_VALUE"""),"별미 리소토")</f>
        <v>별미 리소토</v>
      </c>
      <c r="B1747" s="2" t="str">
        <f>IFERROR(__xludf.DUMMYFUNCTION("""COMPUTED_VALUE"""),"즉석밥")</f>
        <v>즉석밥</v>
      </c>
    </row>
    <row r="1748">
      <c r="A1748" s="2" t="str">
        <f>IFERROR(__xludf.DUMMYFUNCTION("""COMPUTED_VALUE"""),"별미 리소토")</f>
        <v>별미 리소토</v>
      </c>
      <c r="B1748" s="2" t="str">
        <f>IFERROR(__xludf.DUMMYFUNCTION("""COMPUTED_VALUE"""),"버터")</f>
        <v>버터</v>
      </c>
    </row>
    <row r="1749">
      <c r="A1749" s="2" t="str">
        <f>IFERROR(__xludf.DUMMYFUNCTION("""COMPUTED_VALUE"""),"이 참외 비빔면")</f>
        <v>이 참외 비빔면</v>
      </c>
      <c r="B1749" s="2" t="str">
        <f>IFERROR(__xludf.DUMMYFUNCTION("""COMPUTED_VALUE"""),"참외")</f>
        <v>참외</v>
      </c>
    </row>
    <row r="1750">
      <c r="A1750" s="2" t="str">
        <f>IFERROR(__xludf.DUMMYFUNCTION("""COMPUTED_VALUE"""),"이 참외 비빔면")</f>
        <v>이 참외 비빔면</v>
      </c>
      <c r="B1750" s="2" t="str">
        <f>IFERROR(__xludf.DUMMYFUNCTION("""COMPUTED_VALUE"""),"미역")</f>
        <v>미역</v>
      </c>
    </row>
    <row r="1751">
      <c r="A1751" s="2" t="str">
        <f>IFERROR(__xludf.DUMMYFUNCTION("""COMPUTED_VALUE"""),"이 참외 비빔면")</f>
        <v>이 참외 비빔면</v>
      </c>
      <c r="B1751" s="2" t="str">
        <f>IFERROR(__xludf.DUMMYFUNCTION("""COMPUTED_VALUE"""),"감자라면")</f>
        <v>감자라면</v>
      </c>
    </row>
    <row r="1752">
      <c r="A1752" s="2" t="str">
        <f>IFERROR(__xludf.DUMMYFUNCTION("""COMPUTED_VALUE"""),"이 참외 비빔면")</f>
        <v>이 참외 비빔면</v>
      </c>
      <c r="B1752" s="2" t="str">
        <f>IFERROR(__xludf.DUMMYFUNCTION("""COMPUTED_VALUE"""),"달걀")</f>
        <v>달걀</v>
      </c>
    </row>
    <row r="1753">
      <c r="A1753" s="2" t="str">
        <f>IFERROR(__xludf.DUMMYFUNCTION("""COMPUTED_VALUE"""),"이 참외 비빔면")</f>
        <v>이 참외 비빔면</v>
      </c>
      <c r="B1753" s="2" t="str">
        <f>IFERROR(__xludf.DUMMYFUNCTION("""COMPUTED_VALUE"""),"소금")</f>
        <v>소금</v>
      </c>
    </row>
    <row r="1754">
      <c r="A1754" s="2" t="str">
        <f>IFERROR(__xludf.DUMMYFUNCTION("""COMPUTED_VALUE"""),"이 참외 비빔면")</f>
        <v>이 참외 비빔면</v>
      </c>
      <c r="B1754" s="2" t="str">
        <f>IFERROR(__xludf.DUMMYFUNCTION("""COMPUTED_VALUE"""),"식초")</f>
        <v>식초</v>
      </c>
    </row>
    <row r="1755">
      <c r="A1755" s="2" t="str">
        <f>IFERROR(__xludf.DUMMYFUNCTION("""COMPUTED_VALUE"""),"이 참외 비빔면")</f>
        <v>이 참외 비빔면</v>
      </c>
      <c r="B1755" s="2" t="str">
        <f>IFERROR(__xludf.DUMMYFUNCTION("""COMPUTED_VALUE"""),"설탕")</f>
        <v>설탕</v>
      </c>
    </row>
    <row r="1756">
      <c r="A1756" s="2" t="str">
        <f>IFERROR(__xludf.DUMMYFUNCTION("""COMPUTED_VALUE"""),"이 참외 비빔면")</f>
        <v>이 참외 비빔면</v>
      </c>
      <c r="B1756" s="2" t="str">
        <f>IFERROR(__xludf.DUMMYFUNCTION("""COMPUTED_VALUE"""),"양파")</f>
        <v>양파</v>
      </c>
    </row>
    <row r="1757">
      <c r="A1757" s="2" t="str">
        <f>IFERROR(__xludf.DUMMYFUNCTION("""COMPUTED_VALUE"""),"이 참외 비빔면")</f>
        <v>이 참외 비빔면</v>
      </c>
      <c r="B1757" s="2" t="str">
        <f>IFERROR(__xludf.DUMMYFUNCTION("""COMPUTED_VALUE"""),"고추")</f>
        <v>고추</v>
      </c>
    </row>
    <row r="1758">
      <c r="A1758" s="2" t="str">
        <f>IFERROR(__xludf.DUMMYFUNCTION("""COMPUTED_VALUE"""),"이 참외 비빔면")</f>
        <v>이 참외 비빔면</v>
      </c>
      <c r="B1758" s="2" t="str">
        <f>IFERROR(__xludf.DUMMYFUNCTION("""COMPUTED_VALUE"""),"대파")</f>
        <v>대파</v>
      </c>
    </row>
    <row r="1759">
      <c r="A1759" s="2" t="str">
        <f>IFERROR(__xludf.DUMMYFUNCTION("""COMPUTED_VALUE"""),"이 참외 비빔면")</f>
        <v>이 참외 비빔면</v>
      </c>
      <c r="B1759" s="2" t="str">
        <f>IFERROR(__xludf.DUMMYFUNCTION("""COMPUTED_VALUE"""),"마늘")</f>
        <v>마늘</v>
      </c>
    </row>
    <row r="1760">
      <c r="A1760" s="2" t="str">
        <f>IFERROR(__xludf.DUMMYFUNCTION("""COMPUTED_VALUE"""),"이 참외 비빔면")</f>
        <v>이 참외 비빔면</v>
      </c>
      <c r="B1760" s="2" t="str">
        <f>IFERROR(__xludf.DUMMYFUNCTION("""COMPUTED_VALUE"""),"고추장")</f>
        <v>고추장</v>
      </c>
    </row>
    <row r="1761">
      <c r="A1761" s="2" t="str">
        <f>IFERROR(__xludf.DUMMYFUNCTION("""COMPUTED_VALUE"""),"이 참외 비빔면")</f>
        <v>이 참외 비빔면</v>
      </c>
      <c r="B1761" s="2" t="str">
        <f>IFERROR(__xludf.DUMMYFUNCTION("""COMPUTED_VALUE"""),"고춧가루")</f>
        <v>고춧가루</v>
      </c>
    </row>
    <row r="1762">
      <c r="A1762" s="2" t="str">
        <f>IFERROR(__xludf.DUMMYFUNCTION("""COMPUTED_VALUE"""),"이 참외 비빔면")</f>
        <v>이 참외 비빔면</v>
      </c>
      <c r="B1762" s="2" t="str">
        <f>IFERROR(__xludf.DUMMYFUNCTION("""COMPUTED_VALUE"""),"다진 마늘")</f>
        <v>다진 마늘</v>
      </c>
    </row>
    <row r="1763">
      <c r="A1763" s="2" t="str">
        <f>IFERROR(__xludf.DUMMYFUNCTION("""COMPUTED_VALUE"""),"이 참외 비빔면")</f>
        <v>이 참외 비빔면</v>
      </c>
      <c r="B1763" s="2" t="str">
        <f>IFERROR(__xludf.DUMMYFUNCTION("""COMPUTED_VALUE"""),"간장")</f>
        <v>간장</v>
      </c>
    </row>
    <row r="1764">
      <c r="A1764" s="2" t="str">
        <f>IFERROR(__xludf.DUMMYFUNCTION("""COMPUTED_VALUE"""),"이 참외 비빔면")</f>
        <v>이 참외 비빔면</v>
      </c>
      <c r="B1764" s="2" t="str">
        <f>IFERROR(__xludf.DUMMYFUNCTION("""COMPUTED_VALUE"""),"생강")</f>
        <v>생강</v>
      </c>
    </row>
    <row r="1765">
      <c r="A1765" s="2" t="str">
        <f>IFERROR(__xludf.DUMMYFUNCTION("""COMPUTED_VALUE"""),"이 참외 비빔면")</f>
        <v>이 참외 비빔면</v>
      </c>
      <c r="B1765" s="2" t="str">
        <f>IFERROR(__xludf.DUMMYFUNCTION("""COMPUTED_VALUE"""),"참기름")</f>
        <v>참기름</v>
      </c>
    </row>
    <row r="1766">
      <c r="A1766" s="2" t="str">
        <f>IFERROR(__xludf.DUMMYFUNCTION("""COMPUTED_VALUE"""),"이 참외 비빔면")</f>
        <v>이 참외 비빔면</v>
      </c>
      <c r="B1766" s="2" t="str">
        <f>IFERROR(__xludf.DUMMYFUNCTION("""COMPUTED_VALUE"""),"깨")</f>
        <v>깨</v>
      </c>
    </row>
    <row r="1767">
      <c r="A1767" s="2" t="str">
        <f>IFERROR(__xludf.DUMMYFUNCTION("""COMPUTED_VALUE"""),"넘사복")</f>
        <v>넘사복</v>
      </c>
      <c r="B1767" s="2" t="str">
        <f>IFERROR(__xludf.DUMMYFUNCTION("""COMPUTED_VALUE"""),"닭가슴살")</f>
        <v>닭가슴살</v>
      </c>
    </row>
    <row r="1768">
      <c r="A1768" s="2" t="str">
        <f>IFERROR(__xludf.DUMMYFUNCTION("""COMPUTED_VALUE"""),"넘사복")</f>
        <v>넘사복</v>
      </c>
      <c r="B1768" s="2" t="str">
        <f>IFERROR(__xludf.DUMMYFUNCTION("""COMPUTED_VALUE"""),"냉동낙지")</f>
        <v>냉동낙지</v>
      </c>
    </row>
    <row r="1769">
      <c r="A1769" s="2" t="str">
        <f>IFERROR(__xludf.DUMMYFUNCTION("""COMPUTED_VALUE"""),"넘사복")</f>
        <v>넘사복</v>
      </c>
      <c r="B1769" s="2" t="str">
        <f>IFERROR(__xludf.DUMMYFUNCTION("""COMPUTED_VALUE"""),"아스파라거스")</f>
        <v>아스파라거스</v>
      </c>
    </row>
    <row r="1770">
      <c r="A1770" s="2" t="str">
        <f>IFERROR(__xludf.DUMMYFUNCTION("""COMPUTED_VALUE"""),"넘사복")</f>
        <v>넘사복</v>
      </c>
      <c r="B1770" s="2" t="str">
        <f>IFERROR(__xludf.DUMMYFUNCTION("""COMPUTED_VALUE"""),"오이")</f>
        <v>오이</v>
      </c>
    </row>
    <row r="1771">
      <c r="A1771" s="2" t="str">
        <f>IFERROR(__xludf.DUMMYFUNCTION("""COMPUTED_VALUE"""),"넘사복")</f>
        <v>넘사복</v>
      </c>
      <c r="B1771" s="2" t="str">
        <f>IFERROR(__xludf.DUMMYFUNCTION("""COMPUTED_VALUE"""),"땅콩버터")</f>
        <v>땅콩버터</v>
      </c>
    </row>
    <row r="1772">
      <c r="A1772" s="2" t="str">
        <f>IFERROR(__xludf.DUMMYFUNCTION("""COMPUTED_VALUE"""),"넘사복")</f>
        <v>넘사복</v>
      </c>
      <c r="B1772" s="2" t="str">
        <f>IFERROR(__xludf.DUMMYFUNCTION("""COMPUTED_VALUE"""),"굴소스")</f>
        <v>굴소스</v>
      </c>
    </row>
    <row r="1773">
      <c r="A1773" s="2" t="str">
        <f>IFERROR(__xludf.DUMMYFUNCTION("""COMPUTED_VALUE"""),"넘사복")</f>
        <v>넘사복</v>
      </c>
      <c r="B1773" s="2" t="str">
        <f>IFERROR(__xludf.DUMMYFUNCTION("""COMPUTED_VALUE"""),"두반장")</f>
        <v>두반장</v>
      </c>
    </row>
    <row r="1774">
      <c r="A1774" s="2" t="str">
        <f>IFERROR(__xludf.DUMMYFUNCTION("""COMPUTED_VALUE"""),"넘사복")</f>
        <v>넘사복</v>
      </c>
      <c r="B1774" s="2" t="str">
        <f>IFERROR(__xludf.DUMMYFUNCTION("""COMPUTED_VALUE"""),"매운 냉면양념")</f>
        <v>매운 냉면양념</v>
      </c>
    </row>
    <row r="1775">
      <c r="A1775" s="2" t="str">
        <f>IFERROR(__xludf.DUMMYFUNCTION("""COMPUTED_VALUE"""),"넘사복")</f>
        <v>넘사복</v>
      </c>
      <c r="B1775" s="2" t="str">
        <f>IFERROR(__xludf.DUMMYFUNCTION("""COMPUTED_VALUE"""),"소면")</f>
        <v>소면</v>
      </c>
    </row>
    <row r="1776">
      <c r="A1776" s="2" t="str">
        <f>IFERROR(__xludf.DUMMYFUNCTION("""COMPUTED_VALUE"""),"넘사복")</f>
        <v>넘사복</v>
      </c>
      <c r="B1776" s="2" t="str">
        <f>IFERROR(__xludf.DUMMYFUNCTION("""COMPUTED_VALUE"""),"고추기름")</f>
        <v>고추기름</v>
      </c>
    </row>
    <row r="1777">
      <c r="A1777" s="2" t="str">
        <f>IFERROR(__xludf.DUMMYFUNCTION("""COMPUTED_VALUE"""),"넘사복")</f>
        <v>넘사복</v>
      </c>
      <c r="B1777" s="2" t="str">
        <f>IFERROR(__xludf.DUMMYFUNCTION("""COMPUTED_VALUE"""),"잣")</f>
        <v>잣</v>
      </c>
    </row>
    <row r="1778">
      <c r="A1778" s="2" t="str">
        <f>IFERROR(__xludf.DUMMYFUNCTION("""COMPUTED_VALUE"""),"넘사복")</f>
        <v>넘사복</v>
      </c>
      <c r="B1778" s="2" t="str">
        <f>IFERROR(__xludf.DUMMYFUNCTION("""COMPUTED_VALUE"""),"설탕")</f>
        <v>설탕</v>
      </c>
    </row>
    <row r="1779">
      <c r="A1779" s="2" t="str">
        <f>IFERROR(__xludf.DUMMYFUNCTION("""COMPUTED_VALUE"""),"넘사복")</f>
        <v>넘사복</v>
      </c>
      <c r="B1779" s="2" t="str">
        <f>IFERROR(__xludf.DUMMYFUNCTION("""COMPUTED_VALUE"""),"물")</f>
        <v>물</v>
      </c>
    </row>
    <row r="1780">
      <c r="A1780" s="2" t="str">
        <f>IFERROR(__xludf.DUMMYFUNCTION("""COMPUTED_VALUE"""),"풍살기")</f>
        <v>풍살기</v>
      </c>
      <c r="B1780" s="2" t="str">
        <f>IFERROR(__xludf.DUMMYFUNCTION("""COMPUTED_VALUE"""),"달걀")</f>
        <v>달걀</v>
      </c>
    </row>
    <row r="1781">
      <c r="A1781" s="2" t="str">
        <f>IFERROR(__xludf.DUMMYFUNCTION("""COMPUTED_VALUE"""),"풍살기")</f>
        <v>풍살기</v>
      </c>
      <c r="B1781" s="2" t="str">
        <f>IFERROR(__xludf.DUMMYFUNCTION("""COMPUTED_VALUE"""),"식빵")</f>
        <v>식빵</v>
      </c>
    </row>
    <row r="1782">
      <c r="A1782" s="2" t="str">
        <f>IFERROR(__xludf.DUMMYFUNCTION("""COMPUTED_VALUE"""),"풍살기")</f>
        <v>풍살기</v>
      </c>
      <c r="B1782" s="2" t="str">
        <f>IFERROR(__xludf.DUMMYFUNCTION("""COMPUTED_VALUE"""),"냉동 블루베리")</f>
        <v>냉동 블루베리</v>
      </c>
    </row>
    <row r="1783">
      <c r="A1783" s="2" t="str">
        <f>IFERROR(__xludf.DUMMYFUNCTION("""COMPUTED_VALUE"""),"풍살기")</f>
        <v>풍살기</v>
      </c>
      <c r="B1783" s="2" t="str">
        <f>IFERROR(__xludf.DUMMYFUNCTION("""COMPUTED_VALUE"""),"우유")</f>
        <v>우유</v>
      </c>
    </row>
    <row r="1784">
      <c r="A1784" s="2" t="str">
        <f>IFERROR(__xludf.DUMMYFUNCTION("""COMPUTED_VALUE"""),"풍살기")</f>
        <v>풍살기</v>
      </c>
      <c r="B1784" s="2" t="str">
        <f>IFERROR(__xludf.DUMMYFUNCTION("""COMPUTED_VALUE"""),"설탕")</f>
        <v>설탕</v>
      </c>
    </row>
    <row r="1785">
      <c r="A1785" s="2" t="str">
        <f>IFERROR(__xludf.DUMMYFUNCTION("""COMPUTED_VALUE"""),"풍살기")</f>
        <v>풍살기</v>
      </c>
      <c r="B1785" s="2" t="str">
        <f>IFERROR(__xludf.DUMMYFUNCTION("""COMPUTED_VALUE"""),"박력분")</f>
        <v>박력분</v>
      </c>
    </row>
    <row r="1786">
      <c r="A1786" s="2" t="str">
        <f>IFERROR(__xludf.DUMMYFUNCTION("""COMPUTED_VALUE"""),"풍살기")</f>
        <v>풍살기</v>
      </c>
      <c r="B1786" s="2" t="str">
        <f>IFERROR(__xludf.DUMMYFUNCTION("""COMPUTED_VALUE"""),"레몬즙")</f>
        <v>레몬즙</v>
      </c>
    </row>
    <row r="1787">
      <c r="A1787" s="2" t="str">
        <f>IFERROR(__xludf.DUMMYFUNCTION("""COMPUTED_VALUE"""),"풍살기")</f>
        <v>풍살기</v>
      </c>
      <c r="B1787" s="2" t="str">
        <f>IFERROR(__xludf.DUMMYFUNCTION("""COMPUTED_VALUE"""),"소금")</f>
        <v>소금</v>
      </c>
    </row>
    <row r="1788">
      <c r="A1788" s="2" t="str">
        <f>IFERROR(__xludf.DUMMYFUNCTION("""COMPUTED_VALUE"""),"풍살기")</f>
        <v>풍살기</v>
      </c>
      <c r="B1788" s="2" t="str">
        <f>IFERROR(__xludf.DUMMYFUNCTION("""COMPUTED_VALUE"""),"물")</f>
        <v>물</v>
      </c>
    </row>
    <row r="1789">
      <c r="A1789" s="2" t="str">
        <f>IFERROR(__xludf.DUMMYFUNCTION("""COMPUTED_VALUE"""),"요거닭")</f>
        <v>요거닭</v>
      </c>
      <c r="B1789" s="2" t="str">
        <f>IFERROR(__xludf.DUMMYFUNCTION("""COMPUTED_VALUE"""),"애호박")</f>
        <v>애호박</v>
      </c>
    </row>
    <row r="1790">
      <c r="A1790" s="2" t="str">
        <f>IFERROR(__xludf.DUMMYFUNCTION("""COMPUTED_VALUE"""),"요거닭")</f>
        <v>요거닭</v>
      </c>
      <c r="B1790" s="2" t="str">
        <f>IFERROR(__xludf.DUMMYFUNCTION("""COMPUTED_VALUE"""),"훈제 닭가슴살")</f>
        <v>훈제 닭가슴살</v>
      </c>
    </row>
    <row r="1791">
      <c r="A1791" s="2" t="str">
        <f>IFERROR(__xludf.DUMMYFUNCTION("""COMPUTED_VALUE"""),"요거닭")</f>
        <v>요거닭</v>
      </c>
      <c r="B1791" s="2" t="str">
        <f>IFERROR(__xludf.DUMMYFUNCTION("""COMPUTED_VALUE"""),"모차렐라 치즈")</f>
        <v>모차렐라 치즈</v>
      </c>
    </row>
    <row r="1792">
      <c r="A1792" s="2" t="str">
        <f>IFERROR(__xludf.DUMMYFUNCTION("""COMPUTED_VALUE"""),"요거닭")</f>
        <v>요거닭</v>
      </c>
      <c r="B1792" s="2" t="str">
        <f>IFERROR(__xludf.DUMMYFUNCTION("""COMPUTED_VALUE"""),"그릭 요거트")</f>
        <v>그릭 요거트</v>
      </c>
    </row>
    <row r="1793">
      <c r="A1793" s="2" t="str">
        <f>IFERROR(__xludf.DUMMYFUNCTION("""COMPUTED_VALUE"""),"요거닭")</f>
        <v>요거닭</v>
      </c>
      <c r="B1793" s="2" t="str">
        <f>IFERROR(__xludf.DUMMYFUNCTION("""COMPUTED_VALUE"""),"타임")</f>
        <v>타임</v>
      </c>
    </row>
    <row r="1794">
      <c r="A1794" s="2" t="str">
        <f>IFERROR(__xludf.DUMMYFUNCTION("""COMPUTED_VALUE"""),"요거닭")</f>
        <v>요거닭</v>
      </c>
      <c r="B1794" s="2" t="str">
        <f>IFERROR(__xludf.DUMMYFUNCTION("""COMPUTED_VALUE"""),"딜")</f>
        <v>딜</v>
      </c>
    </row>
    <row r="1795">
      <c r="A1795" s="2" t="str">
        <f>IFERROR(__xludf.DUMMYFUNCTION("""COMPUTED_VALUE"""),"요거닭")</f>
        <v>요거닭</v>
      </c>
      <c r="B1795" s="2" t="str">
        <f>IFERROR(__xludf.DUMMYFUNCTION("""COMPUTED_VALUE"""),"샐러드 채소")</f>
        <v>샐러드 채소</v>
      </c>
    </row>
    <row r="1796">
      <c r="A1796" s="2" t="str">
        <f>IFERROR(__xludf.DUMMYFUNCTION("""COMPUTED_VALUE"""),"요거닭")</f>
        <v>요거닭</v>
      </c>
      <c r="B1796" s="2" t="str">
        <f>IFERROR(__xludf.DUMMYFUNCTION("""COMPUTED_VALUE"""),"오이")</f>
        <v>오이</v>
      </c>
    </row>
    <row r="1797">
      <c r="A1797" s="2" t="str">
        <f>IFERROR(__xludf.DUMMYFUNCTION("""COMPUTED_VALUE"""),"요거닭")</f>
        <v>요거닭</v>
      </c>
      <c r="B1797" s="2" t="str">
        <f>IFERROR(__xludf.DUMMYFUNCTION("""COMPUTED_VALUE"""),"플레인 요거트")</f>
        <v>플레인 요거트</v>
      </c>
    </row>
    <row r="1798">
      <c r="A1798" s="2" t="str">
        <f>IFERROR(__xludf.DUMMYFUNCTION("""COMPUTED_VALUE"""),"요거닭")</f>
        <v>요거닭</v>
      </c>
      <c r="B1798" s="2" t="str">
        <f>IFERROR(__xludf.DUMMYFUNCTION("""COMPUTED_VALUE"""),"바질")</f>
        <v>바질</v>
      </c>
    </row>
    <row r="1799">
      <c r="A1799" s="2" t="str">
        <f>IFERROR(__xludf.DUMMYFUNCTION("""COMPUTED_VALUE"""),"요거닭")</f>
        <v>요거닭</v>
      </c>
      <c r="B1799" s="2" t="str">
        <f>IFERROR(__xludf.DUMMYFUNCTION("""COMPUTED_VALUE"""),"잣")</f>
        <v>잣</v>
      </c>
    </row>
    <row r="1800">
      <c r="A1800" s="2" t="str">
        <f>IFERROR(__xludf.DUMMYFUNCTION("""COMPUTED_VALUE"""),"요거닭")</f>
        <v>요거닭</v>
      </c>
      <c r="B1800" s="2" t="str">
        <f>IFERROR(__xludf.DUMMYFUNCTION("""COMPUTED_VALUE"""),"소금")</f>
        <v>소금</v>
      </c>
    </row>
    <row r="1801">
      <c r="A1801" s="2" t="str">
        <f>IFERROR(__xludf.DUMMYFUNCTION("""COMPUTED_VALUE"""),"요거닭")</f>
        <v>요거닭</v>
      </c>
      <c r="B1801" s="2" t="str">
        <f>IFERROR(__xludf.DUMMYFUNCTION("""COMPUTED_VALUE"""),"후추")</f>
        <v>후추</v>
      </c>
    </row>
    <row r="1802">
      <c r="A1802" s="2" t="str">
        <f>IFERROR(__xludf.DUMMYFUNCTION("""COMPUTED_VALUE"""),"요거닭")</f>
        <v>요거닭</v>
      </c>
      <c r="B1802" s="2" t="str">
        <f>IFERROR(__xludf.DUMMYFUNCTION("""COMPUTED_VALUE"""),"마늘")</f>
        <v>마늘</v>
      </c>
    </row>
    <row r="1803">
      <c r="A1803" s="2" t="str">
        <f>IFERROR(__xludf.DUMMYFUNCTION("""COMPUTED_VALUE"""),"요거닭")</f>
        <v>요거닭</v>
      </c>
      <c r="B1803" s="2" t="str">
        <f>IFERROR(__xludf.DUMMYFUNCTION("""COMPUTED_VALUE"""),"레몬즙")</f>
        <v>레몬즙</v>
      </c>
    </row>
    <row r="1804">
      <c r="A1804" s="2" t="str">
        <f>IFERROR(__xludf.DUMMYFUNCTION("""COMPUTED_VALUE"""),"요거닭")</f>
        <v>요거닭</v>
      </c>
      <c r="B1804" s="2" t="str">
        <f>IFERROR(__xludf.DUMMYFUNCTION("""COMPUTED_VALUE"""),"올리브 오일")</f>
        <v>올리브 오일</v>
      </c>
    </row>
    <row r="1805">
      <c r="A1805" s="2" t="str">
        <f>IFERROR(__xludf.DUMMYFUNCTION("""COMPUTED_VALUE"""),"요거닭")</f>
        <v>요거닭</v>
      </c>
      <c r="B1805" s="2" t="str">
        <f>IFERROR(__xludf.DUMMYFUNCTION("""COMPUTED_VALUE"""),"물")</f>
        <v>물</v>
      </c>
    </row>
    <row r="1806">
      <c r="A1806" s="2" t="str">
        <f>IFERROR(__xludf.DUMMYFUNCTION("""COMPUTED_VALUE"""),"가지가지 한다")</f>
        <v>가지가지 한다</v>
      </c>
      <c r="B1806" s="2" t="str">
        <f>IFERROR(__xludf.DUMMYFUNCTION("""COMPUTED_VALUE"""),"가지")</f>
        <v>가지</v>
      </c>
    </row>
    <row r="1807">
      <c r="A1807" s="2" t="str">
        <f>IFERROR(__xludf.DUMMYFUNCTION("""COMPUTED_VALUE"""),"가지가지 한다")</f>
        <v>가지가지 한다</v>
      </c>
      <c r="B1807" s="2" t="str">
        <f>IFERROR(__xludf.DUMMYFUNCTION("""COMPUTED_VALUE"""),"홀토마토")</f>
        <v>홀토마토</v>
      </c>
    </row>
    <row r="1808">
      <c r="A1808" s="2" t="str">
        <f>IFERROR(__xludf.DUMMYFUNCTION("""COMPUTED_VALUE"""),"가지가지 한다")</f>
        <v>가지가지 한다</v>
      </c>
      <c r="B1808" s="2" t="str">
        <f>IFERROR(__xludf.DUMMYFUNCTION("""COMPUTED_VALUE"""),"앤초비")</f>
        <v>앤초비</v>
      </c>
    </row>
    <row r="1809">
      <c r="A1809" s="2" t="str">
        <f>IFERROR(__xludf.DUMMYFUNCTION("""COMPUTED_VALUE"""),"가지가지 한다")</f>
        <v>가지가지 한다</v>
      </c>
      <c r="B1809" s="2" t="str">
        <f>IFERROR(__xludf.DUMMYFUNCTION("""COMPUTED_VALUE"""),"바질")</f>
        <v>바질</v>
      </c>
    </row>
    <row r="1810">
      <c r="A1810" s="2" t="str">
        <f>IFERROR(__xludf.DUMMYFUNCTION("""COMPUTED_VALUE"""),"가지가지 한다")</f>
        <v>가지가지 한다</v>
      </c>
      <c r="B1810" s="2" t="str">
        <f>IFERROR(__xludf.DUMMYFUNCTION("""COMPUTED_VALUE"""),"방울토마토")</f>
        <v>방울토마토</v>
      </c>
    </row>
    <row r="1811">
      <c r="A1811" s="2" t="str">
        <f>IFERROR(__xludf.DUMMYFUNCTION("""COMPUTED_VALUE"""),"가지가지 한다")</f>
        <v>가지가지 한다</v>
      </c>
      <c r="B1811" s="2" t="str">
        <f>IFERROR(__xludf.DUMMYFUNCTION("""COMPUTED_VALUE"""),"말린 토마토")</f>
        <v>말린 토마토</v>
      </c>
    </row>
    <row r="1812">
      <c r="A1812" s="2" t="str">
        <f>IFERROR(__xludf.DUMMYFUNCTION("""COMPUTED_VALUE"""),"가지가지 한다")</f>
        <v>가지가지 한다</v>
      </c>
      <c r="B1812" s="2" t="str">
        <f>IFERROR(__xludf.DUMMYFUNCTION("""COMPUTED_VALUE"""),"페페론치노")</f>
        <v>페페론치노</v>
      </c>
    </row>
    <row r="1813">
      <c r="A1813" s="2" t="str">
        <f>IFERROR(__xludf.DUMMYFUNCTION("""COMPUTED_VALUE"""),"가지가지 한다")</f>
        <v>가지가지 한다</v>
      </c>
      <c r="B1813" s="2" t="str">
        <f>IFERROR(__xludf.DUMMYFUNCTION("""COMPUTED_VALUE"""),"고르곤졸라 치즈")</f>
        <v>고르곤졸라 치즈</v>
      </c>
    </row>
    <row r="1814">
      <c r="A1814" s="2" t="str">
        <f>IFERROR(__xludf.DUMMYFUNCTION("""COMPUTED_VALUE"""),"가지가지 한다")</f>
        <v>가지가지 한다</v>
      </c>
      <c r="B1814" s="2" t="str">
        <f>IFERROR(__xludf.DUMMYFUNCTION("""COMPUTED_VALUE"""),"모차렐라 치즈")</f>
        <v>모차렐라 치즈</v>
      </c>
    </row>
    <row r="1815">
      <c r="A1815" s="2" t="str">
        <f>IFERROR(__xludf.DUMMYFUNCTION("""COMPUTED_VALUE"""),"가지가지 한다")</f>
        <v>가지가지 한다</v>
      </c>
      <c r="B1815" s="2" t="str">
        <f>IFERROR(__xludf.DUMMYFUNCTION("""COMPUTED_VALUE"""),"포르치니 버섯")</f>
        <v>포르치니 버섯</v>
      </c>
    </row>
    <row r="1816">
      <c r="A1816" s="2" t="str">
        <f>IFERROR(__xludf.DUMMYFUNCTION("""COMPUTED_VALUE"""),"가지가지 한다")</f>
        <v>가지가지 한다</v>
      </c>
      <c r="B1816" s="2" t="str">
        <f>IFERROR(__xludf.DUMMYFUNCTION("""COMPUTED_VALUE"""),"로즈마리")</f>
        <v>로즈마리</v>
      </c>
    </row>
    <row r="1817">
      <c r="A1817" s="2" t="str">
        <f>IFERROR(__xludf.DUMMYFUNCTION("""COMPUTED_VALUE"""),"가지가지 한다")</f>
        <v>가지가지 한다</v>
      </c>
      <c r="B1817" s="2" t="str">
        <f>IFERROR(__xludf.DUMMYFUNCTION("""COMPUTED_VALUE"""),"샐러드 채소")</f>
        <v>샐러드 채소</v>
      </c>
    </row>
    <row r="1818">
      <c r="A1818" s="2" t="str">
        <f>IFERROR(__xludf.DUMMYFUNCTION("""COMPUTED_VALUE"""),"가지가지 한다")</f>
        <v>가지가지 한다</v>
      </c>
      <c r="B1818" s="2" t="str">
        <f>IFERROR(__xludf.DUMMYFUNCTION("""COMPUTED_VALUE"""),"아스파라거스")</f>
        <v>아스파라거스</v>
      </c>
    </row>
    <row r="1819">
      <c r="A1819" s="2" t="str">
        <f>IFERROR(__xludf.DUMMYFUNCTION("""COMPUTED_VALUE"""),"가지가지 한다")</f>
        <v>가지가지 한다</v>
      </c>
      <c r="B1819" s="2" t="str">
        <f>IFERROR(__xludf.DUMMYFUNCTION("""COMPUTED_VALUE"""),"마늘")</f>
        <v>마늘</v>
      </c>
    </row>
    <row r="1820">
      <c r="A1820" s="2" t="str">
        <f>IFERROR(__xludf.DUMMYFUNCTION("""COMPUTED_VALUE"""),"가지가지 한다")</f>
        <v>가지가지 한다</v>
      </c>
      <c r="B1820" s="2" t="str">
        <f>IFERROR(__xludf.DUMMYFUNCTION("""COMPUTED_VALUE"""),"양파")</f>
        <v>양파</v>
      </c>
    </row>
    <row r="1821">
      <c r="A1821" s="2" t="str">
        <f>IFERROR(__xludf.DUMMYFUNCTION("""COMPUTED_VALUE"""),"가지가지 한다")</f>
        <v>가지가지 한다</v>
      </c>
      <c r="B1821" s="2" t="str">
        <f>IFERROR(__xludf.DUMMYFUNCTION("""COMPUTED_VALUE"""),"올리브 오일")</f>
        <v>올리브 오일</v>
      </c>
    </row>
    <row r="1822">
      <c r="A1822" s="2" t="str">
        <f>IFERROR(__xludf.DUMMYFUNCTION("""COMPUTED_VALUE"""),"가지가지 한다")</f>
        <v>가지가지 한다</v>
      </c>
      <c r="B1822" s="2" t="str">
        <f>IFERROR(__xludf.DUMMYFUNCTION("""COMPUTED_VALUE"""),"버터")</f>
        <v>버터</v>
      </c>
    </row>
    <row r="1823">
      <c r="A1823" s="2" t="str">
        <f>IFERROR(__xludf.DUMMYFUNCTION("""COMPUTED_VALUE"""),"가지가지 한다")</f>
        <v>가지가지 한다</v>
      </c>
      <c r="B1823" s="2" t="str">
        <f>IFERROR(__xludf.DUMMYFUNCTION("""COMPUTED_VALUE"""),"레몬")</f>
        <v>레몬</v>
      </c>
    </row>
    <row r="1824">
      <c r="A1824" s="2" t="str">
        <f>IFERROR(__xludf.DUMMYFUNCTION("""COMPUTED_VALUE"""),"가지가지 한다")</f>
        <v>가지가지 한다</v>
      </c>
      <c r="B1824" s="2" t="str">
        <f>IFERROR(__xludf.DUMMYFUNCTION("""COMPUTED_VALUE"""),"소금")</f>
        <v>소금</v>
      </c>
    </row>
    <row r="1825">
      <c r="A1825" s="2" t="str">
        <f>IFERROR(__xludf.DUMMYFUNCTION("""COMPUTED_VALUE"""),"가지가지 한다")</f>
        <v>가지가지 한다</v>
      </c>
      <c r="B1825" s="2" t="str">
        <f>IFERROR(__xludf.DUMMYFUNCTION("""COMPUTED_VALUE"""),"후추")</f>
        <v>후추</v>
      </c>
    </row>
    <row r="1826">
      <c r="A1826" s="2" t="str">
        <f>IFERROR(__xludf.DUMMYFUNCTION("""COMPUTED_VALUE"""),"명란 한주먹")</f>
        <v>명란 한주먹</v>
      </c>
      <c r="B1826" s="2" t="str">
        <f>IFERROR(__xludf.DUMMYFUNCTION("""COMPUTED_VALUE"""),"유자청")</f>
        <v>유자청</v>
      </c>
    </row>
    <row r="1827">
      <c r="A1827" s="2" t="str">
        <f>IFERROR(__xludf.DUMMYFUNCTION("""COMPUTED_VALUE"""),"명란 한주먹")</f>
        <v>명란 한주먹</v>
      </c>
      <c r="B1827" s="2" t="str">
        <f>IFERROR(__xludf.DUMMYFUNCTION("""COMPUTED_VALUE"""),"잔멸치")</f>
        <v>잔멸치</v>
      </c>
    </row>
    <row r="1828">
      <c r="A1828" s="2" t="str">
        <f>IFERROR(__xludf.DUMMYFUNCTION("""COMPUTED_VALUE"""),"명란 한주먹")</f>
        <v>명란 한주먹</v>
      </c>
      <c r="B1828" s="2" t="str">
        <f>IFERROR(__xludf.DUMMYFUNCTION("""COMPUTED_VALUE"""),"명란젓")</f>
        <v>명란젓</v>
      </c>
    </row>
    <row r="1829">
      <c r="A1829" s="2" t="str">
        <f>IFERROR(__xludf.DUMMYFUNCTION("""COMPUTED_VALUE"""),"명란 한주먹")</f>
        <v>명란 한주먹</v>
      </c>
      <c r="B1829" s="2" t="str">
        <f>IFERROR(__xludf.DUMMYFUNCTION("""COMPUTED_VALUE"""),"견과류")</f>
        <v>견과류</v>
      </c>
    </row>
    <row r="1830">
      <c r="A1830" s="2" t="str">
        <f>IFERROR(__xludf.DUMMYFUNCTION("""COMPUTED_VALUE"""),"명란 한주먹")</f>
        <v>명란 한주먹</v>
      </c>
      <c r="B1830" s="2" t="str">
        <f>IFERROR(__xludf.DUMMYFUNCTION("""COMPUTED_VALUE"""),"즉석밥")</f>
        <v>즉석밥</v>
      </c>
    </row>
    <row r="1831">
      <c r="A1831" s="2" t="str">
        <f>IFERROR(__xludf.DUMMYFUNCTION("""COMPUTED_VALUE"""),"명란 한주먹")</f>
        <v>명란 한주먹</v>
      </c>
      <c r="B1831" s="2" t="str">
        <f>IFERROR(__xludf.DUMMYFUNCTION("""COMPUTED_VALUE"""),"다진 생강")</f>
        <v>다진 생강</v>
      </c>
    </row>
    <row r="1832">
      <c r="A1832" s="2" t="str">
        <f>IFERROR(__xludf.DUMMYFUNCTION("""COMPUTED_VALUE"""),"명란 한주먹")</f>
        <v>명란 한주먹</v>
      </c>
      <c r="B1832" s="2" t="str">
        <f>IFERROR(__xludf.DUMMYFUNCTION("""COMPUTED_VALUE"""),"간장")</f>
        <v>간장</v>
      </c>
    </row>
    <row r="1833">
      <c r="A1833" s="2" t="str">
        <f>IFERROR(__xludf.DUMMYFUNCTION("""COMPUTED_VALUE"""),"명란 한주먹")</f>
        <v>명란 한주먹</v>
      </c>
      <c r="B1833" s="2" t="str">
        <f>IFERROR(__xludf.DUMMYFUNCTION("""COMPUTED_VALUE"""),"식초")</f>
        <v>식초</v>
      </c>
    </row>
    <row r="1834">
      <c r="A1834" s="2" t="str">
        <f>IFERROR(__xludf.DUMMYFUNCTION("""COMPUTED_VALUE"""),"명란 한주먹")</f>
        <v>명란 한주먹</v>
      </c>
      <c r="B1834" s="2" t="str">
        <f>IFERROR(__xludf.DUMMYFUNCTION("""COMPUTED_VALUE"""),"다진 마늘")</f>
        <v>다진 마늘</v>
      </c>
    </row>
    <row r="1835">
      <c r="A1835" s="2" t="str">
        <f>IFERROR(__xludf.DUMMYFUNCTION("""COMPUTED_VALUE"""),"명란 한주먹")</f>
        <v>명란 한주먹</v>
      </c>
      <c r="B1835" s="2" t="str">
        <f>IFERROR(__xludf.DUMMYFUNCTION("""COMPUTED_VALUE"""),"올리브 오일")</f>
        <v>올리브 오일</v>
      </c>
    </row>
    <row r="1836">
      <c r="A1836" s="2" t="str">
        <f>IFERROR(__xludf.DUMMYFUNCTION("""COMPUTED_VALUE"""),"명란 한주먹")</f>
        <v>명란 한주먹</v>
      </c>
      <c r="B1836" s="2" t="str">
        <f>IFERROR(__xludf.DUMMYFUNCTION("""COMPUTED_VALUE"""),"파")</f>
        <v>파</v>
      </c>
    </row>
    <row r="1837">
      <c r="A1837" s="2" t="str">
        <f>IFERROR(__xludf.DUMMYFUNCTION("""COMPUTED_VALUE"""),"명란 한주먹")</f>
        <v>명란 한주먹</v>
      </c>
      <c r="B1837" s="2" t="str">
        <f>IFERROR(__xludf.DUMMYFUNCTION("""COMPUTED_VALUE"""),"설탕")</f>
        <v>설탕</v>
      </c>
    </row>
    <row r="1838">
      <c r="A1838" s="2" t="str">
        <f>IFERROR(__xludf.DUMMYFUNCTION("""COMPUTED_VALUE"""),"명란 한주먹")</f>
        <v>명란 한주먹</v>
      </c>
      <c r="B1838" s="2" t="str">
        <f>IFERROR(__xludf.DUMMYFUNCTION("""COMPUTED_VALUE"""),"레몬")</f>
        <v>레몬</v>
      </c>
    </row>
    <row r="1839">
      <c r="A1839" s="2" t="str">
        <f>IFERROR(__xludf.DUMMYFUNCTION("""COMPUTED_VALUE"""),"명란 한주먹")</f>
        <v>명란 한주먹</v>
      </c>
      <c r="B1839" s="2" t="str">
        <f>IFERROR(__xludf.DUMMYFUNCTION("""COMPUTED_VALUE"""),"참기름")</f>
        <v>참기름</v>
      </c>
    </row>
    <row r="1840">
      <c r="A1840" s="2" t="str">
        <f>IFERROR(__xludf.DUMMYFUNCTION("""COMPUTED_VALUE"""),"명란 한주먹")</f>
        <v>명란 한주먹</v>
      </c>
      <c r="B1840" s="2" t="str">
        <f>IFERROR(__xludf.DUMMYFUNCTION("""COMPUTED_VALUE"""),"양파")</f>
        <v>양파</v>
      </c>
    </row>
    <row r="1841">
      <c r="A1841" s="2" t="str">
        <f>IFERROR(__xludf.DUMMYFUNCTION("""COMPUTED_VALUE"""),"명란 한주먹")</f>
        <v>명란 한주먹</v>
      </c>
      <c r="B1841" s="2" t="str">
        <f>IFERROR(__xludf.DUMMYFUNCTION("""COMPUTED_VALUE"""),"전분")</f>
        <v>전분</v>
      </c>
    </row>
    <row r="1842">
      <c r="A1842" s="2" t="str">
        <f>IFERROR(__xludf.DUMMYFUNCTION("""COMPUTED_VALUE"""),"명란 한주먹")</f>
        <v>명란 한주먹</v>
      </c>
      <c r="B1842" s="2" t="str">
        <f>IFERROR(__xludf.DUMMYFUNCTION("""COMPUTED_VALUE"""),"후추")</f>
        <v>후추</v>
      </c>
    </row>
    <row r="1843">
      <c r="A1843" s="2" t="str">
        <f>IFERROR(__xludf.DUMMYFUNCTION("""COMPUTED_VALUE"""),"명란 한주먹")</f>
        <v>명란 한주먹</v>
      </c>
      <c r="B1843" s="2" t="str">
        <f>IFERROR(__xludf.DUMMYFUNCTION("""COMPUTED_VALUE"""),"들기름")</f>
        <v>들기름</v>
      </c>
    </row>
    <row r="1844">
      <c r="A1844" s="2" t="str">
        <f>IFERROR(__xludf.DUMMYFUNCTION("""COMPUTED_VALUE"""),"명란 한주먹")</f>
        <v>명란 한주먹</v>
      </c>
      <c r="B1844" s="2" t="str">
        <f>IFERROR(__xludf.DUMMYFUNCTION("""COMPUTED_VALUE"""),"후추")</f>
        <v>후추</v>
      </c>
    </row>
    <row r="1845">
      <c r="A1845" s="2" t="str">
        <f>IFERROR(__xludf.DUMMYFUNCTION("""COMPUTED_VALUE"""),"다 이 김")</f>
        <v>다 이 김</v>
      </c>
      <c r="B1845" s="2" t="str">
        <f>IFERROR(__xludf.DUMMYFUNCTION("""COMPUTED_VALUE"""),"김")</f>
        <v>김</v>
      </c>
    </row>
    <row r="1846">
      <c r="A1846" s="2" t="str">
        <f>IFERROR(__xludf.DUMMYFUNCTION("""COMPUTED_VALUE"""),"다 이 김")</f>
        <v>다 이 김</v>
      </c>
      <c r="B1846" s="2" t="str">
        <f>IFERROR(__xludf.DUMMYFUNCTION("""COMPUTED_VALUE"""),"참치액")</f>
        <v>참치액</v>
      </c>
    </row>
    <row r="1847">
      <c r="A1847" s="2" t="str">
        <f>IFERROR(__xludf.DUMMYFUNCTION("""COMPUTED_VALUE"""),"다 이 김")</f>
        <v>다 이 김</v>
      </c>
      <c r="B1847" s="2" t="str">
        <f>IFERROR(__xludf.DUMMYFUNCTION("""COMPUTED_VALUE"""),"다진 마늘")</f>
        <v>다진 마늘</v>
      </c>
    </row>
    <row r="1848">
      <c r="A1848" s="2" t="str">
        <f>IFERROR(__xludf.DUMMYFUNCTION("""COMPUTED_VALUE"""),"다 이 김")</f>
        <v>다 이 김</v>
      </c>
      <c r="B1848" s="2" t="str">
        <f>IFERROR(__xludf.DUMMYFUNCTION("""COMPUTED_VALUE"""),"양파")</f>
        <v>양파</v>
      </c>
    </row>
    <row r="1849">
      <c r="A1849" s="2" t="str">
        <f>IFERROR(__xludf.DUMMYFUNCTION("""COMPUTED_VALUE"""),"다 이 김")</f>
        <v>다 이 김</v>
      </c>
      <c r="B1849" s="2" t="str">
        <f>IFERROR(__xludf.DUMMYFUNCTION("""COMPUTED_VALUE"""),"파")</f>
        <v>파</v>
      </c>
    </row>
    <row r="1850">
      <c r="A1850" s="2" t="str">
        <f>IFERROR(__xludf.DUMMYFUNCTION("""COMPUTED_VALUE"""),"다 이 김")</f>
        <v>다 이 김</v>
      </c>
      <c r="B1850" s="2" t="str">
        <f>IFERROR(__xludf.DUMMYFUNCTION("""COMPUTED_VALUE"""),"고춧가루")</f>
        <v>고춧가루</v>
      </c>
    </row>
    <row r="1851">
      <c r="A1851" s="2" t="str">
        <f>IFERROR(__xludf.DUMMYFUNCTION("""COMPUTED_VALUE"""),"다 이 김")</f>
        <v>다 이 김</v>
      </c>
      <c r="B1851" s="2" t="str">
        <f>IFERROR(__xludf.DUMMYFUNCTION("""COMPUTED_VALUE"""),"맛술")</f>
        <v>맛술</v>
      </c>
    </row>
    <row r="1852">
      <c r="A1852" s="2" t="str">
        <f>IFERROR(__xludf.DUMMYFUNCTION("""COMPUTED_VALUE"""),"다 이 김")</f>
        <v>다 이 김</v>
      </c>
      <c r="B1852" s="2" t="str">
        <f>IFERROR(__xludf.DUMMYFUNCTION("""COMPUTED_VALUE"""),"식초")</f>
        <v>식초</v>
      </c>
    </row>
    <row r="1853">
      <c r="A1853" s="2" t="str">
        <f>IFERROR(__xludf.DUMMYFUNCTION("""COMPUTED_VALUE"""),"다 이 김")</f>
        <v>다 이 김</v>
      </c>
      <c r="B1853" s="2" t="str">
        <f>IFERROR(__xludf.DUMMYFUNCTION("""COMPUTED_VALUE"""),"참기름")</f>
        <v>참기름</v>
      </c>
    </row>
    <row r="1854">
      <c r="A1854" s="2" t="str">
        <f>IFERROR(__xludf.DUMMYFUNCTION("""COMPUTED_VALUE"""),"다 이 김")</f>
        <v>다 이 김</v>
      </c>
      <c r="B1854" s="2" t="str">
        <f>IFERROR(__xludf.DUMMYFUNCTION("""COMPUTED_VALUE"""),"즉석밥")</f>
        <v>즉석밥</v>
      </c>
    </row>
    <row r="1855">
      <c r="A1855" s="2" t="str">
        <f>IFERROR(__xludf.DUMMYFUNCTION("""COMPUTED_VALUE"""),"동파면")</f>
        <v>동파면</v>
      </c>
      <c r="B1855" s="2" t="str">
        <f>IFERROR(__xludf.DUMMYFUNCTION("""COMPUTED_VALUE"""),"동치미")</f>
        <v>동치미</v>
      </c>
    </row>
    <row r="1856">
      <c r="A1856" s="2" t="str">
        <f>IFERROR(__xludf.DUMMYFUNCTION("""COMPUTED_VALUE"""),"동파면")</f>
        <v>동파면</v>
      </c>
      <c r="B1856" s="2" t="str">
        <f>IFERROR(__xludf.DUMMYFUNCTION("""COMPUTED_VALUE"""),"청양고추")</f>
        <v>청양고추</v>
      </c>
    </row>
    <row r="1857">
      <c r="A1857" s="2" t="str">
        <f>IFERROR(__xludf.DUMMYFUNCTION("""COMPUTED_VALUE"""),"동파면")</f>
        <v>동파면</v>
      </c>
      <c r="B1857" s="2" t="str">
        <f>IFERROR(__xludf.DUMMYFUNCTION("""COMPUTED_VALUE"""),"마늘")</f>
        <v>마늘</v>
      </c>
    </row>
    <row r="1858">
      <c r="A1858" s="2" t="str">
        <f>IFERROR(__xludf.DUMMYFUNCTION("""COMPUTED_VALUE"""),"동파면")</f>
        <v>동파면</v>
      </c>
      <c r="B1858" s="2" t="str">
        <f>IFERROR(__xludf.DUMMYFUNCTION("""COMPUTED_VALUE"""),"설탕")</f>
        <v>설탕</v>
      </c>
    </row>
    <row r="1859">
      <c r="A1859" s="2" t="str">
        <f>IFERROR(__xludf.DUMMYFUNCTION("""COMPUTED_VALUE"""),"동파면")</f>
        <v>동파면</v>
      </c>
      <c r="B1859" s="2" t="str">
        <f>IFERROR(__xludf.DUMMYFUNCTION("""COMPUTED_VALUE"""),"소금")</f>
        <v>소금</v>
      </c>
    </row>
    <row r="1860">
      <c r="A1860" s="2" t="str">
        <f>IFERROR(__xludf.DUMMYFUNCTION("""COMPUTED_VALUE"""),"동파면")</f>
        <v>동파면</v>
      </c>
      <c r="B1860" s="2" t="str">
        <f>IFERROR(__xludf.DUMMYFUNCTION("""COMPUTED_VALUE"""),"파스타면")</f>
        <v>파스타면</v>
      </c>
    </row>
    <row r="1861">
      <c r="A1861" s="2" t="str">
        <f>IFERROR(__xludf.DUMMYFUNCTION("""COMPUTED_VALUE"""),"동파면")</f>
        <v>동파면</v>
      </c>
      <c r="B1861" s="2" t="str">
        <f>IFERROR(__xludf.DUMMYFUNCTION("""COMPUTED_VALUE"""),"후추")</f>
        <v>후추</v>
      </c>
    </row>
    <row r="1862">
      <c r="A1862" s="2" t="str">
        <f>IFERROR(__xludf.DUMMYFUNCTION("""COMPUTED_VALUE"""),"동파면")</f>
        <v>동파면</v>
      </c>
      <c r="B1862" s="2" t="str">
        <f>IFERROR(__xludf.DUMMYFUNCTION("""COMPUTED_VALUE"""),"버터")</f>
        <v>버터</v>
      </c>
    </row>
    <row r="1863">
      <c r="A1863" s="2" t="str">
        <f>IFERROR(__xludf.DUMMYFUNCTION("""COMPUTED_VALUE"""),"동파면")</f>
        <v>동파면</v>
      </c>
      <c r="B1863" s="2" t="str">
        <f>IFERROR(__xludf.DUMMYFUNCTION("""COMPUTED_VALUE"""),"파")</f>
        <v>파</v>
      </c>
    </row>
    <row r="1864">
      <c r="A1864" s="2" t="str">
        <f>IFERROR(__xludf.DUMMYFUNCTION("""COMPUTED_VALUE"""),"동파면")</f>
        <v>동파면</v>
      </c>
      <c r="B1864" s="2" t="str">
        <f>IFERROR(__xludf.DUMMYFUNCTION("""COMPUTED_VALUE"""),"조미료")</f>
        <v>조미료</v>
      </c>
    </row>
    <row r="1865">
      <c r="A1865" s="2" t="str">
        <f>IFERROR(__xludf.DUMMYFUNCTION("""COMPUTED_VALUE"""),"커리업")</f>
        <v>커리업</v>
      </c>
      <c r="B1865" s="2" t="str">
        <f>IFERROR(__xludf.DUMMYFUNCTION("""COMPUTED_VALUE"""),"반건조 우럭")</f>
        <v>반건조 우럭</v>
      </c>
    </row>
    <row r="1866">
      <c r="A1866" s="2" t="str">
        <f>IFERROR(__xludf.DUMMYFUNCTION("""COMPUTED_VALUE"""),"커리업")</f>
        <v>커리업</v>
      </c>
      <c r="B1866" s="2" t="str">
        <f>IFERROR(__xludf.DUMMYFUNCTION("""COMPUTED_VALUE"""),"자두")</f>
        <v>자두</v>
      </c>
    </row>
    <row r="1867">
      <c r="A1867" s="2" t="str">
        <f>IFERROR(__xludf.DUMMYFUNCTION("""COMPUTED_VALUE"""),"커리업")</f>
        <v>커리업</v>
      </c>
      <c r="B1867" s="2" t="str">
        <f>IFERROR(__xludf.DUMMYFUNCTION("""COMPUTED_VALUE"""),"카레가루")</f>
        <v>카레가루</v>
      </c>
    </row>
    <row r="1868">
      <c r="A1868" s="2" t="str">
        <f>IFERROR(__xludf.DUMMYFUNCTION("""COMPUTED_VALUE"""),"커리업")</f>
        <v>커리업</v>
      </c>
      <c r="B1868" s="2" t="str">
        <f>IFERROR(__xludf.DUMMYFUNCTION("""COMPUTED_VALUE"""),"두유")</f>
        <v>두유</v>
      </c>
    </row>
    <row r="1869">
      <c r="A1869" s="2" t="str">
        <f>IFERROR(__xludf.DUMMYFUNCTION("""COMPUTED_VALUE"""),"커리업")</f>
        <v>커리업</v>
      </c>
      <c r="B1869" s="2" t="str">
        <f>IFERROR(__xludf.DUMMYFUNCTION("""COMPUTED_VALUE"""),"다진 생강")</f>
        <v>다진 생강</v>
      </c>
    </row>
    <row r="1870">
      <c r="A1870" s="2" t="str">
        <f>IFERROR(__xludf.DUMMYFUNCTION("""COMPUTED_VALUE"""),"커리업")</f>
        <v>커리업</v>
      </c>
      <c r="B1870" s="2" t="str">
        <f>IFERROR(__xludf.DUMMYFUNCTION("""COMPUTED_VALUE"""),"파")</f>
        <v>파</v>
      </c>
    </row>
    <row r="1871">
      <c r="A1871" s="2" t="str">
        <f>IFERROR(__xludf.DUMMYFUNCTION("""COMPUTED_VALUE"""),"커리업")</f>
        <v>커리업</v>
      </c>
      <c r="B1871" s="2" t="str">
        <f>IFERROR(__xludf.DUMMYFUNCTION("""COMPUTED_VALUE"""),"고춧가루")</f>
        <v>고춧가루</v>
      </c>
    </row>
    <row r="1872">
      <c r="A1872" s="2" t="str">
        <f>IFERROR(__xludf.DUMMYFUNCTION("""COMPUTED_VALUE"""),"커리업")</f>
        <v>커리업</v>
      </c>
      <c r="B1872" s="2" t="str">
        <f>IFERROR(__xludf.DUMMYFUNCTION("""COMPUTED_VALUE"""),"후추")</f>
        <v>후추</v>
      </c>
    </row>
    <row r="1873">
      <c r="A1873" s="2" t="str">
        <f>IFERROR(__xludf.DUMMYFUNCTION("""COMPUTED_VALUE"""),"커리업")</f>
        <v>커리업</v>
      </c>
      <c r="B1873" s="2" t="str">
        <f>IFERROR(__xludf.DUMMYFUNCTION("""COMPUTED_VALUE"""),"청주")</f>
        <v>청주</v>
      </c>
    </row>
    <row r="1874">
      <c r="A1874" s="2" t="str">
        <f>IFERROR(__xludf.DUMMYFUNCTION("""COMPUTED_VALUE"""),"커리업")</f>
        <v>커리업</v>
      </c>
      <c r="B1874" s="2" t="str">
        <f>IFERROR(__xludf.DUMMYFUNCTION("""COMPUTED_VALUE"""),"맛술")</f>
        <v>맛술</v>
      </c>
    </row>
    <row r="1875">
      <c r="A1875" s="2" t="str">
        <f>IFERROR(__xludf.DUMMYFUNCTION("""COMPUTED_VALUE"""),"커리업")</f>
        <v>커리업</v>
      </c>
      <c r="B1875" s="2" t="str">
        <f>IFERROR(__xludf.DUMMYFUNCTION("""COMPUTED_VALUE"""),"즉석밥")</f>
        <v>즉석밥</v>
      </c>
    </row>
    <row r="1876">
      <c r="A1876" s="2" t="str">
        <f>IFERROR(__xludf.DUMMYFUNCTION("""COMPUTED_VALUE"""),"커리업")</f>
        <v>커리업</v>
      </c>
      <c r="B1876" s="2" t="str">
        <f>IFERROR(__xludf.DUMMYFUNCTION("""COMPUTED_VALUE"""),"버터")</f>
        <v>버터</v>
      </c>
    </row>
    <row r="1877">
      <c r="A1877" s="2" t="str">
        <f>IFERROR(__xludf.DUMMYFUNCTION("""COMPUTED_VALUE"""),"복면완자")</f>
        <v>복면완자</v>
      </c>
      <c r="B1877" s="2" t="str">
        <f>IFERROR(__xludf.DUMMYFUNCTION("""COMPUTED_VALUE"""),"돼지안심")</f>
        <v>돼지안심</v>
      </c>
    </row>
    <row r="1878">
      <c r="A1878" s="2" t="str">
        <f>IFERROR(__xludf.DUMMYFUNCTION("""COMPUTED_VALUE"""),"복면완자")</f>
        <v>복면완자</v>
      </c>
      <c r="B1878" s="2" t="str">
        <f>IFERROR(__xludf.DUMMYFUNCTION("""COMPUTED_VALUE"""),"두부")</f>
        <v>두부</v>
      </c>
    </row>
    <row r="1879">
      <c r="A1879" s="2" t="str">
        <f>IFERROR(__xludf.DUMMYFUNCTION("""COMPUTED_VALUE"""),"복면완자")</f>
        <v>복면완자</v>
      </c>
      <c r="B1879" s="2" t="str">
        <f>IFERROR(__xludf.DUMMYFUNCTION("""COMPUTED_VALUE"""),"소면")</f>
        <v>소면</v>
      </c>
    </row>
    <row r="1880">
      <c r="A1880" s="2" t="str">
        <f>IFERROR(__xludf.DUMMYFUNCTION("""COMPUTED_VALUE"""),"복면완자")</f>
        <v>복면완자</v>
      </c>
      <c r="B1880" s="2" t="str">
        <f>IFERROR(__xludf.DUMMYFUNCTION("""COMPUTED_VALUE"""),"달걀")</f>
        <v>달걀</v>
      </c>
    </row>
    <row r="1881">
      <c r="A1881" s="2" t="str">
        <f>IFERROR(__xludf.DUMMYFUNCTION("""COMPUTED_VALUE"""),"복면완자")</f>
        <v>복면완자</v>
      </c>
      <c r="B1881" s="2" t="str">
        <f>IFERROR(__xludf.DUMMYFUNCTION("""COMPUTED_VALUE"""),"우유")</f>
        <v>우유</v>
      </c>
    </row>
    <row r="1882">
      <c r="A1882" s="2" t="str">
        <f>IFERROR(__xludf.DUMMYFUNCTION("""COMPUTED_VALUE"""),"돈 워리 비 해피")</f>
        <v>돈 워리 비 해피</v>
      </c>
      <c r="B1882" s="2" t="str">
        <f>IFERROR(__xludf.DUMMYFUNCTION("""COMPUTED_VALUE"""),"식빵")</f>
        <v>식빵</v>
      </c>
    </row>
    <row r="1883">
      <c r="A1883" s="2" t="str">
        <f>IFERROR(__xludf.DUMMYFUNCTION("""COMPUTED_VALUE"""),"돈 워리 비 해피")</f>
        <v>돈 워리 비 해피</v>
      </c>
      <c r="B1883" s="2" t="str">
        <f>IFERROR(__xludf.DUMMYFUNCTION("""COMPUTED_VALUE"""),"돼지안심")</f>
        <v>돼지안심</v>
      </c>
    </row>
    <row r="1884">
      <c r="A1884" s="2" t="str">
        <f>IFERROR(__xludf.DUMMYFUNCTION("""COMPUTED_VALUE"""),"돈 워리 비 해피")</f>
        <v>돈 워리 비 해피</v>
      </c>
      <c r="B1884" s="2" t="str">
        <f>IFERROR(__xludf.DUMMYFUNCTION("""COMPUTED_VALUE"""),"리코타 치즈")</f>
        <v>리코타 치즈</v>
      </c>
    </row>
    <row r="1885">
      <c r="A1885" s="2" t="str">
        <f>IFERROR(__xludf.DUMMYFUNCTION("""COMPUTED_VALUE"""),"돈 워리 비 해피")</f>
        <v>돈 워리 비 해피</v>
      </c>
      <c r="B1885" s="2" t="str">
        <f>IFERROR(__xludf.DUMMYFUNCTION("""COMPUTED_VALUE"""),"달걀")</f>
        <v>달걀</v>
      </c>
    </row>
    <row r="1886">
      <c r="A1886" s="2" t="str">
        <f>IFERROR(__xludf.DUMMYFUNCTION("""COMPUTED_VALUE"""),"돈 워리 비 해피")</f>
        <v>돈 워리 비 해피</v>
      </c>
      <c r="B1886" s="2" t="str">
        <f>IFERROR(__xludf.DUMMYFUNCTION("""COMPUTED_VALUE"""),"스모크 치즈")</f>
        <v>스모크 치즈</v>
      </c>
    </row>
    <row r="1887">
      <c r="A1887" s="2" t="str">
        <f>IFERROR(__xludf.DUMMYFUNCTION("""COMPUTED_VALUE"""),"돈 워리 비 해피")</f>
        <v>돈 워리 비 해피</v>
      </c>
      <c r="B1887" s="2" t="str">
        <f>IFERROR(__xludf.DUMMYFUNCTION("""COMPUTED_VALUE"""),"표고버섯")</f>
        <v>표고버섯</v>
      </c>
    </row>
    <row r="1888">
      <c r="A1888" s="2" t="str">
        <f>IFERROR(__xludf.DUMMYFUNCTION("""COMPUTED_VALUE"""),"돈 워리 비 해피")</f>
        <v>돈 워리 비 해피</v>
      </c>
      <c r="B1888" s="2" t="str">
        <f>IFERROR(__xludf.DUMMYFUNCTION("""COMPUTED_VALUE"""),"적양파")</f>
        <v>적양파</v>
      </c>
    </row>
    <row r="1889">
      <c r="A1889" s="2" t="str">
        <f>IFERROR(__xludf.DUMMYFUNCTION("""COMPUTED_VALUE"""),"돈 워리 비 해피")</f>
        <v>돈 워리 비 해피</v>
      </c>
      <c r="B1889" s="2" t="str">
        <f>IFERROR(__xludf.DUMMYFUNCTION("""COMPUTED_VALUE"""),"얼그레이 티백")</f>
        <v>얼그레이 티백</v>
      </c>
    </row>
    <row r="1890">
      <c r="A1890" s="2" t="str">
        <f>IFERROR(__xludf.DUMMYFUNCTION("""COMPUTED_VALUE"""),"돈 워리 비 해피")</f>
        <v>돈 워리 비 해피</v>
      </c>
      <c r="B1890" s="2" t="str">
        <f>IFERROR(__xludf.DUMMYFUNCTION("""COMPUTED_VALUE"""),"화이트 소스")</f>
        <v>화이트 소스</v>
      </c>
    </row>
    <row r="1891">
      <c r="A1891" s="2" t="str">
        <f>IFERROR(__xludf.DUMMYFUNCTION("""COMPUTED_VALUE"""),"돈 워리 비 해피")</f>
        <v>돈 워리 비 해피</v>
      </c>
      <c r="B1891" s="2" t="str">
        <f>IFERROR(__xludf.DUMMYFUNCTION("""COMPUTED_VALUE"""),"모차렐라 슬라이스 치즈")</f>
        <v>모차렐라 슬라이스 치즈</v>
      </c>
    </row>
    <row r="1892">
      <c r="A1892" s="2" t="str">
        <f>IFERROR(__xludf.DUMMYFUNCTION("""COMPUTED_VALUE"""),"돈 워리 비 해피")</f>
        <v>돈 워리 비 해피</v>
      </c>
      <c r="B1892" s="2" t="str">
        <f>IFERROR(__xludf.DUMMYFUNCTION("""COMPUTED_VALUE"""),"바질")</f>
        <v>바질</v>
      </c>
    </row>
    <row r="1893">
      <c r="A1893" s="2" t="str">
        <f>IFERROR(__xludf.DUMMYFUNCTION("""COMPUTED_VALUE"""),"연어가 똠얌꽁냥")</f>
        <v>연어가 똠얌꽁냥</v>
      </c>
      <c r="B1893" s="2" t="str">
        <f>IFERROR(__xludf.DUMMYFUNCTION("""COMPUTED_VALUE"""),"연어")</f>
        <v>연어</v>
      </c>
    </row>
    <row r="1894">
      <c r="A1894" s="2" t="str">
        <f>IFERROR(__xludf.DUMMYFUNCTION("""COMPUTED_VALUE"""),"연어가 똠얌꽁냥")</f>
        <v>연어가 똠얌꽁냥</v>
      </c>
      <c r="B1894" s="2" t="str">
        <f>IFERROR(__xludf.DUMMYFUNCTION("""COMPUTED_VALUE"""),"똠얌 페이스트")</f>
        <v>똠얌 페이스트</v>
      </c>
    </row>
    <row r="1895">
      <c r="A1895" s="2" t="str">
        <f>IFERROR(__xludf.DUMMYFUNCTION("""COMPUTED_VALUE"""),"연어가 똠얌꽁냥")</f>
        <v>연어가 똠얌꽁냥</v>
      </c>
      <c r="B1895" s="2" t="str">
        <f>IFERROR(__xludf.DUMMYFUNCTION("""COMPUTED_VALUE"""),"카옌페퍼 가루")</f>
        <v>카옌페퍼 가루</v>
      </c>
    </row>
    <row r="1896">
      <c r="A1896" s="2" t="str">
        <f>IFERROR(__xludf.DUMMYFUNCTION("""COMPUTED_VALUE"""),"연어가 똠얌꽁냥")</f>
        <v>연어가 똠얌꽁냥</v>
      </c>
      <c r="B1896" s="2" t="str">
        <f>IFERROR(__xludf.DUMMYFUNCTION("""COMPUTED_VALUE"""),"연어볼")</f>
        <v>연어볼</v>
      </c>
    </row>
    <row r="1897">
      <c r="A1897" s="2" t="str">
        <f>IFERROR(__xludf.DUMMYFUNCTION("""COMPUTED_VALUE"""),"연어가 똠얌꽁냥")</f>
        <v>연어가 똠얌꽁냥</v>
      </c>
      <c r="B1897" s="2" t="str">
        <f>IFERROR(__xludf.DUMMYFUNCTION("""COMPUTED_VALUE"""),"다진 레몬그라스")</f>
        <v>다진 레몬그라스</v>
      </c>
    </row>
    <row r="1898">
      <c r="A1898" s="2" t="str">
        <f>IFERROR(__xludf.DUMMYFUNCTION("""COMPUTED_VALUE"""),"연어가 똠얌꽁냥")</f>
        <v>연어가 똠얌꽁냥</v>
      </c>
      <c r="B1898" s="2" t="str">
        <f>IFERROR(__xludf.DUMMYFUNCTION("""COMPUTED_VALUE"""),"파프리카")</f>
        <v>파프리카</v>
      </c>
    </row>
    <row r="1899">
      <c r="A1899" s="2" t="str">
        <f>IFERROR(__xludf.DUMMYFUNCTION("""COMPUTED_VALUE"""),"연어가 똠얌꽁냥")</f>
        <v>연어가 똠얌꽁냥</v>
      </c>
      <c r="B1899" s="2" t="str">
        <f>IFERROR(__xludf.DUMMYFUNCTION("""COMPUTED_VALUE"""),"태국고추")</f>
        <v>태국고추</v>
      </c>
    </row>
    <row r="1900">
      <c r="A1900" s="2" t="str">
        <f>IFERROR(__xludf.DUMMYFUNCTION("""COMPUTED_VALUE"""),"연어가 똠얌꽁냥")</f>
        <v>연어가 똠얌꽁냥</v>
      </c>
      <c r="B1900" s="2" t="str">
        <f>IFERROR(__xludf.DUMMYFUNCTION("""COMPUTED_VALUE"""),"연유")</f>
        <v>연유</v>
      </c>
    </row>
    <row r="1901">
      <c r="A1901" s="2" t="str">
        <f>IFERROR(__xludf.DUMMYFUNCTION("""COMPUTED_VALUE"""),"연어가 똠얌꽁냥")</f>
        <v>연어가 똠얌꽁냥</v>
      </c>
      <c r="B1901" s="2" t="str">
        <f>IFERROR(__xludf.DUMMYFUNCTION("""COMPUTED_VALUE"""),"적양파")</f>
        <v>적양파</v>
      </c>
    </row>
    <row r="1902">
      <c r="A1902" s="2" t="str">
        <f>IFERROR(__xludf.DUMMYFUNCTION("""COMPUTED_VALUE"""),"연어가 똠얌꽁냥")</f>
        <v>연어가 똠얌꽁냥</v>
      </c>
      <c r="B1902" s="2" t="str">
        <f>IFERROR(__xludf.DUMMYFUNCTION("""COMPUTED_VALUE"""),"팟타이 페이스트")</f>
        <v>팟타이 페이스트</v>
      </c>
    </row>
    <row r="1903">
      <c r="A1903" s="2" t="str">
        <f>IFERROR(__xludf.DUMMYFUNCTION("""COMPUTED_VALUE"""),"연어가 똠얌꽁냥")</f>
        <v>연어가 똠얌꽁냥</v>
      </c>
      <c r="B1903" s="2" t="str">
        <f>IFERROR(__xludf.DUMMYFUNCTION("""COMPUTED_VALUE"""),"필리핀 라면")</f>
        <v>필리핀 라면</v>
      </c>
    </row>
    <row r="1904">
      <c r="A1904" s="2" t="str">
        <f>IFERROR(__xludf.DUMMYFUNCTION("""COMPUTED_VALUE"""),"연어가 똠얌꽁냥")</f>
        <v>연어가 똠얌꽁냥</v>
      </c>
      <c r="B1904" s="2" t="str">
        <f>IFERROR(__xludf.DUMMYFUNCTION("""COMPUTED_VALUE"""),"소금")</f>
        <v>소금</v>
      </c>
    </row>
    <row r="1905">
      <c r="A1905" s="2" t="str">
        <f>IFERROR(__xludf.DUMMYFUNCTION("""COMPUTED_VALUE"""),"연어가 똠얌꽁냥")</f>
        <v>연어가 똠얌꽁냥</v>
      </c>
      <c r="B1905" s="2" t="str">
        <f>IFERROR(__xludf.DUMMYFUNCTION("""COMPUTED_VALUE"""),"다진 생강")</f>
        <v>다진 생강</v>
      </c>
    </row>
    <row r="1906">
      <c r="A1906" s="2" t="str">
        <f>IFERROR(__xludf.DUMMYFUNCTION("""COMPUTED_VALUE"""),"연어가 똠얌꽁냥")</f>
        <v>연어가 똠얌꽁냥</v>
      </c>
      <c r="B1906" s="2" t="str">
        <f>IFERROR(__xludf.DUMMYFUNCTION("""COMPUTED_VALUE"""),"파")</f>
        <v>파</v>
      </c>
    </row>
    <row r="1907">
      <c r="A1907" s="2" t="str">
        <f>IFERROR(__xludf.DUMMYFUNCTION("""COMPUTED_VALUE"""),"연어가 똠얌꽁냥")</f>
        <v>연어가 똠얌꽁냥</v>
      </c>
      <c r="B1907" s="2" t="str">
        <f>IFERROR(__xludf.DUMMYFUNCTION("""COMPUTED_VALUE"""),"버터")</f>
        <v>버터</v>
      </c>
    </row>
    <row r="1908">
      <c r="A1908" s="2" t="str">
        <f>IFERROR(__xludf.DUMMYFUNCTION("""COMPUTED_VALUE"""),"연어가 똠얌꽁냥")</f>
        <v>연어가 똠얌꽁냥</v>
      </c>
      <c r="B1908" s="2" t="str">
        <f>IFERROR(__xludf.DUMMYFUNCTION("""COMPUTED_VALUE"""),"후추")</f>
        <v>후추</v>
      </c>
    </row>
    <row r="1909">
      <c r="A1909" s="2" t="str">
        <f>IFERROR(__xludf.DUMMYFUNCTION("""COMPUTED_VALUE"""),"연어가 똠얌꽁냥")</f>
        <v>연어가 똠얌꽁냥</v>
      </c>
      <c r="B1909" s="2" t="str">
        <f>IFERROR(__xludf.DUMMYFUNCTION("""COMPUTED_VALUE"""),"파")</f>
        <v>파</v>
      </c>
    </row>
    <row r="1910">
      <c r="A1910" s="2" t="str">
        <f>IFERROR(__xludf.DUMMYFUNCTION("""COMPUTED_VALUE"""),"삼겹살 팟티")</f>
        <v>삼겹살 팟티</v>
      </c>
      <c r="B1910" s="2" t="str">
        <f>IFERROR(__xludf.DUMMYFUNCTION("""COMPUTED_VALUE"""),"당면")</f>
        <v>당면</v>
      </c>
    </row>
    <row r="1911">
      <c r="A1911" s="2" t="str">
        <f>IFERROR(__xludf.DUMMYFUNCTION("""COMPUTED_VALUE"""),"삼겹살 팟티")</f>
        <v>삼겹살 팟티</v>
      </c>
      <c r="B1911" s="2" t="str">
        <f>IFERROR(__xludf.DUMMYFUNCTION("""COMPUTED_VALUE"""),"통삼겹살")</f>
        <v>통삼겹살</v>
      </c>
    </row>
    <row r="1912">
      <c r="A1912" s="2" t="str">
        <f>IFERROR(__xludf.DUMMYFUNCTION("""COMPUTED_VALUE"""),"삼겹살 팟티")</f>
        <v>삼겹살 팟티</v>
      </c>
      <c r="B1912" s="2" t="str">
        <f>IFERROR(__xludf.DUMMYFUNCTION("""COMPUTED_VALUE"""),"샌드위치용 햄")</f>
        <v>샌드위치용 햄</v>
      </c>
    </row>
    <row r="1913">
      <c r="A1913" s="2" t="str">
        <f>IFERROR(__xludf.DUMMYFUNCTION("""COMPUTED_VALUE"""),"삼겹살 팟티")</f>
        <v>삼겹살 팟티</v>
      </c>
      <c r="B1913" s="2" t="str">
        <f>IFERROR(__xludf.DUMMYFUNCTION("""COMPUTED_VALUE"""),"똠얌 페이스트")</f>
        <v>똠얌 페이스트</v>
      </c>
    </row>
    <row r="1914">
      <c r="A1914" s="2" t="str">
        <f>IFERROR(__xludf.DUMMYFUNCTION("""COMPUTED_VALUE"""),"삼겹살 팟티")</f>
        <v>삼겹살 팟티</v>
      </c>
      <c r="B1914" s="2" t="str">
        <f>IFERROR(__xludf.DUMMYFUNCTION("""COMPUTED_VALUE"""),"그린 커리 페이스트")</f>
        <v>그린 커리 페이스트</v>
      </c>
    </row>
    <row r="1915">
      <c r="A1915" s="2" t="str">
        <f>IFERROR(__xludf.DUMMYFUNCTION("""COMPUTED_VALUE"""),"삼겹살 팟티")</f>
        <v>삼겹살 팟티</v>
      </c>
      <c r="B1915" s="2" t="str">
        <f>IFERROR(__xludf.DUMMYFUNCTION("""COMPUTED_VALUE"""),"다진 레몬그라스")</f>
        <v>다진 레몬그라스</v>
      </c>
    </row>
    <row r="1916">
      <c r="A1916" s="2" t="str">
        <f>IFERROR(__xludf.DUMMYFUNCTION("""COMPUTED_VALUE"""),"삼겹살 팟티")</f>
        <v>삼겹살 팟티</v>
      </c>
      <c r="B1916" s="2" t="str">
        <f>IFERROR(__xludf.DUMMYFUNCTION("""COMPUTED_VALUE"""),"연유")</f>
        <v>연유</v>
      </c>
    </row>
    <row r="1917">
      <c r="A1917" s="2" t="str">
        <f>IFERROR(__xludf.DUMMYFUNCTION("""COMPUTED_VALUE"""),"삼겹살 팟티")</f>
        <v>삼겹살 팟티</v>
      </c>
      <c r="B1917" s="2" t="str">
        <f>IFERROR(__xludf.DUMMYFUNCTION("""COMPUTED_VALUE"""),"태국고추")</f>
        <v>태국고추</v>
      </c>
    </row>
    <row r="1918">
      <c r="A1918" s="2" t="str">
        <f>IFERROR(__xludf.DUMMYFUNCTION("""COMPUTED_VALUE"""),"삼겹살 팟티")</f>
        <v>삼겹살 팟티</v>
      </c>
      <c r="B1918" s="2" t="str">
        <f>IFERROR(__xludf.DUMMYFUNCTION("""COMPUTED_VALUE"""),"두부")</f>
        <v>두부</v>
      </c>
    </row>
    <row r="1919">
      <c r="A1919" s="2" t="str">
        <f>IFERROR(__xludf.DUMMYFUNCTION("""COMPUTED_VALUE"""),"삼겹살 팟티")</f>
        <v>삼겹살 팟티</v>
      </c>
      <c r="B1919" s="2" t="str">
        <f>IFERROR(__xludf.DUMMYFUNCTION("""COMPUTED_VALUE"""),"간장")</f>
        <v>간장</v>
      </c>
    </row>
    <row r="1920">
      <c r="A1920" s="2" t="str">
        <f>IFERROR(__xludf.DUMMYFUNCTION("""COMPUTED_VALUE"""),"삼겹살 팟티")</f>
        <v>삼겹살 팟티</v>
      </c>
      <c r="B1920" s="2" t="str">
        <f>IFERROR(__xludf.DUMMYFUNCTION("""COMPUTED_VALUE"""),"당근")</f>
        <v>당근</v>
      </c>
    </row>
    <row r="1921">
      <c r="A1921" s="2" t="str">
        <f>IFERROR(__xludf.DUMMYFUNCTION("""COMPUTED_VALUE"""),"삼겹살 팟티")</f>
        <v>삼겹살 팟티</v>
      </c>
      <c r="B1921" s="2" t="str">
        <f>IFERROR(__xludf.DUMMYFUNCTION("""COMPUTED_VALUE"""),"양파")</f>
        <v>양파</v>
      </c>
    </row>
    <row r="1922">
      <c r="A1922" s="2" t="str">
        <f>IFERROR(__xludf.DUMMYFUNCTION("""COMPUTED_VALUE"""),"삼겹살 팟티")</f>
        <v>삼겹살 팟티</v>
      </c>
      <c r="B1922" s="2" t="str">
        <f>IFERROR(__xludf.DUMMYFUNCTION("""COMPUTED_VALUE"""),"마늘")</f>
        <v>마늘</v>
      </c>
    </row>
    <row r="1923">
      <c r="A1923" s="2" t="str">
        <f>IFERROR(__xludf.DUMMYFUNCTION("""COMPUTED_VALUE"""),"삼겹살 팟티")</f>
        <v>삼겹살 팟티</v>
      </c>
      <c r="B1923" s="2" t="str">
        <f>IFERROR(__xludf.DUMMYFUNCTION("""COMPUTED_VALUE"""),"파")</f>
        <v>파</v>
      </c>
    </row>
    <row r="1924">
      <c r="A1924" s="2" t="str">
        <f>IFERROR(__xludf.DUMMYFUNCTION("""COMPUTED_VALUE"""),"삼겹살 팟티")</f>
        <v>삼겹살 팟티</v>
      </c>
      <c r="B1924" s="2" t="str">
        <f>IFERROR(__xludf.DUMMYFUNCTION("""COMPUTED_VALUE"""),"고추")</f>
        <v>고추</v>
      </c>
    </row>
    <row r="1925">
      <c r="A1925" s="2" t="str">
        <f>IFERROR(__xludf.DUMMYFUNCTION("""COMPUTED_VALUE"""),"삼겹살 팟티")</f>
        <v>삼겹살 팟티</v>
      </c>
      <c r="B1925" s="2" t="str">
        <f>IFERROR(__xludf.DUMMYFUNCTION("""COMPUTED_VALUE"""),"올리브 오일")</f>
        <v>올리브 오일</v>
      </c>
    </row>
    <row r="1926">
      <c r="A1926" s="2" t="str">
        <f>IFERROR(__xludf.DUMMYFUNCTION("""COMPUTED_VALUE"""),"삼겹살 팟티")</f>
        <v>삼겹살 팟티</v>
      </c>
      <c r="B1926" s="2" t="str">
        <f>IFERROR(__xludf.DUMMYFUNCTION("""COMPUTED_VALUE"""),"다진 생강")</f>
        <v>다진 생강</v>
      </c>
    </row>
    <row r="1927">
      <c r="A1927" s="2" t="str">
        <f>IFERROR(__xludf.DUMMYFUNCTION("""COMPUTED_VALUE"""),"삼겹살 팟티")</f>
        <v>삼겹살 팟티</v>
      </c>
      <c r="B1927" s="2" t="str">
        <f>IFERROR(__xludf.DUMMYFUNCTION("""COMPUTED_VALUE"""),"마늘")</f>
        <v>마늘</v>
      </c>
    </row>
    <row r="1928">
      <c r="A1928" s="2" t="str">
        <f>IFERROR(__xludf.DUMMYFUNCTION("""COMPUTED_VALUE"""),"돔 샤카라카")</f>
        <v>돔 샤카라카</v>
      </c>
      <c r="B1928" s="2" t="str">
        <f>IFERROR(__xludf.DUMMYFUNCTION("""COMPUTED_VALUE"""),"옥돔")</f>
        <v>옥돔</v>
      </c>
    </row>
    <row r="1929">
      <c r="A1929" s="2" t="str">
        <f>IFERROR(__xludf.DUMMYFUNCTION("""COMPUTED_VALUE"""),"돔 샤카라카")</f>
        <v>돔 샤카라카</v>
      </c>
      <c r="B1929" s="2" t="str">
        <f>IFERROR(__xludf.DUMMYFUNCTION("""COMPUTED_VALUE"""),"달걀")</f>
        <v>달걀</v>
      </c>
    </row>
    <row r="1930">
      <c r="A1930" s="2" t="str">
        <f>IFERROR(__xludf.DUMMYFUNCTION("""COMPUTED_VALUE"""),"돔 샤카라카")</f>
        <v>돔 샤카라카</v>
      </c>
      <c r="B1930" s="2" t="str">
        <f>IFERROR(__xludf.DUMMYFUNCTION("""COMPUTED_VALUE"""),"토마토")</f>
        <v>토마토</v>
      </c>
    </row>
    <row r="1931">
      <c r="A1931" s="2" t="str">
        <f>IFERROR(__xludf.DUMMYFUNCTION("""COMPUTED_VALUE"""),"돔 샤카라카")</f>
        <v>돔 샤카라카</v>
      </c>
      <c r="B1931" s="2" t="str">
        <f>IFERROR(__xludf.DUMMYFUNCTION("""COMPUTED_VALUE"""),"애플망고")</f>
        <v>애플망고</v>
      </c>
    </row>
    <row r="1932">
      <c r="A1932" s="2" t="str">
        <f>IFERROR(__xludf.DUMMYFUNCTION("""COMPUTED_VALUE"""),"돔 샤카라카")</f>
        <v>돔 샤카라카</v>
      </c>
      <c r="B1932" s="2" t="str">
        <f>IFERROR(__xludf.DUMMYFUNCTION("""COMPUTED_VALUE"""),"대파")</f>
        <v>대파</v>
      </c>
    </row>
    <row r="1933">
      <c r="A1933" s="2" t="str">
        <f>IFERROR(__xludf.DUMMYFUNCTION("""COMPUTED_VALUE"""),"돔 샤카라카")</f>
        <v>돔 샤카라카</v>
      </c>
      <c r="B1933" s="2" t="str">
        <f>IFERROR(__xludf.DUMMYFUNCTION("""COMPUTED_VALUE"""),"양파")</f>
        <v>양파</v>
      </c>
    </row>
    <row r="1934">
      <c r="A1934" s="2" t="str">
        <f>IFERROR(__xludf.DUMMYFUNCTION("""COMPUTED_VALUE"""),"돔 샤카라카")</f>
        <v>돔 샤카라카</v>
      </c>
      <c r="B1934" s="2" t="str">
        <f>IFERROR(__xludf.DUMMYFUNCTION("""COMPUTED_VALUE"""),"후추")</f>
        <v>후추</v>
      </c>
    </row>
    <row r="1935">
      <c r="A1935" s="2" t="str">
        <f>IFERROR(__xludf.DUMMYFUNCTION("""COMPUTED_VALUE"""),"돔 샤카라카")</f>
        <v>돔 샤카라카</v>
      </c>
      <c r="B1935" s="2" t="str">
        <f>IFERROR(__xludf.DUMMYFUNCTION("""COMPUTED_VALUE"""),"당근")</f>
        <v>당근</v>
      </c>
    </row>
    <row r="1936">
      <c r="A1936" s="2" t="str">
        <f>IFERROR(__xludf.DUMMYFUNCTION("""COMPUTED_VALUE"""),"돔 샤카라카")</f>
        <v>돔 샤카라카</v>
      </c>
      <c r="B1936" s="2" t="str">
        <f>IFERROR(__xludf.DUMMYFUNCTION("""COMPUTED_VALUE"""),"마늘")</f>
        <v>마늘</v>
      </c>
    </row>
    <row r="1937">
      <c r="A1937" s="2" t="str">
        <f>IFERROR(__xludf.DUMMYFUNCTION("""COMPUTED_VALUE"""),"돔 샤카라카")</f>
        <v>돔 샤카라카</v>
      </c>
      <c r="B1937" s="2" t="str">
        <f>IFERROR(__xludf.DUMMYFUNCTION("""COMPUTED_VALUE"""),"레몬즙")</f>
        <v>레몬즙</v>
      </c>
    </row>
    <row r="1938">
      <c r="A1938" s="2" t="str">
        <f>IFERROR(__xludf.DUMMYFUNCTION("""COMPUTED_VALUE"""),"돔 샤카라카")</f>
        <v>돔 샤카라카</v>
      </c>
      <c r="B1938" s="2" t="str">
        <f>IFERROR(__xludf.DUMMYFUNCTION("""COMPUTED_VALUE"""),"올리브 오일")</f>
        <v>올리브 오일</v>
      </c>
    </row>
    <row r="1939">
      <c r="A1939" s="2" t="str">
        <f>IFERROR(__xludf.DUMMYFUNCTION("""COMPUTED_VALUE"""),"돔 샤카라카")</f>
        <v>돔 샤카라카</v>
      </c>
      <c r="B1939" s="2" t="str">
        <f>IFERROR(__xludf.DUMMYFUNCTION("""COMPUTED_VALUE"""),"소금")</f>
        <v>소금</v>
      </c>
    </row>
    <row r="1940">
      <c r="A1940" s="2" t="str">
        <f>IFERROR(__xludf.DUMMYFUNCTION("""COMPUTED_VALUE"""),"돔 샤카라카")</f>
        <v>돔 샤카라카</v>
      </c>
      <c r="B1940" s="2" t="str">
        <f>IFERROR(__xludf.DUMMYFUNCTION("""COMPUTED_VALUE"""),"올리고당")</f>
        <v>올리고당</v>
      </c>
    </row>
    <row r="1941">
      <c r="A1941" s="2" t="str">
        <f>IFERROR(__xludf.DUMMYFUNCTION("""COMPUTED_VALUE"""),"베스트 오브 베스튜")</f>
        <v>베스트 오브 베스튜</v>
      </c>
      <c r="B1941" s="2" t="str">
        <f>IFERROR(__xludf.DUMMYFUNCTION("""COMPUTED_VALUE"""),"돼지고기")</f>
        <v>돼지고기</v>
      </c>
    </row>
    <row r="1942">
      <c r="A1942" s="2" t="str">
        <f>IFERROR(__xludf.DUMMYFUNCTION("""COMPUTED_VALUE"""),"베스트 오브 베스튜")</f>
        <v>베스트 오브 베스튜</v>
      </c>
      <c r="B1942" s="2" t="str">
        <f>IFERROR(__xludf.DUMMYFUNCTION("""COMPUTED_VALUE"""),"배추김치")</f>
        <v>배추김치</v>
      </c>
    </row>
    <row r="1943">
      <c r="A1943" s="2" t="str">
        <f>IFERROR(__xludf.DUMMYFUNCTION("""COMPUTED_VALUE"""),"베스트 오브 베스튜")</f>
        <v>베스트 오브 베스튜</v>
      </c>
      <c r="B1943" s="2" t="str">
        <f>IFERROR(__xludf.DUMMYFUNCTION("""COMPUTED_VALUE"""),"애플망고")</f>
        <v>애플망고</v>
      </c>
    </row>
    <row r="1944">
      <c r="A1944" s="2" t="str">
        <f>IFERROR(__xludf.DUMMYFUNCTION("""COMPUTED_VALUE"""),"베스트 오브 베스튜")</f>
        <v>베스트 오브 베스튜</v>
      </c>
      <c r="B1944" s="2" t="str">
        <f>IFERROR(__xludf.DUMMYFUNCTION("""COMPUTED_VALUE"""),"소불고기 양념")</f>
        <v>소불고기 양념</v>
      </c>
    </row>
    <row r="1945">
      <c r="A1945" s="2" t="str">
        <f>IFERROR(__xludf.DUMMYFUNCTION("""COMPUTED_VALUE"""),"베스트 오브 베스튜")</f>
        <v>베스트 오브 베스튜</v>
      </c>
      <c r="B1945" s="2" t="str">
        <f>IFERROR(__xludf.DUMMYFUNCTION("""COMPUTED_VALUE"""),"표고버섯가루")</f>
        <v>표고버섯가루</v>
      </c>
    </row>
    <row r="1946">
      <c r="A1946" s="2" t="str">
        <f>IFERROR(__xludf.DUMMYFUNCTION("""COMPUTED_VALUE"""),"베스트 오브 베스튜")</f>
        <v>베스트 오브 베스튜</v>
      </c>
      <c r="B1946" s="2" t="str">
        <f>IFERROR(__xludf.DUMMYFUNCTION("""COMPUTED_VALUE"""),"코코넛 워터")</f>
        <v>코코넛 워터</v>
      </c>
    </row>
    <row r="1947">
      <c r="A1947" s="2" t="str">
        <f>IFERROR(__xludf.DUMMYFUNCTION("""COMPUTED_VALUE"""),"베스트 오브 베스튜")</f>
        <v>베스트 오브 베스튜</v>
      </c>
      <c r="B1947" s="2" t="str">
        <f>IFERROR(__xludf.DUMMYFUNCTION("""COMPUTED_VALUE"""),"유자맛 소주")</f>
        <v>유자맛 소주</v>
      </c>
    </row>
    <row r="1948">
      <c r="A1948" s="2" t="str">
        <f>IFERROR(__xludf.DUMMYFUNCTION("""COMPUTED_VALUE"""),"베스트 오브 베스튜")</f>
        <v>베스트 오브 베스튜</v>
      </c>
      <c r="B1948" s="2" t="str">
        <f>IFERROR(__xludf.DUMMYFUNCTION("""COMPUTED_VALUE"""),"새우젓")</f>
        <v>새우젓</v>
      </c>
    </row>
    <row r="1949">
      <c r="A1949" s="2" t="str">
        <f>IFERROR(__xludf.DUMMYFUNCTION("""COMPUTED_VALUE"""),"베스트 오브 베스튜")</f>
        <v>베스트 오브 베스튜</v>
      </c>
      <c r="B1949" s="2" t="str">
        <f>IFERROR(__xludf.DUMMYFUNCTION("""COMPUTED_VALUE"""),"토마토")</f>
        <v>토마토</v>
      </c>
    </row>
    <row r="1950">
      <c r="A1950" s="2" t="str">
        <f>IFERROR(__xludf.DUMMYFUNCTION("""COMPUTED_VALUE"""),"베스트 오브 베스튜")</f>
        <v>베스트 오브 베스튜</v>
      </c>
      <c r="B1950" s="2" t="str">
        <f>IFERROR(__xludf.DUMMYFUNCTION("""COMPUTED_VALUE"""),"소금")</f>
        <v>소금</v>
      </c>
    </row>
    <row r="1951">
      <c r="A1951" s="2" t="str">
        <f>IFERROR(__xludf.DUMMYFUNCTION("""COMPUTED_VALUE"""),"베스트 오브 베스튜")</f>
        <v>베스트 오브 베스튜</v>
      </c>
      <c r="B1951" s="2" t="str">
        <f>IFERROR(__xludf.DUMMYFUNCTION("""COMPUTED_VALUE"""),"후추")</f>
        <v>후추</v>
      </c>
    </row>
    <row r="1952">
      <c r="A1952" s="2" t="str">
        <f>IFERROR(__xludf.DUMMYFUNCTION("""COMPUTED_VALUE"""),"베스트 오브 베스튜")</f>
        <v>베스트 오브 베스튜</v>
      </c>
      <c r="B1952" s="2" t="str">
        <f>IFERROR(__xludf.DUMMYFUNCTION("""COMPUTED_VALUE"""),"밀가루")</f>
        <v>밀가루</v>
      </c>
    </row>
    <row r="1953">
      <c r="A1953" s="2" t="str">
        <f>IFERROR(__xludf.DUMMYFUNCTION("""COMPUTED_VALUE"""),"베스트 오브 베스튜")</f>
        <v>베스트 오브 베스튜</v>
      </c>
      <c r="B1953" s="2" t="str">
        <f>IFERROR(__xludf.DUMMYFUNCTION("""COMPUTED_VALUE"""),"깨")</f>
        <v>깨</v>
      </c>
    </row>
    <row r="1954">
      <c r="A1954" s="2" t="str">
        <f>IFERROR(__xludf.DUMMYFUNCTION("""COMPUTED_VALUE"""),"화채 얼쑤")</f>
        <v>화채 얼쑤</v>
      </c>
      <c r="B1954" s="2" t="str">
        <f>IFERROR(__xludf.DUMMYFUNCTION("""COMPUTED_VALUE"""),"오미자 원액")</f>
        <v>오미자 원액</v>
      </c>
    </row>
    <row r="1955">
      <c r="A1955" s="2" t="str">
        <f>IFERROR(__xludf.DUMMYFUNCTION("""COMPUTED_VALUE"""),"화채 얼쑤")</f>
        <v>화채 얼쑤</v>
      </c>
      <c r="B1955" s="2" t="str">
        <f>IFERROR(__xludf.DUMMYFUNCTION("""COMPUTED_VALUE"""),"칼라만시 원액")</f>
        <v>칼라만시 원액</v>
      </c>
    </row>
    <row r="1956">
      <c r="A1956" s="2" t="str">
        <f>IFERROR(__xludf.DUMMYFUNCTION("""COMPUTED_VALUE"""),"화채 얼쑤")</f>
        <v>화채 얼쑤</v>
      </c>
      <c r="B1956" s="2" t="str">
        <f>IFERROR(__xludf.DUMMYFUNCTION("""COMPUTED_VALUE"""),"코코넛 워터")</f>
        <v>코코넛 워터</v>
      </c>
    </row>
    <row r="1957">
      <c r="A1957" s="2" t="str">
        <f>IFERROR(__xludf.DUMMYFUNCTION("""COMPUTED_VALUE"""),"화채 얼쑤")</f>
        <v>화채 얼쑤</v>
      </c>
      <c r="B1957" s="2" t="str">
        <f>IFERROR(__xludf.DUMMYFUNCTION("""COMPUTED_VALUE"""),"청포도")</f>
        <v>청포도</v>
      </c>
    </row>
    <row r="1958">
      <c r="A1958" s="2" t="str">
        <f>IFERROR(__xludf.DUMMYFUNCTION("""COMPUTED_VALUE"""),"화채 얼쑤")</f>
        <v>화채 얼쑤</v>
      </c>
      <c r="B1958" s="2" t="str">
        <f>IFERROR(__xludf.DUMMYFUNCTION("""COMPUTED_VALUE"""),"참외")</f>
        <v>참외</v>
      </c>
    </row>
    <row r="1959">
      <c r="A1959" s="2" t="str">
        <f>IFERROR(__xludf.DUMMYFUNCTION("""COMPUTED_VALUE"""),"화채 얼쑤")</f>
        <v>화채 얼쑤</v>
      </c>
      <c r="B1959" s="2" t="str">
        <f>IFERROR(__xludf.DUMMYFUNCTION("""COMPUTED_VALUE"""),"애플망고")</f>
        <v>애플망고</v>
      </c>
    </row>
    <row r="1960">
      <c r="A1960" s="2" t="str">
        <f>IFERROR(__xludf.DUMMYFUNCTION("""COMPUTED_VALUE"""),"화채 얼쑤")</f>
        <v>화채 얼쑤</v>
      </c>
      <c r="B1960" s="2" t="str">
        <f>IFERROR(__xludf.DUMMYFUNCTION("""COMPUTED_VALUE"""),"복숭아")</f>
        <v>복숭아</v>
      </c>
    </row>
    <row r="1961">
      <c r="A1961" s="2" t="str">
        <f>IFERROR(__xludf.DUMMYFUNCTION("""COMPUTED_VALUE"""),"화채 얼쑤")</f>
        <v>화채 얼쑤</v>
      </c>
      <c r="B1961" s="2" t="str">
        <f>IFERROR(__xludf.DUMMYFUNCTION("""COMPUTED_VALUE"""),"피스타치오")</f>
        <v>피스타치오</v>
      </c>
    </row>
    <row r="1962">
      <c r="A1962" s="2" t="str">
        <f>IFERROR(__xludf.DUMMYFUNCTION("""COMPUTED_VALUE"""),"화채 얼쑤")</f>
        <v>화채 얼쑤</v>
      </c>
      <c r="B1962" s="2" t="str">
        <f>IFERROR(__xludf.DUMMYFUNCTION("""COMPUTED_VALUE"""),"탄산수")</f>
        <v>탄산수</v>
      </c>
    </row>
    <row r="1963">
      <c r="A1963" s="2" t="str">
        <f>IFERROR(__xludf.DUMMYFUNCTION("""COMPUTED_VALUE"""),"화채 얼쑤")</f>
        <v>화채 얼쑤</v>
      </c>
      <c r="B1963" s="2" t="str">
        <f>IFERROR(__xludf.DUMMYFUNCTION("""COMPUTED_VALUE"""),"꿀")</f>
        <v>꿀</v>
      </c>
    </row>
    <row r="1964">
      <c r="A1964" s="2" t="str">
        <f>IFERROR(__xludf.DUMMYFUNCTION("""COMPUTED_VALUE"""),"화채 얼쑤")</f>
        <v>화채 얼쑤</v>
      </c>
      <c r="B1964" s="2" t="str">
        <f>IFERROR(__xludf.DUMMYFUNCTION("""COMPUTED_VALUE"""),"설탕")</f>
        <v>설탕</v>
      </c>
    </row>
    <row r="1965">
      <c r="A1965" s="2" t="str">
        <f>IFERROR(__xludf.DUMMYFUNCTION("""COMPUTED_VALUE"""),"화채 얼쑤")</f>
        <v>화채 얼쑤</v>
      </c>
      <c r="B1965" s="2" t="str">
        <f>IFERROR(__xludf.DUMMYFUNCTION("""COMPUTED_VALUE"""),"레몬즙")</f>
        <v>레몬즙</v>
      </c>
    </row>
    <row r="1966">
      <c r="A1966" s="2" t="str">
        <f>IFERROR(__xludf.DUMMYFUNCTION("""COMPUTED_VALUE"""),"화채 얼쑤")</f>
        <v>화채 얼쑤</v>
      </c>
      <c r="B1966" s="2" t="str">
        <f>IFERROR(__xludf.DUMMYFUNCTION("""COMPUTED_VALUE"""),"옥수수 전분")</f>
        <v>옥수수 전분</v>
      </c>
    </row>
    <row r="1967">
      <c r="A1967" s="2" t="str">
        <f>IFERROR(__xludf.DUMMYFUNCTION("""COMPUTED_VALUE"""),"오 마이 갓토")</f>
        <v>오 마이 갓토</v>
      </c>
      <c r="B1967" s="2" t="str">
        <f>IFERROR(__xludf.DUMMYFUNCTION("""COMPUTED_VALUE"""),"미니 파프리카")</f>
        <v>미니 파프리카</v>
      </c>
    </row>
    <row r="1968">
      <c r="A1968" s="2" t="str">
        <f>IFERROR(__xludf.DUMMYFUNCTION("""COMPUTED_VALUE"""),"오 마이 갓토")</f>
        <v>오 마이 갓토</v>
      </c>
      <c r="B1968" s="2" t="str">
        <f>IFERROR(__xludf.DUMMYFUNCTION("""COMPUTED_VALUE"""),"갈치")</f>
        <v>갈치</v>
      </c>
    </row>
    <row r="1969">
      <c r="A1969" s="2" t="str">
        <f>IFERROR(__xludf.DUMMYFUNCTION("""COMPUTED_VALUE"""),"오 마이 갓토")</f>
        <v>오 마이 갓토</v>
      </c>
      <c r="B1969" s="2" t="str">
        <f>IFERROR(__xludf.DUMMYFUNCTION("""COMPUTED_VALUE"""),"발사믹 식초")</f>
        <v>발사믹 식초</v>
      </c>
    </row>
    <row r="1970">
      <c r="A1970" s="2" t="str">
        <f>IFERROR(__xludf.DUMMYFUNCTION("""COMPUTED_VALUE"""),"오 마이 갓토")</f>
        <v>오 마이 갓토</v>
      </c>
      <c r="B1970" s="2" t="str">
        <f>IFERROR(__xludf.DUMMYFUNCTION("""COMPUTED_VALUE"""),"쯔유")</f>
        <v>쯔유</v>
      </c>
    </row>
    <row r="1971">
      <c r="A1971" s="2" t="str">
        <f>IFERROR(__xludf.DUMMYFUNCTION("""COMPUTED_VALUE"""),"오 마이 갓토")</f>
        <v>오 마이 갓토</v>
      </c>
      <c r="B1971" s="2" t="str">
        <f>IFERROR(__xludf.DUMMYFUNCTION("""COMPUTED_VALUE"""),"낫토")</f>
        <v>낫토</v>
      </c>
    </row>
    <row r="1972">
      <c r="A1972" s="2" t="str">
        <f>IFERROR(__xludf.DUMMYFUNCTION("""COMPUTED_VALUE"""),"오 마이 갓토")</f>
        <v>오 마이 갓토</v>
      </c>
      <c r="B1972" s="2" t="str">
        <f>IFERROR(__xludf.DUMMYFUNCTION("""COMPUTED_VALUE"""),"갓김치")</f>
        <v>갓김치</v>
      </c>
    </row>
    <row r="1973">
      <c r="A1973" s="2" t="str">
        <f>IFERROR(__xludf.DUMMYFUNCTION("""COMPUTED_VALUE"""),"오 마이 갓토")</f>
        <v>오 마이 갓토</v>
      </c>
      <c r="B1973" s="2" t="str">
        <f>IFERROR(__xludf.DUMMYFUNCTION("""COMPUTED_VALUE"""),"김")</f>
        <v>김</v>
      </c>
    </row>
    <row r="1974">
      <c r="A1974" s="2" t="str">
        <f>IFERROR(__xludf.DUMMYFUNCTION("""COMPUTED_VALUE"""),"오 마이 갓토")</f>
        <v>오 마이 갓토</v>
      </c>
      <c r="B1974" s="2" t="str">
        <f>IFERROR(__xludf.DUMMYFUNCTION("""COMPUTED_VALUE"""),"달걀")</f>
        <v>달걀</v>
      </c>
    </row>
    <row r="1975">
      <c r="A1975" s="2" t="str">
        <f>IFERROR(__xludf.DUMMYFUNCTION("""COMPUTED_VALUE"""),"오 마이 갓토")</f>
        <v>오 마이 갓토</v>
      </c>
      <c r="B1975" s="2" t="str">
        <f>IFERROR(__xludf.DUMMYFUNCTION("""COMPUTED_VALUE"""),"소금")</f>
        <v>소금</v>
      </c>
    </row>
    <row r="1976">
      <c r="A1976" s="2" t="str">
        <f>IFERROR(__xludf.DUMMYFUNCTION("""COMPUTED_VALUE"""),"오 마이 갓토")</f>
        <v>오 마이 갓토</v>
      </c>
      <c r="B1976" s="2" t="str">
        <f>IFERROR(__xludf.DUMMYFUNCTION("""COMPUTED_VALUE"""),"파스타면")</f>
        <v>파스타면</v>
      </c>
    </row>
    <row r="1977">
      <c r="A1977" s="2" t="str">
        <f>IFERROR(__xludf.DUMMYFUNCTION("""COMPUTED_VALUE"""),"오 마이 갓토")</f>
        <v>오 마이 갓토</v>
      </c>
      <c r="B1977" s="2" t="str">
        <f>IFERROR(__xludf.DUMMYFUNCTION("""COMPUTED_VALUE"""),"마늘")</f>
        <v>마늘</v>
      </c>
    </row>
    <row r="1978">
      <c r="A1978" s="2" t="str">
        <f>IFERROR(__xludf.DUMMYFUNCTION("""COMPUTED_VALUE"""),"오 마이 갓토")</f>
        <v>오 마이 갓토</v>
      </c>
      <c r="B1978" s="2" t="str">
        <f>IFERROR(__xludf.DUMMYFUNCTION("""COMPUTED_VALUE"""),"양파")</f>
        <v>양파</v>
      </c>
    </row>
    <row r="1979">
      <c r="A1979" s="2" t="str">
        <f>IFERROR(__xludf.DUMMYFUNCTION("""COMPUTED_VALUE"""),"오 마이 갓토")</f>
        <v>오 마이 갓토</v>
      </c>
      <c r="B1979" s="2" t="str">
        <f>IFERROR(__xludf.DUMMYFUNCTION("""COMPUTED_VALUE"""),"참기름")</f>
        <v>참기름</v>
      </c>
    </row>
    <row r="1980">
      <c r="A1980" s="2" t="str">
        <f>IFERROR(__xludf.DUMMYFUNCTION("""COMPUTED_VALUE"""),"오 마이 갓토")</f>
        <v>오 마이 갓토</v>
      </c>
      <c r="B1980" s="2" t="str">
        <f>IFERROR(__xludf.DUMMYFUNCTION("""COMPUTED_VALUE"""),"대파")</f>
        <v>대파</v>
      </c>
    </row>
    <row r="1981">
      <c r="A1981" s="2" t="str">
        <f>IFERROR(__xludf.DUMMYFUNCTION("""COMPUTED_VALUE"""),"갈쌈만두")</f>
        <v>갈쌈만두</v>
      </c>
      <c r="B1981" s="2" t="str">
        <f>IFERROR(__xludf.DUMMYFUNCTION("""COMPUTED_VALUE"""),"갈치")</f>
        <v>갈치</v>
      </c>
    </row>
    <row r="1982">
      <c r="A1982" s="2" t="str">
        <f>IFERROR(__xludf.DUMMYFUNCTION("""COMPUTED_VALUE"""),"갈쌈만두")</f>
        <v>갈쌈만두</v>
      </c>
      <c r="B1982" s="2" t="str">
        <f>IFERROR(__xludf.DUMMYFUNCTION("""COMPUTED_VALUE"""),"그린빈")</f>
        <v>그린빈</v>
      </c>
    </row>
    <row r="1983">
      <c r="A1983" s="2" t="str">
        <f>IFERROR(__xludf.DUMMYFUNCTION("""COMPUTED_VALUE"""),"갈쌈만두")</f>
        <v>갈쌈만두</v>
      </c>
      <c r="B1983" s="2" t="str">
        <f>IFERROR(__xludf.DUMMYFUNCTION("""COMPUTED_VALUE"""),"표고버섯")</f>
        <v>표고버섯</v>
      </c>
    </row>
    <row r="1984">
      <c r="A1984" s="2" t="str">
        <f>IFERROR(__xludf.DUMMYFUNCTION("""COMPUTED_VALUE"""),"갈쌈만두")</f>
        <v>갈쌈만두</v>
      </c>
      <c r="B1984" s="2" t="str">
        <f>IFERROR(__xludf.DUMMYFUNCTION("""COMPUTED_VALUE"""),"쯔유")</f>
        <v>쯔유</v>
      </c>
    </row>
    <row r="1985">
      <c r="A1985" s="2" t="str">
        <f>IFERROR(__xludf.DUMMYFUNCTION("""COMPUTED_VALUE"""),"갈쌈만두")</f>
        <v>갈쌈만두</v>
      </c>
      <c r="B1985" s="2" t="str">
        <f>IFERROR(__xludf.DUMMYFUNCTION("""COMPUTED_VALUE"""),"밀가루")</f>
        <v>밀가루</v>
      </c>
    </row>
    <row r="1986">
      <c r="A1986" s="2" t="str">
        <f>IFERROR(__xludf.DUMMYFUNCTION("""COMPUTED_VALUE"""),"갈쌈만두")</f>
        <v>갈쌈만두</v>
      </c>
      <c r="B1986" s="2" t="str">
        <f>IFERROR(__xludf.DUMMYFUNCTION("""COMPUTED_VALUE"""),"양파")</f>
        <v>양파</v>
      </c>
    </row>
    <row r="1987">
      <c r="A1987" s="2" t="str">
        <f>IFERROR(__xludf.DUMMYFUNCTION("""COMPUTED_VALUE"""),"갈쌈만두")</f>
        <v>갈쌈만두</v>
      </c>
      <c r="B1987" s="2" t="str">
        <f>IFERROR(__xludf.DUMMYFUNCTION("""COMPUTED_VALUE"""),"파")</f>
        <v>파</v>
      </c>
    </row>
    <row r="1988">
      <c r="A1988" s="2" t="str">
        <f>IFERROR(__xludf.DUMMYFUNCTION("""COMPUTED_VALUE"""),"갈쌈만두")</f>
        <v>갈쌈만두</v>
      </c>
      <c r="B1988" s="2" t="str">
        <f>IFERROR(__xludf.DUMMYFUNCTION("""COMPUTED_VALUE"""),"식용유")</f>
        <v>식용유</v>
      </c>
    </row>
    <row r="1989">
      <c r="A1989" s="2" t="str">
        <f>IFERROR(__xludf.DUMMYFUNCTION("""COMPUTED_VALUE"""),"판타스틱 어묵")</f>
        <v>판타스틱 어묵</v>
      </c>
      <c r="B1989" s="2" t="str">
        <f>IFERROR(__xludf.DUMMYFUNCTION("""COMPUTED_VALUE"""),"오징어")</f>
        <v>오징어</v>
      </c>
    </row>
    <row r="1990">
      <c r="A1990" s="2" t="str">
        <f>IFERROR(__xludf.DUMMYFUNCTION("""COMPUTED_VALUE"""),"판타스틱 어묵")</f>
        <v>판타스틱 어묵</v>
      </c>
      <c r="B1990" s="2" t="str">
        <f>IFERROR(__xludf.DUMMYFUNCTION("""COMPUTED_VALUE"""),"푸아그라 트러플 파테")</f>
        <v>푸아그라 트러플 파테</v>
      </c>
    </row>
    <row r="1991">
      <c r="A1991" s="2" t="str">
        <f>IFERROR(__xludf.DUMMYFUNCTION("""COMPUTED_VALUE"""),"판타스틱 어묵")</f>
        <v>판타스틱 어묵</v>
      </c>
      <c r="B1991" s="2" t="str">
        <f>IFERROR(__xludf.DUMMYFUNCTION("""COMPUTED_VALUE"""),"레몬&amp;소금이 들어간 고춧가루")</f>
        <v>레몬&amp;소금이 들어간 고춧가루</v>
      </c>
    </row>
    <row r="1992">
      <c r="A1992" s="2" t="str">
        <f>IFERROR(__xludf.DUMMYFUNCTION("""COMPUTED_VALUE"""),"판타스틱 어묵")</f>
        <v>판타스틱 어묵</v>
      </c>
      <c r="B1992" s="2" t="str">
        <f>IFERROR(__xludf.DUMMYFUNCTION("""COMPUTED_VALUE"""),"달걀")</f>
        <v>달걀</v>
      </c>
    </row>
    <row r="1993">
      <c r="A1993" s="2" t="str">
        <f>IFERROR(__xludf.DUMMYFUNCTION("""COMPUTED_VALUE"""),"판타스틱 어묵")</f>
        <v>판타스틱 어묵</v>
      </c>
      <c r="B1993" s="2" t="str">
        <f>IFERROR(__xludf.DUMMYFUNCTION("""COMPUTED_VALUE"""),"명란젓")</f>
        <v>명란젓</v>
      </c>
    </row>
    <row r="1994">
      <c r="A1994" s="2" t="str">
        <f>IFERROR(__xludf.DUMMYFUNCTION("""COMPUTED_VALUE"""),"판타스틱 어묵")</f>
        <v>판타스틱 어묵</v>
      </c>
      <c r="B1994" s="2" t="str">
        <f>IFERROR(__xludf.DUMMYFUNCTION("""COMPUTED_VALUE"""),"카망베르 치즈")</f>
        <v>카망베르 치즈</v>
      </c>
    </row>
    <row r="1995">
      <c r="A1995" s="2" t="str">
        <f>IFERROR(__xludf.DUMMYFUNCTION("""COMPUTED_VALUE"""),"판타스틱 어묵")</f>
        <v>판타스틱 어묵</v>
      </c>
      <c r="B1995" s="2" t="str">
        <f>IFERROR(__xludf.DUMMYFUNCTION("""COMPUTED_VALUE"""),"캐비아")</f>
        <v>캐비아</v>
      </c>
    </row>
    <row r="1996">
      <c r="A1996" s="2" t="str">
        <f>IFERROR(__xludf.DUMMYFUNCTION("""COMPUTED_VALUE"""),"판타스틱 어묵")</f>
        <v>판타스틱 어묵</v>
      </c>
      <c r="B1996" s="2" t="str">
        <f>IFERROR(__xludf.DUMMYFUNCTION("""COMPUTED_VALUE"""),"딸기잼")</f>
        <v>딸기잼</v>
      </c>
    </row>
    <row r="1997">
      <c r="A1997" s="2" t="str">
        <f>IFERROR(__xludf.DUMMYFUNCTION("""COMPUTED_VALUE"""),"판타스틱 어묵")</f>
        <v>판타스틱 어묵</v>
      </c>
      <c r="B1997" s="2" t="str">
        <f>IFERROR(__xludf.DUMMYFUNCTION("""COMPUTED_VALUE"""),"소금")</f>
        <v>소금</v>
      </c>
    </row>
    <row r="1998">
      <c r="A1998" s="2" t="str">
        <f>IFERROR(__xludf.DUMMYFUNCTION("""COMPUTED_VALUE"""),"판타스틱 어묵")</f>
        <v>판타스틱 어묵</v>
      </c>
      <c r="B1998" s="2" t="str">
        <f>IFERROR(__xludf.DUMMYFUNCTION("""COMPUTED_VALUE"""),"후추")</f>
        <v>후추</v>
      </c>
    </row>
    <row r="1999">
      <c r="A1999" s="2" t="str">
        <f>IFERROR(__xludf.DUMMYFUNCTION("""COMPUTED_VALUE"""),"판타스틱 어묵")</f>
        <v>판타스틱 어묵</v>
      </c>
      <c r="B1999" s="2" t="str">
        <f>IFERROR(__xludf.DUMMYFUNCTION("""COMPUTED_VALUE"""),"고춧가루")</f>
        <v>고춧가루</v>
      </c>
    </row>
    <row r="2000">
      <c r="A2000" s="2" t="str">
        <f>IFERROR(__xludf.DUMMYFUNCTION("""COMPUTED_VALUE"""),"판타스틱 어묵")</f>
        <v>판타스틱 어묵</v>
      </c>
      <c r="B2000" s="2" t="str">
        <f>IFERROR(__xludf.DUMMYFUNCTION("""COMPUTED_VALUE"""),"깨")</f>
        <v>깨</v>
      </c>
    </row>
    <row r="2001">
      <c r="A2001" s="2" t="str">
        <f>IFERROR(__xludf.DUMMYFUNCTION("""COMPUTED_VALUE"""),"판타스틱 어묵")</f>
        <v>판타스틱 어묵</v>
      </c>
      <c r="B2001" s="2" t="str">
        <f>IFERROR(__xludf.DUMMYFUNCTION("""COMPUTED_VALUE"""),"버터")</f>
        <v>버터</v>
      </c>
    </row>
    <row r="2002">
      <c r="A2002" s="2" t="str">
        <f>IFERROR(__xludf.DUMMYFUNCTION("""COMPUTED_VALUE"""),"판타스틱 어묵")</f>
        <v>판타스틱 어묵</v>
      </c>
      <c r="B2002" s="2" t="str">
        <f>IFERROR(__xludf.DUMMYFUNCTION("""COMPUTED_VALUE"""),"파")</f>
        <v>파</v>
      </c>
    </row>
    <row r="2003">
      <c r="A2003" s="2" t="str">
        <f>IFERROR(__xludf.DUMMYFUNCTION("""COMPUTED_VALUE"""),"판타스틱 어묵")</f>
        <v>판타스틱 어묵</v>
      </c>
      <c r="B2003" s="2" t="str">
        <f>IFERROR(__xludf.DUMMYFUNCTION("""COMPUTED_VALUE"""),"꿀")</f>
        <v>꿀</v>
      </c>
    </row>
    <row r="2004">
      <c r="A2004" s="2" t="str">
        <f>IFERROR(__xludf.DUMMYFUNCTION("""COMPUTED_VALUE"""),"분짜지용")</f>
        <v>분짜지용</v>
      </c>
      <c r="B2004" s="2" t="str">
        <f>IFERROR(__xludf.DUMMYFUNCTION("""COMPUTED_VALUE"""),"삼겹살")</f>
        <v>삼겹살</v>
      </c>
    </row>
    <row r="2005">
      <c r="A2005" s="2" t="str">
        <f>IFERROR(__xludf.DUMMYFUNCTION("""COMPUTED_VALUE"""),"분짜지용")</f>
        <v>분짜지용</v>
      </c>
      <c r="B2005" s="2" t="str">
        <f>IFERROR(__xludf.DUMMYFUNCTION("""COMPUTED_VALUE"""),"피시소스")</f>
        <v>피시소스</v>
      </c>
    </row>
    <row r="2006">
      <c r="A2006" s="2" t="str">
        <f>IFERROR(__xludf.DUMMYFUNCTION("""COMPUTED_VALUE"""),"분짜지용")</f>
        <v>분짜지용</v>
      </c>
      <c r="B2006" s="2" t="str">
        <f>IFERROR(__xludf.DUMMYFUNCTION("""COMPUTED_VALUE"""),"메밀 라면")</f>
        <v>메밀 라면</v>
      </c>
    </row>
    <row r="2007">
      <c r="A2007" s="2" t="str">
        <f>IFERROR(__xludf.DUMMYFUNCTION("""COMPUTED_VALUE"""),"분짜지용")</f>
        <v>분짜지용</v>
      </c>
      <c r="B2007" s="2" t="str">
        <f>IFERROR(__xludf.DUMMYFUNCTION("""COMPUTED_VALUE"""),"고추")</f>
        <v>고추</v>
      </c>
    </row>
    <row r="2008">
      <c r="A2008" s="2" t="str">
        <f>IFERROR(__xludf.DUMMYFUNCTION("""COMPUTED_VALUE"""),"분짜지용")</f>
        <v>분짜지용</v>
      </c>
      <c r="B2008" s="2" t="str">
        <f>IFERROR(__xludf.DUMMYFUNCTION("""COMPUTED_VALUE"""),"양파")</f>
        <v>양파</v>
      </c>
    </row>
    <row r="2009">
      <c r="A2009" s="2" t="str">
        <f>IFERROR(__xludf.DUMMYFUNCTION("""COMPUTED_VALUE"""),"분짜지용")</f>
        <v>분짜지용</v>
      </c>
      <c r="B2009" s="2" t="str">
        <f>IFERROR(__xludf.DUMMYFUNCTION("""COMPUTED_VALUE"""),"다진 마늘")</f>
        <v>다진 마늘</v>
      </c>
    </row>
    <row r="2010">
      <c r="A2010" s="2" t="str">
        <f>IFERROR(__xludf.DUMMYFUNCTION("""COMPUTED_VALUE"""),"분짜지용")</f>
        <v>분짜지용</v>
      </c>
      <c r="B2010" s="2" t="str">
        <f>IFERROR(__xludf.DUMMYFUNCTION("""COMPUTED_VALUE"""),"레몬즙")</f>
        <v>레몬즙</v>
      </c>
    </row>
    <row r="2011">
      <c r="A2011" s="2" t="str">
        <f>IFERROR(__xludf.DUMMYFUNCTION("""COMPUTED_VALUE"""),"분짜지용")</f>
        <v>분짜지용</v>
      </c>
      <c r="B2011" s="2" t="str">
        <f>IFERROR(__xludf.DUMMYFUNCTION("""COMPUTED_VALUE"""),"설탕")</f>
        <v>설탕</v>
      </c>
    </row>
    <row r="2012">
      <c r="A2012" s="2" t="str">
        <f>IFERROR(__xludf.DUMMYFUNCTION("""COMPUTED_VALUE"""),"양싸퀴진")</f>
        <v>양싸퀴진</v>
      </c>
      <c r="B2012" s="2" t="str">
        <f>IFERROR(__xludf.DUMMYFUNCTION("""COMPUTED_VALUE"""),"장어흑마늘즙")</f>
        <v>장어흑마늘즙</v>
      </c>
    </row>
    <row r="2013">
      <c r="A2013" s="2" t="str">
        <f>IFERROR(__xludf.DUMMYFUNCTION("""COMPUTED_VALUE"""),"양싸퀴진")</f>
        <v>양싸퀴진</v>
      </c>
      <c r="B2013" s="2" t="str">
        <f>IFERROR(__xludf.DUMMYFUNCTION("""COMPUTED_VALUE"""),"삼겹살")</f>
        <v>삼겹살</v>
      </c>
    </row>
    <row r="2014">
      <c r="A2014" s="2" t="str">
        <f>IFERROR(__xludf.DUMMYFUNCTION("""COMPUTED_VALUE"""),"양싸퀴진")</f>
        <v>양싸퀴진</v>
      </c>
      <c r="B2014" s="2" t="str">
        <f>IFERROR(__xludf.DUMMYFUNCTION("""COMPUTED_VALUE"""),"전복")</f>
        <v>전복</v>
      </c>
    </row>
    <row r="2015">
      <c r="A2015" s="2" t="str">
        <f>IFERROR(__xludf.DUMMYFUNCTION("""COMPUTED_VALUE"""),"양싸퀴진")</f>
        <v>양싸퀴진</v>
      </c>
      <c r="B2015" s="2" t="str">
        <f>IFERROR(__xludf.DUMMYFUNCTION("""COMPUTED_VALUE"""),"능이버섯")</f>
        <v>능이버섯</v>
      </c>
    </row>
    <row r="2016">
      <c r="A2016" s="2" t="str">
        <f>IFERROR(__xludf.DUMMYFUNCTION("""COMPUTED_VALUE"""),"양싸퀴진")</f>
        <v>양싸퀴진</v>
      </c>
      <c r="B2016" s="2" t="str">
        <f>IFERROR(__xludf.DUMMYFUNCTION("""COMPUTED_VALUE"""),"그린빈")</f>
        <v>그린빈</v>
      </c>
    </row>
    <row r="2017">
      <c r="A2017" s="2" t="str">
        <f>IFERROR(__xludf.DUMMYFUNCTION("""COMPUTED_VALUE"""),"양싸퀴진")</f>
        <v>양싸퀴진</v>
      </c>
      <c r="B2017" s="2" t="str">
        <f>IFERROR(__xludf.DUMMYFUNCTION("""COMPUTED_VALUE"""),"트러플")</f>
        <v>트러플</v>
      </c>
    </row>
    <row r="2018">
      <c r="A2018" s="2" t="str">
        <f>IFERROR(__xludf.DUMMYFUNCTION("""COMPUTED_VALUE"""),"양싸퀴진")</f>
        <v>양싸퀴진</v>
      </c>
      <c r="B2018" s="2" t="str">
        <f>IFERROR(__xludf.DUMMYFUNCTION("""COMPUTED_VALUE"""),"소금")</f>
        <v>소금</v>
      </c>
    </row>
    <row r="2019">
      <c r="A2019" s="2" t="str">
        <f>IFERROR(__xludf.DUMMYFUNCTION("""COMPUTED_VALUE"""),"양싸퀴진")</f>
        <v>양싸퀴진</v>
      </c>
      <c r="B2019" s="2" t="str">
        <f>IFERROR(__xludf.DUMMYFUNCTION("""COMPUTED_VALUE"""),"후추")</f>
        <v>후추</v>
      </c>
    </row>
    <row r="2020">
      <c r="A2020" s="2" t="str">
        <f>IFERROR(__xludf.DUMMYFUNCTION("""COMPUTED_VALUE"""),"양싸퀴진")</f>
        <v>양싸퀴진</v>
      </c>
      <c r="B2020" s="2" t="str">
        <f>IFERROR(__xludf.DUMMYFUNCTION("""COMPUTED_VALUE"""),"다진 생강")</f>
        <v>다진 생강</v>
      </c>
    </row>
    <row r="2021">
      <c r="A2021" s="2" t="str">
        <f>IFERROR(__xludf.DUMMYFUNCTION("""COMPUTED_VALUE"""),"양싸퀴진")</f>
        <v>양싸퀴진</v>
      </c>
      <c r="B2021" s="2" t="str">
        <f>IFERROR(__xludf.DUMMYFUNCTION("""COMPUTED_VALUE"""),"설탕")</f>
        <v>설탕</v>
      </c>
    </row>
    <row r="2022">
      <c r="A2022" s="2" t="str">
        <f>IFERROR(__xludf.DUMMYFUNCTION("""COMPUTED_VALUE"""),"양싸퀴진")</f>
        <v>양싸퀴진</v>
      </c>
      <c r="B2022" s="2" t="str">
        <f>IFERROR(__xludf.DUMMYFUNCTION("""COMPUTED_VALUE"""),"올리브 오일")</f>
        <v>올리브 오일</v>
      </c>
    </row>
    <row r="2023">
      <c r="A2023" s="2" t="str">
        <f>IFERROR(__xludf.DUMMYFUNCTION("""COMPUTED_VALUE"""),"텐미닛 수프")</f>
        <v>텐미닛 수프</v>
      </c>
      <c r="B2023" s="2" t="str">
        <f>IFERROR(__xludf.DUMMYFUNCTION("""COMPUTED_VALUE"""),"꼬리곰탕")</f>
        <v>꼬리곰탕</v>
      </c>
    </row>
    <row r="2024">
      <c r="A2024" s="2" t="str">
        <f>IFERROR(__xludf.DUMMYFUNCTION("""COMPUTED_VALUE"""),"텐미닛 수프")</f>
        <v>텐미닛 수프</v>
      </c>
      <c r="B2024" s="2" t="str">
        <f>IFERROR(__xludf.DUMMYFUNCTION("""COMPUTED_VALUE"""),"알감자조림")</f>
        <v>알감자조림</v>
      </c>
    </row>
    <row r="2025">
      <c r="A2025" s="2" t="str">
        <f>IFERROR(__xludf.DUMMYFUNCTION("""COMPUTED_VALUE"""),"텐미닛 수프")</f>
        <v>텐미닛 수프</v>
      </c>
      <c r="B2025" s="2" t="str">
        <f>IFERROR(__xludf.DUMMYFUNCTION("""COMPUTED_VALUE"""),"소시지")</f>
        <v>소시지</v>
      </c>
    </row>
    <row r="2026">
      <c r="A2026" s="2" t="str">
        <f>IFERROR(__xludf.DUMMYFUNCTION("""COMPUTED_VALUE"""),"텐미닛 수프")</f>
        <v>텐미닛 수프</v>
      </c>
      <c r="B2026" s="2" t="str">
        <f>IFERROR(__xludf.DUMMYFUNCTION("""COMPUTED_VALUE"""),"크림 치즈")</f>
        <v>크림 치즈</v>
      </c>
    </row>
    <row r="2027">
      <c r="A2027" s="2" t="str">
        <f>IFERROR(__xludf.DUMMYFUNCTION("""COMPUTED_VALUE"""),"텐미닛 수프")</f>
        <v>텐미닛 수프</v>
      </c>
      <c r="B2027" s="2" t="str">
        <f>IFERROR(__xludf.DUMMYFUNCTION("""COMPUTED_VALUE"""),"망고푸딩")</f>
        <v>망고푸딩</v>
      </c>
    </row>
    <row r="2028">
      <c r="A2028" s="2" t="str">
        <f>IFERROR(__xludf.DUMMYFUNCTION("""COMPUTED_VALUE"""),"텐미닛 수프")</f>
        <v>텐미닛 수프</v>
      </c>
      <c r="B2028" s="2" t="str">
        <f>IFERROR(__xludf.DUMMYFUNCTION("""COMPUTED_VALUE"""),"말린 크랜베리")</f>
        <v>말린 크랜베리</v>
      </c>
    </row>
    <row r="2029">
      <c r="A2029" s="2" t="str">
        <f>IFERROR(__xludf.DUMMYFUNCTION("""COMPUTED_VALUE"""),"텐미닛 수프")</f>
        <v>텐미닛 수프</v>
      </c>
      <c r="B2029" s="2" t="str">
        <f>IFERROR(__xludf.DUMMYFUNCTION("""COMPUTED_VALUE"""),"버터")</f>
        <v>버터</v>
      </c>
    </row>
    <row r="2030">
      <c r="A2030" s="2" t="str">
        <f>IFERROR(__xludf.DUMMYFUNCTION("""COMPUTED_VALUE"""),"텐미닛 수프")</f>
        <v>텐미닛 수프</v>
      </c>
      <c r="B2030" s="2" t="str">
        <f>IFERROR(__xludf.DUMMYFUNCTION("""COMPUTED_VALUE"""),"밀가루")</f>
        <v>밀가루</v>
      </c>
    </row>
    <row r="2031">
      <c r="A2031" s="2" t="str">
        <f>IFERROR(__xludf.DUMMYFUNCTION("""COMPUTED_VALUE"""),"텐미닛 수프")</f>
        <v>텐미닛 수프</v>
      </c>
      <c r="B2031" s="2" t="str">
        <f>IFERROR(__xludf.DUMMYFUNCTION("""COMPUTED_VALUE"""),"양파")</f>
        <v>양파</v>
      </c>
    </row>
    <row r="2032">
      <c r="A2032" s="2" t="str">
        <f>IFERROR(__xludf.DUMMYFUNCTION("""COMPUTED_VALUE"""),"텐미닛 수프")</f>
        <v>텐미닛 수프</v>
      </c>
      <c r="B2032" s="2" t="str">
        <f>IFERROR(__xludf.DUMMYFUNCTION("""COMPUTED_VALUE"""),"후추")</f>
        <v>후추</v>
      </c>
    </row>
    <row r="2033">
      <c r="A2033" s="2" t="str">
        <f>IFERROR(__xludf.DUMMYFUNCTION("""COMPUTED_VALUE"""),"10분 스테이크 맛있찬오")</f>
        <v>10분 스테이크 맛있찬오</v>
      </c>
      <c r="B2033" s="2" t="str">
        <f>IFERROR(__xludf.DUMMYFUNCTION("""COMPUTED_VALUE"""),"소고기 안심")</f>
        <v>소고기 안심</v>
      </c>
    </row>
    <row r="2034">
      <c r="A2034" s="2" t="str">
        <f>IFERROR(__xludf.DUMMYFUNCTION("""COMPUTED_VALUE"""),"10분 스테이크 맛있찬오")</f>
        <v>10분 스테이크 맛있찬오</v>
      </c>
      <c r="B2034" s="2" t="str">
        <f>IFERROR(__xludf.DUMMYFUNCTION("""COMPUTED_VALUE"""),"햄")</f>
        <v>햄</v>
      </c>
    </row>
    <row r="2035">
      <c r="A2035" s="2" t="str">
        <f>IFERROR(__xludf.DUMMYFUNCTION("""COMPUTED_VALUE"""),"10분 스테이크 맛있찬오")</f>
        <v>10분 스테이크 맛있찬오</v>
      </c>
      <c r="B2035" s="2" t="str">
        <f>IFERROR(__xludf.DUMMYFUNCTION("""COMPUTED_VALUE"""),"홀그레인 머스터드")</f>
        <v>홀그레인 머스터드</v>
      </c>
    </row>
    <row r="2036">
      <c r="A2036" s="2" t="str">
        <f>IFERROR(__xludf.DUMMYFUNCTION("""COMPUTED_VALUE"""),"10분 스테이크 맛있찬오")</f>
        <v>10분 스테이크 맛있찬오</v>
      </c>
      <c r="B2036" s="2" t="str">
        <f>IFERROR(__xludf.DUMMYFUNCTION("""COMPUTED_VALUE"""),"알감자조림")</f>
        <v>알감자조림</v>
      </c>
    </row>
    <row r="2037">
      <c r="A2037" s="2" t="str">
        <f>IFERROR(__xludf.DUMMYFUNCTION("""COMPUTED_VALUE"""),"10분 스테이크 맛있찬오")</f>
        <v>10분 스테이크 맛있찬오</v>
      </c>
      <c r="B2037" s="2" t="str">
        <f>IFERROR(__xludf.DUMMYFUNCTION("""COMPUTED_VALUE"""),"카망베르 치즈")</f>
        <v>카망베르 치즈</v>
      </c>
    </row>
    <row r="2038">
      <c r="A2038" s="2" t="str">
        <f>IFERROR(__xludf.DUMMYFUNCTION("""COMPUTED_VALUE"""),"10분 스테이크 맛있찬오")</f>
        <v>10분 스테이크 맛있찬오</v>
      </c>
      <c r="B2038" s="2" t="str">
        <f>IFERROR(__xludf.DUMMYFUNCTION("""COMPUTED_VALUE"""),"소금")</f>
        <v>소금</v>
      </c>
    </row>
    <row r="2039">
      <c r="A2039" s="2" t="str">
        <f>IFERROR(__xludf.DUMMYFUNCTION("""COMPUTED_VALUE"""),"10분 스테이크 맛있찬오")</f>
        <v>10분 스테이크 맛있찬오</v>
      </c>
      <c r="B2039" s="2" t="str">
        <f>IFERROR(__xludf.DUMMYFUNCTION("""COMPUTED_VALUE"""),"후추")</f>
        <v>후추</v>
      </c>
    </row>
    <row r="2040">
      <c r="A2040" s="2" t="str">
        <f>IFERROR(__xludf.DUMMYFUNCTION("""COMPUTED_VALUE"""),"10분 스테이크 맛있찬오")</f>
        <v>10분 스테이크 맛있찬오</v>
      </c>
      <c r="B2040" s="2" t="str">
        <f>IFERROR(__xludf.DUMMYFUNCTION("""COMPUTED_VALUE"""),"올리브 오일")</f>
        <v>올리브 오일</v>
      </c>
    </row>
    <row r="2041">
      <c r="A2041" s="2" t="str">
        <f>IFERROR(__xludf.DUMMYFUNCTION("""COMPUTED_VALUE"""),"10분 스테이크 맛있찬오")</f>
        <v>10분 스테이크 맛있찬오</v>
      </c>
      <c r="B2041" s="2" t="str">
        <f>IFERROR(__xludf.DUMMYFUNCTION("""COMPUTED_VALUE"""),"대파")</f>
        <v>대파</v>
      </c>
    </row>
    <row r="2042">
      <c r="A2042" s="2" t="str">
        <f>IFERROR(__xludf.DUMMYFUNCTION("""COMPUTED_VALUE"""),"10분 스테이크 맛있찬오")</f>
        <v>10분 스테이크 맛있찬오</v>
      </c>
      <c r="B2042" s="2" t="str">
        <f>IFERROR(__xludf.DUMMYFUNCTION("""COMPUTED_VALUE"""),"다진 마늘")</f>
        <v>다진 마늘</v>
      </c>
    </row>
    <row r="2043">
      <c r="A2043" s="2" t="str">
        <f>IFERROR(__xludf.DUMMYFUNCTION("""COMPUTED_VALUE"""),"10분 스테이크 맛있찬오")</f>
        <v>10분 스테이크 맛있찬오</v>
      </c>
      <c r="B2043" s="2" t="str">
        <f>IFERROR(__xludf.DUMMYFUNCTION("""COMPUTED_VALUE"""),"진간장")</f>
        <v>진간장</v>
      </c>
    </row>
    <row r="2044">
      <c r="A2044" s="2" t="str">
        <f>IFERROR(__xludf.DUMMYFUNCTION("""COMPUTED_VALUE"""),"10분 스테이크 맛있찬오")</f>
        <v>10분 스테이크 맛있찬오</v>
      </c>
      <c r="B2044" s="2" t="str">
        <f>IFERROR(__xludf.DUMMYFUNCTION("""COMPUTED_VALUE"""),"꿀")</f>
        <v>꿀</v>
      </c>
    </row>
    <row r="2045">
      <c r="A2045" s="2" t="str">
        <f>IFERROR(__xludf.DUMMYFUNCTION("""COMPUTED_VALUE"""),"10분 스테이크 맛있찬오")</f>
        <v>10분 스테이크 맛있찬오</v>
      </c>
      <c r="B2045" s="2" t="str">
        <f>IFERROR(__xludf.DUMMYFUNCTION("""COMPUTED_VALUE"""),"참기름")</f>
        <v>참기름</v>
      </c>
    </row>
    <row r="2046">
      <c r="A2046" s="2" t="str">
        <f>IFERROR(__xludf.DUMMYFUNCTION("""COMPUTED_VALUE"""),"영광의 바지락")</f>
        <v>영광의 바지락</v>
      </c>
      <c r="B2046" s="2" t="str">
        <f>IFERROR(__xludf.DUMMYFUNCTION("""COMPUTED_VALUE"""),"감자")</f>
        <v>감자</v>
      </c>
    </row>
    <row r="2047">
      <c r="A2047" s="2" t="str">
        <f>IFERROR(__xludf.DUMMYFUNCTION("""COMPUTED_VALUE"""),"영광의 바지락")</f>
        <v>영광의 바지락</v>
      </c>
      <c r="B2047" s="2" t="str">
        <f>IFERROR(__xludf.DUMMYFUNCTION("""COMPUTED_VALUE"""),"바지락")</f>
        <v>바지락</v>
      </c>
    </row>
    <row r="2048">
      <c r="A2048" s="2" t="str">
        <f>IFERROR(__xludf.DUMMYFUNCTION("""COMPUTED_VALUE"""),"영광의 바지락")</f>
        <v>영광의 바지락</v>
      </c>
      <c r="B2048" s="2" t="str">
        <f>IFERROR(__xludf.DUMMYFUNCTION("""COMPUTED_VALUE"""),"햄")</f>
        <v>햄</v>
      </c>
    </row>
    <row r="2049">
      <c r="A2049" s="2" t="str">
        <f>IFERROR(__xludf.DUMMYFUNCTION("""COMPUTED_VALUE"""),"영광의 바지락")</f>
        <v>영광의 바지락</v>
      </c>
      <c r="B2049" s="2" t="str">
        <f>IFERROR(__xludf.DUMMYFUNCTION("""COMPUTED_VALUE"""),"우유")</f>
        <v>우유</v>
      </c>
    </row>
    <row r="2050">
      <c r="A2050" s="2" t="str">
        <f>IFERROR(__xludf.DUMMYFUNCTION("""COMPUTED_VALUE"""),"영광의 바지락")</f>
        <v>영광의 바지락</v>
      </c>
      <c r="B2050" s="2" t="str">
        <f>IFERROR(__xludf.DUMMYFUNCTION("""COMPUTED_VALUE"""),"전복")</f>
        <v>전복</v>
      </c>
    </row>
    <row r="2051">
      <c r="A2051" s="2" t="str">
        <f>IFERROR(__xludf.DUMMYFUNCTION("""COMPUTED_VALUE"""),"영광의 바지락")</f>
        <v>영광의 바지락</v>
      </c>
      <c r="B2051" s="2" t="str">
        <f>IFERROR(__xludf.DUMMYFUNCTION("""COMPUTED_VALUE"""),"빵")</f>
        <v>빵</v>
      </c>
    </row>
    <row r="2052">
      <c r="A2052" s="2" t="str">
        <f>IFERROR(__xludf.DUMMYFUNCTION("""COMPUTED_VALUE"""),"영광의 바지락")</f>
        <v>영광의 바지락</v>
      </c>
      <c r="B2052" s="2" t="str">
        <f>IFERROR(__xludf.DUMMYFUNCTION("""COMPUTED_VALUE"""),"올리브 오일")</f>
        <v>올리브 오일</v>
      </c>
    </row>
    <row r="2053">
      <c r="A2053" s="2" t="str">
        <f>IFERROR(__xludf.DUMMYFUNCTION("""COMPUTED_VALUE"""),"영광의 바지락")</f>
        <v>영광의 바지락</v>
      </c>
      <c r="B2053" s="2" t="str">
        <f>IFERROR(__xludf.DUMMYFUNCTION("""COMPUTED_VALUE"""),"통마늘")</f>
        <v>통마늘</v>
      </c>
    </row>
    <row r="2054">
      <c r="A2054" s="2" t="str">
        <f>IFERROR(__xludf.DUMMYFUNCTION("""COMPUTED_VALUE"""),"영광의 바지락")</f>
        <v>영광의 바지락</v>
      </c>
      <c r="B2054" s="2" t="str">
        <f>IFERROR(__xludf.DUMMYFUNCTION("""COMPUTED_VALUE"""),"대파")</f>
        <v>대파</v>
      </c>
    </row>
    <row r="2055">
      <c r="A2055" s="2" t="str">
        <f>IFERROR(__xludf.DUMMYFUNCTION("""COMPUTED_VALUE"""),"영광의 바지락")</f>
        <v>영광의 바지락</v>
      </c>
      <c r="B2055" s="2" t="str">
        <f>IFERROR(__xludf.DUMMYFUNCTION("""COMPUTED_VALUE"""),"당근")</f>
        <v>당근</v>
      </c>
    </row>
    <row r="2056">
      <c r="A2056" s="2" t="str">
        <f>IFERROR(__xludf.DUMMYFUNCTION("""COMPUTED_VALUE"""),"영광의 바지락")</f>
        <v>영광의 바지락</v>
      </c>
      <c r="B2056" s="2" t="str">
        <f>IFERROR(__xludf.DUMMYFUNCTION("""COMPUTED_VALUE"""),"양파")</f>
        <v>양파</v>
      </c>
    </row>
    <row r="2057">
      <c r="A2057" s="2" t="str">
        <f>IFERROR(__xludf.DUMMYFUNCTION("""COMPUTED_VALUE"""),"영광의 바지락")</f>
        <v>영광의 바지락</v>
      </c>
      <c r="B2057" s="2" t="str">
        <f>IFERROR(__xludf.DUMMYFUNCTION("""COMPUTED_VALUE"""),"통후추")</f>
        <v>통후추</v>
      </c>
    </row>
    <row r="2058">
      <c r="A2058" s="2" t="str">
        <f>IFERROR(__xludf.DUMMYFUNCTION("""COMPUTED_VALUE"""),"영광의 바지락")</f>
        <v>영광의 바지락</v>
      </c>
      <c r="B2058" s="2" t="str">
        <f>IFERROR(__xludf.DUMMYFUNCTION("""COMPUTED_VALUE"""),"화이트 와인")</f>
        <v>화이트 와인</v>
      </c>
    </row>
    <row r="2059">
      <c r="A2059" s="2" t="str">
        <f>IFERROR(__xludf.DUMMYFUNCTION("""COMPUTED_VALUE"""),"영광의 바지락")</f>
        <v>영광의 바지락</v>
      </c>
      <c r="B2059" s="2" t="str">
        <f>IFERROR(__xludf.DUMMYFUNCTION("""COMPUTED_VALUE"""),"소금")</f>
        <v>소금</v>
      </c>
    </row>
    <row r="2060">
      <c r="A2060" s="2" t="str">
        <f>IFERROR(__xludf.DUMMYFUNCTION("""COMPUTED_VALUE"""),"영광의 바지락")</f>
        <v>영광의 바지락</v>
      </c>
      <c r="B2060" s="2" t="str">
        <f>IFERROR(__xludf.DUMMYFUNCTION("""COMPUTED_VALUE"""),"후추")</f>
        <v>후추</v>
      </c>
    </row>
    <row r="2061">
      <c r="A2061" s="2" t="str">
        <f>IFERROR(__xludf.DUMMYFUNCTION("""COMPUTED_VALUE"""),"영광의 바지락")</f>
        <v>영광의 바지락</v>
      </c>
      <c r="B2061" s="2" t="str">
        <f>IFERROR(__xludf.DUMMYFUNCTION("""COMPUTED_VALUE"""),"버터")</f>
        <v>버터</v>
      </c>
    </row>
    <row r="2062">
      <c r="A2062" s="2" t="str">
        <f>IFERROR(__xludf.DUMMYFUNCTION("""COMPUTED_VALUE"""),"영광의 바지락")</f>
        <v>영광의 바지락</v>
      </c>
      <c r="B2062" s="2" t="str">
        <f>IFERROR(__xludf.DUMMYFUNCTION("""COMPUTED_VALUE"""),"밀가루")</f>
        <v>밀가루</v>
      </c>
    </row>
    <row r="2063">
      <c r="A2063" s="2" t="str">
        <f>IFERROR(__xludf.DUMMYFUNCTION("""COMPUTED_VALUE"""),"파워 비어 롤")</f>
        <v>파워 비어 롤</v>
      </c>
      <c r="B2063" s="2" t="str">
        <f>IFERROR(__xludf.DUMMYFUNCTION("""COMPUTED_VALUE"""),"소고기 안심")</f>
        <v>소고기 안심</v>
      </c>
    </row>
    <row r="2064">
      <c r="A2064" s="2" t="str">
        <f>IFERROR(__xludf.DUMMYFUNCTION("""COMPUTED_VALUE"""),"파워 비어 롤")</f>
        <v>파워 비어 롤</v>
      </c>
      <c r="B2064" s="2" t="str">
        <f>IFERROR(__xludf.DUMMYFUNCTION("""COMPUTED_VALUE"""),"카망베르 치즈")</f>
        <v>카망베르 치즈</v>
      </c>
    </row>
    <row r="2065">
      <c r="A2065" s="2" t="str">
        <f>IFERROR(__xludf.DUMMYFUNCTION("""COMPUTED_VALUE"""),"파워 비어 롤")</f>
        <v>파워 비어 롤</v>
      </c>
      <c r="B2065" s="2" t="str">
        <f>IFERROR(__xludf.DUMMYFUNCTION("""COMPUTED_VALUE"""),"말린 크랜베리")</f>
        <v>말린 크랜베리</v>
      </c>
    </row>
    <row r="2066">
      <c r="A2066" s="2" t="str">
        <f>IFERROR(__xludf.DUMMYFUNCTION("""COMPUTED_VALUE"""),"파워 비어 롤")</f>
        <v>파워 비어 롤</v>
      </c>
      <c r="B2066" s="2" t="str">
        <f>IFERROR(__xludf.DUMMYFUNCTION("""COMPUTED_VALUE"""),"크림 치즈")</f>
        <v>크림 치즈</v>
      </c>
    </row>
    <row r="2067">
      <c r="A2067" s="2" t="str">
        <f>IFERROR(__xludf.DUMMYFUNCTION("""COMPUTED_VALUE"""),"파워 비어 롤")</f>
        <v>파워 비어 롤</v>
      </c>
      <c r="B2067" s="2" t="str">
        <f>IFERROR(__xludf.DUMMYFUNCTION("""COMPUTED_VALUE"""),"햄")</f>
        <v>햄</v>
      </c>
    </row>
    <row r="2068">
      <c r="A2068" s="2" t="str">
        <f>IFERROR(__xludf.DUMMYFUNCTION("""COMPUTED_VALUE"""),"파워 비어 롤")</f>
        <v>파워 비어 롤</v>
      </c>
      <c r="B2068" s="2" t="str">
        <f>IFERROR(__xludf.DUMMYFUNCTION("""COMPUTED_VALUE"""),"흑맥주")</f>
        <v>흑맥주</v>
      </c>
    </row>
    <row r="2069">
      <c r="A2069" s="2" t="str">
        <f>IFERROR(__xludf.DUMMYFUNCTION("""COMPUTED_VALUE"""),"파워 비어 롤")</f>
        <v>파워 비어 롤</v>
      </c>
      <c r="B2069" s="2" t="str">
        <f>IFERROR(__xludf.DUMMYFUNCTION("""COMPUTED_VALUE"""),"월계수잎")</f>
        <v>월계수잎</v>
      </c>
    </row>
    <row r="2070">
      <c r="A2070" s="2" t="str">
        <f>IFERROR(__xludf.DUMMYFUNCTION("""COMPUTED_VALUE"""),"파워 비어 롤")</f>
        <v>파워 비어 롤</v>
      </c>
      <c r="B2070" s="2" t="str">
        <f>IFERROR(__xludf.DUMMYFUNCTION("""COMPUTED_VALUE"""),"알감자조림")</f>
        <v>알감자조림</v>
      </c>
    </row>
    <row r="2071">
      <c r="A2071" s="2" t="str">
        <f>IFERROR(__xludf.DUMMYFUNCTION("""COMPUTED_VALUE"""),"파워 비어 롤")</f>
        <v>파워 비어 롤</v>
      </c>
      <c r="B2071" s="2" t="str">
        <f>IFERROR(__xludf.DUMMYFUNCTION("""COMPUTED_VALUE"""),"소금")</f>
        <v>소금</v>
      </c>
    </row>
    <row r="2072">
      <c r="A2072" s="2" t="str">
        <f>IFERROR(__xludf.DUMMYFUNCTION("""COMPUTED_VALUE"""),"파워 비어 롤")</f>
        <v>파워 비어 롤</v>
      </c>
      <c r="B2072" s="2" t="str">
        <f>IFERROR(__xludf.DUMMYFUNCTION("""COMPUTED_VALUE"""),"후추")</f>
        <v>후추</v>
      </c>
    </row>
    <row r="2073">
      <c r="A2073" s="2" t="str">
        <f>IFERROR(__xludf.DUMMYFUNCTION("""COMPUTED_VALUE"""),"파워 비어 롤")</f>
        <v>파워 비어 롤</v>
      </c>
      <c r="B2073" s="2" t="str">
        <f>IFERROR(__xludf.DUMMYFUNCTION("""COMPUTED_VALUE"""),"통마늘")</f>
        <v>통마늘</v>
      </c>
    </row>
    <row r="2074">
      <c r="A2074" s="2" t="str">
        <f>IFERROR(__xludf.DUMMYFUNCTION("""COMPUTED_VALUE"""),"파워 비어 롤")</f>
        <v>파워 비어 롤</v>
      </c>
      <c r="B2074" s="2" t="str">
        <f>IFERROR(__xludf.DUMMYFUNCTION("""COMPUTED_VALUE"""),"설탕")</f>
        <v>설탕</v>
      </c>
    </row>
    <row r="2075">
      <c r="A2075" s="2" t="str">
        <f>IFERROR(__xludf.DUMMYFUNCTION("""COMPUTED_VALUE"""),"파워 비어 롤")</f>
        <v>파워 비어 롤</v>
      </c>
      <c r="B2075" s="2" t="str">
        <f>IFERROR(__xludf.DUMMYFUNCTION("""COMPUTED_VALUE"""),"올리브 오일")</f>
        <v>올리브 오일</v>
      </c>
    </row>
    <row r="2076">
      <c r="A2076" s="2" t="str">
        <f>IFERROR(__xludf.DUMMYFUNCTION("""COMPUTED_VALUE"""),"파워 비어 롤")</f>
        <v>파워 비어 롤</v>
      </c>
      <c r="B2076" s="2" t="str">
        <f>IFERROR(__xludf.DUMMYFUNCTION("""COMPUTED_VALUE"""),"밀가루")</f>
        <v>밀가루</v>
      </c>
    </row>
    <row r="2077">
      <c r="A2077" s="2" t="str">
        <f>IFERROR(__xludf.DUMMYFUNCTION("""COMPUTED_VALUE"""),"파워 비어 롤")</f>
        <v>파워 비어 롤</v>
      </c>
      <c r="B2077" s="2" t="str">
        <f>IFERROR(__xludf.DUMMYFUNCTION("""COMPUTED_VALUE"""),"버터")</f>
        <v>버터</v>
      </c>
    </row>
    <row r="2078">
      <c r="A2078" s="2" t="str">
        <f>IFERROR(__xludf.DUMMYFUNCTION("""COMPUTED_VALUE"""),"새로 깐풍치킨")</f>
        <v>새로 깐풍치킨</v>
      </c>
      <c r="B2078" s="2" t="str">
        <f>IFERROR(__xludf.DUMMYFUNCTION("""COMPUTED_VALUE"""),"프라이드 치킨")</f>
        <v>프라이드 치킨</v>
      </c>
    </row>
    <row r="2079">
      <c r="A2079" s="2" t="str">
        <f>IFERROR(__xludf.DUMMYFUNCTION("""COMPUTED_VALUE"""),"새로 깐풍치킨")</f>
        <v>새로 깐풍치킨</v>
      </c>
      <c r="B2079" s="2" t="str">
        <f>IFERROR(__xludf.DUMMYFUNCTION("""COMPUTED_VALUE"""),"굴소스")</f>
        <v>굴소스</v>
      </c>
    </row>
    <row r="2080">
      <c r="A2080" s="2" t="str">
        <f>IFERROR(__xludf.DUMMYFUNCTION("""COMPUTED_VALUE"""),"새로 깐풍치킨")</f>
        <v>새로 깐풍치킨</v>
      </c>
      <c r="B2080" s="2" t="str">
        <f>IFERROR(__xludf.DUMMYFUNCTION("""COMPUTED_VALUE"""),"밀가루")</f>
        <v>밀가루</v>
      </c>
    </row>
    <row r="2081">
      <c r="A2081" s="2" t="str">
        <f>IFERROR(__xludf.DUMMYFUNCTION("""COMPUTED_VALUE"""),"새로 깐풍치킨")</f>
        <v>새로 깐풍치킨</v>
      </c>
      <c r="B2081" s="2" t="str">
        <f>IFERROR(__xludf.DUMMYFUNCTION("""COMPUTED_VALUE"""),"양파")</f>
        <v>양파</v>
      </c>
    </row>
    <row r="2082">
      <c r="A2082" s="2" t="str">
        <f>IFERROR(__xludf.DUMMYFUNCTION("""COMPUTED_VALUE"""),"새로 깐풍치킨")</f>
        <v>새로 깐풍치킨</v>
      </c>
      <c r="B2082" s="2" t="str">
        <f>IFERROR(__xludf.DUMMYFUNCTION("""COMPUTED_VALUE"""),"다진 마늘")</f>
        <v>다진 마늘</v>
      </c>
    </row>
    <row r="2083">
      <c r="A2083" s="2" t="str">
        <f>IFERROR(__xludf.DUMMYFUNCTION("""COMPUTED_VALUE"""),"새로 깐풍치킨")</f>
        <v>새로 깐풍치킨</v>
      </c>
      <c r="B2083" s="2" t="str">
        <f>IFERROR(__xludf.DUMMYFUNCTION("""COMPUTED_VALUE"""),"설탕")</f>
        <v>설탕</v>
      </c>
    </row>
    <row r="2084">
      <c r="A2084" s="2" t="str">
        <f>IFERROR(__xludf.DUMMYFUNCTION("""COMPUTED_VALUE"""),"새로 깐풍치킨")</f>
        <v>새로 깐풍치킨</v>
      </c>
      <c r="B2084" s="2" t="str">
        <f>IFERROR(__xludf.DUMMYFUNCTION("""COMPUTED_VALUE"""),"간장")</f>
        <v>간장</v>
      </c>
    </row>
    <row r="2085">
      <c r="A2085" s="2" t="str">
        <f>IFERROR(__xludf.DUMMYFUNCTION("""COMPUTED_VALUE"""),"새로 깐풍치킨")</f>
        <v>새로 깐풍치킨</v>
      </c>
      <c r="B2085" s="2" t="str">
        <f>IFERROR(__xludf.DUMMYFUNCTION("""COMPUTED_VALUE"""),"식초")</f>
        <v>식초</v>
      </c>
    </row>
    <row r="2086">
      <c r="A2086" s="2" t="str">
        <f>IFERROR(__xludf.DUMMYFUNCTION("""COMPUTED_VALUE"""),"새로 깐풍치킨")</f>
        <v>새로 깐풍치킨</v>
      </c>
      <c r="B2086" s="2" t="str">
        <f>IFERROR(__xludf.DUMMYFUNCTION("""COMPUTED_VALUE"""),"후추")</f>
        <v>후추</v>
      </c>
    </row>
    <row r="2087">
      <c r="A2087" s="2" t="str">
        <f>IFERROR(__xludf.DUMMYFUNCTION("""COMPUTED_VALUE"""),"새로 깐풍치킨")</f>
        <v>새로 깐풍치킨</v>
      </c>
      <c r="B2087" s="2" t="str">
        <f>IFERROR(__xludf.DUMMYFUNCTION("""COMPUTED_VALUE"""),"레몬즙")</f>
        <v>레몬즙</v>
      </c>
    </row>
    <row r="2088">
      <c r="A2088" s="2" t="str">
        <f>IFERROR(__xludf.DUMMYFUNCTION("""COMPUTED_VALUE"""),"새로 깐풍치킨")</f>
        <v>새로 깐풍치킨</v>
      </c>
      <c r="B2088" s="2" t="str">
        <f>IFERROR(__xludf.DUMMYFUNCTION("""COMPUTED_VALUE"""),"파")</f>
        <v>파</v>
      </c>
    </row>
    <row r="2089">
      <c r="A2089" s="2" t="str">
        <f>IFERROR(__xludf.DUMMYFUNCTION("""COMPUTED_VALUE"""),"새로 깐풍치킨")</f>
        <v>새로 깐풍치킨</v>
      </c>
      <c r="B2089" s="2" t="str">
        <f>IFERROR(__xludf.DUMMYFUNCTION("""COMPUTED_VALUE"""),"청양고추")</f>
        <v>청양고추</v>
      </c>
    </row>
    <row r="2090">
      <c r="A2090" s="2" t="str">
        <f>IFERROR(__xludf.DUMMYFUNCTION("""COMPUTED_VALUE"""),"피자 말아또")</f>
        <v>피자 말아또</v>
      </c>
      <c r="B2090" s="2" t="str">
        <f>IFERROR(__xludf.DUMMYFUNCTION("""COMPUTED_VALUE"""),"불고기")</f>
        <v>불고기</v>
      </c>
    </row>
    <row r="2091">
      <c r="A2091" s="2" t="str">
        <f>IFERROR(__xludf.DUMMYFUNCTION("""COMPUTED_VALUE"""),"피자 말아또")</f>
        <v>피자 말아또</v>
      </c>
      <c r="B2091" s="2" t="str">
        <f>IFERROR(__xludf.DUMMYFUNCTION("""COMPUTED_VALUE"""),"오레가노")</f>
        <v>오레가노</v>
      </c>
    </row>
    <row r="2092">
      <c r="A2092" s="2" t="str">
        <f>IFERROR(__xludf.DUMMYFUNCTION("""COMPUTED_VALUE"""),"피자 말아또")</f>
        <v>피자 말아또</v>
      </c>
      <c r="B2092" s="2" t="str">
        <f>IFERROR(__xludf.DUMMYFUNCTION("""COMPUTED_VALUE"""),"피자")</f>
        <v>피자</v>
      </c>
    </row>
    <row r="2093">
      <c r="A2093" s="2" t="str">
        <f>IFERROR(__xludf.DUMMYFUNCTION("""COMPUTED_VALUE"""),"피자 말아또")</f>
        <v>피자 말아또</v>
      </c>
      <c r="B2093" s="2" t="str">
        <f>IFERROR(__xludf.DUMMYFUNCTION("""COMPUTED_VALUE"""),"달걀")</f>
        <v>달걀</v>
      </c>
    </row>
    <row r="2094">
      <c r="A2094" s="2" t="str">
        <f>IFERROR(__xludf.DUMMYFUNCTION("""COMPUTED_VALUE"""),"피자 말아또")</f>
        <v>피자 말아또</v>
      </c>
      <c r="B2094" s="2" t="str">
        <f>IFERROR(__xludf.DUMMYFUNCTION("""COMPUTED_VALUE"""),"살라미")</f>
        <v>살라미</v>
      </c>
    </row>
    <row r="2095">
      <c r="A2095" s="2" t="str">
        <f>IFERROR(__xludf.DUMMYFUNCTION("""COMPUTED_VALUE"""),"피자 말아또")</f>
        <v>피자 말아또</v>
      </c>
      <c r="B2095" s="2" t="str">
        <f>IFERROR(__xludf.DUMMYFUNCTION("""COMPUTED_VALUE"""),"파")</f>
        <v>파</v>
      </c>
    </row>
    <row r="2096">
      <c r="A2096" s="2" t="str">
        <f>IFERROR(__xludf.DUMMYFUNCTION("""COMPUTED_VALUE"""),"피자 말아또")</f>
        <v>피자 말아또</v>
      </c>
      <c r="B2096" s="2" t="str">
        <f>IFERROR(__xludf.DUMMYFUNCTION("""COMPUTED_VALUE"""),"다진 마늘")</f>
        <v>다진 마늘</v>
      </c>
    </row>
    <row r="2097">
      <c r="A2097" s="2" t="str">
        <f>IFERROR(__xludf.DUMMYFUNCTION("""COMPUTED_VALUE"""),"피자 말아또")</f>
        <v>피자 말아또</v>
      </c>
      <c r="B2097" s="2" t="str">
        <f>IFERROR(__xludf.DUMMYFUNCTION("""COMPUTED_VALUE"""),"진간장")</f>
        <v>진간장</v>
      </c>
    </row>
    <row r="2098">
      <c r="A2098" s="2" t="str">
        <f>IFERROR(__xludf.DUMMYFUNCTION("""COMPUTED_VALUE"""),"피자 말아또")</f>
        <v>피자 말아또</v>
      </c>
      <c r="B2098" s="2" t="str">
        <f>IFERROR(__xludf.DUMMYFUNCTION("""COMPUTED_VALUE"""),"설탕")</f>
        <v>설탕</v>
      </c>
    </row>
    <row r="2099">
      <c r="A2099" s="2" t="str">
        <f>IFERROR(__xludf.DUMMYFUNCTION("""COMPUTED_VALUE"""),"피자 말아또")</f>
        <v>피자 말아또</v>
      </c>
      <c r="B2099" s="2" t="str">
        <f>IFERROR(__xludf.DUMMYFUNCTION("""COMPUTED_VALUE"""),"참기름")</f>
        <v>참기름</v>
      </c>
    </row>
    <row r="2100">
      <c r="A2100" s="2" t="str">
        <f>IFERROR(__xludf.DUMMYFUNCTION("""COMPUTED_VALUE"""),"피자 말아또")</f>
        <v>피자 말아또</v>
      </c>
      <c r="B2100" s="2" t="str">
        <f>IFERROR(__xludf.DUMMYFUNCTION("""COMPUTED_VALUE"""),"소금")</f>
        <v>소금</v>
      </c>
    </row>
    <row r="2101">
      <c r="A2101" s="2" t="str">
        <f>IFERROR(__xludf.DUMMYFUNCTION("""COMPUTED_VALUE"""),"피자 말아또")</f>
        <v>피자 말아또</v>
      </c>
      <c r="B2101" s="2" t="str">
        <f>IFERROR(__xludf.DUMMYFUNCTION("""COMPUTED_VALUE"""),"양파")</f>
        <v>양파</v>
      </c>
    </row>
    <row r="2102">
      <c r="A2102" s="2" t="str">
        <f>IFERROR(__xludf.DUMMYFUNCTION("""COMPUTED_VALUE"""),"피자 말아또")</f>
        <v>피자 말아또</v>
      </c>
      <c r="B2102" s="2" t="str">
        <f>IFERROR(__xludf.DUMMYFUNCTION("""COMPUTED_VALUE"""),"후추")</f>
        <v>후추</v>
      </c>
    </row>
    <row r="2103">
      <c r="A2103" s="2" t="str">
        <f>IFERROR(__xludf.DUMMYFUNCTION("""COMPUTED_VALUE"""),"피자 말아또")</f>
        <v>피자 말아또</v>
      </c>
      <c r="B2103" s="2" t="str">
        <f>IFERROR(__xludf.DUMMYFUNCTION("""COMPUTED_VALUE"""),"버터")</f>
        <v>버터</v>
      </c>
    </row>
    <row r="2104">
      <c r="A2104" s="2" t="str">
        <f>IFERROR(__xludf.DUMMYFUNCTION("""COMPUTED_VALUE"""),"후룩국")</f>
        <v>후룩국</v>
      </c>
      <c r="B2104" s="2" t="str">
        <f>IFERROR(__xludf.DUMMYFUNCTION("""COMPUTED_VALUE"""),"파르팔레")</f>
        <v>파르팔레</v>
      </c>
    </row>
    <row r="2105">
      <c r="A2105" s="2" t="str">
        <f>IFERROR(__xludf.DUMMYFUNCTION("""COMPUTED_VALUE"""),"후룩국")</f>
        <v>후룩국</v>
      </c>
      <c r="B2105" s="2" t="str">
        <f>IFERROR(__xludf.DUMMYFUNCTION("""COMPUTED_VALUE"""),"고체카레")</f>
        <v>고체카레</v>
      </c>
    </row>
    <row r="2106">
      <c r="A2106" s="2" t="str">
        <f>IFERROR(__xludf.DUMMYFUNCTION("""COMPUTED_VALUE"""),"후룩국")</f>
        <v>후룩국</v>
      </c>
      <c r="B2106" s="2" t="str">
        <f>IFERROR(__xludf.DUMMYFUNCTION("""COMPUTED_VALUE"""),"항정살")</f>
        <v>항정살</v>
      </c>
    </row>
    <row r="2107">
      <c r="A2107" s="2" t="str">
        <f>IFERROR(__xludf.DUMMYFUNCTION("""COMPUTED_VALUE"""),"후룩국")</f>
        <v>후룩국</v>
      </c>
      <c r="B2107" s="2" t="str">
        <f>IFERROR(__xludf.DUMMYFUNCTION("""COMPUTED_VALUE"""),"라임즙")</f>
        <v>라임즙</v>
      </c>
    </row>
    <row r="2108">
      <c r="A2108" s="2" t="str">
        <f>IFERROR(__xludf.DUMMYFUNCTION("""COMPUTED_VALUE"""),"후룩국")</f>
        <v>후룩국</v>
      </c>
      <c r="B2108" s="2" t="str">
        <f>IFERROR(__xludf.DUMMYFUNCTION("""COMPUTED_VALUE"""),"소금")</f>
        <v>소금</v>
      </c>
    </row>
    <row r="2109">
      <c r="A2109" s="2" t="str">
        <f>IFERROR(__xludf.DUMMYFUNCTION("""COMPUTED_VALUE"""),"후룩국")</f>
        <v>후룩국</v>
      </c>
      <c r="B2109" s="2" t="str">
        <f>IFERROR(__xludf.DUMMYFUNCTION("""COMPUTED_VALUE"""),"양파")</f>
        <v>양파</v>
      </c>
    </row>
    <row r="2110">
      <c r="A2110" s="2" t="str">
        <f>IFERROR(__xludf.DUMMYFUNCTION("""COMPUTED_VALUE"""),"후룩국")</f>
        <v>후룩국</v>
      </c>
      <c r="B2110" s="2" t="str">
        <f>IFERROR(__xludf.DUMMYFUNCTION("""COMPUTED_VALUE"""),"파")</f>
        <v>파</v>
      </c>
    </row>
    <row r="2111">
      <c r="A2111" s="2" t="str">
        <f>IFERROR(__xludf.DUMMYFUNCTION("""COMPUTED_VALUE"""),"후룩국")</f>
        <v>후룩국</v>
      </c>
      <c r="B2111" s="2" t="str">
        <f>IFERROR(__xludf.DUMMYFUNCTION("""COMPUTED_VALUE"""),"다진 마늘")</f>
        <v>다진 마늘</v>
      </c>
    </row>
    <row r="2112">
      <c r="A2112" s="2" t="str">
        <f>IFERROR(__xludf.DUMMYFUNCTION("""COMPUTED_VALUE"""),"후룩국")</f>
        <v>후룩국</v>
      </c>
      <c r="B2112" s="2" t="str">
        <f>IFERROR(__xludf.DUMMYFUNCTION("""COMPUTED_VALUE"""),"다진 생강")</f>
        <v>다진 생강</v>
      </c>
    </row>
    <row r="2113">
      <c r="A2113" s="2" t="str">
        <f>IFERROR(__xludf.DUMMYFUNCTION("""COMPUTED_VALUE"""),"후룩국")</f>
        <v>후룩국</v>
      </c>
      <c r="B2113" s="2" t="str">
        <f>IFERROR(__xludf.DUMMYFUNCTION("""COMPUTED_VALUE"""),"식용유")</f>
        <v>식용유</v>
      </c>
    </row>
    <row r="2114">
      <c r="A2114" s="2" t="str">
        <f>IFERROR(__xludf.DUMMYFUNCTION("""COMPUTED_VALUE"""),"고새 한 그릇")</f>
        <v>고새 한 그릇</v>
      </c>
      <c r="B2114" s="2" t="str">
        <f>IFERROR(__xludf.DUMMYFUNCTION("""COMPUTED_VALUE"""),"치킨스톡")</f>
        <v>치킨스톡</v>
      </c>
    </row>
    <row r="2115">
      <c r="A2115" s="2" t="str">
        <f>IFERROR(__xludf.DUMMYFUNCTION("""COMPUTED_VALUE"""),"고새 한 그릇")</f>
        <v>고새 한 그릇</v>
      </c>
      <c r="B2115" s="2" t="str">
        <f>IFERROR(__xludf.DUMMYFUNCTION("""COMPUTED_VALUE"""),"칵테일 새우")</f>
        <v>칵테일 새우</v>
      </c>
    </row>
    <row r="2116">
      <c r="A2116" s="2" t="str">
        <f>IFERROR(__xludf.DUMMYFUNCTION("""COMPUTED_VALUE"""),"고새 한 그릇")</f>
        <v>고새 한 그릇</v>
      </c>
      <c r="B2116" s="2" t="str">
        <f>IFERROR(__xludf.DUMMYFUNCTION("""COMPUTED_VALUE"""),"달걀")</f>
        <v>달걀</v>
      </c>
    </row>
    <row r="2117">
      <c r="A2117" s="2" t="str">
        <f>IFERROR(__xludf.DUMMYFUNCTION("""COMPUTED_VALUE"""),"고새 한 그릇")</f>
        <v>고새 한 그릇</v>
      </c>
      <c r="B2117" s="2" t="str">
        <f>IFERROR(__xludf.DUMMYFUNCTION("""COMPUTED_VALUE"""),"마늘")</f>
        <v>마늘</v>
      </c>
    </row>
    <row r="2118">
      <c r="A2118" s="2" t="str">
        <f>IFERROR(__xludf.DUMMYFUNCTION("""COMPUTED_VALUE"""),"고새 한 그릇")</f>
        <v>고새 한 그릇</v>
      </c>
      <c r="B2118" s="2" t="str">
        <f>IFERROR(__xludf.DUMMYFUNCTION("""COMPUTED_VALUE"""),"파")</f>
        <v>파</v>
      </c>
    </row>
    <row r="2119">
      <c r="A2119" s="2" t="str">
        <f>IFERROR(__xludf.DUMMYFUNCTION("""COMPUTED_VALUE"""),"고새 한 그릇")</f>
        <v>고새 한 그릇</v>
      </c>
      <c r="B2119" s="2" t="str">
        <f>IFERROR(__xludf.DUMMYFUNCTION("""COMPUTED_VALUE"""),"다진 생강")</f>
        <v>다진 생강</v>
      </c>
    </row>
    <row r="2120">
      <c r="A2120" s="2" t="str">
        <f>IFERROR(__xludf.DUMMYFUNCTION("""COMPUTED_VALUE"""),"고새 한 그릇")</f>
        <v>고새 한 그릇</v>
      </c>
      <c r="B2120" s="2" t="str">
        <f>IFERROR(__xludf.DUMMYFUNCTION("""COMPUTED_VALUE"""),"양파")</f>
        <v>양파</v>
      </c>
    </row>
    <row r="2121">
      <c r="A2121" s="2" t="str">
        <f>IFERROR(__xludf.DUMMYFUNCTION("""COMPUTED_VALUE"""),"고새 한 그릇")</f>
        <v>고새 한 그릇</v>
      </c>
      <c r="B2121" s="2" t="str">
        <f>IFERROR(__xludf.DUMMYFUNCTION("""COMPUTED_VALUE"""),"소금")</f>
        <v>소금</v>
      </c>
    </row>
    <row r="2122">
      <c r="A2122" s="2" t="str">
        <f>IFERROR(__xludf.DUMMYFUNCTION("""COMPUTED_VALUE"""),"고새 한 그릇")</f>
        <v>고새 한 그릇</v>
      </c>
      <c r="B2122" s="2" t="str">
        <f>IFERROR(__xludf.DUMMYFUNCTION("""COMPUTED_VALUE"""),"후추")</f>
        <v>후추</v>
      </c>
    </row>
    <row r="2123">
      <c r="A2123" s="2" t="str">
        <f>IFERROR(__xludf.DUMMYFUNCTION("""COMPUTED_VALUE"""),"고새 한 그릇")</f>
        <v>고새 한 그릇</v>
      </c>
      <c r="B2123" s="2" t="str">
        <f>IFERROR(__xludf.DUMMYFUNCTION("""COMPUTED_VALUE"""),"전분")</f>
        <v>전분</v>
      </c>
    </row>
    <row r="2124">
      <c r="A2124" s="2" t="str">
        <f>IFERROR(__xludf.DUMMYFUNCTION("""COMPUTED_VALUE"""),"고새 한 그릇")</f>
        <v>고새 한 그릇</v>
      </c>
      <c r="B2124" s="2" t="str">
        <f>IFERROR(__xludf.DUMMYFUNCTION("""COMPUTED_VALUE"""),"다진 마늘")</f>
        <v>다진 마늘</v>
      </c>
    </row>
    <row r="2125">
      <c r="A2125" s="2" t="str">
        <f>IFERROR(__xludf.DUMMYFUNCTION("""COMPUTED_VALUE"""),"고새 한 그릇")</f>
        <v>고새 한 그릇</v>
      </c>
      <c r="B2125" s="2" t="str">
        <f>IFERROR(__xludf.DUMMYFUNCTION("""COMPUTED_VALUE"""),"고춧가루")</f>
        <v>고춧가루</v>
      </c>
    </row>
    <row r="2126">
      <c r="A2126" s="2" t="str">
        <f>IFERROR(__xludf.DUMMYFUNCTION("""COMPUTED_VALUE"""),"고새 한 그릇")</f>
        <v>고새 한 그릇</v>
      </c>
      <c r="B2126" s="2" t="str">
        <f>IFERROR(__xludf.DUMMYFUNCTION("""COMPUTED_VALUE"""),"식용유")</f>
        <v>식용유</v>
      </c>
    </row>
    <row r="2127">
      <c r="A2127" s="2" t="str">
        <f>IFERROR(__xludf.DUMMYFUNCTION("""COMPUTED_VALUE"""),"야밤엔 복쌈")</f>
        <v>야밤엔 복쌈</v>
      </c>
      <c r="B2127" s="2" t="str">
        <f>IFERROR(__xludf.DUMMYFUNCTION("""COMPUTED_VALUE"""),"현미국수면")</f>
        <v>현미국수면</v>
      </c>
    </row>
    <row r="2128">
      <c r="A2128" s="2" t="str">
        <f>IFERROR(__xludf.DUMMYFUNCTION("""COMPUTED_VALUE"""),"야밤엔 복쌈")</f>
        <v>야밤엔 복쌈</v>
      </c>
      <c r="B2128" s="2" t="str">
        <f>IFERROR(__xludf.DUMMYFUNCTION("""COMPUTED_VALUE"""),"채끝살")</f>
        <v>채끝살</v>
      </c>
    </row>
    <row r="2129">
      <c r="A2129" s="2" t="str">
        <f>IFERROR(__xludf.DUMMYFUNCTION("""COMPUTED_VALUE"""),"야밤엔 복쌈")</f>
        <v>야밤엔 복쌈</v>
      </c>
      <c r="B2129" s="2" t="str">
        <f>IFERROR(__xludf.DUMMYFUNCTION("""COMPUTED_VALUE"""),"양배추")</f>
        <v>양배추</v>
      </c>
    </row>
    <row r="2130">
      <c r="A2130" s="2" t="str">
        <f>IFERROR(__xludf.DUMMYFUNCTION("""COMPUTED_VALUE"""),"야밤엔 복쌈")</f>
        <v>야밤엔 복쌈</v>
      </c>
      <c r="B2130" s="2" t="str">
        <f>IFERROR(__xludf.DUMMYFUNCTION("""COMPUTED_VALUE"""),"해선장")</f>
        <v>해선장</v>
      </c>
    </row>
    <row r="2131">
      <c r="A2131" s="2" t="str">
        <f>IFERROR(__xludf.DUMMYFUNCTION("""COMPUTED_VALUE"""),"야밤엔 복쌈")</f>
        <v>야밤엔 복쌈</v>
      </c>
      <c r="B2131" s="2" t="str">
        <f>IFERROR(__xludf.DUMMYFUNCTION("""COMPUTED_VALUE"""),"쯔유")</f>
        <v>쯔유</v>
      </c>
    </row>
    <row r="2132">
      <c r="A2132" s="2" t="str">
        <f>IFERROR(__xludf.DUMMYFUNCTION("""COMPUTED_VALUE"""),"야밤엔 복쌈")</f>
        <v>야밤엔 복쌈</v>
      </c>
      <c r="B2132" s="2" t="str">
        <f>IFERROR(__xludf.DUMMYFUNCTION("""COMPUTED_VALUE"""),"아스파라거스")</f>
        <v>아스파라거스</v>
      </c>
    </row>
    <row r="2133">
      <c r="A2133" s="2" t="str">
        <f>IFERROR(__xludf.DUMMYFUNCTION("""COMPUTED_VALUE"""),"야밤엔 복쌈")</f>
        <v>야밤엔 복쌈</v>
      </c>
      <c r="B2133" s="2" t="str">
        <f>IFERROR(__xludf.DUMMYFUNCTION("""COMPUTED_VALUE"""),"표고버섯")</f>
        <v>표고버섯</v>
      </c>
    </row>
    <row r="2134">
      <c r="A2134" s="2" t="str">
        <f>IFERROR(__xludf.DUMMYFUNCTION("""COMPUTED_VALUE"""),"야밤엔 복쌈")</f>
        <v>야밤엔 복쌈</v>
      </c>
      <c r="B2134" s="2" t="str">
        <f>IFERROR(__xludf.DUMMYFUNCTION("""COMPUTED_VALUE"""),"고추")</f>
        <v>고추</v>
      </c>
    </row>
    <row r="2135">
      <c r="A2135" s="2" t="str">
        <f>IFERROR(__xludf.DUMMYFUNCTION("""COMPUTED_VALUE"""),"야밤엔 복쌈")</f>
        <v>야밤엔 복쌈</v>
      </c>
      <c r="B2135" s="2" t="str">
        <f>IFERROR(__xludf.DUMMYFUNCTION("""COMPUTED_VALUE"""),"파")</f>
        <v>파</v>
      </c>
    </row>
    <row r="2136">
      <c r="A2136" s="2" t="str">
        <f>IFERROR(__xludf.DUMMYFUNCTION("""COMPUTED_VALUE"""),"야밤엔 복쌈")</f>
        <v>야밤엔 복쌈</v>
      </c>
      <c r="B2136" s="2" t="str">
        <f>IFERROR(__xludf.DUMMYFUNCTION("""COMPUTED_VALUE"""),"마늘")</f>
        <v>마늘</v>
      </c>
    </row>
    <row r="2137">
      <c r="A2137" s="2" t="str">
        <f>IFERROR(__xludf.DUMMYFUNCTION("""COMPUTED_VALUE"""),"야밤엔 복쌈")</f>
        <v>야밤엔 복쌈</v>
      </c>
      <c r="B2137" s="2" t="str">
        <f>IFERROR(__xludf.DUMMYFUNCTION("""COMPUTED_VALUE"""),"간장")</f>
        <v>간장</v>
      </c>
    </row>
    <row r="2138">
      <c r="A2138" s="2" t="str">
        <f>IFERROR(__xludf.DUMMYFUNCTION("""COMPUTED_VALUE"""),"야밤엔 복쌈")</f>
        <v>야밤엔 복쌈</v>
      </c>
      <c r="B2138" s="2" t="str">
        <f>IFERROR(__xludf.DUMMYFUNCTION("""COMPUTED_VALUE"""),"참기름")</f>
        <v>참기름</v>
      </c>
    </row>
    <row r="2139">
      <c r="A2139" s="2" t="str">
        <f>IFERROR(__xludf.DUMMYFUNCTION("""COMPUTED_VALUE"""),"야밤엔 복쌈")</f>
        <v>야밤엔 복쌈</v>
      </c>
      <c r="B2139" s="2" t="str">
        <f>IFERROR(__xludf.DUMMYFUNCTION("""COMPUTED_VALUE"""),"전분")</f>
        <v>전분</v>
      </c>
    </row>
    <row r="2140">
      <c r="A2140" s="2" t="str">
        <f>IFERROR(__xludf.DUMMYFUNCTION("""COMPUTED_VALUE"""),"나물 버물 파스타")</f>
        <v>나물 버물 파스타</v>
      </c>
      <c r="B2140" s="2" t="str">
        <f>IFERROR(__xludf.DUMMYFUNCTION("""COMPUTED_VALUE"""),"토마토")</f>
        <v>토마토</v>
      </c>
    </row>
    <row r="2141">
      <c r="A2141" s="2" t="str">
        <f>IFERROR(__xludf.DUMMYFUNCTION("""COMPUTED_VALUE"""),"나물 버물 파스타")</f>
        <v>나물 버물 파스타</v>
      </c>
      <c r="B2141" s="2" t="str">
        <f>IFERROR(__xludf.DUMMYFUNCTION("""COMPUTED_VALUE"""),"새우")</f>
        <v>새우</v>
      </c>
    </row>
    <row r="2142">
      <c r="A2142" s="2" t="str">
        <f>IFERROR(__xludf.DUMMYFUNCTION("""COMPUTED_VALUE"""),"나물 버물 파스타")</f>
        <v>나물 버물 파스타</v>
      </c>
      <c r="B2142" s="2" t="str">
        <f>IFERROR(__xludf.DUMMYFUNCTION("""COMPUTED_VALUE"""),"미니 파프리카")</f>
        <v>미니 파프리카</v>
      </c>
    </row>
    <row r="2143">
      <c r="A2143" s="2" t="str">
        <f>IFERROR(__xludf.DUMMYFUNCTION("""COMPUTED_VALUE"""),"나물 버물 파스타")</f>
        <v>나물 버물 파스타</v>
      </c>
      <c r="B2143" s="2" t="str">
        <f>IFERROR(__xludf.DUMMYFUNCTION("""COMPUTED_VALUE"""),"삶은 고구마줄기")</f>
        <v>삶은 고구마줄기</v>
      </c>
    </row>
    <row r="2144">
      <c r="A2144" s="2" t="str">
        <f>IFERROR(__xludf.DUMMYFUNCTION("""COMPUTED_VALUE"""),"나물 버물 파스타")</f>
        <v>나물 버물 파스타</v>
      </c>
      <c r="B2144" s="2" t="str">
        <f>IFERROR(__xludf.DUMMYFUNCTION("""COMPUTED_VALUE"""),"아욱")</f>
        <v>아욱</v>
      </c>
    </row>
    <row r="2145">
      <c r="A2145" s="2" t="str">
        <f>IFERROR(__xludf.DUMMYFUNCTION("""COMPUTED_VALUE"""),"나물 버물 파스타")</f>
        <v>나물 버물 파스타</v>
      </c>
      <c r="B2145" s="2" t="str">
        <f>IFERROR(__xludf.DUMMYFUNCTION("""COMPUTED_VALUE"""),"아스파라거스")</f>
        <v>아스파라거스</v>
      </c>
    </row>
    <row r="2146">
      <c r="A2146" s="2" t="str">
        <f>IFERROR(__xludf.DUMMYFUNCTION("""COMPUTED_VALUE"""),"나물 버물 파스타")</f>
        <v>나물 버물 파스타</v>
      </c>
      <c r="B2146" s="2" t="str">
        <f>IFERROR(__xludf.DUMMYFUNCTION("""COMPUTED_VALUE"""),"루꼴라")</f>
        <v>루꼴라</v>
      </c>
    </row>
    <row r="2147">
      <c r="A2147" s="2" t="str">
        <f>IFERROR(__xludf.DUMMYFUNCTION("""COMPUTED_VALUE"""),"나물 버물 파스타")</f>
        <v>나물 버물 파스타</v>
      </c>
      <c r="B2147" s="2" t="str">
        <f>IFERROR(__xludf.DUMMYFUNCTION("""COMPUTED_VALUE"""),"파스타면")</f>
        <v>파스타면</v>
      </c>
    </row>
    <row r="2148">
      <c r="A2148" s="2" t="str">
        <f>IFERROR(__xludf.DUMMYFUNCTION("""COMPUTED_VALUE"""),"나물 버물 파스타")</f>
        <v>나물 버물 파스타</v>
      </c>
      <c r="B2148" s="2" t="str">
        <f>IFERROR(__xludf.DUMMYFUNCTION("""COMPUTED_VALUE"""),"소금")</f>
        <v>소금</v>
      </c>
    </row>
    <row r="2149">
      <c r="A2149" s="2" t="str">
        <f>IFERROR(__xludf.DUMMYFUNCTION("""COMPUTED_VALUE"""),"나물 버물 파스타")</f>
        <v>나물 버물 파스타</v>
      </c>
      <c r="B2149" s="2" t="str">
        <f>IFERROR(__xludf.DUMMYFUNCTION("""COMPUTED_VALUE"""),"올리브 오일")</f>
        <v>올리브 오일</v>
      </c>
    </row>
    <row r="2150">
      <c r="A2150" s="2" t="str">
        <f>IFERROR(__xludf.DUMMYFUNCTION("""COMPUTED_VALUE"""),"나물 버물 파스타")</f>
        <v>나물 버물 파스타</v>
      </c>
      <c r="B2150" s="2" t="str">
        <f>IFERROR(__xludf.DUMMYFUNCTION("""COMPUTED_VALUE"""),"화이트 와인")</f>
        <v>화이트 와인</v>
      </c>
    </row>
    <row r="2151">
      <c r="A2151" s="2" t="str">
        <f>IFERROR(__xludf.DUMMYFUNCTION("""COMPUTED_VALUE"""),"나물 버물 파스타")</f>
        <v>나물 버물 파스타</v>
      </c>
      <c r="B2151" s="2" t="str">
        <f>IFERROR(__xludf.DUMMYFUNCTION("""COMPUTED_VALUE"""),"다진 마늘")</f>
        <v>다진 마늘</v>
      </c>
    </row>
    <row r="2152">
      <c r="A2152" s="2" t="str">
        <f>IFERROR(__xludf.DUMMYFUNCTION("""COMPUTED_VALUE"""),"스윗 펌킨")</f>
        <v>스윗 펌킨</v>
      </c>
      <c r="B2152" s="2" t="str">
        <f>IFERROR(__xludf.DUMMYFUNCTION("""COMPUTED_VALUE"""),"단호박")</f>
        <v>단호박</v>
      </c>
    </row>
    <row r="2153">
      <c r="A2153" s="2" t="str">
        <f>IFERROR(__xludf.DUMMYFUNCTION("""COMPUTED_VALUE"""),"스윗 펌킨")</f>
        <v>스윗 펌킨</v>
      </c>
      <c r="B2153" s="2" t="str">
        <f>IFERROR(__xludf.DUMMYFUNCTION("""COMPUTED_VALUE"""),"호두")</f>
        <v>호두</v>
      </c>
    </row>
    <row r="2154">
      <c r="A2154" s="2" t="str">
        <f>IFERROR(__xludf.DUMMYFUNCTION("""COMPUTED_VALUE"""),"스윗 펌킨")</f>
        <v>스윗 펌킨</v>
      </c>
      <c r="B2154" s="2" t="str">
        <f>IFERROR(__xludf.DUMMYFUNCTION("""COMPUTED_VALUE"""),"코코넛 오일")</f>
        <v>코코넛 오일</v>
      </c>
    </row>
    <row r="2155">
      <c r="A2155" s="2" t="str">
        <f>IFERROR(__xludf.DUMMYFUNCTION("""COMPUTED_VALUE"""),"스윗 펌킨")</f>
        <v>스윗 펌킨</v>
      </c>
      <c r="B2155" s="2" t="str">
        <f>IFERROR(__xludf.DUMMYFUNCTION("""COMPUTED_VALUE"""),"사과")</f>
        <v>사과</v>
      </c>
    </row>
    <row r="2156">
      <c r="A2156" s="2" t="str">
        <f>IFERROR(__xludf.DUMMYFUNCTION("""COMPUTED_VALUE"""),"스윗 펌킨")</f>
        <v>스윗 펌킨</v>
      </c>
      <c r="B2156" s="2" t="str">
        <f>IFERROR(__xludf.DUMMYFUNCTION("""COMPUTED_VALUE"""),"건포도")</f>
        <v>건포도</v>
      </c>
    </row>
    <row r="2157">
      <c r="A2157" s="2" t="str">
        <f>IFERROR(__xludf.DUMMYFUNCTION("""COMPUTED_VALUE"""),"스윗 펌킨")</f>
        <v>스윗 펌킨</v>
      </c>
      <c r="B2157" s="2" t="str">
        <f>IFERROR(__xludf.DUMMYFUNCTION("""COMPUTED_VALUE"""),"라이스페이퍼")</f>
        <v>라이스페이퍼</v>
      </c>
    </row>
    <row r="2158">
      <c r="A2158" s="2" t="str">
        <f>IFERROR(__xludf.DUMMYFUNCTION("""COMPUTED_VALUE"""),"스윗 펌킨")</f>
        <v>스윗 펌킨</v>
      </c>
      <c r="B2158" s="2" t="str">
        <f>IFERROR(__xludf.DUMMYFUNCTION("""COMPUTED_VALUE"""),"냉동 베리")</f>
        <v>냉동 베리</v>
      </c>
    </row>
    <row r="2159">
      <c r="A2159" s="2" t="str">
        <f>IFERROR(__xludf.DUMMYFUNCTION("""COMPUTED_VALUE"""),"스윗 펌킨")</f>
        <v>스윗 펌킨</v>
      </c>
      <c r="B2159" s="2" t="str">
        <f>IFERROR(__xludf.DUMMYFUNCTION("""COMPUTED_VALUE"""),"올리브 오일")</f>
        <v>올리브 오일</v>
      </c>
    </row>
    <row r="2160">
      <c r="A2160" s="2" t="str">
        <f>IFERROR(__xludf.DUMMYFUNCTION("""COMPUTED_VALUE"""),"스윗 펌킨")</f>
        <v>스윗 펌킨</v>
      </c>
      <c r="B2160" s="2" t="str">
        <f>IFERROR(__xludf.DUMMYFUNCTION("""COMPUTED_VALUE"""),"버터")</f>
        <v>버터</v>
      </c>
    </row>
    <row r="2161">
      <c r="A2161" s="2" t="str">
        <f>IFERROR(__xludf.DUMMYFUNCTION("""COMPUTED_VALUE"""),"스윗 펌킨")</f>
        <v>스윗 펌킨</v>
      </c>
      <c r="B2161" s="2" t="str">
        <f>IFERROR(__xludf.DUMMYFUNCTION("""COMPUTED_VALUE"""),"설탕")</f>
        <v>설탕</v>
      </c>
    </row>
    <row r="2162">
      <c r="A2162" s="2" t="str">
        <f>IFERROR(__xludf.DUMMYFUNCTION("""COMPUTED_VALUE"""),"스윗 펌킨")</f>
        <v>스윗 펌킨</v>
      </c>
      <c r="B2162" s="2" t="str">
        <f>IFERROR(__xludf.DUMMYFUNCTION("""COMPUTED_VALUE"""),"전분")</f>
        <v>전분</v>
      </c>
    </row>
    <row r="2163">
      <c r="A2163" s="2" t="str">
        <f>IFERROR(__xludf.DUMMYFUNCTION("""COMPUTED_VALUE"""),"해물 달라고 졸라")</f>
        <v>해물 달라고 졸라</v>
      </c>
      <c r="B2163" s="2" t="str">
        <f>IFERROR(__xludf.DUMMYFUNCTION("""COMPUTED_VALUE"""),"새우")</f>
        <v>새우</v>
      </c>
    </row>
    <row r="2164">
      <c r="A2164" s="2" t="str">
        <f>IFERROR(__xludf.DUMMYFUNCTION("""COMPUTED_VALUE"""),"해물 달라고 졸라")</f>
        <v>해물 달라고 졸라</v>
      </c>
      <c r="B2164" s="2" t="str">
        <f>IFERROR(__xludf.DUMMYFUNCTION("""COMPUTED_VALUE"""),"가지")</f>
        <v>가지</v>
      </c>
    </row>
    <row r="2165">
      <c r="A2165" s="2" t="str">
        <f>IFERROR(__xludf.DUMMYFUNCTION("""COMPUTED_VALUE"""),"해물 달라고 졸라")</f>
        <v>해물 달라고 졸라</v>
      </c>
      <c r="B2165" s="2" t="str">
        <f>IFERROR(__xludf.DUMMYFUNCTION("""COMPUTED_VALUE"""),"양송이버섯")</f>
        <v>양송이버섯</v>
      </c>
    </row>
    <row r="2166">
      <c r="A2166" s="2" t="str">
        <f>IFERROR(__xludf.DUMMYFUNCTION("""COMPUTED_VALUE"""),"해물 달라고 졸라")</f>
        <v>해물 달라고 졸라</v>
      </c>
      <c r="B2166" s="2" t="str">
        <f>IFERROR(__xludf.DUMMYFUNCTION("""COMPUTED_VALUE"""),"고르곤졸라 치즈")</f>
        <v>고르곤졸라 치즈</v>
      </c>
    </row>
    <row r="2167">
      <c r="A2167" s="2" t="str">
        <f>IFERROR(__xludf.DUMMYFUNCTION("""COMPUTED_VALUE"""),"해물 달라고 졸라")</f>
        <v>해물 달라고 졸라</v>
      </c>
      <c r="B2167" s="2" t="str">
        <f>IFERROR(__xludf.DUMMYFUNCTION("""COMPUTED_VALUE"""),"해물모듬")</f>
        <v>해물모듬</v>
      </c>
    </row>
    <row r="2168">
      <c r="A2168" s="2" t="str">
        <f>IFERROR(__xludf.DUMMYFUNCTION("""COMPUTED_VALUE"""),"해물 달라고 졸라")</f>
        <v>해물 달라고 졸라</v>
      </c>
      <c r="B2168" s="2" t="str">
        <f>IFERROR(__xludf.DUMMYFUNCTION("""COMPUTED_VALUE"""),"사과")</f>
        <v>사과</v>
      </c>
    </row>
    <row r="2169">
      <c r="A2169" s="2" t="str">
        <f>IFERROR(__xludf.DUMMYFUNCTION("""COMPUTED_VALUE"""),"해물 달라고 졸라")</f>
        <v>해물 달라고 졸라</v>
      </c>
      <c r="B2169" s="2" t="str">
        <f>IFERROR(__xludf.DUMMYFUNCTION("""COMPUTED_VALUE"""),"토르티야")</f>
        <v>토르티야</v>
      </c>
    </row>
    <row r="2170">
      <c r="A2170" s="2" t="str">
        <f>IFERROR(__xludf.DUMMYFUNCTION("""COMPUTED_VALUE"""),"해물 달라고 졸라")</f>
        <v>해물 달라고 졸라</v>
      </c>
      <c r="B2170" s="2" t="str">
        <f>IFERROR(__xludf.DUMMYFUNCTION("""COMPUTED_VALUE"""),"버터")</f>
        <v>버터</v>
      </c>
    </row>
    <row r="2171">
      <c r="A2171" s="2" t="str">
        <f>IFERROR(__xludf.DUMMYFUNCTION("""COMPUTED_VALUE"""),"해물 달라고 졸라")</f>
        <v>해물 달라고 졸라</v>
      </c>
      <c r="B2171" s="2" t="str">
        <f>IFERROR(__xludf.DUMMYFUNCTION("""COMPUTED_VALUE"""),"다진 마늘")</f>
        <v>다진 마늘</v>
      </c>
    </row>
    <row r="2172">
      <c r="A2172" s="2" t="str">
        <f>IFERROR(__xludf.DUMMYFUNCTION("""COMPUTED_VALUE"""),"해물 달라고 졸라")</f>
        <v>해물 달라고 졸라</v>
      </c>
      <c r="B2172" s="2" t="str">
        <f>IFERROR(__xludf.DUMMYFUNCTION("""COMPUTED_VALUE"""),"화이트 와인")</f>
        <v>화이트 와인</v>
      </c>
    </row>
    <row r="2173">
      <c r="A2173" s="2" t="str">
        <f>IFERROR(__xludf.DUMMYFUNCTION("""COMPUTED_VALUE"""),"해물 달라고 졸라")</f>
        <v>해물 달라고 졸라</v>
      </c>
      <c r="B2173" s="2" t="str">
        <f>IFERROR(__xludf.DUMMYFUNCTION("""COMPUTED_VALUE"""),"소금")</f>
        <v>소금</v>
      </c>
    </row>
    <row r="2174">
      <c r="A2174" s="2" t="str">
        <f>IFERROR(__xludf.DUMMYFUNCTION("""COMPUTED_VALUE"""),"해물 달라고 졸라")</f>
        <v>해물 달라고 졸라</v>
      </c>
      <c r="B2174" s="2" t="str">
        <f>IFERROR(__xludf.DUMMYFUNCTION("""COMPUTED_VALUE"""),"후추")</f>
        <v>후추</v>
      </c>
    </row>
    <row r="2175">
      <c r="A2175" s="2" t="str">
        <f>IFERROR(__xludf.DUMMYFUNCTION("""COMPUTED_VALUE"""),"낭만 시래기")</f>
        <v>낭만 시래기</v>
      </c>
      <c r="B2175" s="2" t="str">
        <f>IFERROR(__xludf.DUMMYFUNCTION("""COMPUTED_VALUE"""),"전복 내장")</f>
        <v>전복 내장</v>
      </c>
    </row>
    <row r="2176">
      <c r="A2176" s="2" t="str">
        <f>IFERROR(__xludf.DUMMYFUNCTION("""COMPUTED_VALUE"""),"낭만 시래기")</f>
        <v>낭만 시래기</v>
      </c>
      <c r="B2176" s="2" t="str">
        <f>IFERROR(__xludf.DUMMYFUNCTION("""COMPUTED_VALUE"""),"시래기")</f>
        <v>시래기</v>
      </c>
    </row>
    <row r="2177">
      <c r="A2177" s="2" t="str">
        <f>IFERROR(__xludf.DUMMYFUNCTION("""COMPUTED_VALUE"""),"낭만 시래기")</f>
        <v>낭만 시래기</v>
      </c>
      <c r="B2177" s="2" t="str">
        <f>IFERROR(__xludf.DUMMYFUNCTION("""COMPUTED_VALUE"""),"맛술")</f>
        <v>맛술</v>
      </c>
    </row>
    <row r="2178">
      <c r="A2178" s="2" t="str">
        <f>IFERROR(__xludf.DUMMYFUNCTION("""COMPUTED_VALUE"""),"낭만 시래기")</f>
        <v>낭만 시래기</v>
      </c>
      <c r="B2178" s="2" t="str">
        <f>IFERROR(__xludf.DUMMYFUNCTION("""COMPUTED_VALUE"""),"청주")</f>
        <v>청주</v>
      </c>
    </row>
    <row r="2179">
      <c r="A2179" s="2" t="str">
        <f>IFERROR(__xludf.DUMMYFUNCTION("""COMPUTED_VALUE"""),"낭만 시래기")</f>
        <v>낭만 시래기</v>
      </c>
      <c r="B2179" s="2" t="str">
        <f>IFERROR(__xludf.DUMMYFUNCTION("""COMPUTED_VALUE"""),"간장")</f>
        <v>간장</v>
      </c>
    </row>
    <row r="2180">
      <c r="A2180" s="2" t="str">
        <f>IFERROR(__xludf.DUMMYFUNCTION("""COMPUTED_VALUE"""),"낭만 시래기")</f>
        <v>낭만 시래기</v>
      </c>
      <c r="B2180" s="2" t="str">
        <f>IFERROR(__xludf.DUMMYFUNCTION("""COMPUTED_VALUE"""),"식초")</f>
        <v>식초</v>
      </c>
    </row>
    <row r="2181">
      <c r="A2181" s="2" t="str">
        <f>IFERROR(__xludf.DUMMYFUNCTION("""COMPUTED_VALUE"""),"낭만 시래기")</f>
        <v>낭만 시래기</v>
      </c>
      <c r="B2181" s="2" t="str">
        <f>IFERROR(__xludf.DUMMYFUNCTION("""COMPUTED_VALUE"""),"마늘")</f>
        <v>마늘</v>
      </c>
    </row>
    <row r="2182">
      <c r="A2182" s="2" t="str">
        <f>IFERROR(__xludf.DUMMYFUNCTION("""COMPUTED_VALUE"""),"낭만 시래기")</f>
        <v>낭만 시래기</v>
      </c>
      <c r="B2182" s="2" t="str">
        <f>IFERROR(__xludf.DUMMYFUNCTION("""COMPUTED_VALUE"""),"파")</f>
        <v>파</v>
      </c>
    </row>
    <row r="2183">
      <c r="A2183" s="2" t="str">
        <f>IFERROR(__xludf.DUMMYFUNCTION("""COMPUTED_VALUE"""),"낭만 시래기")</f>
        <v>낭만 시래기</v>
      </c>
      <c r="B2183" s="2" t="str">
        <f>IFERROR(__xludf.DUMMYFUNCTION("""COMPUTED_VALUE"""),"다진 생강")</f>
        <v>다진 생강</v>
      </c>
    </row>
    <row r="2184">
      <c r="A2184" s="2" t="str">
        <f>IFERROR(__xludf.DUMMYFUNCTION("""COMPUTED_VALUE"""),"낭만 시래기")</f>
        <v>낭만 시래기</v>
      </c>
      <c r="B2184" s="2" t="str">
        <f>IFERROR(__xludf.DUMMYFUNCTION("""COMPUTED_VALUE"""),"고춧가루")</f>
        <v>고춧가루</v>
      </c>
    </row>
    <row r="2185">
      <c r="A2185" s="2" t="str">
        <f>IFERROR(__xludf.DUMMYFUNCTION("""COMPUTED_VALUE"""),"낭만 시래기")</f>
        <v>낭만 시래기</v>
      </c>
      <c r="B2185" s="2" t="str">
        <f>IFERROR(__xludf.DUMMYFUNCTION("""COMPUTED_VALUE"""),"식용유")</f>
        <v>식용유</v>
      </c>
    </row>
    <row r="2186">
      <c r="A2186" s="2" t="str">
        <f>IFERROR(__xludf.DUMMYFUNCTION("""COMPUTED_VALUE"""),"낭만 시래기")</f>
        <v>낭만 시래기</v>
      </c>
      <c r="B2186" s="2" t="str">
        <f>IFERROR(__xludf.DUMMYFUNCTION("""COMPUTED_VALUE"""),"양파")</f>
        <v>양파</v>
      </c>
    </row>
    <row r="2187">
      <c r="A2187" s="2" t="str">
        <f>IFERROR(__xludf.DUMMYFUNCTION("""COMPUTED_VALUE"""),"낭만 시래기")</f>
        <v>낭만 시래기</v>
      </c>
      <c r="B2187" s="2" t="str">
        <f>IFERROR(__xludf.DUMMYFUNCTION("""COMPUTED_VALUE"""),"고추")</f>
        <v>고추</v>
      </c>
    </row>
    <row r="2188">
      <c r="A2188" s="2" t="str">
        <f>IFERROR(__xludf.DUMMYFUNCTION("""COMPUTED_VALUE"""),"낭만 시래기")</f>
        <v>낭만 시래기</v>
      </c>
      <c r="B2188" s="2" t="str">
        <f>IFERROR(__xludf.DUMMYFUNCTION("""COMPUTED_VALUE"""),"소금")</f>
        <v>소금</v>
      </c>
    </row>
    <row r="2189">
      <c r="A2189" s="2" t="str">
        <f>IFERROR(__xludf.DUMMYFUNCTION("""COMPUTED_VALUE"""),"낭만 시래기")</f>
        <v>낭만 시래기</v>
      </c>
      <c r="B2189" s="2" t="str">
        <f>IFERROR(__xludf.DUMMYFUNCTION("""COMPUTED_VALUE"""),"참기름")</f>
        <v>참기름</v>
      </c>
    </row>
    <row r="2190">
      <c r="A2190" s="2" t="str">
        <f>IFERROR(__xludf.DUMMYFUNCTION("""COMPUTED_VALUE"""),"낙엽 두부")</f>
        <v>낙엽 두부</v>
      </c>
      <c r="B2190" s="2" t="str">
        <f>IFERROR(__xludf.DUMMYFUNCTION("""COMPUTED_VALUE"""),"우유")</f>
        <v>우유</v>
      </c>
    </row>
    <row r="2191">
      <c r="A2191" s="2" t="str">
        <f>IFERROR(__xludf.DUMMYFUNCTION("""COMPUTED_VALUE"""),"낙엽 두부")</f>
        <v>낙엽 두부</v>
      </c>
      <c r="B2191" s="2" t="str">
        <f>IFERROR(__xludf.DUMMYFUNCTION("""COMPUTED_VALUE"""),"찐 고구마")</f>
        <v>찐 고구마</v>
      </c>
    </row>
    <row r="2192">
      <c r="A2192" s="2" t="str">
        <f>IFERROR(__xludf.DUMMYFUNCTION("""COMPUTED_VALUE"""),"낙엽 두부")</f>
        <v>낙엽 두부</v>
      </c>
      <c r="B2192" s="2" t="str">
        <f>IFERROR(__xludf.DUMMYFUNCTION("""COMPUTED_VALUE"""),"크림치즈")</f>
        <v>크림치즈</v>
      </c>
    </row>
    <row r="2193">
      <c r="A2193" s="2" t="str">
        <f>IFERROR(__xludf.DUMMYFUNCTION("""COMPUTED_VALUE"""),"낙엽 두부")</f>
        <v>낙엽 두부</v>
      </c>
      <c r="B2193" s="2" t="str">
        <f>IFERROR(__xludf.DUMMYFUNCTION("""COMPUTED_VALUE"""),"두부")</f>
        <v>두부</v>
      </c>
    </row>
    <row r="2194">
      <c r="A2194" s="2" t="str">
        <f>IFERROR(__xludf.DUMMYFUNCTION("""COMPUTED_VALUE"""),"낙엽 두부")</f>
        <v>낙엽 두부</v>
      </c>
      <c r="B2194" s="2" t="str">
        <f>IFERROR(__xludf.DUMMYFUNCTION("""COMPUTED_VALUE"""),"채끝등심")</f>
        <v>채끝등심</v>
      </c>
    </row>
    <row r="2195">
      <c r="A2195" s="2" t="str">
        <f>IFERROR(__xludf.DUMMYFUNCTION("""COMPUTED_VALUE"""),"낙엽 두부")</f>
        <v>낙엽 두부</v>
      </c>
      <c r="B2195" s="2" t="str">
        <f>IFERROR(__xludf.DUMMYFUNCTION("""COMPUTED_VALUE"""),"달걀")</f>
        <v>달걀</v>
      </c>
    </row>
    <row r="2196">
      <c r="A2196" s="2" t="str">
        <f>IFERROR(__xludf.DUMMYFUNCTION("""COMPUTED_VALUE"""),"낙엽 두부")</f>
        <v>낙엽 두부</v>
      </c>
      <c r="B2196" s="2" t="str">
        <f>IFERROR(__xludf.DUMMYFUNCTION("""COMPUTED_VALUE"""),"소금")</f>
        <v>소금</v>
      </c>
    </row>
    <row r="2197">
      <c r="A2197" s="2" t="str">
        <f>IFERROR(__xludf.DUMMYFUNCTION("""COMPUTED_VALUE"""),"낙엽 두부")</f>
        <v>낙엽 두부</v>
      </c>
      <c r="B2197" s="2" t="str">
        <f>IFERROR(__xludf.DUMMYFUNCTION("""COMPUTED_VALUE"""),"후추")</f>
        <v>후추</v>
      </c>
    </row>
    <row r="2198">
      <c r="A2198" s="2" t="str">
        <f>IFERROR(__xludf.DUMMYFUNCTION("""COMPUTED_VALUE"""),"낙엽 두부")</f>
        <v>낙엽 두부</v>
      </c>
      <c r="B2198" s="2" t="str">
        <f>IFERROR(__xludf.DUMMYFUNCTION("""COMPUTED_VALUE"""),"올리브 오일")</f>
        <v>올리브 오일</v>
      </c>
    </row>
    <row r="2199">
      <c r="A2199" s="2" t="str">
        <f>IFERROR(__xludf.DUMMYFUNCTION("""COMPUTED_VALUE"""),"낙엽 두부")</f>
        <v>낙엽 두부</v>
      </c>
      <c r="B2199" s="2" t="str">
        <f>IFERROR(__xludf.DUMMYFUNCTION("""COMPUTED_VALUE"""),"파")</f>
        <v>파</v>
      </c>
    </row>
    <row r="2200">
      <c r="A2200" s="2" t="str">
        <f>IFERROR(__xludf.DUMMYFUNCTION("""COMPUTED_VALUE"""),"낙엽 두부")</f>
        <v>낙엽 두부</v>
      </c>
      <c r="B2200" s="2" t="str">
        <f>IFERROR(__xludf.DUMMYFUNCTION("""COMPUTED_VALUE"""),"양파")</f>
        <v>양파</v>
      </c>
    </row>
    <row r="2201">
      <c r="A2201" s="2" t="str">
        <f>IFERROR(__xludf.DUMMYFUNCTION("""COMPUTED_VALUE"""),"낙엽 두부")</f>
        <v>낙엽 두부</v>
      </c>
      <c r="B2201" s="2" t="str">
        <f>IFERROR(__xludf.DUMMYFUNCTION("""COMPUTED_VALUE"""),"간장")</f>
        <v>간장</v>
      </c>
    </row>
    <row r="2202">
      <c r="A2202" s="2" t="str">
        <f>IFERROR(__xludf.DUMMYFUNCTION("""COMPUTED_VALUE"""),"낙엽 두부")</f>
        <v>낙엽 두부</v>
      </c>
      <c r="B2202" s="2" t="str">
        <f>IFERROR(__xludf.DUMMYFUNCTION("""COMPUTED_VALUE"""),"고춧가루")</f>
        <v>고춧가루</v>
      </c>
    </row>
    <row r="2203">
      <c r="A2203" s="2" t="str">
        <f>IFERROR(__xludf.DUMMYFUNCTION("""COMPUTED_VALUE"""),"낙엽 두부")</f>
        <v>낙엽 두부</v>
      </c>
      <c r="B2203" s="2" t="str">
        <f>IFERROR(__xludf.DUMMYFUNCTION("""COMPUTED_VALUE"""),"올리고당")</f>
        <v>올리고당</v>
      </c>
    </row>
    <row r="2204">
      <c r="A2204" s="2" t="str">
        <f>IFERROR(__xludf.DUMMYFUNCTION("""COMPUTED_VALUE"""),"낙엽 두부")</f>
        <v>낙엽 두부</v>
      </c>
      <c r="B2204" s="2" t="str">
        <f>IFERROR(__xludf.DUMMYFUNCTION("""COMPUTED_VALUE"""),"참기름")</f>
        <v>참기름</v>
      </c>
    </row>
    <row r="2205">
      <c r="A2205" s="2" t="str">
        <f>IFERROR(__xludf.DUMMYFUNCTION("""COMPUTED_VALUE"""),"낙엽 두부")</f>
        <v>낙엽 두부</v>
      </c>
      <c r="B2205" s="2" t="str">
        <f>IFERROR(__xludf.DUMMYFUNCTION("""COMPUTED_VALUE"""),"다진 마늘")</f>
        <v>다진 마늘</v>
      </c>
    </row>
    <row r="2206">
      <c r="A2206" s="2" t="str">
        <f>IFERROR(__xludf.DUMMYFUNCTION("""COMPUTED_VALUE"""),"쑥테이크")</f>
        <v>쑥테이크</v>
      </c>
      <c r="B2206" s="2" t="str">
        <f>IFERROR(__xludf.DUMMYFUNCTION("""COMPUTED_VALUE"""),"크림치즈")</f>
        <v>크림치즈</v>
      </c>
    </row>
    <row r="2207">
      <c r="A2207" s="2" t="str">
        <f>IFERROR(__xludf.DUMMYFUNCTION("""COMPUTED_VALUE"""),"쑥테이크")</f>
        <v>쑥테이크</v>
      </c>
      <c r="B2207" s="2" t="str">
        <f>IFERROR(__xludf.DUMMYFUNCTION("""COMPUTED_VALUE"""),"땅콩가루")</f>
        <v>땅콩가루</v>
      </c>
    </row>
    <row r="2208">
      <c r="A2208" s="2" t="str">
        <f>IFERROR(__xludf.DUMMYFUNCTION("""COMPUTED_VALUE"""),"쑥테이크")</f>
        <v>쑥테이크</v>
      </c>
      <c r="B2208" s="2" t="str">
        <f>IFERROR(__xludf.DUMMYFUNCTION("""COMPUTED_VALUE"""),"쑥")</f>
        <v>쑥</v>
      </c>
    </row>
    <row r="2209">
      <c r="A2209" s="2" t="str">
        <f>IFERROR(__xludf.DUMMYFUNCTION("""COMPUTED_VALUE"""),"쑥테이크")</f>
        <v>쑥테이크</v>
      </c>
      <c r="B2209" s="2" t="str">
        <f>IFERROR(__xludf.DUMMYFUNCTION("""COMPUTED_VALUE"""),"잣")</f>
        <v>잣</v>
      </c>
    </row>
    <row r="2210">
      <c r="A2210" s="2" t="str">
        <f>IFERROR(__xludf.DUMMYFUNCTION("""COMPUTED_VALUE"""),"쑥테이크")</f>
        <v>쑥테이크</v>
      </c>
      <c r="B2210" s="2" t="str">
        <f>IFERROR(__xludf.DUMMYFUNCTION("""COMPUTED_VALUE"""),"표고버섯")</f>
        <v>표고버섯</v>
      </c>
    </row>
    <row r="2211">
      <c r="A2211" s="2" t="str">
        <f>IFERROR(__xludf.DUMMYFUNCTION("""COMPUTED_VALUE"""),"쑥테이크")</f>
        <v>쑥테이크</v>
      </c>
      <c r="B2211" s="2" t="str">
        <f>IFERROR(__xludf.DUMMYFUNCTION("""COMPUTED_VALUE"""),"채끝등심")</f>
        <v>채끝등심</v>
      </c>
    </row>
    <row r="2212">
      <c r="A2212" s="2" t="str">
        <f>IFERROR(__xludf.DUMMYFUNCTION("""COMPUTED_VALUE"""),"쑥테이크")</f>
        <v>쑥테이크</v>
      </c>
      <c r="B2212" s="2" t="str">
        <f>IFERROR(__xludf.DUMMYFUNCTION("""COMPUTED_VALUE"""),"파르메산 치즈")</f>
        <v>파르메산 치즈</v>
      </c>
    </row>
    <row r="2213">
      <c r="A2213" s="2" t="str">
        <f>IFERROR(__xludf.DUMMYFUNCTION("""COMPUTED_VALUE"""),"쑥테이크")</f>
        <v>쑥테이크</v>
      </c>
      <c r="B2213" s="2" t="str">
        <f>IFERROR(__xludf.DUMMYFUNCTION("""COMPUTED_VALUE"""),"마늘")</f>
        <v>마늘</v>
      </c>
    </row>
    <row r="2214">
      <c r="A2214" s="2" t="str">
        <f>IFERROR(__xludf.DUMMYFUNCTION("""COMPUTED_VALUE"""),"쑥테이크")</f>
        <v>쑥테이크</v>
      </c>
      <c r="B2214" s="2" t="str">
        <f>IFERROR(__xludf.DUMMYFUNCTION("""COMPUTED_VALUE"""),"고추")</f>
        <v>고추</v>
      </c>
    </row>
    <row r="2215">
      <c r="A2215" s="2" t="str">
        <f>IFERROR(__xludf.DUMMYFUNCTION("""COMPUTED_VALUE"""),"쑥테이크")</f>
        <v>쑥테이크</v>
      </c>
      <c r="B2215" s="2" t="str">
        <f>IFERROR(__xludf.DUMMYFUNCTION("""COMPUTED_VALUE"""),"올리브 오일")</f>
        <v>올리브 오일</v>
      </c>
    </row>
    <row r="2216">
      <c r="A2216" s="2" t="str">
        <f>IFERROR(__xludf.DUMMYFUNCTION("""COMPUTED_VALUE"""),"쑥테이크")</f>
        <v>쑥테이크</v>
      </c>
      <c r="B2216" s="2" t="str">
        <f>IFERROR(__xludf.DUMMYFUNCTION("""COMPUTED_VALUE"""),"소금")</f>
        <v>소금</v>
      </c>
    </row>
    <row r="2217">
      <c r="A2217" s="2" t="str">
        <f>IFERROR(__xludf.DUMMYFUNCTION("""COMPUTED_VALUE"""),"쑥테이크")</f>
        <v>쑥테이크</v>
      </c>
      <c r="B2217" s="2" t="str">
        <f>IFERROR(__xludf.DUMMYFUNCTION("""COMPUTED_VALUE"""),"후추")</f>
        <v>후추</v>
      </c>
    </row>
    <row r="2218">
      <c r="A2218" s="2" t="str">
        <f>IFERROR(__xludf.DUMMYFUNCTION("""COMPUTED_VALUE"""),"쑥테이크")</f>
        <v>쑥테이크</v>
      </c>
      <c r="B2218" s="2" t="str">
        <f>IFERROR(__xludf.DUMMYFUNCTION("""COMPUTED_VALUE"""),"마늘")</f>
        <v>마늘</v>
      </c>
    </row>
    <row r="2219">
      <c r="A2219" s="2" t="str">
        <f>IFERROR(__xludf.DUMMYFUNCTION("""COMPUTED_VALUE"""),"쑥테이크")</f>
        <v>쑥테이크</v>
      </c>
      <c r="B2219" s="2" t="str">
        <f>IFERROR(__xludf.DUMMYFUNCTION("""COMPUTED_VALUE"""),"고춧가루")</f>
        <v>고춧가루</v>
      </c>
    </row>
    <row r="2220">
      <c r="A2220" s="2" t="str">
        <f>IFERROR(__xludf.DUMMYFUNCTION("""COMPUTED_VALUE"""),"쑥테이크")</f>
        <v>쑥테이크</v>
      </c>
      <c r="B2220" s="2" t="str">
        <f>IFERROR(__xludf.DUMMYFUNCTION("""COMPUTED_VALUE"""),"버터")</f>
        <v>버터</v>
      </c>
    </row>
    <row r="2221">
      <c r="A2221" s="2" t="str">
        <f>IFERROR(__xludf.DUMMYFUNCTION("""COMPUTED_VALUE"""),"쑥테이크")</f>
        <v>쑥테이크</v>
      </c>
      <c r="B2221" s="2" t="str">
        <f>IFERROR(__xludf.DUMMYFUNCTION("""COMPUTED_VALUE"""),"설탕")</f>
        <v>설탕</v>
      </c>
    </row>
    <row r="2222">
      <c r="A2222" s="2" t="str">
        <f>IFERROR(__xludf.DUMMYFUNCTION("""COMPUTED_VALUE"""),"최면육회")</f>
        <v>최면육회</v>
      </c>
      <c r="B2222" s="2" t="str">
        <f>IFERROR(__xludf.DUMMYFUNCTION("""COMPUTED_VALUE"""),"채끝등심")</f>
        <v>채끝등심</v>
      </c>
    </row>
    <row r="2223">
      <c r="A2223" s="2" t="str">
        <f>IFERROR(__xludf.DUMMYFUNCTION("""COMPUTED_VALUE"""),"최면육회")</f>
        <v>최면육회</v>
      </c>
      <c r="B2223" s="2" t="str">
        <f>IFERROR(__xludf.DUMMYFUNCTION("""COMPUTED_VALUE"""),"명란젓")</f>
        <v>명란젓</v>
      </c>
    </row>
    <row r="2224">
      <c r="A2224" s="2" t="str">
        <f>IFERROR(__xludf.DUMMYFUNCTION("""COMPUTED_VALUE"""),"최면육회")</f>
        <v>최면육회</v>
      </c>
      <c r="B2224" s="2" t="str">
        <f>IFERROR(__xludf.DUMMYFUNCTION("""COMPUTED_VALUE"""),"크림치즈")</f>
        <v>크림치즈</v>
      </c>
    </row>
    <row r="2225">
      <c r="A2225" s="2" t="str">
        <f>IFERROR(__xludf.DUMMYFUNCTION("""COMPUTED_VALUE"""),"최면육회")</f>
        <v>최면육회</v>
      </c>
      <c r="B2225" s="2" t="str">
        <f>IFERROR(__xludf.DUMMYFUNCTION("""COMPUTED_VALUE"""),"소면")</f>
        <v>소면</v>
      </c>
    </row>
    <row r="2226">
      <c r="A2226" s="2" t="str">
        <f>IFERROR(__xludf.DUMMYFUNCTION("""COMPUTED_VALUE"""),"최면육회")</f>
        <v>최면육회</v>
      </c>
      <c r="B2226" s="2" t="str">
        <f>IFERROR(__xludf.DUMMYFUNCTION("""COMPUTED_VALUE"""),"땅콩소스")</f>
        <v>땅콩소스</v>
      </c>
    </row>
    <row r="2227">
      <c r="A2227" s="2" t="str">
        <f>IFERROR(__xludf.DUMMYFUNCTION("""COMPUTED_VALUE"""),"최면육회")</f>
        <v>최면육회</v>
      </c>
      <c r="B2227" s="2" t="str">
        <f>IFERROR(__xludf.DUMMYFUNCTION("""COMPUTED_VALUE"""),"사과")</f>
        <v>사과</v>
      </c>
    </row>
    <row r="2228">
      <c r="A2228" s="2" t="str">
        <f>IFERROR(__xludf.DUMMYFUNCTION("""COMPUTED_VALUE"""),"최면육회")</f>
        <v>최면육회</v>
      </c>
      <c r="B2228" s="2" t="str">
        <f>IFERROR(__xludf.DUMMYFUNCTION("""COMPUTED_VALUE"""),"후추")</f>
        <v>후추</v>
      </c>
    </row>
    <row r="2229">
      <c r="A2229" s="2" t="str">
        <f>IFERROR(__xludf.DUMMYFUNCTION("""COMPUTED_VALUE"""),"최면육회")</f>
        <v>최면육회</v>
      </c>
      <c r="B2229" s="2" t="str">
        <f>IFERROR(__xludf.DUMMYFUNCTION("""COMPUTED_VALUE"""),"소금")</f>
        <v>소금</v>
      </c>
    </row>
    <row r="2230">
      <c r="A2230" s="2" t="str">
        <f>IFERROR(__xludf.DUMMYFUNCTION("""COMPUTED_VALUE"""),"최면육회")</f>
        <v>최면육회</v>
      </c>
      <c r="B2230" s="2" t="str">
        <f>IFERROR(__xludf.DUMMYFUNCTION("""COMPUTED_VALUE"""),"올리브 오일")</f>
        <v>올리브 오일</v>
      </c>
    </row>
    <row r="2231">
      <c r="A2231" s="2" t="str">
        <f>IFERROR(__xludf.DUMMYFUNCTION("""COMPUTED_VALUE"""),"최면육회")</f>
        <v>최면육회</v>
      </c>
      <c r="B2231" s="2" t="str">
        <f>IFERROR(__xludf.DUMMYFUNCTION("""COMPUTED_VALUE"""),"간장")</f>
        <v>간장</v>
      </c>
    </row>
    <row r="2232">
      <c r="A2232" s="2" t="str">
        <f>IFERROR(__xludf.DUMMYFUNCTION("""COMPUTED_VALUE"""),"터치 마이 주꾸미")</f>
        <v>터치 마이 주꾸미</v>
      </c>
      <c r="B2232" s="2" t="str">
        <f>IFERROR(__xludf.DUMMYFUNCTION("""COMPUTED_VALUE"""),"주꾸미")</f>
        <v>주꾸미</v>
      </c>
    </row>
    <row r="2233">
      <c r="A2233" s="2" t="str">
        <f>IFERROR(__xludf.DUMMYFUNCTION("""COMPUTED_VALUE"""),"터치 마이 주꾸미")</f>
        <v>터치 마이 주꾸미</v>
      </c>
      <c r="B2233" s="2" t="str">
        <f>IFERROR(__xludf.DUMMYFUNCTION("""COMPUTED_VALUE"""),"유자청")</f>
        <v>유자청</v>
      </c>
    </row>
    <row r="2234">
      <c r="A2234" s="2" t="str">
        <f>IFERROR(__xludf.DUMMYFUNCTION("""COMPUTED_VALUE"""),"터치 마이 주꾸미")</f>
        <v>터치 마이 주꾸미</v>
      </c>
      <c r="B2234" s="2" t="str">
        <f>IFERROR(__xludf.DUMMYFUNCTION("""COMPUTED_VALUE"""),"완두콩 통조림")</f>
        <v>완두콩 통조림</v>
      </c>
    </row>
    <row r="2235">
      <c r="A2235" s="2" t="str">
        <f>IFERROR(__xludf.DUMMYFUNCTION("""COMPUTED_VALUE"""),"터치 마이 주꾸미")</f>
        <v>터치 마이 주꾸미</v>
      </c>
      <c r="B2235" s="2" t="str">
        <f>IFERROR(__xludf.DUMMYFUNCTION("""COMPUTED_VALUE"""),"우유")</f>
        <v>우유</v>
      </c>
    </row>
    <row r="2236">
      <c r="A2236" s="2" t="str">
        <f>IFERROR(__xludf.DUMMYFUNCTION("""COMPUTED_VALUE"""),"터치 마이 주꾸미")</f>
        <v>터치 마이 주꾸미</v>
      </c>
      <c r="B2236" s="2" t="str">
        <f>IFERROR(__xludf.DUMMYFUNCTION("""COMPUTED_VALUE"""),"시금치 무침")</f>
        <v>시금치 무침</v>
      </c>
    </row>
    <row r="2237">
      <c r="A2237" s="2" t="str">
        <f>IFERROR(__xludf.DUMMYFUNCTION("""COMPUTED_VALUE"""),"터치 마이 주꾸미")</f>
        <v>터치 마이 주꾸미</v>
      </c>
      <c r="B2237" s="2" t="str">
        <f>IFERROR(__xludf.DUMMYFUNCTION("""COMPUTED_VALUE"""),"양파장아찌")</f>
        <v>양파장아찌</v>
      </c>
    </row>
    <row r="2238">
      <c r="A2238" s="2" t="str">
        <f>IFERROR(__xludf.DUMMYFUNCTION("""COMPUTED_VALUE"""),"터치 마이 주꾸미")</f>
        <v>터치 마이 주꾸미</v>
      </c>
      <c r="B2238" s="2" t="str">
        <f>IFERROR(__xludf.DUMMYFUNCTION("""COMPUTED_VALUE"""),"소금")</f>
        <v>소금</v>
      </c>
    </row>
    <row r="2239">
      <c r="A2239" s="2" t="str">
        <f>IFERROR(__xludf.DUMMYFUNCTION("""COMPUTED_VALUE"""),"터치 마이 주꾸미")</f>
        <v>터치 마이 주꾸미</v>
      </c>
      <c r="B2239" s="2" t="str">
        <f>IFERROR(__xludf.DUMMYFUNCTION("""COMPUTED_VALUE"""),"레몬")</f>
        <v>레몬</v>
      </c>
    </row>
    <row r="2240">
      <c r="A2240" s="2" t="str">
        <f>IFERROR(__xludf.DUMMYFUNCTION("""COMPUTED_VALUE"""),"터치 마이 주꾸미")</f>
        <v>터치 마이 주꾸미</v>
      </c>
      <c r="B2240" s="2" t="str">
        <f>IFERROR(__xludf.DUMMYFUNCTION("""COMPUTED_VALUE"""),"올리브 오일")</f>
        <v>올리브 오일</v>
      </c>
    </row>
    <row r="2241">
      <c r="A2241" s="2" t="str">
        <f>IFERROR(__xludf.DUMMYFUNCTION("""COMPUTED_VALUE"""),"터치 마이 주꾸미")</f>
        <v>터치 마이 주꾸미</v>
      </c>
      <c r="B2241" s="2" t="str">
        <f>IFERROR(__xludf.DUMMYFUNCTION("""COMPUTED_VALUE"""),"꿀")</f>
        <v>꿀</v>
      </c>
    </row>
    <row r="2242">
      <c r="A2242" s="2" t="str">
        <f>IFERROR(__xludf.DUMMYFUNCTION("""COMPUTED_VALUE"""),"터치 마이 주꾸미")</f>
        <v>터치 마이 주꾸미</v>
      </c>
      <c r="B2242" s="2" t="str">
        <f>IFERROR(__xludf.DUMMYFUNCTION("""COMPUTED_VALUE"""),"후추")</f>
        <v>후추</v>
      </c>
    </row>
    <row r="2243">
      <c r="A2243" s="2" t="str">
        <f>IFERROR(__xludf.DUMMYFUNCTION("""COMPUTED_VALUE"""),"리소토 먹어보라")</f>
        <v>리소토 먹어보라</v>
      </c>
      <c r="B2243" s="2" t="str">
        <f>IFERROR(__xludf.DUMMYFUNCTION("""COMPUTED_VALUE"""),"단호박")</f>
        <v>단호박</v>
      </c>
    </row>
    <row r="2244">
      <c r="A2244" s="2" t="str">
        <f>IFERROR(__xludf.DUMMYFUNCTION("""COMPUTED_VALUE"""),"리소토 먹어보라")</f>
        <v>리소토 먹어보라</v>
      </c>
      <c r="B2244" s="2" t="str">
        <f>IFERROR(__xludf.DUMMYFUNCTION("""COMPUTED_VALUE"""),"블루베리즙")</f>
        <v>블루베리즙</v>
      </c>
    </row>
    <row r="2245">
      <c r="A2245" s="2" t="str">
        <f>IFERROR(__xludf.DUMMYFUNCTION("""COMPUTED_VALUE"""),"리소토 먹어보라")</f>
        <v>리소토 먹어보라</v>
      </c>
      <c r="B2245" s="2" t="str">
        <f>IFERROR(__xludf.DUMMYFUNCTION("""COMPUTED_VALUE"""),"강낭콩")</f>
        <v>강낭콩</v>
      </c>
    </row>
    <row r="2246">
      <c r="A2246" s="2" t="str">
        <f>IFERROR(__xludf.DUMMYFUNCTION("""COMPUTED_VALUE"""),"리소토 먹어보라")</f>
        <v>리소토 먹어보라</v>
      </c>
      <c r="B2246" s="2" t="str">
        <f>IFERROR(__xludf.DUMMYFUNCTION("""COMPUTED_VALUE"""),"살치살")</f>
        <v>살치살</v>
      </c>
    </row>
    <row r="2247">
      <c r="A2247" s="2" t="str">
        <f>IFERROR(__xludf.DUMMYFUNCTION("""COMPUTED_VALUE"""),"리소토 먹어보라")</f>
        <v>리소토 먹어보라</v>
      </c>
      <c r="B2247" s="2" t="str">
        <f>IFERROR(__xludf.DUMMYFUNCTION("""COMPUTED_VALUE"""),"체다&amp;모차렐라 치즈")</f>
        <v>체다&amp;모차렐라 치즈</v>
      </c>
    </row>
    <row r="2248">
      <c r="A2248" s="2" t="str">
        <f>IFERROR(__xludf.DUMMYFUNCTION("""COMPUTED_VALUE"""),"리소토 먹어보라")</f>
        <v>리소토 먹어보라</v>
      </c>
      <c r="B2248" s="2" t="str">
        <f>IFERROR(__xludf.DUMMYFUNCTION("""COMPUTED_VALUE"""),"당근")</f>
        <v>당근</v>
      </c>
    </row>
    <row r="2249">
      <c r="A2249" s="2" t="str">
        <f>IFERROR(__xludf.DUMMYFUNCTION("""COMPUTED_VALUE"""),"리소토 먹어보라")</f>
        <v>리소토 먹어보라</v>
      </c>
      <c r="B2249" s="2" t="str">
        <f>IFERROR(__xludf.DUMMYFUNCTION("""COMPUTED_VALUE"""),"양파")</f>
        <v>양파</v>
      </c>
    </row>
    <row r="2250">
      <c r="A2250" s="2" t="str">
        <f>IFERROR(__xludf.DUMMYFUNCTION("""COMPUTED_VALUE"""),"리소토 먹어보라")</f>
        <v>리소토 먹어보라</v>
      </c>
      <c r="B2250" s="2" t="str">
        <f>IFERROR(__xludf.DUMMYFUNCTION("""COMPUTED_VALUE"""),"대파")</f>
        <v>대파</v>
      </c>
    </row>
    <row r="2251">
      <c r="A2251" s="2" t="str">
        <f>IFERROR(__xludf.DUMMYFUNCTION("""COMPUTED_VALUE"""),"리소토 먹어보라")</f>
        <v>리소토 먹어보라</v>
      </c>
      <c r="B2251" s="2" t="str">
        <f>IFERROR(__xludf.DUMMYFUNCTION("""COMPUTED_VALUE"""),"마늘")</f>
        <v>마늘</v>
      </c>
    </row>
    <row r="2252">
      <c r="A2252" s="2" t="str">
        <f>IFERROR(__xludf.DUMMYFUNCTION("""COMPUTED_VALUE"""),"리소토 먹어보라")</f>
        <v>리소토 먹어보라</v>
      </c>
      <c r="B2252" s="2" t="str">
        <f>IFERROR(__xludf.DUMMYFUNCTION("""COMPUTED_VALUE"""),"올리브 오일")</f>
        <v>올리브 오일</v>
      </c>
    </row>
    <row r="2253">
      <c r="A2253" s="2" t="str">
        <f>IFERROR(__xludf.DUMMYFUNCTION("""COMPUTED_VALUE"""),"리소토 먹어보라")</f>
        <v>리소토 먹어보라</v>
      </c>
      <c r="B2253" s="2" t="str">
        <f>IFERROR(__xludf.DUMMYFUNCTION("""COMPUTED_VALUE"""),"소금")</f>
        <v>소금</v>
      </c>
    </row>
    <row r="2254">
      <c r="A2254" s="2" t="str">
        <f>IFERROR(__xludf.DUMMYFUNCTION("""COMPUTED_VALUE"""),"리소토 먹어보라")</f>
        <v>리소토 먹어보라</v>
      </c>
      <c r="B2254" s="2" t="str">
        <f>IFERROR(__xludf.DUMMYFUNCTION("""COMPUTED_VALUE"""),"후추")</f>
        <v>후추</v>
      </c>
    </row>
    <row r="2255">
      <c r="A2255" s="2" t="str">
        <f>IFERROR(__xludf.DUMMYFUNCTION("""COMPUTED_VALUE"""),"리소토 먹어보라")</f>
        <v>리소토 먹어보라</v>
      </c>
      <c r="B2255" s="2" t="str">
        <f>IFERROR(__xludf.DUMMYFUNCTION("""COMPUTED_VALUE"""),"즉석밥")</f>
        <v>즉석밥</v>
      </c>
    </row>
    <row r="2256">
      <c r="A2256" s="2" t="str">
        <f>IFERROR(__xludf.DUMMYFUNCTION("""COMPUTED_VALUE"""),"리소토 먹어보라")</f>
        <v>리소토 먹어보라</v>
      </c>
      <c r="B2256" s="2" t="str">
        <f>IFERROR(__xludf.DUMMYFUNCTION("""COMPUTED_VALUE"""),"파르메산 치즈")</f>
        <v>파르메산 치즈</v>
      </c>
    </row>
    <row r="2257">
      <c r="A2257" s="2" t="str">
        <f>IFERROR(__xludf.DUMMYFUNCTION("""COMPUTED_VALUE"""),"리소토 먹어보라")</f>
        <v>리소토 먹어보라</v>
      </c>
      <c r="B2257" s="2" t="str">
        <f>IFERROR(__xludf.DUMMYFUNCTION("""COMPUTED_VALUE"""),"버터")</f>
        <v>버터</v>
      </c>
    </row>
    <row r="2258">
      <c r="A2258" s="2" t="str">
        <f>IFERROR(__xludf.DUMMYFUNCTION("""COMPUTED_VALUE"""),"기세등등갈비")</f>
        <v>기세등등갈비</v>
      </c>
      <c r="B2258" s="2" t="str">
        <f>IFERROR(__xludf.DUMMYFUNCTION("""COMPUTED_VALUE"""),"등갈비")</f>
        <v>등갈비</v>
      </c>
    </row>
    <row r="2259">
      <c r="A2259" s="2" t="str">
        <f>IFERROR(__xludf.DUMMYFUNCTION("""COMPUTED_VALUE"""),"기세등등갈비")</f>
        <v>기세등등갈비</v>
      </c>
      <c r="B2259" s="2" t="str">
        <f>IFERROR(__xludf.DUMMYFUNCTION("""COMPUTED_VALUE"""),"찹쌀")</f>
        <v>찹쌀</v>
      </c>
    </row>
    <row r="2260">
      <c r="A2260" s="2" t="str">
        <f>IFERROR(__xludf.DUMMYFUNCTION("""COMPUTED_VALUE"""),"기세등등갈비")</f>
        <v>기세등등갈비</v>
      </c>
      <c r="B2260" s="2" t="str">
        <f>IFERROR(__xludf.DUMMYFUNCTION("""COMPUTED_VALUE"""),"오이")</f>
        <v>오이</v>
      </c>
    </row>
    <row r="2261">
      <c r="A2261" s="2" t="str">
        <f>IFERROR(__xludf.DUMMYFUNCTION("""COMPUTED_VALUE"""),"기세등등갈비")</f>
        <v>기세등등갈비</v>
      </c>
      <c r="B2261" s="2" t="str">
        <f>IFERROR(__xludf.DUMMYFUNCTION("""COMPUTED_VALUE"""),"간장")</f>
        <v>간장</v>
      </c>
    </row>
    <row r="2262">
      <c r="A2262" s="2" t="str">
        <f>IFERROR(__xludf.DUMMYFUNCTION("""COMPUTED_VALUE"""),"기세등등갈비")</f>
        <v>기세등등갈비</v>
      </c>
      <c r="B2262" s="2" t="str">
        <f>IFERROR(__xludf.DUMMYFUNCTION("""COMPUTED_VALUE"""),"설탕")</f>
        <v>설탕</v>
      </c>
    </row>
    <row r="2263">
      <c r="A2263" s="2" t="str">
        <f>IFERROR(__xludf.DUMMYFUNCTION("""COMPUTED_VALUE"""),"기세등등갈비")</f>
        <v>기세등등갈비</v>
      </c>
      <c r="B2263" s="2" t="str">
        <f>IFERROR(__xludf.DUMMYFUNCTION("""COMPUTED_VALUE"""),"청주")</f>
        <v>청주</v>
      </c>
    </row>
    <row r="2264">
      <c r="A2264" s="2" t="str">
        <f>IFERROR(__xludf.DUMMYFUNCTION("""COMPUTED_VALUE"""),"기세등등갈비")</f>
        <v>기세등등갈비</v>
      </c>
      <c r="B2264" s="2" t="str">
        <f>IFERROR(__xludf.DUMMYFUNCTION("""COMPUTED_VALUE"""),"후추")</f>
        <v>후추</v>
      </c>
    </row>
    <row r="2265">
      <c r="A2265" s="2" t="str">
        <f>IFERROR(__xludf.DUMMYFUNCTION("""COMPUTED_VALUE"""),"기세등등갈비")</f>
        <v>기세등등갈비</v>
      </c>
      <c r="B2265" s="2" t="str">
        <f>IFERROR(__xludf.DUMMYFUNCTION("""COMPUTED_VALUE"""),"대파")</f>
        <v>대파</v>
      </c>
    </row>
    <row r="2266">
      <c r="A2266" s="2" t="str">
        <f>IFERROR(__xludf.DUMMYFUNCTION("""COMPUTED_VALUE"""),"기세등등갈비")</f>
        <v>기세등등갈비</v>
      </c>
      <c r="B2266" s="2" t="str">
        <f>IFERROR(__xludf.DUMMYFUNCTION("""COMPUTED_VALUE"""),"마늘")</f>
        <v>마늘</v>
      </c>
    </row>
    <row r="2267">
      <c r="A2267" s="2" t="str">
        <f>IFERROR(__xludf.DUMMYFUNCTION("""COMPUTED_VALUE"""),"기세등등갈비")</f>
        <v>기세등등갈비</v>
      </c>
      <c r="B2267" s="2" t="str">
        <f>IFERROR(__xludf.DUMMYFUNCTION("""COMPUTED_VALUE"""),"고춧가루")</f>
        <v>고춧가루</v>
      </c>
    </row>
    <row r="2268">
      <c r="A2268" s="2" t="str">
        <f>IFERROR(__xludf.DUMMYFUNCTION("""COMPUTED_VALUE"""),"기세등등갈비")</f>
        <v>기세등등갈비</v>
      </c>
      <c r="B2268" s="2" t="str">
        <f>IFERROR(__xludf.DUMMYFUNCTION("""COMPUTED_VALUE"""),"양파")</f>
        <v>양파</v>
      </c>
    </row>
    <row r="2269">
      <c r="A2269" s="2" t="str">
        <f>IFERROR(__xludf.DUMMYFUNCTION("""COMPUTED_VALUE"""),"기세등등갈비")</f>
        <v>기세등등갈비</v>
      </c>
      <c r="B2269" s="2" t="str">
        <f>IFERROR(__xludf.DUMMYFUNCTION("""COMPUTED_VALUE"""),"식초")</f>
        <v>식초</v>
      </c>
    </row>
    <row r="2270">
      <c r="A2270" s="2" t="str">
        <f>IFERROR(__xludf.DUMMYFUNCTION("""COMPUTED_VALUE"""),"기세등등갈비")</f>
        <v>기세등등갈비</v>
      </c>
      <c r="B2270" s="2" t="str">
        <f>IFERROR(__xludf.DUMMYFUNCTION("""COMPUTED_VALUE"""),"레몬즙")</f>
        <v>레몬즙</v>
      </c>
    </row>
    <row r="2271">
      <c r="A2271" s="2" t="str">
        <f>IFERROR(__xludf.DUMMYFUNCTION("""COMPUTED_VALUE"""),"기세등등갈비")</f>
        <v>기세등등갈비</v>
      </c>
      <c r="B2271" s="2" t="str">
        <f>IFERROR(__xludf.DUMMYFUNCTION("""COMPUTED_VALUE"""),"참기름")</f>
        <v>참기름</v>
      </c>
    </row>
    <row r="2272">
      <c r="A2272" s="2" t="str">
        <f>IFERROR(__xludf.DUMMYFUNCTION("""COMPUTED_VALUE"""),"기세등등갈비")</f>
        <v>기세등등갈비</v>
      </c>
      <c r="B2272" s="2" t="str">
        <f>IFERROR(__xludf.DUMMYFUNCTION("""COMPUTED_VALUE"""),"소금")</f>
        <v>소금</v>
      </c>
    </row>
    <row r="2273">
      <c r="A2273" s="2" t="str">
        <f>IFERROR(__xludf.DUMMYFUNCTION("""COMPUTED_VALUE"""),"등갈빈")</f>
        <v>등갈빈</v>
      </c>
      <c r="B2273" s="2" t="str">
        <f>IFERROR(__xludf.DUMMYFUNCTION("""COMPUTED_VALUE"""),"등갈비")</f>
        <v>등갈비</v>
      </c>
    </row>
    <row r="2274">
      <c r="A2274" s="2" t="str">
        <f>IFERROR(__xludf.DUMMYFUNCTION("""COMPUTED_VALUE"""),"등갈빈")</f>
        <v>등갈빈</v>
      </c>
      <c r="B2274" s="2" t="str">
        <f>IFERROR(__xludf.DUMMYFUNCTION("""COMPUTED_VALUE"""),"김밥용 햄")</f>
        <v>김밥용 햄</v>
      </c>
    </row>
    <row r="2275">
      <c r="A2275" s="2" t="str">
        <f>IFERROR(__xludf.DUMMYFUNCTION("""COMPUTED_VALUE"""),"등갈빈")</f>
        <v>등갈빈</v>
      </c>
      <c r="B2275" s="2" t="str">
        <f>IFERROR(__xludf.DUMMYFUNCTION("""COMPUTED_VALUE"""),"강낭콩 통조림")</f>
        <v>강낭콩 통조림</v>
      </c>
    </row>
    <row r="2276">
      <c r="A2276" s="2" t="str">
        <f>IFERROR(__xludf.DUMMYFUNCTION("""COMPUTED_VALUE"""),"등갈빈")</f>
        <v>등갈빈</v>
      </c>
      <c r="B2276" s="2" t="str">
        <f>IFERROR(__xludf.DUMMYFUNCTION("""COMPUTED_VALUE"""),"옥수수 통조림")</f>
        <v>옥수수 통조림</v>
      </c>
    </row>
    <row r="2277">
      <c r="A2277" s="2" t="str">
        <f>IFERROR(__xludf.DUMMYFUNCTION("""COMPUTED_VALUE"""),"등갈빈")</f>
        <v>등갈빈</v>
      </c>
      <c r="B2277" s="2" t="str">
        <f>IFERROR(__xludf.DUMMYFUNCTION("""COMPUTED_VALUE"""),"부추")</f>
        <v>부추</v>
      </c>
    </row>
    <row r="2278">
      <c r="A2278" s="2" t="str">
        <f>IFERROR(__xludf.DUMMYFUNCTION("""COMPUTED_VALUE"""),"등갈빈")</f>
        <v>등갈빈</v>
      </c>
      <c r="B2278" s="2" t="str">
        <f>IFERROR(__xludf.DUMMYFUNCTION("""COMPUTED_VALUE"""),"오이장아찌")</f>
        <v>오이장아찌</v>
      </c>
    </row>
    <row r="2279">
      <c r="A2279" s="2" t="str">
        <f>IFERROR(__xludf.DUMMYFUNCTION("""COMPUTED_VALUE"""),"등갈빈")</f>
        <v>등갈빈</v>
      </c>
      <c r="B2279" s="2" t="str">
        <f>IFERROR(__xludf.DUMMYFUNCTION("""COMPUTED_VALUE"""),"등갈비 양념")</f>
        <v>등갈비 양념</v>
      </c>
    </row>
    <row r="2280">
      <c r="A2280" s="2" t="str">
        <f>IFERROR(__xludf.DUMMYFUNCTION("""COMPUTED_VALUE"""),"등갈빈")</f>
        <v>등갈빈</v>
      </c>
      <c r="B2280" s="2" t="str">
        <f>IFERROR(__xludf.DUMMYFUNCTION("""COMPUTED_VALUE"""),"올리브 오일")</f>
        <v>올리브 오일</v>
      </c>
    </row>
    <row r="2281">
      <c r="A2281" s="2" t="str">
        <f>IFERROR(__xludf.DUMMYFUNCTION("""COMPUTED_VALUE"""),"등갈빈")</f>
        <v>등갈빈</v>
      </c>
      <c r="B2281" s="2" t="str">
        <f>IFERROR(__xludf.DUMMYFUNCTION("""COMPUTED_VALUE"""),"후추")</f>
        <v>후추</v>
      </c>
    </row>
    <row r="2282">
      <c r="A2282" s="2" t="str">
        <f>IFERROR(__xludf.DUMMYFUNCTION("""COMPUTED_VALUE"""),"등갈빈")</f>
        <v>등갈빈</v>
      </c>
      <c r="B2282" s="2" t="str">
        <f>IFERROR(__xludf.DUMMYFUNCTION("""COMPUTED_VALUE"""),"간장")</f>
        <v>간장</v>
      </c>
    </row>
    <row r="2283">
      <c r="A2283" s="2" t="str">
        <f>IFERROR(__xludf.DUMMYFUNCTION("""COMPUTED_VALUE"""),"등갈빈")</f>
        <v>등갈빈</v>
      </c>
      <c r="B2283" s="2" t="str">
        <f>IFERROR(__xludf.DUMMYFUNCTION("""COMPUTED_VALUE"""),"소금")</f>
        <v>소금</v>
      </c>
    </row>
    <row r="2284">
      <c r="A2284" s="2" t="str">
        <f>IFERROR(__xludf.DUMMYFUNCTION("""COMPUTED_VALUE"""),"등갈빈")</f>
        <v>등갈빈</v>
      </c>
      <c r="B2284" s="2" t="str">
        <f>IFERROR(__xludf.DUMMYFUNCTION("""COMPUTED_VALUE"""),"고추")</f>
        <v>고추</v>
      </c>
    </row>
    <row r="2285">
      <c r="A2285" s="2" t="str">
        <f>IFERROR(__xludf.DUMMYFUNCTION("""COMPUTED_VALUE"""),"등갈빈")</f>
        <v>등갈빈</v>
      </c>
      <c r="B2285" s="2" t="str">
        <f>IFERROR(__xludf.DUMMYFUNCTION("""COMPUTED_VALUE"""),"마늘")</f>
        <v>마늘</v>
      </c>
    </row>
    <row r="2286">
      <c r="A2286" s="2" t="str">
        <f>IFERROR(__xludf.DUMMYFUNCTION("""COMPUTED_VALUE"""),"등갈빈")</f>
        <v>등갈빈</v>
      </c>
      <c r="B2286" s="2" t="str">
        <f>IFERROR(__xludf.DUMMYFUNCTION("""COMPUTED_VALUE"""),"양파")</f>
        <v>양파</v>
      </c>
    </row>
    <row r="2287">
      <c r="A2287" s="2" t="str">
        <f>IFERROR(__xludf.DUMMYFUNCTION("""COMPUTED_VALUE"""),"등갈빈")</f>
        <v>등갈빈</v>
      </c>
      <c r="B2287" s="2" t="str">
        <f>IFERROR(__xludf.DUMMYFUNCTION("""COMPUTED_VALUE"""),"케첩")</f>
        <v>케첩</v>
      </c>
    </row>
    <row r="2288">
      <c r="A2288" s="2" t="str">
        <f>IFERROR(__xludf.DUMMYFUNCTION("""COMPUTED_VALUE"""),"등갈빈")</f>
        <v>등갈빈</v>
      </c>
      <c r="B2288" s="2" t="str">
        <f>IFERROR(__xludf.DUMMYFUNCTION("""COMPUTED_VALUE"""),"버터")</f>
        <v>버터</v>
      </c>
    </row>
    <row r="2289">
      <c r="A2289" s="2" t="str">
        <f>IFERROR(__xludf.DUMMYFUNCTION("""COMPUTED_VALUE"""),"등갈빈")</f>
        <v>등갈빈</v>
      </c>
      <c r="B2289" s="2" t="str">
        <f>IFERROR(__xludf.DUMMYFUNCTION("""COMPUTED_VALUE"""),"레몬즙")</f>
        <v>레몬즙</v>
      </c>
    </row>
    <row r="2290">
      <c r="A2290" s="2" t="str">
        <f>IFERROR(__xludf.DUMMYFUNCTION("""COMPUTED_VALUE"""),"등갈빈")</f>
        <v>등갈빈</v>
      </c>
      <c r="B2290" s="2" t="str">
        <f>IFERROR(__xludf.DUMMYFUNCTION("""COMPUTED_VALUE"""),"핫소스")</f>
        <v>핫소스</v>
      </c>
    </row>
    <row r="2291">
      <c r="A2291" s="2" t="str">
        <f>IFERROR(__xludf.DUMMYFUNCTION("""COMPUTED_VALUE"""),"짱짱면")</f>
        <v>짱짱면</v>
      </c>
      <c r="B2291" s="2" t="str">
        <f>IFERROR(__xludf.DUMMYFUNCTION("""COMPUTED_VALUE"""),"냉이")</f>
        <v>냉이</v>
      </c>
    </row>
    <row r="2292">
      <c r="A2292" s="2" t="str">
        <f>IFERROR(__xludf.DUMMYFUNCTION("""COMPUTED_VALUE"""),"짱짱면")</f>
        <v>짱짱면</v>
      </c>
      <c r="B2292" s="2" t="str">
        <f>IFERROR(__xludf.DUMMYFUNCTION("""COMPUTED_VALUE"""),"삼겹살")</f>
        <v>삼겹살</v>
      </c>
    </row>
    <row r="2293">
      <c r="A2293" s="2" t="str">
        <f>IFERROR(__xludf.DUMMYFUNCTION("""COMPUTED_VALUE"""),"짱짱면")</f>
        <v>짱짱면</v>
      </c>
      <c r="B2293" s="2" t="str">
        <f>IFERROR(__xludf.DUMMYFUNCTION("""COMPUTED_VALUE"""),"창난젓")</f>
        <v>창난젓</v>
      </c>
    </row>
    <row r="2294">
      <c r="A2294" s="2" t="str">
        <f>IFERROR(__xludf.DUMMYFUNCTION("""COMPUTED_VALUE"""),"짱짱면")</f>
        <v>짱짱면</v>
      </c>
      <c r="B2294" s="2" t="str">
        <f>IFERROR(__xludf.DUMMYFUNCTION("""COMPUTED_VALUE"""),"탄탄면 면")</f>
        <v>탄탄면 면</v>
      </c>
    </row>
    <row r="2295">
      <c r="A2295" s="2" t="str">
        <f>IFERROR(__xludf.DUMMYFUNCTION("""COMPUTED_VALUE"""),"짱짱면")</f>
        <v>짱짱면</v>
      </c>
      <c r="B2295" s="2" t="str">
        <f>IFERROR(__xludf.DUMMYFUNCTION("""COMPUTED_VALUE"""),"대파")</f>
        <v>대파</v>
      </c>
    </row>
    <row r="2296">
      <c r="A2296" s="2" t="str">
        <f>IFERROR(__xludf.DUMMYFUNCTION("""COMPUTED_VALUE"""),"짱짱면")</f>
        <v>짱짱면</v>
      </c>
      <c r="B2296" s="2" t="str">
        <f>IFERROR(__xludf.DUMMYFUNCTION("""COMPUTED_VALUE"""),"양파")</f>
        <v>양파</v>
      </c>
    </row>
    <row r="2297">
      <c r="A2297" s="2" t="str">
        <f>IFERROR(__xludf.DUMMYFUNCTION("""COMPUTED_VALUE"""),"짱짱면")</f>
        <v>짱짱면</v>
      </c>
      <c r="B2297" s="2" t="str">
        <f>IFERROR(__xludf.DUMMYFUNCTION("""COMPUTED_VALUE"""),"다진 마늘")</f>
        <v>다진 마늘</v>
      </c>
    </row>
    <row r="2298">
      <c r="A2298" s="2" t="str">
        <f>IFERROR(__xludf.DUMMYFUNCTION("""COMPUTED_VALUE"""),"짱짱면")</f>
        <v>짱짱면</v>
      </c>
      <c r="B2298" s="2" t="str">
        <f>IFERROR(__xludf.DUMMYFUNCTION("""COMPUTED_VALUE"""),"간장")</f>
        <v>간장</v>
      </c>
    </row>
    <row r="2299">
      <c r="A2299" s="2" t="str">
        <f>IFERROR(__xludf.DUMMYFUNCTION("""COMPUTED_VALUE"""),"짱짱면")</f>
        <v>짱짱면</v>
      </c>
      <c r="B2299" s="2" t="str">
        <f>IFERROR(__xludf.DUMMYFUNCTION("""COMPUTED_VALUE"""),"된장")</f>
        <v>된장</v>
      </c>
    </row>
    <row r="2300">
      <c r="A2300" s="2" t="str">
        <f>IFERROR(__xludf.DUMMYFUNCTION("""COMPUTED_VALUE"""),"짱짱면")</f>
        <v>짱짱면</v>
      </c>
      <c r="B2300" s="2" t="str">
        <f>IFERROR(__xludf.DUMMYFUNCTION("""COMPUTED_VALUE"""),"꿀")</f>
        <v>꿀</v>
      </c>
    </row>
    <row r="2301">
      <c r="A2301" s="2" t="str">
        <f>IFERROR(__xludf.DUMMYFUNCTION("""COMPUTED_VALUE"""),"짱짱면")</f>
        <v>짱짱면</v>
      </c>
      <c r="B2301" s="2" t="str">
        <f>IFERROR(__xludf.DUMMYFUNCTION("""COMPUTED_VALUE"""),"소주")</f>
        <v>소주</v>
      </c>
    </row>
    <row r="2302">
      <c r="A2302" s="2" t="str">
        <f>IFERROR(__xludf.DUMMYFUNCTION("""COMPUTED_VALUE"""),"짱짱면")</f>
        <v>짱짱면</v>
      </c>
      <c r="B2302" s="2" t="str">
        <f>IFERROR(__xludf.DUMMYFUNCTION("""COMPUTED_VALUE"""),"전분")</f>
        <v>전분</v>
      </c>
    </row>
    <row r="2303">
      <c r="A2303" s="2" t="str">
        <f>IFERROR(__xludf.DUMMYFUNCTION("""COMPUTED_VALUE"""),"짱짱면")</f>
        <v>짱짱면</v>
      </c>
      <c r="B2303" s="2" t="str">
        <f>IFERROR(__xludf.DUMMYFUNCTION("""COMPUTED_VALUE"""),"깨")</f>
        <v>깨</v>
      </c>
    </row>
    <row r="2304">
      <c r="A2304" s="2" t="str">
        <f>IFERROR(__xludf.DUMMYFUNCTION("""COMPUTED_VALUE"""),"리소토 위~아래 곱창")</f>
        <v>리소토 위~아래 곱창</v>
      </c>
      <c r="B2304" s="2" t="str">
        <f>IFERROR(__xludf.DUMMYFUNCTION("""COMPUTED_VALUE"""),"양념곱창")</f>
        <v>양념곱창</v>
      </c>
    </row>
    <row r="2305">
      <c r="A2305" s="2" t="str">
        <f>IFERROR(__xludf.DUMMYFUNCTION("""COMPUTED_VALUE"""),"리소토 위~아래 곱창")</f>
        <v>리소토 위~아래 곱창</v>
      </c>
      <c r="B2305" s="2" t="str">
        <f>IFERROR(__xludf.DUMMYFUNCTION("""COMPUTED_VALUE"""),"달걀")</f>
        <v>달걀</v>
      </c>
    </row>
    <row r="2306">
      <c r="A2306" s="2" t="str">
        <f>IFERROR(__xludf.DUMMYFUNCTION("""COMPUTED_VALUE"""),"리소토 위~아래 곱창")</f>
        <v>리소토 위~아래 곱창</v>
      </c>
      <c r="B2306" s="2" t="str">
        <f>IFERROR(__xludf.DUMMYFUNCTION("""COMPUTED_VALUE"""),"레몬청")</f>
        <v>레몬청</v>
      </c>
    </row>
    <row r="2307">
      <c r="A2307" s="2" t="str">
        <f>IFERROR(__xludf.DUMMYFUNCTION("""COMPUTED_VALUE"""),"리소토 위~아래 곱창")</f>
        <v>리소토 위~아래 곱창</v>
      </c>
      <c r="B2307" s="2" t="str">
        <f>IFERROR(__xludf.DUMMYFUNCTION("""COMPUTED_VALUE"""),"삼겹살")</f>
        <v>삼겹살</v>
      </c>
    </row>
    <row r="2308">
      <c r="A2308" s="2" t="str">
        <f>IFERROR(__xludf.DUMMYFUNCTION("""COMPUTED_VALUE"""),"리소토 위~아래 곱창")</f>
        <v>리소토 위~아래 곱창</v>
      </c>
      <c r="B2308" s="2" t="str">
        <f>IFERROR(__xludf.DUMMYFUNCTION("""COMPUTED_VALUE"""),"사골육수")</f>
        <v>사골육수</v>
      </c>
    </row>
    <row r="2309">
      <c r="A2309" s="2" t="str">
        <f>IFERROR(__xludf.DUMMYFUNCTION("""COMPUTED_VALUE"""),"리소토 위~아래 곱창")</f>
        <v>리소토 위~아래 곱창</v>
      </c>
      <c r="B2309" s="2" t="str">
        <f>IFERROR(__xludf.DUMMYFUNCTION("""COMPUTED_VALUE"""),"소금")</f>
        <v>소금</v>
      </c>
    </row>
    <row r="2310">
      <c r="A2310" s="2" t="str">
        <f>IFERROR(__xludf.DUMMYFUNCTION("""COMPUTED_VALUE"""),"리소토 위~아래 곱창")</f>
        <v>리소토 위~아래 곱창</v>
      </c>
      <c r="B2310" s="2" t="str">
        <f>IFERROR(__xludf.DUMMYFUNCTION("""COMPUTED_VALUE"""),"양파")</f>
        <v>양파</v>
      </c>
    </row>
    <row r="2311">
      <c r="A2311" s="2" t="str">
        <f>IFERROR(__xludf.DUMMYFUNCTION("""COMPUTED_VALUE"""),"리소토 위~아래 곱창")</f>
        <v>리소토 위~아래 곱창</v>
      </c>
      <c r="B2311" s="2" t="str">
        <f>IFERROR(__xludf.DUMMYFUNCTION("""COMPUTED_VALUE"""),"대파")</f>
        <v>대파</v>
      </c>
    </row>
    <row r="2312">
      <c r="A2312" s="2" t="str">
        <f>IFERROR(__xludf.DUMMYFUNCTION("""COMPUTED_VALUE"""),"리소토 위~아래 곱창")</f>
        <v>리소토 위~아래 곱창</v>
      </c>
      <c r="B2312" s="2" t="str">
        <f>IFERROR(__xludf.DUMMYFUNCTION("""COMPUTED_VALUE"""),"다진 마늘")</f>
        <v>다진 마늘</v>
      </c>
    </row>
    <row r="2313">
      <c r="A2313" s="2" t="str">
        <f>IFERROR(__xludf.DUMMYFUNCTION("""COMPUTED_VALUE"""),"리소토 위~아래 곱창")</f>
        <v>리소토 위~아래 곱창</v>
      </c>
      <c r="B2313" s="2" t="str">
        <f>IFERROR(__xludf.DUMMYFUNCTION("""COMPUTED_VALUE"""),"즉석밥")</f>
        <v>즉석밥</v>
      </c>
    </row>
    <row r="2314">
      <c r="A2314" s="2" t="str">
        <f>IFERROR(__xludf.DUMMYFUNCTION("""COMPUTED_VALUE"""),"리소토 위~아래 곱창")</f>
        <v>리소토 위~아래 곱창</v>
      </c>
      <c r="B2314" s="2" t="str">
        <f>IFERROR(__xludf.DUMMYFUNCTION("""COMPUTED_VALUE"""),"후추")</f>
        <v>후추</v>
      </c>
    </row>
    <row r="2315">
      <c r="A2315" s="2" t="str">
        <f>IFERROR(__xludf.DUMMYFUNCTION("""COMPUTED_VALUE"""),"리소토 위~아래 곱창")</f>
        <v>리소토 위~아래 곱창</v>
      </c>
      <c r="B2315" s="2" t="str">
        <f>IFERROR(__xludf.DUMMYFUNCTION("""COMPUTED_VALUE"""),"버터")</f>
        <v>버터</v>
      </c>
    </row>
    <row r="2316">
      <c r="A2316" s="2" t="str">
        <f>IFERROR(__xludf.DUMMYFUNCTION("""COMPUTED_VALUE"""),"리소토 위~아래 곱창")</f>
        <v>리소토 위~아래 곱창</v>
      </c>
      <c r="B2316" s="2" t="str">
        <f>IFERROR(__xludf.DUMMYFUNCTION("""COMPUTED_VALUE"""),"대파")</f>
        <v>대파</v>
      </c>
    </row>
    <row r="2317">
      <c r="A2317" s="2" t="str">
        <f>IFERROR(__xludf.DUMMYFUNCTION("""COMPUTED_VALUE"""),"리소토 위~아래 곱창")</f>
        <v>리소토 위~아래 곱창</v>
      </c>
      <c r="B2317" s="2" t="str">
        <f>IFERROR(__xludf.DUMMYFUNCTION("""COMPUTED_VALUE"""),"참기름")</f>
        <v>참기름</v>
      </c>
    </row>
    <row r="2318">
      <c r="A2318" s="2" t="str">
        <f>IFERROR(__xludf.DUMMYFUNCTION("""COMPUTED_VALUE"""),"풍기명란 토스트")</f>
        <v>풍기명란 토스트</v>
      </c>
      <c r="B2318" s="2" t="str">
        <f>IFERROR(__xludf.DUMMYFUNCTION("""COMPUTED_VALUE"""),"명란젓")</f>
        <v>명란젓</v>
      </c>
    </row>
    <row r="2319">
      <c r="A2319" s="2" t="str">
        <f>IFERROR(__xludf.DUMMYFUNCTION("""COMPUTED_VALUE"""),"풍기명란 토스트")</f>
        <v>풍기명란 토스트</v>
      </c>
      <c r="B2319" s="2" t="str">
        <f>IFERROR(__xludf.DUMMYFUNCTION("""COMPUTED_VALUE"""),"달걀")</f>
        <v>달걀</v>
      </c>
    </row>
    <row r="2320">
      <c r="A2320" s="2" t="str">
        <f>IFERROR(__xludf.DUMMYFUNCTION("""COMPUTED_VALUE"""),"풍기명란 토스트")</f>
        <v>풍기명란 토스트</v>
      </c>
      <c r="B2320" s="2" t="str">
        <f>IFERROR(__xludf.DUMMYFUNCTION("""COMPUTED_VALUE"""),"우유")</f>
        <v>우유</v>
      </c>
    </row>
    <row r="2321">
      <c r="A2321" s="2" t="str">
        <f>IFERROR(__xludf.DUMMYFUNCTION("""COMPUTED_VALUE"""),"풍기명란 토스트")</f>
        <v>풍기명란 토스트</v>
      </c>
      <c r="B2321" s="2" t="str">
        <f>IFERROR(__xludf.DUMMYFUNCTION("""COMPUTED_VALUE"""),"식빵")</f>
        <v>식빵</v>
      </c>
    </row>
    <row r="2322">
      <c r="A2322" s="2" t="str">
        <f>IFERROR(__xludf.DUMMYFUNCTION("""COMPUTED_VALUE"""),"풍기명란 토스트")</f>
        <v>풍기명란 토스트</v>
      </c>
      <c r="B2322" s="2" t="str">
        <f>IFERROR(__xludf.DUMMYFUNCTION("""COMPUTED_VALUE"""),"밀가루")</f>
        <v>밀가루</v>
      </c>
    </row>
    <row r="2323">
      <c r="A2323" s="2" t="str">
        <f>IFERROR(__xludf.DUMMYFUNCTION("""COMPUTED_VALUE"""),"풍기명란 토스트")</f>
        <v>풍기명란 토스트</v>
      </c>
      <c r="B2323" s="2" t="str">
        <f>IFERROR(__xludf.DUMMYFUNCTION("""COMPUTED_VALUE"""),"양파")</f>
        <v>양파</v>
      </c>
    </row>
    <row r="2324">
      <c r="A2324" s="2" t="str">
        <f>IFERROR(__xludf.DUMMYFUNCTION("""COMPUTED_VALUE"""),"풍기명란 토스트")</f>
        <v>풍기명란 토스트</v>
      </c>
      <c r="B2324" s="2" t="str">
        <f>IFERROR(__xludf.DUMMYFUNCTION("""COMPUTED_VALUE"""),"청양고추")</f>
        <v>청양고추</v>
      </c>
    </row>
    <row r="2325">
      <c r="A2325" s="2" t="str">
        <f>IFERROR(__xludf.DUMMYFUNCTION("""COMPUTED_VALUE"""),"풍기명란 토스트")</f>
        <v>풍기명란 토스트</v>
      </c>
      <c r="B2325" s="2" t="str">
        <f>IFERROR(__xludf.DUMMYFUNCTION("""COMPUTED_VALUE"""),"마늘")</f>
        <v>마늘</v>
      </c>
    </row>
    <row r="2326">
      <c r="A2326" s="2" t="str">
        <f>IFERROR(__xludf.DUMMYFUNCTION("""COMPUTED_VALUE"""),"풍기명란 토스트")</f>
        <v>풍기명란 토스트</v>
      </c>
      <c r="B2326" s="2" t="str">
        <f>IFERROR(__xludf.DUMMYFUNCTION("""COMPUTED_VALUE"""),"소금")</f>
        <v>소금</v>
      </c>
    </row>
    <row r="2327">
      <c r="A2327" s="2" t="str">
        <f>IFERROR(__xludf.DUMMYFUNCTION("""COMPUTED_VALUE"""),"풍기명란 토스트")</f>
        <v>풍기명란 토스트</v>
      </c>
      <c r="B2327" s="2" t="str">
        <f>IFERROR(__xludf.DUMMYFUNCTION("""COMPUTED_VALUE"""),"마요네즈")</f>
        <v>마요네즈</v>
      </c>
    </row>
    <row r="2328">
      <c r="A2328" s="2" t="str">
        <f>IFERROR(__xludf.DUMMYFUNCTION("""COMPUTED_VALUE"""),"창난하니?")</f>
        <v>창난하니?</v>
      </c>
      <c r="B2328" s="2" t="str">
        <f>IFERROR(__xludf.DUMMYFUNCTION("""COMPUTED_VALUE"""),"삼겹살")</f>
        <v>삼겹살</v>
      </c>
    </row>
    <row r="2329">
      <c r="A2329" s="2" t="str">
        <f>IFERROR(__xludf.DUMMYFUNCTION("""COMPUTED_VALUE"""),"창난하니?")</f>
        <v>창난하니?</v>
      </c>
      <c r="B2329" s="2" t="str">
        <f>IFERROR(__xludf.DUMMYFUNCTION("""COMPUTED_VALUE"""),"창난젓")</f>
        <v>창난젓</v>
      </c>
    </row>
    <row r="2330">
      <c r="A2330" s="2" t="str">
        <f>IFERROR(__xludf.DUMMYFUNCTION("""COMPUTED_VALUE"""),"창난하니?")</f>
        <v>창난하니?</v>
      </c>
      <c r="B2330" s="2" t="str">
        <f>IFERROR(__xludf.DUMMYFUNCTION("""COMPUTED_VALUE"""),"탄탄면 면")</f>
        <v>탄탄면 면</v>
      </c>
    </row>
    <row r="2331">
      <c r="A2331" s="2" t="str">
        <f>IFERROR(__xludf.DUMMYFUNCTION("""COMPUTED_VALUE"""),"창난하니?")</f>
        <v>창난하니?</v>
      </c>
      <c r="B2331" s="2" t="str">
        <f>IFERROR(__xludf.DUMMYFUNCTION("""COMPUTED_VALUE"""),"소금")</f>
        <v>소금</v>
      </c>
    </row>
    <row r="2332">
      <c r="A2332" s="2" t="str">
        <f>IFERROR(__xludf.DUMMYFUNCTION("""COMPUTED_VALUE"""),"창난하니?")</f>
        <v>창난하니?</v>
      </c>
      <c r="B2332" s="2" t="str">
        <f>IFERROR(__xludf.DUMMYFUNCTION("""COMPUTED_VALUE"""),"후추")</f>
        <v>후추</v>
      </c>
    </row>
    <row r="2333">
      <c r="A2333" s="2" t="str">
        <f>IFERROR(__xludf.DUMMYFUNCTION("""COMPUTED_VALUE"""),"창난하니?")</f>
        <v>창난하니?</v>
      </c>
      <c r="B2333" s="2" t="str">
        <f>IFERROR(__xludf.DUMMYFUNCTION("""COMPUTED_VALUE"""),"다진 마늘")</f>
        <v>다진 마늘</v>
      </c>
    </row>
    <row r="2334">
      <c r="A2334" s="2" t="str">
        <f>IFERROR(__xludf.DUMMYFUNCTION("""COMPUTED_VALUE"""),"창난하니?")</f>
        <v>창난하니?</v>
      </c>
      <c r="B2334" s="2" t="str">
        <f>IFERROR(__xludf.DUMMYFUNCTION("""COMPUTED_VALUE"""),"청주")</f>
        <v>청주</v>
      </c>
    </row>
    <row r="2335">
      <c r="A2335" s="2" t="str">
        <f>IFERROR(__xludf.DUMMYFUNCTION("""COMPUTED_VALUE"""),"창난하니?")</f>
        <v>창난하니?</v>
      </c>
      <c r="B2335" s="2" t="str">
        <f>IFERROR(__xludf.DUMMYFUNCTION("""COMPUTED_VALUE"""),"대파")</f>
        <v>대파</v>
      </c>
    </row>
    <row r="2336">
      <c r="A2336" s="2" t="str">
        <f>IFERROR(__xludf.DUMMYFUNCTION("""COMPUTED_VALUE"""),"창난하니?")</f>
        <v>창난하니?</v>
      </c>
      <c r="B2336" s="2" t="str">
        <f>IFERROR(__xludf.DUMMYFUNCTION("""COMPUTED_VALUE"""),"참기름")</f>
        <v>참기름</v>
      </c>
    </row>
    <row r="2337">
      <c r="A2337" s="2" t="str">
        <f>IFERROR(__xludf.DUMMYFUNCTION("""COMPUTED_VALUE"""),"입에 불레리나")</f>
        <v>입에 불레리나</v>
      </c>
      <c r="B2337" s="2" t="str">
        <f>IFERROR(__xludf.DUMMYFUNCTION("""COMPUTED_VALUE"""),"전복")</f>
        <v>전복</v>
      </c>
    </row>
    <row r="2338">
      <c r="A2338" s="2" t="str">
        <f>IFERROR(__xludf.DUMMYFUNCTION("""COMPUTED_VALUE"""),"입에 불레리나")</f>
        <v>입에 불레리나</v>
      </c>
      <c r="B2338" s="2" t="str">
        <f>IFERROR(__xludf.DUMMYFUNCTION("""COMPUTED_VALUE"""),"채소육수 파우더")</f>
        <v>채소육수 파우더</v>
      </c>
    </row>
    <row r="2339">
      <c r="A2339" s="2" t="str">
        <f>IFERROR(__xludf.DUMMYFUNCTION("""COMPUTED_VALUE"""),"입에 불레리나")</f>
        <v>입에 불레리나</v>
      </c>
      <c r="B2339" s="2" t="str">
        <f>IFERROR(__xludf.DUMMYFUNCTION("""COMPUTED_VALUE"""),"두부")</f>
        <v>두부</v>
      </c>
    </row>
    <row r="2340">
      <c r="A2340" s="2" t="str">
        <f>IFERROR(__xludf.DUMMYFUNCTION("""COMPUTED_VALUE"""),"입에 불레리나")</f>
        <v>입에 불레리나</v>
      </c>
      <c r="B2340" s="2" t="str">
        <f>IFERROR(__xludf.DUMMYFUNCTION("""COMPUTED_VALUE"""),"강황가루")</f>
        <v>강황가루</v>
      </c>
    </row>
    <row r="2341">
      <c r="A2341" s="2" t="str">
        <f>IFERROR(__xludf.DUMMYFUNCTION("""COMPUTED_VALUE"""),"입에 불레리나")</f>
        <v>입에 불레리나</v>
      </c>
      <c r="B2341" s="2" t="str">
        <f>IFERROR(__xludf.DUMMYFUNCTION("""COMPUTED_VALUE"""),"낙지")</f>
        <v>낙지</v>
      </c>
    </row>
    <row r="2342">
      <c r="A2342" s="2" t="str">
        <f>IFERROR(__xludf.DUMMYFUNCTION("""COMPUTED_VALUE"""),"입에 불레리나")</f>
        <v>입에 불레리나</v>
      </c>
      <c r="B2342" s="2" t="str">
        <f>IFERROR(__xludf.DUMMYFUNCTION("""COMPUTED_VALUE"""),"새우")</f>
        <v>새우</v>
      </c>
    </row>
    <row r="2343">
      <c r="A2343" s="2" t="str">
        <f>IFERROR(__xludf.DUMMYFUNCTION("""COMPUTED_VALUE"""),"입에 불레리나")</f>
        <v>입에 불레리나</v>
      </c>
      <c r="B2343" s="2" t="str">
        <f>IFERROR(__xludf.DUMMYFUNCTION("""COMPUTED_VALUE"""),"달걀")</f>
        <v>달걀</v>
      </c>
    </row>
    <row r="2344">
      <c r="A2344" s="2" t="str">
        <f>IFERROR(__xludf.DUMMYFUNCTION("""COMPUTED_VALUE"""),"입에 불레리나")</f>
        <v>입에 불레리나</v>
      </c>
      <c r="B2344" s="2" t="str">
        <f>IFERROR(__xludf.DUMMYFUNCTION("""COMPUTED_VALUE"""),"고춧가루")</f>
        <v>고춧가루</v>
      </c>
    </row>
    <row r="2345">
      <c r="A2345" s="2" t="str">
        <f>IFERROR(__xludf.DUMMYFUNCTION("""COMPUTED_VALUE"""),"입에 불레리나")</f>
        <v>입에 불레리나</v>
      </c>
      <c r="B2345" s="2" t="str">
        <f>IFERROR(__xludf.DUMMYFUNCTION("""COMPUTED_VALUE"""),"양파")</f>
        <v>양파</v>
      </c>
    </row>
    <row r="2346">
      <c r="A2346" s="2" t="str">
        <f>IFERROR(__xludf.DUMMYFUNCTION("""COMPUTED_VALUE"""),"입에 불레리나")</f>
        <v>입에 불레리나</v>
      </c>
      <c r="B2346" s="2" t="str">
        <f>IFERROR(__xludf.DUMMYFUNCTION("""COMPUTED_VALUE"""),"레몬")</f>
        <v>레몬</v>
      </c>
    </row>
    <row r="2347">
      <c r="A2347" s="2" t="str">
        <f>IFERROR(__xludf.DUMMYFUNCTION("""COMPUTED_VALUE"""),"입에 불레리나")</f>
        <v>입에 불레리나</v>
      </c>
      <c r="B2347" s="2" t="str">
        <f>IFERROR(__xludf.DUMMYFUNCTION("""COMPUTED_VALUE"""),"대파")</f>
        <v>대파</v>
      </c>
    </row>
    <row r="2348">
      <c r="A2348" s="2" t="str">
        <f>IFERROR(__xludf.DUMMYFUNCTION("""COMPUTED_VALUE"""),"입에 불레리나")</f>
        <v>입에 불레리나</v>
      </c>
      <c r="B2348" s="2" t="str">
        <f>IFERROR(__xludf.DUMMYFUNCTION("""COMPUTED_VALUE"""),"다진 마늘")</f>
        <v>다진 마늘</v>
      </c>
    </row>
    <row r="2349">
      <c r="A2349" s="2" t="str">
        <f>IFERROR(__xludf.DUMMYFUNCTION("""COMPUTED_VALUE"""),"입에 불레리나")</f>
        <v>입에 불레리나</v>
      </c>
      <c r="B2349" s="2" t="str">
        <f>IFERROR(__xludf.DUMMYFUNCTION("""COMPUTED_VALUE"""),"화이트 와인")</f>
        <v>화이트 와인</v>
      </c>
    </row>
    <row r="2350">
      <c r="A2350" s="2" t="str">
        <f>IFERROR(__xludf.DUMMYFUNCTION("""COMPUTED_VALUE"""),"입에 불레리나")</f>
        <v>입에 불레리나</v>
      </c>
      <c r="B2350" s="2" t="str">
        <f>IFERROR(__xludf.DUMMYFUNCTION("""COMPUTED_VALUE"""),"청양고추")</f>
        <v>청양고추</v>
      </c>
    </row>
    <row r="2351">
      <c r="A2351" s="2" t="str">
        <f>IFERROR(__xludf.DUMMYFUNCTION("""COMPUTED_VALUE"""),"입에 불레리나")</f>
        <v>입에 불레리나</v>
      </c>
      <c r="B2351" s="2" t="str">
        <f>IFERROR(__xludf.DUMMYFUNCTION("""COMPUTED_VALUE"""),"핫소스")</f>
        <v>핫소스</v>
      </c>
    </row>
    <row r="2352">
      <c r="A2352" s="2" t="str">
        <f>IFERROR(__xludf.DUMMYFUNCTION("""COMPUTED_VALUE"""),"입에 불레리나")</f>
        <v>입에 불레리나</v>
      </c>
      <c r="B2352" s="2" t="str">
        <f>IFERROR(__xludf.DUMMYFUNCTION("""COMPUTED_VALUE"""),"고추냉이")</f>
        <v>고추냉이</v>
      </c>
    </row>
    <row r="2353">
      <c r="A2353" s="2" t="str">
        <f>IFERROR(__xludf.DUMMYFUNCTION("""COMPUTED_VALUE"""),"입에 불레리나")</f>
        <v>입에 불레리나</v>
      </c>
      <c r="B2353" s="2" t="str">
        <f>IFERROR(__xludf.DUMMYFUNCTION("""COMPUTED_VALUE"""),"꿀")</f>
        <v>꿀</v>
      </c>
    </row>
    <row r="2354">
      <c r="A2354" s="2" t="str">
        <f>IFERROR(__xludf.DUMMYFUNCTION("""COMPUTED_VALUE"""),"입에 불레리나")</f>
        <v>입에 불레리나</v>
      </c>
      <c r="B2354" s="2" t="str">
        <f>IFERROR(__xludf.DUMMYFUNCTION("""COMPUTED_VALUE"""),"간장")</f>
        <v>간장</v>
      </c>
    </row>
    <row r="2355">
      <c r="A2355" s="2" t="str">
        <f>IFERROR(__xludf.DUMMYFUNCTION("""COMPUTED_VALUE"""),"불새닭")</f>
        <v>불새닭</v>
      </c>
      <c r="B2355" s="2" t="str">
        <f>IFERROR(__xludf.DUMMYFUNCTION("""COMPUTED_VALUE"""),"닭가슴살")</f>
        <v>닭가슴살</v>
      </c>
    </row>
    <row r="2356">
      <c r="A2356" s="2" t="str">
        <f>IFERROR(__xludf.DUMMYFUNCTION("""COMPUTED_VALUE"""),"불새닭")</f>
        <v>불새닭</v>
      </c>
      <c r="B2356" s="2" t="str">
        <f>IFERROR(__xludf.DUMMYFUNCTION("""COMPUTED_VALUE"""),"새우")</f>
        <v>새우</v>
      </c>
    </row>
    <row r="2357">
      <c r="A2357" s="2" t="str">
        <f>IFERROR(__xludf.DUMMYFUNCTION("""COMPUTED_VALUE"""),"불새닭")</f>
        <v>불새닭</v>
      </c>
      <c r="B2357" s="2" t="str">
        <f>IFERROR(__xludf.DUMMYFUNCTION("""COMPUTED_VALUE"""),"복숭아잼")</f>
        <v>복숭아잼</v>
      </c>
    </row>
    <row r="2358">
      <c r="A2358" s="2" t="str">
        <f>IFERROR(__xludf.DUMMYFUNCTION("""COMPUTED_VALUE"""),"불새닭")</f>
        <v>불새닭</v>
      </c>
      <c r="B2358" s="2" t="str">
        <f>IFERROR(__xludf.DUMMYFUNCTION("""COMPUTED_VALUE"""),"월남쌈용 채소")</f>
        <v>월남쌈용 채소</v>
      </c>
    </row>
    <row r="2359">
      <c r="A2359" s="2" t="str">
        <f>IFERROR(__xludf.DUMMYFUNCTION("""COMPUTED_VALUE"""),"불새닭")</f>
        <v>불새닭</v>
      </c>
      <c r="B2359" s="2" t="str">
        <f>IFERROR(__xludf.DUMMYFUNCTION("""COMPUTED_VALUE"""),"빵")</f>
        <v>빵</v>
      </c>
    </row>
    <row r="2360">
      <c r="A2360" s="2" t="str">
        <f>IFERROR(__xludf.DUMMYFUNCTION("""COMPUTED_VALUE"""),"불새닭")</f>
        <v>불새닭</v>
      </c>
      <c r="B2360" s="2" t="str">
        <f>IFERROR(__xludf.DUMMYFUNCTION("""COMPUTED_VALUE"""),"대파")</f>
        <v>대파</v>
      </c>
    </row>
    <row r="2361">
      <c r="A2361" s="2" t="str">
        <f>IFERROR(__xludf.DUMMYFUNCTION("""COMPUTED_VALUE"""),"불새닭")</f>
        <v>불새닭</v>
      </c>
      <c r="B2361" s="2" t="str">
        <f>IFERROR(__xludf.DUMMYFUNCTION("""COMPUTED_VALUE"""),"소금")</f>
        <v>소금</v>
      </c>
    </row>
    <row r="2362">
      <c r="A2362" s="2" t="str">
        <f>IFERROR(__xludf.DUMMYFUNCTION("""COMPUTED_VALUE"""),"불새닭")</f>
        <v>불새닭</v>
      </c>
      <c r="B2362" s="2" t="str">
        <f>IFERROR(__xludf.DUMMYFUNCTION("""COMPUTED_VALUE"""),"청양고추")</f>
        <v>청양고추</v>
      </c>
    </row>
    <row r="2363">
      <c r="A2363" s="2" t="str">
        <f>IFERROR(__xludf.DUMMYFUNCTION("""COMPUTED_VALUE"""),"불새닭")</f>
        <v>불새닭</v>
      </c>
      <c r="B2363" s="2" t="str">
        <f>IFERROR(__xludf.DUMMYFUNCTION("""COMPUTED_VALUE"""),"양파")</f>
        <v>양파</v>
      </c>
    </row>
    <row r="2364">
      <c r="A2364" s="2" t="str">
        <f>IFERROR(__xludf.DUMMYFUNCTION("""COMPUTED_VALUE"""),"불새닭")</f>
        <v>불새닭</v>
      </c>
      <c r="B2364" s="2" t="str">
        <f>IFERROR(__xludf.DUMMYFUNCTION("""COMPUTED_VALUE"""),"마요네즈")</f>
        <v>마요네즈</v>
      </c>
    </row>
    <row r="2365">
      <c r="A2365" s="2" t="str">
        <f>IFERROR(__xludf.DUMMYFUNCTION("""COMPUTED_VALUE"""),"불새닭")</f>
        <v>불새닭</v>
      </c>
      <c r="B2365" s="2" t="str">
        <f>IFERROR(__xludf.DUMMYFUNCTION("""COMPUTED_VALUE"""),"간장")</f>
        <v>간장</v>
      </c>
    </row>
    <row r="2366">
      <c r="A2366" s="2" t="str">
        <f>IFERROR(__xludf.DUMMYFUNCTION("""COMPUTED_VALUE"""),"불새닭")</f>
        <v>불새닭</v>
      </c>
      <c r="B2366" s="2" t="str">
        <f>IFERROR(__xludf.DUMMYFUNCTION("""COMPUTED_VALUE"""),"설탕")</f>
        <v>설탕</v>
      </c>
    </row>
    <row r="2367">
      <c r="A2367" s="2" t="str">
        <f>IFERROR(__xludf.DUMMYFUNCTION("""COMPUTED_VALUE"""),"불새닭")</f>
        <v>불새닭</v>
      </c>
      <c r="B2367" s="2" t="str">
        <f>IFERROR(__xludf.DUMMYFUNCTION("""COMPUTED_VALUE"""),"올리브 오일")</f>
        <v>올리브 오일</v>
      </c>
    </row>
    <row r="2368">
      <c r="A2368" s="2" t="str">
        <f>IFERROR(__xludf.DUMMYFUNCTION("""COMPUTED_VALUE"""),"유 캔 플라이롤")</f>
        <v>유 캔 플라이롤</v>
      </c>
      <c r="B2368" s="2" t="str">
        <f>IFERROR(__xludf.DUMMYFUNCTION("""COMPUTED_VALUE"""),"펜네")</f>
        <v>펜네</v>
      </c>
    </row>
    <row r="2369">
      <c r="A2369" s="2" t="str">
        <f>IFERROR(__xludf.DUMMYFUNCTION("""COMPUTED_VALUE"""),"유 캔 플라이롤")</f>
        <v>유 캔 플라이롤</v>
      </c>
      <c r="B2369" s="2" t="str">
        <f>IFERROR(__xludf.DUMMYFUNCTION("""COMPUTED_VALUE"""),"연어")</f>
        <v>연어</v>
      </c>
    </row>
    <row r="2370">
      <c r="A2370" s="2" t="str">
        <f>IFERROR(__xludf.DUMMYFUNCTION("""COMPUTED_VALUE"""),"유 캔 플라이롤")</f>
        <v>유 캔 플라이롤</v>
      </c>
      <c r="B2370" s="2" t="str">
        <f>IFERROR(__xludf.DUMMYFUNCTION("""COMPUTED_VALUE"""),"바나나")</f>
        <v>바나나</v>
      </c>
    </row>
    <row r="2371">
      <c r="A2371" s="2" t="str">
        <f>IFERROR(__xludf.DUMMYFUNCTION("""COMPUTED_VALUE"""),"유 캔 플라이롤")</f>
        <v>유 캔 플라이롤</v>
      </c>
      <c r="B2371" s="2" t="str">
        <f>IFERROR(__xludf.DUMMYFUNCTION("""COMPUTED_VALUE"""),"아보카도")</f>
        <v>아보카도</v>
      </c>
    </row>
    <row r="2372">
      <c r="A2372" s="2" t="str">
        <f>IFERROR(__xludf.DUMMYFUNCTION("""COMPUTED_VALUE"""),"유 캔 플라이롤")</f>
        <v>유 캔 플라이롤</v>
      </c>
      <c r="B2372" s="2" t="str">
        <f>IFERROR(__xludf.DUMMYFUNCTION("""COMPUTED_VALUE"""),"케일")</f>
        <v>케일</v>
      </c>
    </row>
    <row r="2373">
      <c r="A2373" s="2" t="str">
        <f>IFERROR(__xludf.DUMMYFUNCTION("""COMPUTED_VALUE"""),"유 캔 플라이롤")</f>
        <v>유 캔 플라이롤</v>
      </c>
      <c r="B2373" s="2" t="str">
        <f>IFERROR(__xludf.DUMMYFUNCTION("""COMPUTED_VALUE"""),"오이")</f>
        <v>오이</v>
      </c>
    </row>
    <row r="2374">
      <c r="A2374" s="2" t="str">
        <f>IFERROR(__xludf.DUMMYFUNCTION("""COMPUTED_VALUE"""),"유 캔 플라이롤")</f>
        <v>유 캔 플라이롤</v>
      </c>
      <c r="B2374" s="2" t="str">
        <f>IFERROR(__xludf.DUMMYFUNCTION("""COMPUTED_VALUE"""),"플레인 요거트")</f>
        <v>플레인 요거트</v>
      </c>
    </row>
    <row r="2375">
      <c r="A2375" s="2" t="str">
        <f>IFERROR(__xludf.DUMMYFUNCTION("""COMPUTED_VALUE"""),"유 캔 플라이롤")</f>
        <v>유 캔 플라이롤</v>
      </c>
      <c r="B2375" s="2" t="str">
        <f>IFERROR(__xludf.DUMMYFUNCTION("""COMPUTED_VALUE"""),"블루베리잼")</f>
        <v>블루베리잼</v>
      </c>
    </row>
    <row r="2376">
      <c r="A2376" s="2" t="str">
        <f>IFERROR(__xludf.DUMMYFUNCTION("""COMPUTED_VALUE"""),"유 캔 플라이롤")</f>
        <v>유 캔 플라이롤</v>
      </c>
      <c r="B2376" s="2" t="str">
        <f>IFERROR(__xludf.DUMMYFUNCTION("""COMPUTED_VALUE"""),"딸기잼")</f>
        <v>딸기잼</v>
      </c>
    </row>
    <row r="2377">
      <c r="A2377" s="2" t="str">
        <f>IFERROR(__xludf.DUMMYFUNCTION("""COMPUTED_VALUE"""),"유 캔 플라이롤")</f>
        <v>유 캔 플라이롤</v>
      </c>
      <c r="B2377" s="2" t="str">
        <f>IFERROR(__xludf.DUMMYFUNCTION("""COMPUTED_VALUE"""),"레몬")</f>
        <v>레몬</v>
      </c>
    </row>
    <row r="2378">
      <c r="A2378" s="2" t="str">
        <f>IFERROR(__xludf.DUMMYFUNCTION("""COMPUTED_VALUE"""),"유 캔 플라이롤")</f>
        <v>유 캔 플라이롤</v>
      </c>
      <c r="B2378" s="2" t="str">
        <f>IFERROR(__xludf.DUMMYFUNCTION("""COMPUTED_VALUE"""),"소금")</f>
        <v>소금</v>
      </c>
    </row>
    <row r="2379">
      <c r="A2379" s="2" t="str">
        <f>IFERROR(__xludf.DUMMYFUNCTION("""COMPUTED_VALUE"""),"유 캔 플라이롤")</f>
        <v>유 캔 플라이롤</v>
      </c>
      <c r="B2379" s="2" t="str">
        <f>IFERROR(__xludf.DUMMYFUNCTION("""COMPUTED_VALUE"""),"후추")</f>
        <v>후추</v>
      </c>
    </row>
    <row r="2380">
      <c r="A2380" s="2" t="str">
        <f>IFERROR(__xludf.DUMMYFUNCTION("""COMPUTED_VALUE"""),"유 캔 플라이롤")</f>
        <v>유 캔 플라이롤</v>
      </c>
      <c r="B2380" s="2" t="str">
        <f>IFERROR(__xludf.DUMMYFUNCTION("""COMPUTED_VALUE"""),"레몬")</f>
        <v>레몬</v>
      </c>
    </row>
    <row r="2381">
      <c r="A2381" s="2" t="str">
        <f>IFERROR(__xludf.DUMMYFUNCTION("""COMPUTED_VALUE"""),"연어 타다익선")</f>
        <v>연어 타다익선</v>
      </c>
      <c r="B2381" s="2" t="str">
        <f>IFERROR(__xludf.DUMMYFUNCTION("""COMPUTED_VALUE"""),"방울토마토")</f>
        <v>방울토마토</v>
      </c>
    </row>
    <row r="2382">
      <c r="A2382" s="2" t="str">
        <f>IFERROR(__xludf.DUMMYFUNCTION("""COMPUTED_VALUE"""),"연어 타다익선")</f>
        <v>연어 타다익선</v>
      </c>
      <c r="B2382" s="2" t="str">
        <f>IFERROR(__xludf.DUMMYFUNCTION("""COMPUTED_VALUE"""),"두부")</f>
        <v>두부</v>
      </c>
    </row>
    <row r="2383">
      <c r="A2383" s="2" t="str">
        <f>IFERROR(__xludf.DUMMYFUNCTION("""COMPUTED_VALUE"""),"연어 타다익선")</f>
        <v>연어 타다익선</v>
      </c>
      <c r="B2383" s="2" t="str">
        <f>IFERROR(__xludf.DUMMYFUNCTION("""COMPUTED_VALUE"""),"아보카도")</f>
        <v>아보카도</v>
      </c>
    </row>
    <row r="2384">
      <c r="A2384" s="2" t="str">
        <f>IFERROR(__xludf.DUMMYFUNCTION("""COMPUTED_VALUE"""),"연어 타다익선")</f>
        <v>연어 타다익선</v>
      </c>
      <c r="B2384" s="2" t="str">
        <f>IFERROR(__xludf.DUMMYFUNCTION("""COMPUTED_VALUE"""),"연어")</f>
        <v>연어</v>
      </c>
    </row>
    <row r="2385">
      <c r="A2385" s="2" t="str">
        <f>IFERROR(__xludf.DUMMYFUNCTION("""COMPUTED_VALUE"""),"연어 타다익선")</f>
        <v>연어 타다익선</v>
      </c>
      <c r="B2385" s="2" t="str">
        <f>IFERROR(__xludf.DUMMYFUNCTION("""COMPUTED_VALUE"""),"꿀")</f>
        <v>꿀</v>
      </c>
    </row>
    <row r="2386">
      <c r="A2386" s="2" t="str">
        <f>IFERROR(__xludf.DUMMYFUNCTION("""COMPUTED_VALUE"""),"연어 타다익선")</f>
        <v>연어 타다익선</v>
      </c>
      <c r="B2386" s="2" t="str">
        <f>IFERROR(__xludf.DUMMYFUNCTION("""COMPUTED_VALUE"""),"간장")</f>
        <v>간장</v>
      </c>
    </row>
    <row r="2387">
      <c r="A2387" s="2" t="str">
        <f>IFERROR(__xludf.DUMMYFUNCTION("""COMPUTED_VALUE"""),"연어 타다익선")</f>
        <v>연어 타다익선</v>
      </c>
      <c r="B2387" s="2" t="str">
        <f>IFERROR(__xludf.DUMMYFUNCTION("""COMPUTED_VALUE"""),"맛술")</f>
        <v>맛술</v>
      </c>
    </row>
    <row r="2388">
      <c r="A2388" s="2" t="str">
        <f>IFERROR(__xludf.DUMMYFUNCTION("""COMPUTED_VALUE"""),"연어 타다익선")</f>
        <v>연어 타다익선</v>
      </c>
      <c r="B2388" s="2" t="str">
        <f>IFERROR(__xludf.DUMMYFUNCTION("""COMPUTED_VALUE"""),"청주")</f>
        <v>청주</v>
      </c>
    </row>
    <row r="2389">
      <c r="A2389" s="2" t="str">
        <f>IFERROR(__xludf.DUMMYFUNCTION("""COMPUTED_VALUE"""),"연어 타다익선")</f>
        <v>연어 타다익선</v>
      </c>
      <c r="B2389" s="2" t="str">
        <f>IFERROR(__xludf.DUMMYFUNCTION("""COMPUTED_VALUE"""),"설탕")</f>
        <v>설탕</v>
      </c>
    </row>
    <row r="2390">
      <c r="A2390" s="2" t="str">
        <f>IFERROR(__xludf.DUMMYFUNCTION("""COMPUTED_VALUE"""),"연어 타다익선")</f>
        <v>연어 타다익선</v>
      </c>
      <c r="B2390" s="2" t="str">
        <f>IFERROR(__xludf.DUMMYFUNCTION("""COMPUTED_VALUE"""),"양파")</f>
        <v>양파</v>
      </c>
    </row>
    <row r="2391">
      <c r="A2391" s="2" t="str">
        <f>IFERROR(__xludf.DUMMYFUNCTION("""COMPUTED_VALUE"""),"연어 타다익선")</f>
        <v>연어 타다익선</v>
      </c>
      <c r="B2391" s="2" t="str">
        <f>IFERROR(__xludf.DUMMYFUNCTION("""COMPUTED_VALUE"""),"올리브 오일")</f>
        <v>올리브 오일</v>
      </c>
    </row>
    <row r="2392">
      <c r="A2392" s="2" t="str">
        <f>IFERROR(__xludf.DUMMYFUNCTION("""COMPUTED_VALUE"""),"연어 타다익선")</f>
        <v>연어 타다익선</v>
      </c>
      <c r="B2392" s="2" t="str">
        <f>IFERROR(__xludf.DUMMYFUNCTION("""COMPUTED_VALUE"""),"소금")</f>
        <v>소금</v>
      </c>
    </row>
    <row r="2393">
      <c r="A2393" s="2" t="str">
        <f>IFERROR(__xludf.DUMMYFUNCTION("""COMPUTED_VALUE"""),"연어 타다익선")</f>
        <v>연어 타다익선</v>
      </c>
      <c r="B2393" s="2" t="str">
        <f>IFERROR(__xludf.DUMMYFUNCTION("""COMPUTED_VALUE"""),"식초")</f>
        <v>식초</v>
      </c>
    </row>
    <row r="2394">
      <c r="A2394" s="2" t="str">
        <f>IFERROR(__xludf.DUMMYFUNCTION("""COMPUTED_VALUE"""),"연어 타다익선")</f>
        <v>연어 타다익선</v>
      </c>
      <c r="B2394" s="2" t="str">
        <f>IFERROR(__xludf.DUMMYFUNCTION("""COMPUTED_VALUE"""),"와사비")</f>
        <v>와사비</v>
      </c>
    </row>
    <row r="2395">
      <c r="A2395" s="2" t="str">
        <f>IFERROR(__xludf.DUMMYFUNCTION("""COMPUTED_VALUE"""),"연어 타다익선")</f>
        <v>연어 타다익선</v>
      </c>
      <c r="B2395" s="2" t="str">
        <f>IFERROR(__xludf.DUMMYFUNCTION("""COMPUTED_VALUE"""),"간장")</f>
        <v>간장</v>
      </c>
    </row>
    <row r="2396">
      <c r="A2396" s="2" t="str">
        <f>IFERROR(__xludf.DUMMYFUNCTION("""COMPUTED_VALUE"""),"햄복한 밥")</f>
        <v>햄복한 밥</v>
      </c>
      <c r="B2396" s="2" t="str">
        <f>IFERROR(__xludf.DUMMYFUNCTION("""COMPUTED_VALUE"""),"즉석밥")</f>
        <v>즉석밥</v>
      </c>
    </row>
    <row r="2397">
      <c r="A2397" s="2" t="str">
        <f>IFERROR(__xludf.DUMMYFUNCTION("""COMPUTED_VALUE"""),"햄복한 밥")</f>
        <v>햄복한 밥</v>
      </c>
      <c r="B2397" s="2" t="str">
        <f>IFERROR(__xludf.DUMMYFUNCTION("""COMPUTED_VALUE"""),"차돌박이")</f>
        <v>차돌박이</v>
      </c>
    </row>
    <row r="2398">
      <c r="A2398" s="2" t="str">
        <f>IFERROR(__xludf.DUMMYFUNCTION("""COMPUTED_VALUE"""),"햄복한 밥")</f>
        <v>햄복한 밥</v>
      </c>
      <c r="B2398" s="2" t="str">
        <f>IFERROR(__xludf.DUMMYFUNCTION("""COMPUTED_VALUE"""),"달걀")</f>
        <v>달걀</v>
      </c>
    </row>
    <row r="2399">
      <c r="A2399" s="2" t="str">
        <f>IFERROR(__xludf.DUMMYFUNCTION("""COMPUTED_VALUE"""),"햄복한 밥")</f>
        <v>햄복한 밥</v>
      </c>
      <c r="B2399" s="2" t="str">
        <f>IFERROR(__xludf.DUMMYFUNCTION("""COMPUTED_VALUE"""),"소시지")</f>
        <v>소시지</v>
      </c>
    </row>
    <row r="2400">
      <c r="A2400" s="2" t="str">
        <f>IFERROR(__xludf.DUMMYFUNCTION("""COMPUTED_VALUE"""),"햄복한 밥")</f>
        <v>햄복한 밥</v>
      </c>
      <c r="B2400" s="2" t="str">
        <f>IFERROR(__xludf.DUMMYFUNCTION("""COMPUTED_VALUE"""),"통조림햄")</f>
        <v>통조림햄</v>
      </c>
    </row>
    <row r="2401">
      <c r="A2401" s="2" t="str">
        <f>IFERROR(__xludf.DUMMYFUNCTION("""COMPUTED_VALUE"""),"햄복한 밥")</f>
        <v>햄복한 밥</v>
      </c>
      <c r="B2401" s="2" t="str">
        <f>IFERROR(__xludf.DUMMYFUNCTION("""COMPUTED_VALUE"""),"양파")</f>
        <v>양파</v>
      </c>
    </row>
    <row r="2402">
      <c r="A2402" s="2" t="str">
        <f>IFERROR(__xludf.DUMMYFUNCTION("""COMPUTED_VALUE"""),"햄복한 밥")</f>
        <v>햄복한 밥</v>
      </c>
      <c r="B2402" s="2" t="str">
        <f>IFERROR(__xludf.DUMMYFUNCTION("""COMPUTED_VALUE"""),"당근")</f>
        <v>당근</v>
      </c>
    </row>
    <row r="2403">
      <c r="A2403" s="2" t="str">
        <f>IFERROR(__xludf.DUMMYFUNCTION("""COMPUTED_VALUE"""),"햄복한 밥")</f>
        <v>햄복한 밥</v>
      </c>
      <c r="B2403" s="2" t="str">
        <f>IFERROR(__xludf.DUMMYFUNCTION("""COMPUTED_VALUE"""),"대파")</f>
        <v>대파</v>
      </c>
    </row>
    <row r="2404">
      <c r="A2404" s="2" t="str">
        <f>IFERROR(__xludf.DUMMYFUNCTION("""COMPUTED_VALUE"""),"햄복한 밥")</f>
        <v>햄복한 밥</v>
      </c>
      <c r="B2404" s="2" t="str">
        <f>IFERROR(__xludf.DUMMYFUNCTION("""COMPUTED_VALUE"""),"마늘")</f>
        <v>마늘</v>
      </c>
    </row>
    <row r="2405">
      <c r="A2405" s="2" t="str">
        <f>IFERROR(__xludf.DUMMYFUNCTION("""COMPUTED_VALUE"""),"햄복한 밥")</f>
        <v>햄복한 밥</v>
      </c>
      <c r="B2405" s="2" t="str">
        <f>IFERROR(__xludf.DUMMYFUNCTION("""COMPUTED_VALUE"""),"간장")</f>
        <v>간장</v>
      </c>
    </row>
    <row r="2406">
      <c r="A2406" s="2" t="str">
        <f>IFERROR(__xludf.DUMMYFUNCTION("""COMPUTED_VALUE"""),"햄복한 밥")</f>
        <v>햄복한 밥</v>
      </c>
      <c r="B2406" s="2" t="str">
        <f>IFERROR(__xludf.DUMMYFUNCTION("""COMPUTED_VALUE"""),"전분")</f>
        <v>전분</v>
      </c>
    </row>
    <row r="2407">
      <c r="A2407" s="2" t="str">
        <f>IFERROR(__xludf.DUMMYFUNCTION("""COMPUTED_VALUE"""),"불량식풍")</f>
        <v>불량식풍</v>
      </c>
      <c r="B2407" s="2" t="str">
        <f>IFERROR(__xludf.DUMMYFUNCTION("""COMPUTED_VALUE"""),"즉석밥")</f>
        <v>즉석밥</v>
      </c>
    </row>
    <row r="2408">
      <c r="A2408" s="2" t="str">
        <f>IFERROR(__xludf.DUMMYFUNCTION("""COMPUTED_VALUE"""),"불량식풍")</f>
        <v>불량식풍</v>
      </c>
      <c r="B2408" s="2" t="str">
        <f>IFERROR(__xludf.DUMMYFUNCTION("""COMPUTED_VALUE"""),"달걀")</f>
        <v>달걀</v>
      </c>
    </row>
    <row r="2409">
      <c r="A2409" s="2" t="str">
        <f>IFERROR(__xludf.DUMMYFUNCTION("""COMPUTED_VALUE"""),"불량식풍")</f>
        <v>불량식풍</v>
      </c>
      <c r="B2409" s="2" t="str">
        <f>IFERROR(__xludf.DUMMYFUNCTION("""COMPUTED_VALUE"""),"맥주")</f>
        <v>맥주</v>
      </c>
    </row>
    <row r="2410">
      <c r="A2410" s="2" t="str">
        <f>IFERROR(__xludf.DUMMYFUNCTION("""COMPUTED_VALUE"""),"불량식풍")</f>
        <v>불량식풍</v>
      </c>
      <c r="B2410" s="2" t="str">
        <f>IFERROR(__xludf.DUMMYFUNCTION("""COMPUTED_VALUE"""),"통조림햄")</f>
        <v>통조림햄</v>
      </c>
    </row>
    <row r="2411">
      <c r="A2411" s="2" t="str">
        <f>IFERROR(__xludf.DUMMYFUNCTION("""COMPUTED_VALUE"""),"불량식풍")</f>
        <v>불량식풍</v>
      </c>
      <c r="B2411" s="2" t="str">
        <f>IFERROR(__xludf.DUMMYFUNCTION("""COMPUTED_VALUE"""),"밀가루")</f>
        <v>밀가루</v>
      </c>
    </row>
    <row r="2412">
      <c r="A2412" s="2" t="str">
        <f>IFERROR(__xludf.DUMMYFUNCTION("""COMPUTED_VALUE"""),"불량식풍")</f>
        <v>불량식풍</v>
      </c>
      <c r="B2412" s="2" t="str">
        <f>IFERROR(__xludf.DUMMYFUNCTION("""COMPUTED_VALUE"""),"전분")</f>
        <v>전분</v>
      </c>
    </row>
    <row r="2413">
      <c r="A2413" s="2" t="str">
        <f>IFERROR(__xludf.DUMMYFUNCTION("""COMPUTED_VALUE"""),"불량식풍")</f>
        <v>불량식풍</v>
      </c>
      <c r="B2413" s="2" t="str">
        <f>IFERROR(__xludf.DUMMYFUNCTION("""COMPUTED_VALUE"""),"소금")</f>
        <v>소금</v>
      </c>
    </row>
    <row r="2414">
      <c r="A2414" s="2" t="str">
        <f>IFERROR(__xludf.DUMMYFUNCTION("""COMPUTED_VALUE"""),"불량식풍")</f>
        <v>불량식풍</v>
      </c>
      <c r="B2414" s="2" t="str">
        <f>IFERROR(__xludf.DUMMYFUNCTION("""COMPUTED_VALUE"""),"후추")</f>
        <v>후추</v>
      </c>
    </row>
    <row r="2415">
      <c r="A2415" s="2" t="str">
        <f>IFERROR(__xludf.DUMMYFUNCTION("""COMPUTED_VALUE"""),"불량식풍")</f>
        <v>불량식풍</v>
      </c>
      <c r="B2415" s="2" t="str">
        <f>IFERROR(__xludf.DUMMYFUNCTION("""COMPUTED_VALUE"""),"설탕")</f>
        <v>설탕</v>
      </c>
    </row>
    <row r="2416">
      <c r="A2416" s="2" t="str">
        <f>IFERROR(__xludf.DUMMYFUNCTION("""COMPUTED_VALUE"""),"불량식풍")</f>
        <v>불량식풍</v>
      </c>
      <c r="B2416" s="2" t="str">
        <f>IFERROR(__xludf.DUMMYFUNCTION("""COMPUTED_VALUE"""),"식용유")</f>
        <v>식용유</v>
      </c>
    </row>
    <row r="2417">
      <c r="A2417" s="2" t="str">
        <f>IFERROR(__xludf.DUMMYFUNCTION("""COMPUTED_VALUE"""),"불량식풍")</f>
        <v>불량식풍</v>
      </c>
      <c r="B2417" s="2" t="str">
        <f>IFERROR(__xludf.DUMMYFUNCTION("""COMPUTED_VALUE"""),"참깨")</f>
        <v>참깨</v>
      </c>
    </row>
    <row r="2418">
      <c r="A2418" s="2" t="str">
        <f>IFERROR(__xludf.DUMMYFUNCTION("""COMPUTED_VALUE"""),"불량식풍")</f>
        <v>불량식풍</v>
      </c>
      <c r="B2418" s="2" t="str">
        <f>IFERROR(__xludf.DUMMYFUNCTION("""COMPUTED_VALUE"""),"간장")</f>
        <v>간장</v>
      </c>
    </row>
    <row r="2419">
      <c r="A2419" s="2" t="str">
        <f>IFERROR(__xludf.DUMMYFUNCTION("""COMPUTED_VALUE"""),"불량식풍")</f>
        <v>불량식풍</v>
      </c>
      <c r="B2419" s="2" t="str">
        <f>IFERROR(__xludf.DUMMYFUNCTION("""COMPUTED_VALUE"""),"마요네즈")</f>
        <v>마요네즈</v>
      </c>
    </row>
    <row r="2420">
      <c r="A2420" s="2" t="str">
        <f>IFERROR(__xludf.DUMMYFUNCTION("""COMPUTED_VALUE"""),"불량식풍")</f>
        <v>불량식풍</v>
      </c>
      <c r="B2420" s="2" t="str">
        <f>IFERROR(__xludf.DUMMYFUNCTION("""COMPUTED_VALUE"""),"다진 마늘")</f>
        <v>다진 마늘</v>
      </c>
    </row>
    <row r="2421">
      <c r="A2421" s="2" t="str">
        <f>IFERROR(__xludf.DUMMYFUNCTION("""COMPUTED_VALUE"""),"불량식풍")</f>
        <v>불량식풍</v>
      </c>
      <c r="B2421" s="2" t="str">
        <f>IFERROR(__xludf.DUMMYFUNCTION("""COMPUTED_VALUE"""),"연겨자")</f>
        <v>연겨자</v>
      </c>
    </row>
    <row r="2422">
      <c r="A2422" s="2" t="str">
        <f>IFERROR(__xludf.DUMMYFUNCTION("""COMPUTED_VALUE"""),"3점 슛테이크")</f>
        <v>3점 슛테이크</v>
      </c>
      <c r="B2422" s="2" t="str">
        <f>IFERROR(__xludf.DUMMYFUNCTION("""COMPUTED_VALUE"""),"등심")</f>
        <v>등심</v>
      </c>
    </row>
    <row r="2423">
      <c r="A2423" s="2" t="str">
        <f>IFERROR(__xludf.DUMMYFUNCTION("""COMPUTED_VALUE"""),"3점 슛테이크")</f>
        <v>3점 슛테이크</v>
      </c>
      <c r="B2423" s="2" t="str">
        <f>IFERROR(__xludf.DUMMYFUNCTION("""COMPUTED_VALUE"""),"양파")</f>
        <v>양파</v>
      </c>
    </row>
    <row r="2424">
      <c r="A2424" s="2" t="str">
        <f>IFERROR(__xludf.DUMMYFUNCTION("""COMPUTED_VALUE"""),"3점 슛테이크")</f>
        <v>3점 슛테이크</v>
      </c>
      <c r="B2424" s="2" t="str">
        <f>IFERROR(__xludf.DUMMYFUNCTION("""COMPUTED_VALUE"""),"당근")</f>
        <v>당근</v>
      </c>
    </row>
    <row r="2425">
      <c r="A2425" s="2" t="str">
        <f>IFERROR(__xludf.DUMMYFUNCTION("""COMPUTED_VALUE"""),"3점 슛테이크")</f>
        <v>3점 슛테이크</v>
      </c>
      <c r="B2425" s="2" t="str">
        <f>IFERROR(__xludf.DUMMYFUNCTION("""COMPUTED_VALUE"""),"대파")</f>
        <v>대파</v>
      </c>
    </row>
    <row r="2426">
      <c r="A2426" s="2" t="str">
        <f>IFERROR(__xludf.DUMMYFUNCTION("""COMPUTED_VALUE"""),"3점 슛테이크")</f>
        <v>3점 슛테이크</v>
      </c>
      <c r="B2426" s="2" t="str">
        <f>IFERROR(__xludf.DUMMYFUNCTION("""COMPUTED_VALUE"""),"올리브 오일")</f>
        <v>올리브 오일</v>
      </c>
    </row>
    <row r="2427">
      <c r="A2427" s="2" t="str">
        <f>IFERROR(__xludf.DUMMYFUNCTION("""COMPUTED_VALUE"""),"3점 슛테이크")</f>
        <v>3점 슛테이크</v>
      </c>
      <c r="B2427" s="2" t="str">
        <f>IFERROR(__xludf.DUMMYFUNCTION("""COMPUTED_VALUE"""),"소금")</f>
        <v>소금</v>
      </c>
    </row>
    <row r="2428">
      <c r="A2428" s="2" t="str">
        <f>IFERROR(__xludf.DUMMYFUNCTION("""COMPUTED_VALUE"""),"3점 슛테이크")</f>
        <v>3점 슛테이크</v>
      </c>
      <c r="B2428" s="2" t="str">
        <f>IFERROR(__xludf.DUMMYFUNCTION("""COMPUTED_VALUE"""),"후추")</f>
        <v>후추</v>
      </c>
    </row>
    <row r="2429">
      <c r="A2429" s="2" t="str">
        <f>IFERROR(__xludf.DUMMYFUNCTION("""COMPUTED_VALUE"""),"3점 슛테이크")</f>
        <v>3점 슛테이크</v>
      </c>
      <c r="B2429" s="2" t="str">
        <f>IFERROR(__xludf.DUMMYFUNCTION("""COMPUTED_VALUE"""),"밀가루")</f>
        <v>밀가루</v>
      </c>
    </row>
    <row r="2430">
      <c r="A2430" s="2" t="str">
        <f>IFERROR(__xludf.DUMMYFUNCTION("""COMPUTED_VALUE"""),"3점 슛테이크")</f>
        <v>3점 슛테이크</v>
      </c>
      <c r="B2430" s="2" t="str">
        <f>IFERROR(__xludf.DUMMYFUNCTION("""COMPUTED_VALUE"""),"파르메산 치즈")</f>
        <v>파르메산 치즈</v>
      </c>
    </row>
    <row r="2431">
      <c r="A2431" s="2" t="str">
        <f>IFERROR(__xludf.DUMMYFUNCTION("""COMPUTED_VALUE"""),"3점 슛테이크")</f>
        <v>3점 슛테이크</v>
      </c>
      <c r="B2431" s="2" t="str">
        <f>IFERROR(__xludf.DUMMYFUNCTION("""COMPUTED_VALUE"""),"버터")</f>
        <v>버터</v>
      </c>
    </row>
    <row r="2432">
      <c r="A2432" s="2" t="str">
        <f>IFERROR(__xludf.DUMMYFUNCTION("""COMPUTED_VALUE"""),"아이스테키")</f>
        <v>아이스테키</v>
      </c>
      <c r="B2432" s="2" t="str">
        <f>IFERROR(__xludf.DUMMYFUNCTION("""COMPUTED_VALUE"""),"달걀")</f>
        <v>달걀</v>
      </c>
    </row>
    <row r="2433">
      <c r="A2433" s="2" t="str">
        <f>IFERROR(__xludf.DUMMYFUNCTION("""COMPUTED_VALUE"""),"아이스테키")</f>
        <v>아이스테키</v>
      </c>
      <c r="B2433" s="2" t="str">
        <f>IFERROR(__xludf.DUMMYFUNCTION("""COMPUTED_VALUE"""),"마카다미아 아이스크림")</f>
        <v>마카다미아 아이스크림</v>
      </c>
    </row>
    <row r="2434">
      <c r="A2434" s="2" t="str">
        <f>IFERROR(__xludf.DUMMYFUNCTION("""COMPUTED_VALUE"""),"아이스테키")</f>
        <v>아이스테키</v>
      </c>
      <c r="B2434" s="2" t="str">
        <f>IFERROR(__xludf.DUMMYFUNCTION("""COMPUTED_VALUE"""),"채끝살")</f>
        <v>채끝살</v>
      </c>
    </row>
    <row r="2435">
      <c r="A2435" s="2" t="str">
        <f>IFERROR(__xludf.DUMMYFUNCTION("""COMPUTED_VALUE"""),"아이스테키")</f>
        <v>아이스테키</v>
      </c>
      <c r="B2435" s="2" t="str">
        <f>IFERROR(__xludf.DUMMYFUNCTION("""COMPUTED_VALUE"""),"올리브 오일")</f>
        <v>올리브 오일</v>
      </c>
    </row>
    <row r="2436">
      <c r="A2436" s="2" t="str">
        <f>IFERROR(__xludf.DUMMYFUNCTION("""COMPUTED_VALUE"""),"아이스테키")</f>
        <v>아이스테키</v>
      </c>
      <c r="B2436" s="2" t="str">
        <f>IFERROR(__xludf.DUMMYFUNCTION("""COMPUTED_VALUE"""),"다진 마늘")</f>
        <v>다진 마늘</v>
      </c>
    </row>
    <row r="2437">
      <c r="A2437" s="2" t="str">
        <f>IFERROR(__xludf.DUMMYFUNCTION("""COMPUTED_VALUE"""),"아이스테키")</f>
        <v>아이스테키</v>
      </c>
      <c r="B2437" s="2" t="str">
        <f>IFERROR(__xludf.DUMMYFUNCTION("""COMPUTED_VALUE"""),"후추")</f>
        <v>후추</v>
      </c>
    </row>
    <row r="2438">
      <c r="A2438" s="2" t="str">
        <f>IFERROR(__xludf.DUMMYFUNCTION("""COMPUTED_VALUE"""),"아이스테키")</f>
        <v>아이스테키</v>
      </c>
      <c r="B2438" s="2" t="str">
        <f>IFERROR(__xludf.DUMMYFUNCTION("""COMPUTED_VALUE"""),"소금")</f>
        <v>소금</v>
      </c>
    </row>
    <row r="2439">
      <c r="A2439" s="2" t="str">
        <f>IFERROR(__xludf.DUMMYFUNCTION("""COMPUTED_VALUE"""),"아이스테키")</f>
        <v>아이스테키</v>
      </c>
      <c r="B2439" s="2" t="str">
        <f>IFERROR(__xludf.DUMMYFUNCTION("""COMPUTED_VALUE"""),"간장")</f>
        <v>간장</v>
      </c>
    </row>
    <row r="2440">
      <c r="A2440" s="2" t="str">
        <f>IFERROR(__xludf.DUMMYFUNCTION("""COMPUTED_VALUE"""),"아이스테키")</f>
        <v>아이스테키</v>
      </c>
      <c r="B2440" s="2" t="str">
        <f>IFERROR(__xludf.DUMMYFUNCTION("""COMPUTED_VALUE"""),"대파")</f>
        <v>대파</v>
      </c>
    </row>
    <row r="2441">
      <c r="A2441" s="2" t="str">
        <f>IFERROR(__xludf.DUMMYFUNCTION("""COMPUTED_VALUE"""),"아이스테키")</f>
        <v>아이스테키</v>
      </c>
      <c r="B2441" s="2" t="str">
        <f>IFERROR(__xludf.DUMMYFUNCTION("""COMPUTED_VALUE"""),"양파")</f>
        <v>양파</v>
      </c>
    </row>
    <row r="2442">
      <c r="A2442" s="2" t="str">
        <f>IFERROR(__xludf.DUMMYFUNCTION("""COMPUTED_VALUE"""),"가슴이 심쿵해")</f>
        <v>가슴이 심쿵해</v>
      </c>
      <c r="B2442" s="2" t="str">
        <f>IFERROR(__xludf.DUMMYFUNCTION("""COMPUTED_VALUE"""),"닭가슴살")</f>
        <v>닭가슴살</v>
      </c>
    </row>
    <row r="2443">
      <c r="A2443" s="2" t="str">
        <f>IFERROR(__xludf.DUMMYFUNCTION("""COMPUTED_VALUE"""),"가슴이 심쿵해")</f>
        <v>가슴이 심쿵해</v>
      </c>
      <c r="B2443" s="2" t="str">
        <f>IFERROR(__xludf.DUMMYFUNCTION("""COMPUTED_VALUE"""),"파슬리")</f>
        <v>파슬리</v>
      </c>
    </row>
    <row r="2444">
      <c r="A2444" s="2" t="str">
        <f>IFERROR(__xludf.DUMMYFUNCTION("""COMPUTED_VALUE"""),"가슴이 심쿵해")</f>
        <v>가슴이 심쿵해</v>
      </c>
      <c r="B2444" s="2" t="str">
        <f>IFERROR(__xludf.DUMMYFUNCTION("""COMPUTED_VALUE"""),"애호박")</f>
        <v>애호박</v>
      </c>
    </row>
    <row r="2445">
      <c r="A2445" s="2" t="str">
        <f>IFERROR(__xludf.DUMMYFUNCTION("""COMPUTED_VALUE"""),"가슴이 심쿵해")</f>
        <v>가슴이 심쿵해</v>
      </c>
      <c r="B2445" s="2" t="str">
        <f>IFERROR(__xludf.DUMMYFUNCTION("""COMPUTED_VALUE"""),"양파")</f>
        <v>양파</v>
      </c>
    </row>
    <row r="2446">
      <c r="A2446" s="2" t="str">
        <f>IFERROR(__xludf.DUMMYFUNCTION("""COMPUTED_VALUE"""),"가슴이 심쿵해")</f>
        <v>가슴이 심쿵해</v>
      </c>
      <c r="B2446" s="2" t="str">
        <f>IFERROR(__xludf.DUMMYFUNCTION("""COMPUTED_VALUE"""),"발사믹 드레싱")</f>
        <v>발사믹 드레싱</v>
      </c>
    </row>
    <row r="2447">
      <c r="A2447" s="2" t="str">
        <f>IFERROR(__xludf.DUMMYFUNCTION("""COMPUTED_VALUE"""),"가슴이 심쿵해")</f>
        <v>가슴이 심쿵해</v>
      </c>
      <c r="B2447" s="2" t="str">
        <f>IFERROR(__xludf.DUMMYFUNCTION("""COMPUTED_VALUE"""),"후추")</f>
        <v>후추</v>
      </c>
    </row>
    <row r="2448">
      <c r="A2448" s="2" t="str">
        <f>IFERROR(__xludf.DUMMYFUNCTION("""COMPUTED_VALUE"""),"가슴이 심쿵해")</f>
        <v>가슴이 심쿵해</v>
      </c>
      <c r="B2448" s="2" t="str">
        <f>IFERROR(__xludf.DUMMYFUNCTION("""COMPUTED_VALUE"""),"소금")</f>
        <v>소금</v>
      </c>
    </row>
    <row r="2449">
      <c r="A2449" s="2" t="str">
        <f>IFERROR(__xludf.DUMMYFUNCTION("""COMPUTED_VALUE"""),"가슴이 심쿵해")</f>
        <v>가슴이 심쿵해</v>
      </c>
      <c r="B2449" s="2" t="str">
        <f>IFERROR(__xludf.DUMMYFUNCTION("""COMPUTED_VALUE"""),"올리브 오일")</f>
        <v>올리브 오일</v>
      </c>
    </row>
    <row r="2450">
      <c r="A2450" s="2" t="str">
        <f>IFERROR(__xludf.DUMMYFUNCTION("""COMPUTED_VALUE"""),"가슴이 심쿵해")</f>
        <v>가슴이 심쿵해</v>
      </c>
      <c r="B2450" s="2" t="str">
        <f>IFERROR(__xludf.DUMMYFUNCTION("""COMPUTED_VALUE"""),"설탕")</f>
        <v>설탕</v>
      </c>
    </row>
    <row r="2451">
      <c r="A2451" s="2" t="str">
        <f>IFERROR(__xludf.DUMMYFUNCTION("""COMPUTED_VALUE"""),"가슴이 심쿵해")</f>
        <v>가슴이 심쿵해</v>
      </c>
      <c r="B2451" s="2" t="str">
        <f>IFERROR(__xludf.DUMMYFUNCTION("""COMPUTED_VALUE"""),"양파")</f>
        <v>양파</v>
      </c>
    </row>
    <row r="2452">
      <c r="A2452" s="2" t="str">
        <f>IFERROR(__xludf.DUMMYFUNCTION("""COMPUTED_VALUE"""),"가슴이 심쿵해")</f>
        <v>가슴이 심쿵해</v>
      </c>
      <c r="B2452" s="2" t="str">
        <f>IFERROR(__xludf.DUMMYFUNCTION("""COMPUTED_VALUE"""),"꿀")</f>
        <v>꿀</v>
      </c>
    </row>
    <row r="2453">
      <c r="A2453" s="2" t="str">
        <f>IFERROR(__xludf.DUMMYFUNCTION("""COMPUTED_VALUE"""),"가슴이 심쿵해")</f>
        <v>가슴이 심쿵해</v>
      </c>
      <c r="B2453" s="2" t="str">
        <f>IFERROR(__xludf.DUMMYFUNCTION("""COMPUTED_VALUE"""),"다진 마늘")</f>
        <v>다진 마늘</v>
      </c>
    </row>
    <row r="2454">
      <c r="A2454" s="2" t="str">
        <f>IFERROR(__xludf.DUMMYFUNCTION("""COMPUTED_VALUE"""),"가슴이 심쿵해")</f>
        <v>가슴이 심쿵해</v>
      </c>
      <c r="B2454" s="2" t="str">
        <f>IFERROR(__xludf.DUMMYFUNCTION("""COMPUTED_VALUE"""),"양파")</f>
        <v>양파</v>
      </c>
    </row>
    <row r="2455">
      <c r="A2455" s="2" t="str">
        <f>IFERROR(__xludf.DUMMYFUNCTION("""COMPUTED_VALUE"""),"돈달돈달 + 여보 밥 안 안치니?")</f>
        <v>돈달돈달 + 여보 밥 안 안치니?</v>
      </c>
      <c r="B2455" s="2" t="str">
        <f>IFERROR(__xludf.DUMMYFUNCTION("""COMPUTED_VALUE"""),"멸치볶음")</f>
        <v>멸치볶음</v>
      </c>
    </row>
    <row r="2456">
      <c r="A2456" s="2" t="str">
        <f>IFERROR(__xludf.DUMMYFUNCTION("""COMPUTED_VALUE"""),"돈달돈달 + 여보 밥 안 안치니?")</f>
        <v>돈달돈달 + 여보 밥 안 안치니?</v>
      </c>
      <c r="B2456" s="2" t="str">
        <f>IFERROR(__xludf.DUMMYFUNCTION("""COMPUTED_VALUE"""),"방울토마토")</f>
        <v>방울토마토</v>
      </c>
    </row>
    <row r="2457">
      <c r="A2457" s="2" t="str">
        <f>IFERROR(__xludf.DUMMYFUNCTION("""COMPUTED_VALUE"""),"돈달돈달 + 여보 밥 안 안치니?")</f>
        <v>돈달돈달 + 여보 밥 안 안치니?</v>
      </c>
      <c r="B2457" s="2" t="str">
        <f>IFERROR(__xludf.DUMMYFUNCTION("""COMPUTED_VALUE"""),"식빵")</f>
        <v>식빵</v>
      </c>
    </row>
    <row r="2458">
      <c r="A2458" s="2" t="str">
        <f>IFERROR(__xludf.DUMMYFUNCTION("""COMPUTED_VALUE"""),"돈달돈달 + 여보 밥 안 안치니?")</f>
        <v>돈달돈달 + 여보 밥 안 안치니?</v>
      </c>
      <c r="B2458" s="2" t="str">
        <f>IFERROR(__xludf.DUMMYFUNCTION("""COMPUTED_VALUE"""),"곰탕라면")</f>
        <v>곰탕라면</v>
      </c>
    </row>
    <row r="2459">
      <c r="A2459" s="2" t="str">
        <f>IFERROR(__xludf.DUMMYFUNCTION("""COMPUTED_VALUE"""),"돈달돈달 + 여보 밥 안 안치니?")</f>
        <v>돈달돈달 + 여보 밥 안 안치니?</v>
      </c>
      <c r="B2459" s="2" t="str">
        <f>IFERROR(__xludf.DUMMYFUNCTION("""COMPUTED_VALUE"""),"달걀")</f>
        <v>달걀</v>
      </c>
    </row>
    <row r="2460">
      <c r="A2460" s="2" t="str">
        <f>IFERROR(__xludf.DUMMYFUNCTION("""COMPUTED_VALUE"""),"돈달돈달 + 여보 밥 안 안치니?")</f>
        <v>돈달돈달 + 여보 밥 안 안치니?</v>
      </c>
      <c r="B2460" s="2" t="str">
        <f>IFERROR(__xludf.DUMMYFUNCTION("""COMPUTED_VALUE"""),"마늘")</f>
        <v>마늘</v>
      </c>
    </row>
    <row r="2461">
      <c r="A2461" s="2" t="str">
        <f>IFERROR(__xludf.DUMMYFUNCTION("""COMPUTED_VALUE"""),"돈달돈달 + 여보 밥 안 안치니?")</f>
        <v>돈달돈달 + 여보 밥 안 안치니?</v>
      </c>
      <c r="B2461" s="2" t="str">
        <f>IFERROR(__xludf.DUMMYFUNCTION("""COMPUTED_VALUE"""),"즉석밥")</f>
        <v>즉석밥</v>
      </c>
    </row>
    <row r="2462">
      <c r="A2462" s="2" t="str">
        <f>IFERROR(__xludf.DUMMYFUNCTION("""COMPUTED_VALUE"""),"돈달돈달 + 여보 밥 안 안치니?")</f>
        <v>돈달돈달 + 여보 밥 안 안치니?</v>
      </c>
      <c r="B2462" s="2" t="str">
        <f>IFERROR(__xludf.DUMMYFUNCTION("""COMPUTED_VALUE"""),"식용유")</f>
        <v>식용유</v>
      </c>
    </row>
    <row r="2463">
      <c r="A2463" s="2" t="str">
        <f>IFERROR(__xludf.DUMMYFUNCTION("""COMPUTED_VALUE"""),"돈달돈달 + 여보 밥 안 안치니?")</f>
        <v>돈달돈달 + 여보 밥 안 안치니?</v>
      </c>
      <c r="B2463" s="2" t="str">
        <f>IFERROR(__xludf.DUMMYFUNCTION("""COMPUTED_VALUE"""),"참기름")</f>
        <v>참기름</v>
      </c>
    </row>
    <row r="2464">
      <c r="A2464" s="2" t="str">
        <f>IFERROR(__xludf.DUMMYFUNCTION("""COMPUTED_VALUE"""),"돈달돈달 + 여보 밥 안 안치니?")</f>
        <v>돈달돈달 + 여보 밥 안 안치니?</v>
      </c>
      <c r="B2464" s="2" t="str">
        <f>IFERROR(__xludf.DUMMYFUNCTION("""COMPUTED_VALUE"""),"식초")</f>
        <v>식초</v>
      </c>
    </row>
    <row r="2465">
      <c r="A2465" s="2" t="str">
        <f>IFERROR(__xludf.DUMMYFUNCTION("""COMPUTED_VALUE"""),"돈달돈달 + 여보 밥 안 안치니?")</f>
        <v>돈달돈달 + 여보 밥 안 안치니?</v>
      </c>
      <c r="B2465" s="2" t="str">
        <f>IFERROR(__xludf.DUMMYFUNCTION("""COMPUTED_VALUE"""),"맛술")</f>
        <v>맛술</v>
      </c>
    </row>
    <row r="2466">
      <c r="A2466" s="2" t="str">
        <f>IFERROR(__xludf.DUMMYFUNCTION("""COMPUTED_VALUE"""),"돈달돈달 + 여보 밥 안 안치니?")</f>
        <v>돈달돈달 + 여보 밥 안 안치니?</v>
      </c>
      <c r="B2466" s="2" t="str">
        <f>IFERROR(__xludf.DUMMYFUNCTION("""COMPUTED_VALUE"""),"간장")</f>
        <v>간장</v>
      </c>
    </row>
    <row r="2467">
      <c r="A2467" s="2" t="str">
        <f>IFERROR(__xludf.DUMMYFUNCTION("""COMPUTED_VALUE"""),"돈달돈달 + 여보 밥 안 안치니?")</f>
        <v>돈달돈달 + 여보 밥 안 안치니?</v>
      </c>
      <c r="B2467" s="2" t="str">
        <f>IFERROR(__xludf.DUMMYFUNCTION("""COMPUTED_VALUE"""),"전분")</f>
        <v>전분</v>
      </c>
    </row>
    <row r="2468">
      <c r="A2468" s="2" t="str">
        <f>IFERROR(__xludf.DUMMYFUNCTION("""COMPUTED_VALUE"""),"돈달돈달 + 여보 밥 안 안치니?")</f>
        <v>돈달돈달 + 여보 밥 안 안치니?</v>
      </c>
      <c r="B2468" s="2" t="str">
        <f>IFERROR(__xludf.DUMMYFUNCTION("""COMPUTED_VALUE"""),"깨")</f>
        <v>깨</v>
      </c>
    </row>
    <row r="2469">
      <c r="A2469" s="2" t="str">
        <f>IFERROR(__xludf.DUMMYFUNCTION("""COMPUTED_VALUE"""),"이런 돈장")</f>
        <v>이런 돈장</v>
      </c>
      <c r="B2469" s="2" t="str">
        <f>IFERROR(__xludf.DUMMYFUNCTION("""COMPUTED_VALUE"""),"불고기용 돼지고기")</f>
        <v>불고기용 돼지고기</v>
      </c>
    </row>
    <row r="2470">
      <c r="A2470" s="2" t="str">
        <f>IFERROR(__xludf.DUMMYFUNCTION("""COMPUTED_VALUE"""),"이런 돈장")</f>
        <v>이런 돈장</v>
      </c>
      <c r="B2470" s="2" t="str">
        <f>IFERROR(__xludf.DUMMYFUNCTION("""COMPUTED_VALUE"""),"갓김치")</f>
        <v>갓김치</v>
      </c>
    </row>
    <row r="2471">
      <c r="A2471" s="2" t="str">
        <f>IFERROR(__xludf.DUMMYFUNCTION("""COMPUTED_VALUE"""),"이런 돈장")</f>
        <v>이런 돈장</v>
      </c>
      <c r="B2471" s="2" t="str">
        <f>IFERROR(__xludf.DUMMYFUNCTION("""COMPUTED_VALUE"""),"두부")</f>
        <v>두부</v>
      </c>
    </row>
    <row r="2472">
      <c r="A2472" s="2" t="str">
        <f>IFERROR(__xludf.DUMMYFUNCTION("""COMPUTED_VALUE"""),"이런 돈장")</f>
        <v>이런 돈장</v>
      </c>
      <c r="B2472" s="2" t="str">
        <f>IFERROR(__xludf.DUMMYFUNCTION("""COMPUTED_VALUE"""),"애호박")</f>
        <v>애호박</v>
      </c>
    </row>
    <row r="2473">
      <c r="A2473" s="2" t="str">
        <f>IFERROR(__xludf.DUMMYFUNCTION("""COMPUTED_VALUE"""),"이런 돈장")</f>
        <v>이런 돈장</v>
      </c>
      <c r="B2473" s="2" t="str">
        <f>IFERROR(__xludf.DUMMYFUNCTION("""COMPUTED_VALUE"""),"부추")</f>
        <v>부추</v>
      </c>
    </row>
    <row r="2474">
      <c r="A2474" s="2" t="str">
        <f>IFERROR(__xludf.DUMMYFUNCTION("""COMPUTED_VALUE"""),"이런 돈장")</f>
        <v>이런 돈장</v>
      </c>
      <c r="B2474" s="2" t="str">
        <f>IFERROR(__xludf.DUMMYFUNCTION("""COMPUTED_VALUE"""),"배")</f>
        <v>배</v>
      </c>
    </row>
    <row r="2475">
      <c r="A2475" s="2" t="str">
        <f>IFERROR(__xludf.DUMMYFUNCTION("""COMPUTED_VALUE"""),"이런 돈장")</f>
        <v>이런 돈장</v>
      </c>
      <c r="B2475" s="2" t="str">
        <f>IFERROR(__xludf.DUMMYFUNCTION("""COMPUTED_VALUE"""),"양파")</f>
        <v>양파</v>
      </c>
    </row>
    <row r="2476">
      <c r="A2476" s="2" t="str">
        <f>IFERROR(__xludf.DUMMYFUNCTION("""COMPUTED_VALUE"""),"이런 돈장")</f>
        <v>이런 돈장</v>
      </c>
      <c r="B2476" s="2" t="str">
        <f>IFERROR(__xludf.DUMMYFUNCTION("""COMPUTED_VALUE"""),"된장")</f>
        <v>된장</v>
      </c>
    </row>
    <row r="2477">
      <c r="A2477" s="2" t="str">
        <f>IFERROR(__xludf.DUMMYFUNCTION("""COMPUTED_VALUE"""),"이런 돈장")</f>
        <v>이런 돈장</v>
      </c>
      <c r="B2477" s="2" t="str">
        <f>IFERROR(__xludf.DUMMYFUNCTION("""COMPUTED_VALUE"""),"꿀")</f>
        <v>꿀</v>
      </c>
    </row>
    <row r="2478">
      <c r="A2478" s="2" t="str">
        <f>IFERROR(__xludf.DUMMYFUNCTION("""COMPUTED_VALUE"""),"이런 돈장")</f>
        <v>이런 돈장</v>
      </c>
      <c r="B2478" s="2" t="str">
        <f>IFERROR(__xludf.DUMMYFUNCTION("""COMPUTED_VALUE"""),"다진 생강")</f>
        <v>다진 생강</v>
      </c>
    </row>
    <row r="2479">
      <c r="A2479" s="2" t="str">
        <f>IFERROR(__xludf.DUMMYFUNCTION("""COMPUTED_VALUE"""),"이런 돈장")</f>
        <v>이런 돈장</v>
      </c>
      <c r="B2479" s="2" t="str">
        <f>IFERROR(__xludf.DUMMYFUNCTION("""COMPUTED_VALUE"""),"다진 마늘")</f>
        <v>다진 마늘</v>
      </c>
    </row>
    <row r="2480">
      <c r="A2480" s="2" t="str">
        <f>IFERROR(__xludf.DUMMYFUNCTION("""COMPUTED_VALUE"""),"이런 돈장")</f>
        <v>이런 돈장</v>
      </c>
      <c r="B2480" s="2" t="str">
        <f>IFERROR(__xludf.DUMMYFUNCTION("""COMPUTED_VALUE"""),"깨")</f>
        <v>깨</v>
      </c>
    </row>
    <row r="2481">
      <c r="A2481" s="2" t="str">
        <f>IFERROR(__xludf.DUMMYFUNCTION("""COMPUTED_VALUE"""),"이런 돈장")</f>
        <v>이런 돈장</v>
      </c>
      <c r="B2481" s="2" t="str">
        <f>IFERROR(__xludf.DUMMYFUNCTION("""COMPUTED_VALUE"""),"참기름")</f>
        <v>참기름</v>
      </c>
    </row>
    <row r="2482">
      <c r="A2482" s="2" t="str">
        <f>IFERROR(__xludf.DUMMYFUNCTION("""COMPUTED_VALUE"""),"이런 돈장")</f>
        <v>이런 돈장</v>
      </c>
      <c r="B2482" s="2" t="str">
        <f>IFERROR(__xludf.DUMMYFUNCTION("""COMPUTED_VALUE"""),"후추")</f>
        <v>후추</v>
      </c>
    </row>
    <row r="2483">
      <c r="A2483" s="2" t="str">
        <f>IFERROR(__xludf.DUMMYFUNCTION("""COMPUTED_VALUE"""),"허세우")</f>
        <v>허세우</v>
      </c>
      <c r="B2483" s="2" t="str">
        <f>IFERROR(__xludf.DUMMYFUNCTION("""COMPUTED_VALUE"""),"감자")</f>
        <v>감자</v>
      </c>
    </row>
    <row r="2484">
      <c r="A2484" s="2" t="str">
        <f>IFERROR(__xludf.DUMMYFUNCTION("""COMPUTED_VALUE"""),"허세우")</f>
        <v>허세우</v>
      </c>
      <c r="B2484" s="2" t="str">
        <f>IFERROR(__xludf.DUMMYFUNCTION("""COMPUTED_VALUE"""),"우유")</f>
        <v>우유</v>
      </c>
    </row>
    <row r="2485">
      <c r="A2485" s="2" t="str">
        <f>IFERROR(__xludf.DUMMYFUNCTION("""COMPUTED_VALUE"""),"허세우")</f>
        <v>허세우</v>
      </c>
      <c r="B2485" s="2" t="str">
        <f>IFERROR(__xludf.DUMMYFUNCTION("""COMPUTED_VALUE"""),"북어")</f>
        <v>북어</v>
      </c>
    </row>
    <row r="2486">
      <c r="A2486" s="2" t="str">
        <f>IFERROR(__xludf.DUMMYFUNCTION("""COMPUTED_VALUE"""),"허세우")</f>
        <v>허세우</v>
      </c>
      <c r="B2486" s="2" t="str">
        <f>IFERROR(__xludf.DUMMYFUNCTION("""COMPUTED_VALUE"""),"새우")</f>
        <v>새우</v>
      </c>
    </row>
    <row r="2487">
      <c r="A2487" s="2" t="str">
        <f>IFERROR(__xludf.DUMMYFUNCTION("""COMPUTED_VALUE"""),"허세우")</f>
        <v>허세우</v>
      </c>
      <c r="B2487" s="2" t="str">
        <f>IFERROR(__xludf.DUMMYFUNCTION("""COMPUTED_VALUE"""),"라이스 페이퍼")</f>
        <v>라이스 페이퍼</v>
      </c>
    </row>
    <row r="2488">
      <c r="A2488" s="2" t="str">
        <f>IFERROR(__xludf.DUMMYFUNCTION("""COMPUTED_VALUE"""),"허세우")</f>
        <v>허세우</v>
      </c>
      <c r="B2488" s="2" t="str">
        <f>IFERROR(__xludf.DUMMYFUNCTION("""COMPUTED_VALUE"""),"과일간장")</f>
        <v>과일간장</v>
      </c>
    </row>
    <row r="2489">
      <c r="A2489" s="2" t="str">
        <f>IFERROR(__xludf.DUMMYFUNCTION("""COMPUTED_VALUE"""),"허세우")</f>
        <v>허세우</v>
      </c>
      <c r="B2489" s="2" t="str">
        <f>IFERROR(__xludf.DUMMYFUNCTION("""COMPUTED_VALUE"""),"대파")</f>
        <v>대파</v>
      </c>
    </row>
    <row r="2490">
      <c r="A2490" s="2" t="str">
        <f>IFERROR(__xludf.DUMMYFUNCTION("""COMPUTED_VALUE"""),"허세우")</f>
        <v>허세우</v>
      </c>
      <c r="B2490" s="2" t="str">
        <f>IFERROR(__xludf.DUMMYFUNCTION("""COMPUTED_VALUE"""),"버터")</f>
        <v>버터</v>
      </c>
    </row>
    <row r="2491">
      <c r="A2491" s="2" t="str">
        <f>IFERROR(__xludf.DUMMYFUNCTION("""COMPUTED_VALUE"""),"허세우")</f>
        <v>허세우</v>
      </c>
      <c r="B2491" s="2" t="str">
        <f>IFERROR(__xludf.DUMMYFUNCTION("""COMPUTED_VALUE"""),"간장")</f>
        <v>간장</v>
      </c>
    </row>
    <row r="2492">
      <c r="A2492" s="2" t="str">
        <f>IFERROR(__xludf.DUMMYFUNCTION("""COMPUTED_VALUE"""),"단칼국수")</f>
        <v>단칼국수</v>
      </c>
      <c r="B2492" s="2" t="str">
        <f>IFERROR(__xludf.DUMMYFUNCTION("""COMPUTED_VALUE"""),"라유")</f>
        <v>라유</v>
      </c>
    </row>
    <row r="2493">
      <c r="A2493" s="2" t="str">
        <f>IFERROR(__xludf.DUMMYFUNCTION("""COMPUTED_VALUE"""),"단칼국수")</f>
        <v>단칼국수</v>
      </c>
      <c r="B2493" s="2" t="str">
        <f>IFERROR(__xludf.DUMMYFUNCTION("""COMPUTED_VALUE"""),"필리핀식 새우젓")</f>
        <v>필리핀식 새우젓</v>
      </c>
    </row>
    <row r="2494">
      <c r="A2494" s="2" t="str">
        <f>IFERROR(__xludf.DUMMYFUNCTION("""COMPUTED_VALUE"""),"단칼국수")</f>
        <v>단칼국수</v>
      </c>
      <c r="B2494" s="2" t="str">
        <f>IFERROR(__xludf.DUMMYFUNCTION("""COMPUTED_VALUE"""),"불고기용 돼지고기")</f>
        <v>불고기용 돼지고기</v>
      </c>
    </row>
    <row r="2495">
      <c r="A2495" s="2" t="str">
        <f>IFERROR(__xludf.DUMMYFUNCTION("""COMPUTED_VALUE"""),"단칼국수")</f>
        <v>단칼국수</v>
      </c>
      <c r="B2495" s="2" t="str">
        <f>IFERROR(__xludf.DUMMYFUNCTION("""COMPUTED_VALUE"""),"고춧가루")</f>
        <v>고춧가루</v>
      </c>
    </row>
    <row r="2496">
      <c r="A2496" s="2" t="str">
        <f>IFERROR(__xludf.DUMMYFUNCTION("""COMPUTED_VALUE"""),"단칼국수")</f>
        <v>단칼국수</v>
      </c>
      <c r="B2496" s="2" t="str">
        <f>IFERROR(__xludf.DUMMYFUNCTION("""COMPUTED_VALUE"""),"칼국수면")</f>
        <v>칼국수면</v>
      </c>
    </row>
    <row r="2497">
      <c r="A2497" s="2" t="str">
        <f>IFERROR(__xludf.DUMMYFUNCTION("""COMPUTED_VALUE"""),"단칼국수")</f>
        <v>단칼국수</v>
      </c>
      <c r="B2497" s="2" t="str">
        <f>IFERROR(__xludf.DUMMYFUNCTION("""COMPUTED_VALUE"""),"파프리카")</f>
        <v>파프리카</v>
      </c>
    </row>
    <row r="2498">
      <c r="A2498" s="2" t="str">
        <f>IFERROR(__xludf.DUMMYFUNCTION("""COMPUTED_VALUE"""),"단칼국수")</f>
        <v>단칼국수</v>
      </c>
      <c r="B2498" s="2" t="str">
        <f>IFERROR(__xludf.DUMMYFUNCTION("""COMPUTED_VALUE"""),"새송이버섯")</f>
        <v>새송이버섯</v>
      </c>
    </row>
    <row r="2499">
      <c r="A2499" s="2" t="str">
        <f>IFERROR(__xludf.DUMMYFUNCTION("""COMPUTED_VALUE"""),"단칼국수")</f>
        <v>단칼국수</v>
      </c>
      <c r="B2499" s="2" t="str">
        <f>IFERROR(__xludf.DUMMYFUNCTION("""COMPUTED_VALUE"""),"땅콩버터")</f>
        <v>땅콩버터</v>
      </c>
    </row>
    <row r="2500">
      <c r="A2500" s="2" t="str">
        <f>IFERROR(__xludf.DUMMYFUNCTION("""COMPUTED_VALUE"""),"단칼국수")</f>
        <v>단칼국수</v>
      </c>
      <c r="B2500" s="2" t="str">
        <f>IFERROR(__xludf.DUMMYFUNCTION("""COMPUTED_VALUE"""),"부추")</f>
        <v>부추</v>
      </c>
    </row>
    <row r="2501">
      <c r="A2501" s="2" t="str">
        <f>IFERROR(__xludf.DUMMYFUNCTION("""COMPUTED_VALUE"""),"단칼국수")</f>
        <v>단칼국수</v>
      </c>
      <c r="B2501" s="2" t="str">
        <f>IFERROR(__xludf.DUMMYFUNCTION("""COMPUTED_VALUE"""),"대파")</f>
        <v>대파</v>
      </c>
    </row>
    <row r="2502">
      <c r="A2502" s="2" t="str">
        <f>IFERROR(__xludf.DUMMYFUNCTION("""COMPUTED_VALUE"""),"단칼국수")</f>
        <v>단칼국수</v>
      </c>
      <c r="B2502" s="2" t="str">
        <f>IFERROR(__xludf.DUMMYFUNCTION("""COMPUTED_VALUE"""),"다진 마늘")</f>
        <v>다진 마늘</v>
      </c>
    </row>
    <row r="2503">
      <c r="A2503" s="2" t="str">
        <f>IFERROR(__xludf.DUMMYFUNCTION("""COMPUTED_VALUE"""),"단칼국수")</f>
        <v>단칼국수</v>
      </c>
      <c r="B2503" s="2" t="str">
        <f>IFERROR(__xludf.DUMMYFUNCTION("""COMPUTED_VALUE"""),"고춧가루")</f>
        <v>고춧가루</v>
      </c>
    </row>
    <row r="2504">
      <c r="A2504" s="2" t="str">
        <f>IFERROR(__xludf.DUMMYFUNCTION("""COMPUTED_VALUE"""),"단칼국수")</f>
        <v>단칼국수</v>
      </c>
      <c r="B2504" s="2" t="str">
        <f>IFERROR(__xludf.DUMMYFUNCTION("""COMPUTED_VALUE"""),"소금")</f>
        <v>소금</v>
      </c>
    </row>
    <row r="2505">
      <c r="A2505" s="2" t="str">
        <f>IFERROR(__xludf.DUMMYFUNCTION("""COMPUTED_VALUE"""),"단칼국수")</f>
        <v>단칼국수</v>
      </c>
      <c r="B2505" s="2" t="str">
        <f>IFERROR(__xludf.DUMMYFUNCTION("""COMPUTED_VALUE"""),"후추")</f>
        <v>후추</v>
      </c>
    </row>
    <row r="2506">
      <c r="A2506" s="2" t="str">
        <f>IFERROR(__xludf.DUMMYFUNCTION("""COMPUTED_VALUE"""),"단칼국수")</f>
        <v>단칼국수</v>
      </c>
      <c r="B2506" s="2" t="str">
        <f>IFERROR(__xludf.DUMMYFUNCTION("""COMPUTED_VALUE"""),"청양고추")</f>
        <v>청양고추</v>
      </c>
    </row>
    <row r="2507">
      <c r="A2507" s="2" t="str">
        <f>IFERROR(__xludf.DUMMYFUNCTION("""COMPUTED_VALUE"""),"단칼국수")</f>
        <v>단칼국수</v>
      </c>
      <c r="B2507" s="2" t="str">
        <f>IFERROR(__xludf.DUMMYFUNCTION("""COMPUTED_VALUE"""),"레몬")</f>
        <v>레몬</v>
      </c>
    </row>
    <row r="2508">
      <c r="A2508" s="2" t="str">
        <f>IFERROR(__xludf.DUMMYFUNCTION("""COMPUTED_VALUE"""),"맛있소면")</f>
        <v>맛있소면</v>
      </c>
      <c r="B2508" s="2" t="str">
        <f>IFERROR(__xludf.DUMMYFUNCTION("""COMPUTED_VALUE"""),"불고기용 돼지고기")</f>
        <v>불고기용 돼지고기</v>
      </c>
    </row>
    <row r="2509">
      <c r="A2509" s="2" t="str">
        <f>IFERROR(__xludf.DUMMYFUNCTION("""COMPUTED_VALUE"""),"맛있소면")</f>
        <v>맛있소면</v>
      </c>
      <c r="B2509" s="2" t="str">
        <f>IFERROR(__xludf.DUMMYFUNCTION("""COMPUTED_VALUE"""),"베이컨")</f>
        <v>베이컨</v>
      </c>
    </row>
    <row r="2510">
      <c r="A2510" s="2" t="str">
        <f>IFERROR(__xludf.DUMMYFUNCTION("""COMPUTED_VALUE"""),"맛있소면")</f>
        <v>맛있소면</v>
      </c>
      <c r="B2510" s="2" t="str">
        <f>IFERROR(__xludf.DUMMYFUNCTION("""COMPUTED_VALUE"""),"새송이버섯")</f>
        <v>새송이버섯</v>
      </c>
    </row>
    <row r="2511">
      <c r="A2511" s="2" t="str">
        <f>IFERROR(__xludf.DUMMYFUNCTION("""COMPUTED_VALUE"""),"맛있소면")</f>
        <v>맛있소면</v>
      </c>
      <c r="B2511" s="2" t="str">
        <f>IFERROR(__xludf.DUMMYFUNCTION("""COMPUTED_VALUE"""),"소면")</f>
        <v>소면</v>
      </c>
    </row>
    <row r="2512">
      <c r="A2512" s="2" t="str">
        <f>IFERROR(__xludf.DUMMYFUNCTION("""COMPUTED_VALUE"""),"맛있소면")</f>
        <v>맛있소면</v>
      </c>
      <c r="B2512" s="2" t="str">
        <f>IFERROR(__xludf.DUMMYFUNCTION("""COMPUTED_VALUE"""),"방울토마토")</f>
        <v>방울토마토</v>
      </c>
    </row>
    <row r="2513">
      <c r="A2513" s="2" t="str">
        <f>IFERROR(__xludf.DUMMYFUNCTION("""COMPUTED_VALUE"""),"맛있소면")</f>
        <v>맛있소면</v>
      </c>
      <c r="B2513" s="2" t="str">
        <f>IFERROR(__xludf.DUMMYFUNCTION("""COMPUTED_VALUE"""),"달걀")</f>
        <v>달걀</v>
      </c>
    </row>
    <row r="2514">
      <c r="A2514" s="2" t="str">
        <f>IFERROR(__xludf.DUMMYFUNCTION("""COMPUTED_VALUE"""),"맛있소면")</f>
        <v>맛있소면</v>
      </c>
      <c r="B2514" s="2" t="str">
        <f>IFERROR(__xludf.DUMMYFUNCTION("""COMPUTED_VALUE"""),"부추")</f>
        <v>부추</v>
      </c>
    </row>
    <row r="2515">
      <c r="A2515" s="2" t="str">
        <f>IFERROR(__xludf.DUMMYFUNCTION("""COMPUTED_VALUE"""),"맛있소면")</f>
        <v>맛있소면</v>
      </c>
      <c r="B2515" s="2" t="str">
        <f>IFERROR(__xludf.DUMMYFUNCTION("""COMPUTED_VALUE"""),"파프리카")</f>
        <v>파프리카</v>
      </c>
    </row>
    <row r="2516">
      <c r="A2516" s="2" t="str">
        <f>IFERROR(__xludf.DUMMYFUNCTION("""COMPUTED_VALUE"""),"맛있소면")</f>
        <v>맛있소면</v>
      </c>
      <c r="B2516" s="2" t="str">
        <f>IFERROR(__xludf.DUMMYFUNCTION("""COMPUTED_VALUE"""),"애호박")</f>
        <v>애호박</v>
      </c>
    </row>
    <row r="2517">
      <c r="A2517" s="2" t="str">
        <f>IFERROR(__xludf.DUMMYFUNCTION("""COMPUTED_VALUE"""),"맛있소면")</f>
        <v>맛있소면</v>
      </c>
      <c r="B2517" s="2" t="str">
        <f>IFERROR(__xludf.DUMMYFUNCTION("""COMPUTED_VALUE"""),"김치")</f>
        <v>김치</v>
      </c>
    </row>
    <row r="2518">
      <c r="A2518" s="2" t="str">
        <f>IFERROR(__xludf.DUMMYFUNCTION("""COMPUTED_VALUE"""),"맛있소면")</f>
        <v>맛있소면</v>
      </c>
      <c r="B2518" s="2" t="str">
        <f>IFERROR(__xludf.DUMMYFUNCTION("""COMPUTED_VALUE"""),"양파")</f>
        <v>양파</v>
      </c>
    </row>
    <row r="2519">
      <c r="A2519" s="2" t="str">
        <f>IFERROR(__xludf.DUMMYFUNCTION("""COMPUTED_VALUE"""),"맛있소면")</f>
        <v>맛있소면</v>
      </c>
      <c r="B2519" s="2" t="str">
        <f>IFERROR(__xludf.DUMMYFUNCTION("""COMPUTED_VALUE"""),"후추")</f>
        <v>후추</v>
      </c>
    </row>
    <row r="2520">
      <c r="A2520" s="2" t="str">
        <f>IFERROR(__xludf.DUMMYFUNCTION("""COMPUTED_VALUE"""),"맛있소면")</f>
        <v>맛있소면</v>
      </c>
      <c r="B2520" s="2" t="str">
        <f>IFERROR(__xludf.DUMMYFUNCTION("""COMPUTED_VALUE"""),"소금")</f>
        <v>소금</v>
      </c>
    </row>
    <row r="2521">
      <c r="A2521" s="2" t="str">
        <f>IFERROR(__xludf.DUMMYFUNCTION("""COMPUTED_VALUE"""),"맛있소면")</f>
        <v>맛있소면</v>
      </c>
      <c r="B2521" s="2" t="str">
        <f>IFERROR(__xludf.DUMMYFUNCTION("""COMPUTED_VALUE"""),"간장")</f>
        <v>간장</v>
      </c>
    </row>
    <row r="2522">
      <c r="A2522" s="2" t="str">
        <f>IFERROR(__xludf.DUMMYFUNCTION("""COMPUTED_VALUE"""),"맛있소면")</f>
        <v>맛있소면</v>
      </c>
      <c r="B2522" s="2" t="str">
        <f>IFERROR(__xludf.DUMMYFUNCTION("""COMPUTED_VALUE"""),"식초")</f>
        <v>식초</v>
      </c>
    </row>
    <row r="2523">
      <c r="A2523" s="2" t="str">
        <f>IFERROR(__xludf.DUMMYFUNCTION("""COMPUTED_VALUE"""),"맛있소면")</f>
        <v>맛있소면</v>
      </c>
      <c r="B2523" s="2" t="str">
        <f>IFERROR(__xludf.DUMMYFUNCTION("""COMPUTED_VALUE"""),"마늘")</f>
        <v>마늘</v>
      </c>
    </row>
    <row r="2524">
      <c r="A2524" s="2" t="str">
        <f>IFERROR(__xludf.DUMMYFUNCTION("""COMPUTED_VALUE"""),"맛있소면")</f>
        <v>맛있소면</v>
      </c>
      <c r="B2524" s="2" t="str">
        <f>IFERROR(__xludf.DUMMYFUNCTION("""COMPUTED_VALUE"""),"설탕")</f>
        <v>설탕</v>
      </c>
    </row>
    <row r="2525">
      <c r="A2525" s="2" t="str">
        <f>IFERROR(__xludf.DUMMYFUNCTION("""COMPUTED_VALUE"""),"갓김치치즈스마일")</f>
        <v>갓김치치즈스마일</v>
      </c>
      <c r="B2525" s="2" t="str">
        <f>IFERROR(__xludf.DUMMYFUNCTION("""COMPUTED_VALUE"""),"달걀")</f>
        <v>달걀</v>
      </c>
    </row>
    <row r="2526">
      <c r="A2526" s="2" t="str">
        <f>IFERROR(__xludf.DUMMYFUNCTION("""COMPUTED_VALUE"""),"갓김치치즈스마일")</f>
        <v>갓김치치즈스마일</v>
      </c>
      <c r="B2526" s="2" t="str">
        <f>IFERROR(__xludf.DUMMYFUNCTION("""COMPUTED_VALUE"""),"베이컨")</f>
        <v>베이컨</v>
      </c>
    </row>
    <row r="2527">
      <c r="A2527" s="2" t="str">
        <f>IFERROR(__xludf.DUMMYFUNCTION("""COMPUTED_VALUE"""),"갓김치치즈스마일")</f>
        <v>갓김치치즈스마일</v>
      </c>
      <c r="B2527" s="2" t="str">
        <f>IFERROR(__xludf.DUMMYFUNCTION("""COMPUTED_VALUE"""),"에멘탈 치즈")</f>
        <v>에멘탈 치즈</v>
      </c>
    </row>
    <row r="2528">
      <c r="A2528" s="2" t="str">
        <f>IFERROR(__xludf.DUMMYFUNCTION("""COMPUTED_VALUE"""),"갓김치치즈스마일")</f>
        <v>갓김치치즈스마일</v>
      </c>
      <c r="B2528" s="2" t="str">
        <f>IFERROR(__xludf.DUMMYFUNCTION("""COMPUTED_VALUE"""),"크림 치즈")</f>
        <v>크림 치즈</v>
      </c>
    </row>
    <row r="2529">
      <c r="A2529" s="2" t="str">
        <f>IFERROR(__xludf.DUMMYFUNCTION("""COMPUTED_VALUE"""),"갓김치치즈스마일")</f>
        <v>갓김치치즈스마일</v>
      </c>
      <c r="B2529" s="2" t="str">
        <f>IFERROR(__xludf.DUMMYFUNCTION("""COMPUTED_VALUE"""),"모차렐라 치즈")</f>
        <v>모차렐라 치즈</v>
      </c>
    </row>
    <row r="2530">
      <c r="A2530" s="2" t="str">
        <f>IFERROR(__xludf.DUMMYFUNCTION("""COMPUTED_VALUE"""),"갓김치치즈스마일")</f>
        <v>갓김치치즈스마일</v>
      </c>
      <c r="B2530" s="2" t="str">
        <f>IFERROR(__xludf.DUMMYFUNCTION("""COMPUTED_VALUE"""),"소시지")</f>
        <v>소시지</v>
      </c>
    </row>
    <row r="2531">
      <c r="A2531" s="2" t="str">
        <f>IFERROR(__xludf.DUMMYFUNCTION("""COMPUTED_VALUE"""),"갓김치치즈스마일")</f>
        <v>갓김치치즈스마일</v>
      </c>
      <c r="B2531" s="2" t="str">
        <f>IFERROR(__xludf.DUMMYFUNCTION("""COMPUTED_VALUE"""),"갓김치")</f>
        <v>갓김치</v>
      </c>
    </row>
    <row r="2532">
      <c r="A2532" s="2" t="str">
        <f>IFERROR(__xludf.DUMMYFUNCTION("""COMPUTED_VALUE"""),"갓김치치즈스마일")</f>
        <v>갓김치치즈스마일</v>
      </c>
      <c r="B2532" s="2" t="str">
        <f>IFERROR(__xludf.DUMMYFUNCTION("""COMPUTED_VALUE"""),"생크림")</f>
        <v>생크림</v>
      </c>
    </row>
    <row r="2533">
      <c r="A2533" s="2" t="str">
        <f>IFERROR(__xludf.DUMMYFUNCTION("""COMPUTED_VALUE"""),"갓김치치즈스마일")</f>
        <v>갓김치치즈스마일</v>
      </c>
      <c r="B2533" s="2" t="str">
        <f>IFERROR(__xludf.DUMMYFUNCTION("""COMPUTED_VALUE"""),"단팥")</f>
        <v>단팥</v>
      </c>
    </row>
    <row r="2534">
      <c r="A2534" s="2" t="str">
        <f>IFERROR(__xludf.DUMMYFUNCTION("""COMPUTED_VALUE"""),"갓김치치즈스마일")</f>
        <v>갓김치치즈스마일</v>
      </c>
      <c r="B2534" s="2" t="str">
        <f>IFERROR(__xludf.DUMMYFUNCTION("""COMPUTED_VALUE"""),"파슬리")</f>
        <v>파슬리</v>
      </c>
    </row>
    <row r="2535">
      <c r="A2535" s="2" t="str">
        <f>IFERROR(__xludf.DUMMYFUNCTION("""COMPUTED_VALUE"""),"갓김치치즈스마일")</f>
        <v>갓김치치즈스마일</v>
      </c>
      <c r="B2535" s="2" t="str">
        <f>IFERROR(__xludf.DUMMYFUNCTION("""COMPUTED_VALUE"""),"소금")</f>
        <v>소금</v>
      </c>
    </row>
    <row r="2536">
      <c r="A2536" s="2" t="str">
        <f>IFERROR(__xludf.DUMMYFUNCTION("""COMPUTED_VALUE"""),"갓김치치즈스마일")</f>
        <v>갓김치치즈스마일</v>
      </c>
      <c r="B2536" s="2" t="str">
        <f>IFERROR(__xludf.DUMMYFUNCTION("""COMPUTED_VALUE"""),"후추")</f>
        <v>후추</v>
      </c>
    </row>
    <row r="2537">
      <c r="A2537" s="2" t="str">
        <f>IFERROR(__xludf.DUMMYFUNCTION("""COMPUTED_VALUE"""),"고풍격 디저트")</f>
        <v>고풍격 디저트</v>
      </c>
      <c r="B2537" s="2" t="str">
        <f>IFERROR(__xludf.DUMMYFUNCTION("""COMPUTED_VALUE"""),"블루베리즙")</f>
        <v>블루베리즙</v>
      </c>
    </row>
    <row r="2538">
      <c r="A2538" s="2" t="str">
        <f>IFERROR(__xludf.DUMMYFUNCTION("""COMPUTED_VALUE"""),"고풍격 디저트")</f>
        <v>고풍격 디저트</v>
      </c>
      <c r="B2538" s="2" t="str">
        <f>IFERROR(__xludf.DUMMYFUNCTION("""COMPUTED_VALUE"""),"복분자 원액")</f>
        <v>복분자 원액</v>
      </c>
    </row>
    <row r="2539">
      <c r="A2539" s="2" t="str">
        <f>IFERROR(__xludf.DUMMYFUNCTION("""COMPUTED_VALUE"""),"고풍격 디저트")</f>
        <v>고풍격 디저트</v>
      </c>
      <c r="B2539" s="2" t="str">
        <f>IFERROR(__xludf.DUMMYFUNCTION("""COMPUTED_VALUE"""),"달걀")</f>
        <v>달걀</v>
      </c>
    </row>
    <row r="2540">
      <c r="A2540" s="2" t="str">
        <f>IFERROR(__xludf.DUMMYFUNCTION("""COMPUTED_VALUE"""),"고풍격 디저트")</f>
        <v>고풍격 디저트</v>
      </c>
      <c r="B2540" s="2" t="str">
        <f>IFERROR(__xludf.DUMMYFUNCTION("""COMPUTED_VALUE"""),"우유")</f>
        <v>우유</v>
      </c>
    </row>
    <row r="2541">
      <c r="A2541" s="2" t="str">
        <f>IFERROR(__xludf.DUMMYFUNCTION("""COMPUTED_VALUE"""),"고풍격 디저트")</f>
        <v>고풍격 디저트</v>
      </c>
      <c r="B2541" s="2" t="str">
        <f>IFERROR(__xludf.DUMMYFUNCTION("""COMPUTED_VALUE"""),"장미잼")</f>
        <v>장미잼</v>
      </c>
    </row>
    <row r="2542">
      <c r="A2542" s="2" t="str">
        <f>IFERROR(__xludf.DUMMYFUNCTION("""COMPUTED_VALUE"""),"고풍격 디저트")</f>
        <v>고풍격 디저트</v>
      </c>
      <c r="B2542" s="2" t="str">
        <f>IFERROR(__xludf.DUMMYFUNCTION("""COMPUTED_VALUE"""),"생크림")</f>
        <v>생크림</v>
      </c>
    </row>
    <row r="2543">
      <c r="A2543" s="2" t="str">
        <f>IFERROR(__xludf.DUMMYFUNCTION("""COMPUTED_VALUE"""),"고풍격 디저트")</f>
        <v>고풍격 디저트</v>
      </c>
      <c r="B2543" s="2" t="str">
        <f>IFERROR(__xludf.DUMMYFUNCTION("""COMPUTED_VALUE"""),"설탕")</f>
        <v>설탕</v>
      </c>
    </row>
    <row r="2544">
      <c r="A2544" s="2" t="str">
        <f>IFERROR(__xludf.DUMMYFUNCTION("""COMPUTED_VALUE"""),"배추 카르복나라")</f>
        <v>배추 카르복나라</v>
      </c>
      <c r="B2544" s="2" t="str">
        <f>IFERROR(__xludf.DUMMYFUNCTION("""COMPUTED_VALUE"""),"배추")</f>
        <v>배추</v>
      </c>
    </row>
    <row r="2545">
      <c r="A2545" s="2" t="str">
        <f>IFERROR(__xludf.DUMMYFUNCTION("""COMPUTED_VALUE"""),"배추 카르복나라")</f>
        <v>배추 카르복나라</v>
      </c>
      <c r="B2545" s="2" t="str">
        <f>IFERROR(__xludf.DUMMYFUNCTION("""COMPUTED_VALUE"""),"푸실리")</f>
        <v>푸실리</v>
      </c>
    </row>
    <row r="2546">
      <c r="A2546" s="2" t="str">
        <f>IFERROR(__xludf.DUMMYFUNCTION("""COMPUTED_VALUE"""),"배추 카르복나라")</f>
        <v>배추 카르복나라</v>
      </c>
      <c r="B2546" s="2" t="str">
        <f>IFERROR(__xludf.DUMMYFUNCTION("""COMPUTED_VALUE"""),"베이컨")</f>
        <v>베이컨</v>
      </c>
    </row>
    <row r="2547">
      <c r="A2547" s="2" t="str">
        <f>IFERROR(__xludf.DUMMYFUNCTION("""COMPUTED_VALUE"""),"배추 카르복나라")</f>
        <v>배추 카르복나라</v>
      </c>
      <c r="B2547" s="2" t="str">
        <f>IFERROR(__xludf.DUMMYFUNCTION("""COMPUTED_VALUE"""),"우유")</f>
        <v>우유</v>
      </c>
    </row>
    <row r="2548">
      <c r="A2548" s="2" t="str">
        <f>IFERROR(__xludf.DUMMYFUNCTION("""COMPUTED_VALUE"""),"배추 카르복나라")</f>
        <v>배추 카르복나라</v>
      </c>
      <c r="B2548" s="2" t="str">
        <f>IFERROR(__xludf.DUMMYFUNCTION("""COMPUTED_VALUE"""),"생크림")</f>
        <v>생크림</v>
      </c>
    </row>
    <row r="2549">
      <c r="A2549" s="2" t="str">
        <f>IFERROR(__xludf.DUMMYFUNCTION("""COMPUTED_VALUE"""),"배추 카르복나라")</f>
        <v>배추 카르복나라</v>
      </c>
      <c r="B2549" s="2" t="str">
        <f>IFERROR(__xludf.DUMMYFUNCTION("""COMPUTED_VALUE"""),"소금")</f>
        <v>소금</v>
      </c>
    </row>
    <row r="2550">
      <c r="A2550" s="2" t="str">
        <f>IFERROR(__xludf.DUMMYFUNCTION("""COMPUTED_VALUE"""),"배추 카르복나라")</f>
        <v>배추 카르복나라</v>
      </c>
      <c r="B2550" s="2" t="str">
        <f>IFERROR(__xludf.DUMMYFUNCTION("""COMPUTED_VALUE"""),"마늘")</f>
        <v>마늘</v>
      </c>
    </row>
    <row r="2551">
      <c r="A2551" s="2" t="str">
        <f>IFERROR(__xludf.DUMMYFUNCTION("""COMPUTED_VALUE"""),"배추 카르복나라")</f>
        <v>배추 카르복나라</v>
      </c>
      <c r="B2551" s="2" t="str">
        <f>IFERROR(__xludf.DUMMYFUNCTION("""COMPUTED_VALUE"""),"대파")</f>
        <v>대파</v>
      </c>
    </row>
    <row r="2552">
      <c r="A2552" s="2" t="str">
        <f>IFERROR(__xludf.DUMMYFUNCTION("""COMPUTED_VALUE"""),"샘(킴)표 탕수육")</f>
        <v>샘(킴)표 탕수육</v>
      </c>
      <c r="B2552" s="2" t="str">
        <f>IFERROR(__xludf.DUMMYFUNCTION("""COMPUTED_VALUE"""),"표고버섯")</f>
        <v>표고버섯</v>
      </c>
    </row>
    <row r="2553">
      <c r="A2553" s="2" t="str">
        <f>IFERROR(__xludf.DUMMYFUNCTION("""COMPUTED_VALUE"""),"샘(킴)표 탕수육")</f>
        <v>샘(킴)표 탕수육</v>
      </c>
      <c r="B2553" s="2" t="str">
        <f>IFERROR(__xludf.DUMMYFUNCTION("""COMPUTED_VALUE"""),"청경채")</f>
        <v>청경채</v>
      </c>
    </row>
    <row r="2554">
      <c r="A2554" s="2" t="str">
        <f>IFERROR(__xludf.DUMMYFUNCTION("""COMPUTED_VALUE"""),"샘(킴)표 탕수육")</f>
        <v>샘(킴)표 탕수육</v>
      </c>
      <c r="B2554" s="2" t="str">
        <f>IFERROR(__xludf.DUMMYFUNCTION("""COMPUTED_VALUE"""),"양파")</f>
        <v>양파</v>
      </c>
    </row>
    <row r="2555">
      <c r="A2555" s="2" t="str">
        <f>IFERROR(__xludf.DUMMYFUNCTION("""COMPUTED_VALUE"""),"샘(킴)표 탕수육")</f>
        <v>샘(킴)표 탕수육</v>
      </c>
      <c r="B2555" s="2" t="str">
        <f>IFERROR(__xludf.DUMMYFUNCTION("""COMPUTED_VALUE"""),"당근")</f>
        <v>당근</v>
      </c>
    </row>
    <row r="2556">
      <c r="A2556" s="2" t="str">
        <f>IFERROR(__xludf.DUMMYFUNCTION("""COMPUTED_VALUE"""),"샘(킴)표 탕수육")</f>
        <v>샘(킴)표 탕수육</v>
      </c>
      <c r="B2556" s="2" t="str">
        <f>IFERROR(__xludf.DUMMYFUNCTION("""COMPUTED_VALUE"""),"대파")</f>
        <v>대파</v>
      </c>
    </row>
    <row r="2557">
      <c r="A2557" s="2" t="str">
        <f>IFERROR(__xludf.DUMMYFUNCTION("""COMPUTED_VALUE"""),"샘(킴)표 탕수육")</f>
        <v>샘(킴)표 탕수육</v>
      </c>
      <c r="B2557" s="2" t="str">
        <f>IFERROR(__xludf.DUMMYFUNCTION("""COMPUTED_VALUE"""),"맛술")</f>
        <v>맛술</v>
      </c>
    </row>
    <row r="2558">
      <c r="A2558" s="2" t="str">
        <f>IFERROR(__xludf.DUMMYFUNCTION("""COMPUTED_VALUE"""),"샘(킴)표 탕수육")</f>
        <v>샘(킴)표 탕수육</v>
      </c>
      <c r="B2558" s="2" t="str">
        <f>IFERROR(__xludf.DUMMYFUNCTION("""COMPUTED_VALUE"""),"간장")</f>
        <v>간장</v>
      </c>
    </row>
    <row r="2559">
      <c r="A2559" s="2" t="str">
        <f>IFERROR(__xludf.DUMMYFUNCTION("""COMPUTED_VALUE"""),"샘(킴)표 탕수육")</f>
        <v>샘(킴)표 탕수육</v>
      </c>
      <c r="B2559" s="2" t="str">
        <f>IFERROR(__xludf.DUMMYFUNCTION("""COMPUTED_VALUE"""),"고추")</f>
        <v>고추</v>
      </c>
    </row>
    <row r="2560">
      <c r="A2560" s="2" t="str">
        <f>IFERROR(__xludf.DUMMYFUNCTION("""COMPUTED_VALUE"""),"샘(킴)표 탕수육")</f>
        <v>샘(킴)표 탕수육</v>
      </c>
      <c r="B2560" s="2" t="str">
        <f>IFERROR(__xludf.DUMMYFUNCTION("""COMPUTED_VALUE"""),"식초")</f>
        <v>식초</v>
      </c>
    </row>
    <row r="2561">
      <c r="A2561" s="2" t="str">
        <f>IFERROR(__xludf.DUMMYFUNCTION("""COMPUTED_VALUE"""),"샘(킴)표 탕수육")</f>
        <v>샘(킴)표 탕수육</v>
      </c>
      <c r="B2561" s="2" t="str">
        <f>IFERROR(__xludf.DUMMYFUNCTION("""COMPUTED_VALUE"""),"설탕")</f>
        <v>설탕</v>
      </c>
    </row>
    <row r="2562">
      <c r="A2562" s="2" t="str">
        <f>IFERROR(__xludf.DUMMYFUNCTION("""COMPUTED_VALUE"""),"샘(킴)표 탕수육")</f>
        <v>샘(킴)표 탕수육</v>
      </c>
      <c r="B2562" s="2" t="str">
        <f>IFERROR(__xludf.DUMMYFUNCTION("""COMPUTED_VALUE"""),"밀가루")</f>
        <v>밀가루</v>
      </c>
    </row>
    <row r="2563">
      <c r="A2563" s="2" t="str">
        <f>IFERROR(__xludf.DUMMYFUNCTION("""COMPUTED_VALUE"""),"샘(킴)표 탕수육")</f>
        <v>샘(킴)표 탕수육</v>
      </c>
      <c r="B2563" s="2" t="str">
        <f>IFERROR(__xludf.DUMMYFUNCTION("""COMPUTED_VALUE"""),"전분")</f>
        <v>전분</v>
      </c>
    </row>
    <row r="2564">
      <c r="A2564" s="2" t="str">
        <f>IFERROR(__xludf.DUMMYFUNCTION("""COMPUTED_VALUE"""),"쓰리스타 풍코스")</f>
        <v>쓰리스타 풍코스</v>
      </c>
      <c r="B2564" s="2" t="str">
        <f>IFERROR(__xludf.DUMMYFUNCTION("""COMPUTED_VALUE"""),"반건조 오징어")</f>
        <v>반건조 오징어</v>
      </c>
    </row>
    <row r="2565">
      <c r="A2565" s="2" t="str">
        <f>IFERROR(__xludf.DUMMYFUNCTION("""COMPUTED_VALUE"""),"쓰리스타 풍코스")</f>
        <v>쓰리스타 풍코스</v>
      </c>
      <c r="B2565" s="2" t="str">
        <f>IFERROR(__xludf.DUMMYFUNCTION("""COMPUTED_VALUE"""),"베이컨")</f>
        <v>베이컨</v>
      </c>
    </row>
    <row r="2566">
      <c r="A2566" s="2" t="str">
        <f>IFERROR(__xludf.DUMMYFUNCTION("""COMPUTED_VALUE"""),"쓰리스타 풍코스")</f>
        <v>쓰리스타 풍코스</v>
      </c>
      <c r="B2566" s="2" t="str">
        <f>IFERROR(__xludf.DUMMYFUNCTION("""COMPUTED_VALUE"""),"양지 육수")</f>
        <v>양지 육수</v>
      </c>
    </row>
    <row r="2567">
      <c r="A2567" s="2" t="str">
        <f>IFERROR(__xludf.DUMMYFUNCTION("""COMPUTED_VALUE"""),"쓰리스타 풍코스")</f>
        <v>쓰리스타 풍코스</v>
      </c>
      <c r="B2567" s="2" t="str">
        <f>IFERROR(__xludf.DUMMYFUNCTION("""COMPUTED_VALUE"""),"병아리콩 통조림")</f>
        <v>병아리콩 통조림</v>
      </c>
    </row>
    <row r="2568">
      <c r="A2568" s="2" t="str">
        <f>IFERROR(__xludf.DUMMYFUNCTION("""COMPUTED_VALUE"""),"쓰리스타 풍코스")</f>
        <v>쓰리스타 풍코스</v>
      </c>
      <c r="B2568" s="2" t="str">
        <f>IFERROR(__xludf.DUMMYFUNCTION("""COMPUTED_VALUE"""),"우유")</f>
        <v>우유</v>
      </c>
    </row>
    <row r="2569">
      <c r="A2569" s="2" t="str">
        <f>IFERROR(__xludf.DUMMYFUNCTION("""COMPUTED_VALUE"""),"쓰리스타 풍코스")</f>
        <v>쓰리스타 풍코스</v>
      </c>
      <c r="B2569" s="2" t="str">
        <f>IFERROR(__xludf.DUMMYFUNCTION("""COMPUTED_VALUE"""),"들깨가루")</f>
        <v>들깨가루</v>
      </c>
    </row>
    <row r="2570">
      <c r="A2570" s="2" t="str">
        <f>IFERROR(__xludf.DUMMYFUNCTION("""COMPUTED_VALUE"""),"쓰리스타 풍코스")</f>
        <v>쓰리스타 풍코스</v>
      </c>
      <c r="B2570" s="2" t="str">
        <f>IFERROR(__xludf.DUMMYFUNCTION("""COMPUTED_VALUE"""),"달걀")</f>
        <v>달걀</v>
      </c>
    </row>
    <row r="2571">
      <c r="A2571" s="2" t="str">
        <f>IFERROR(__xludf.DUMMYFUNCTION("""COMPUTED_VALUE"""),"쓰리스타 풍코스")</f>
        <v>쓰리스타 풍코스</v>
      </c>
      <c r="B2571" s="2" t="str">
        <f>IFERROR(__xludf.DUMMYFUNCTION("""COMPUTED_VALUE"""),"XO소스")</f>
        <v>XO소스</v>
      </c>
    </row>
    <row r="2572">
      <c r="A2572" s="2" t="str">
        <f>IFERROR(__xludf.DUMMYFUNCTION("""COMPUTED_VALUE"""),"쓰리스타 풍코스")</f>
        <v>쓰리스타 풍코스</v>
      </c>
      <c r="B2572" s="2" t="str">
        <f>IFERROR(__xludf.DUMMYFUNCTION("""COMPUTED_VALUE"""),"파슬리")</f>
        <v>파슬리</v>
      </c>
    </row>
    <row r="2573">
      <c r="A2573" s="2" t="str">
        <f>IFERROR(__xludf.DUMMYFUNCTION("""COMPUTED_VALUE"""),"쓰리스타 풍코스")</f>
        <v>쓰리스타 풍코스</v>
      </c>
      <c r="B2573" s="2" t="str">
        <f>IFERROR(__xludf.DUMMYFUNCTION("""COMPUTED_VALUE"""),"게살 통조림")</f>
        <v>게살 통조림</v>
      </c>
    </row>
    <row r="2574">
      <c r="A2574" s="2" t="str">
        <f>IFERROR(__xludf.DUMMYFUNCTION("""COMPUTED_VALUE"""),"쓰리스타 풍코스")</f>
        <v>쓰리스타 풍코스</v>
      </c>
      <c r="B2574" s="2" t="str">
        <f>IFERROR(__xludf.DUMMYFUNCTION("""COMPUTED_VALUE"""),"생크림")</f>
        <v>생크림</v>
      </c>
    </row>
    <row r="2575">
      <c r="A2575" s="2" t="str">
        <f>IFERROR(__xludf.DUMMYFUNCTION("""COMPUTED_VALUE"""),"쓰리스타 풍코스")</f>
        <v>쓰리스타 풍코스</v>
      </c>
      <c r="B2575" s="2" t="str">
        <f>IFERROR(__xludf.DUMMYFUNCTION("""COMPUTED_VALUE"""),"화이트 트러플 오일")</f>
        <v>화이트 트러플 오일</v>
      </c>
    </row>
    <row r="2576">
      <c r="A2576" s="2" t="str">
        <f>IFERROR(__xludf.DUMMYFUNCTION("""COMPUTED_VALUE"""),"쓰리스타 풍코스")</f>
        <v>쓰리스타 풍코스</v>
      </c>
      <c r="B2576" s="2" t="str">
        <f>IFERROR(__xludf.DUMMYFUNCTION("""COMPUTED_VALUE"""),"고구마 말랭이")</f>
        <v>고구마 말랭이</v>
      </c>
    </row>
    <row r="2577">
      <c r="A2577" s="2" t="str">
        <f>IFERROR(__xludf.DUMMYFUNCTION("""COMPUTED_VALUE"""),"쓰리스타 풍코스")</f>
        <v>쓰리스타 풍코스</v>
      </c>
      <c r="B2577" s="2" t="str">
        <f>IFERROR(__xludf.DUMMYFUNCTION("""COMPUTED_VALUE"""),"올리브 오일")</f>
        <v>올리브 오일</v>
      </c>
    </row>
    <row r="2578">
      <c r="A2578" s="2" t="str">
        <f>IFERROR(__xludf.DUMMYFUNCTION("""COMPUTED_VALUE"""),"쓰리스타 풍코스")</f>
        <v>쓰리스타 풍코스</v>
      </c>
      <c r="B2578" s="2" t="str">
        <f>IFERROR(__xludf.DUMMYFUNCTION("""COMPUTED_VALUE"""),"양파")</f>
        <v>양파</v>
      </c>
    </row>
    <row r="2579">
      <c r="A2579" s="2" t="str">
        <f>IFERROR(__xludf.DUMMYFUNCTION("""COMPUTED_VALUE"""),"쓰리스타 풍코스")</f>
        <v>쓰리스타 풍코스</v>
      </c>
      <c r="B2579" s="2" t="str">
        <f>IFERROR(__xludf.DUMMYFUNCTION("""COMPUTED_VALUE"""),"다진 마늘")</f>
        <v>다진 마늘</v>
      </c>
    </row>
    <row r="2580">
      <c r="A2580" s="2" t="str">
        <f>IFERROR(__xludf.DUMMYFUNCTION("""COMPUTED_VALUE"""),"쓰리스타 풍코스")</f>
        <v>쓰리스타 풍코스</v>
      </c>
      <c r="B2580" s="2" t="str">
        <f>IFERROR(__xludf.DUMMYFUNCTION("""COMPUTED_VALUE"""),"소금")</f>
        <v>소금</v>
      </c>
    </row>
    <row r="2581">
      <c r="A2581" s="2" t="str">
        <f>IFERROR(__xludf.DUMMYFUNCTION("""COMPUTED_VALUE"""),"쓰리스타 풍코스")</f>
        <v>쓰리스타 풍코스</v>
      </c>
      <c r="B2581" s="2" t="str">
        <f>IFERROR(__xludf.DUMMYFUNCTION("""COMPUTED_VALUE"""),"후추")</f>
        <v>후추</v>
      </c>
    </row>
    <row r="2582">
      <c r="A2582" s="2" t="str">
        <f>IFERROR(__xludf.DUMMYFUNCTION("""COMPUTED_VALUE"""),"쓰리스타 풍코스")</f>
        <v>쓰리스타 풍코스</v>
      </c>
      <c r="B2582" s="2" t="str">
        <f>IFERROR(__xludf.DUMMYFUNCTION("""COMPUTED_VALUE"""),"대파")</f>
        <v>대파</v>
      </c>
    </row>
    <row r="2583">
      <c r="A2583" s="2" t="str">
        <f>IFERROR(__xludf.DUMMYFUNCTION("""COMPUTED_VALUE"""),"쓰리스타 풍코스")</f>
        <v>쓰리스타 풍코스</v>
      </c>
      <c r="B2583" s="2" t="str">
        <f>IFERROR(__xludf.DUMMYFUNCTION("""COMPUTED_VALUE"""),"버터")</f>
        <v>버터</v>
      </c>
    </row>
    <row r="2584">
      <c r="A2584" s="2" t="str">
        <f>IFERROR(__xludf.DUMMYFUNCTION("""COMPUTED_VALUE"""),"쓰리스타 풍코스")</f>
        <v>쓰리스타 풍코스</v>
      </c>
      <c r="B2584" s="2" t="str">
        <f>IFERROR(__xludf.DUMMYFUNCTION("""COMPUTED_VALUE"""),"설탕")</f>
        <v>설탕</v>
      </c>
    </row>
    <row r="2585">
      <c r="A2585" s="2" t="str">
        <f>IFERROR(__xludf.DUMMYFUNCTION("""COMPUTED_VALUE"""),"미슐랭 쓰리스타는 게뿔")</f>
        <v>미슐랭 쓰리스타는 게뿔</v>
      </c>
      <c r="B2585" s="2" t="str">
        <f>IFERROR(__xludf.DUMMYFUNCTION("""COMPUTED_VALUE"""),"오르초")</f>
        <v>오르초</v>
      </c>
    </row>
    <row r="2586">
      <c r="A2586" s="2" t="str">
        <f>IFERROR(__xludf.DUMMYFUNCTION("""COMPUTED_VALUE"""),"미슐랭 쓰리스타는 게뿔")</f>
        <v>미슐랭 쓰리스타는 게뿔</v>
      </c>
      <c r="B2586" s="2" t="str">
        <f>IFERROR(__xludf.DUMMYFUNCTION("""COMPUTED_VALUE"""),"소고기")</f>
        <v>소고기</v>
      </c>
    </row>
    <row r="2587">
      <c r="A2587" s="2" t="str">
        <f>IFERROR(__xludf.DUMMYFUNCTION("""COMPUTED_VALUE"""),"미슐랭 쓰리스타는 게뿔")</f>
        <v>미슐랭 쓰리스타는 게뿔</v>
      </c>
      <c r="B2587" s="2" t="str">
        <f>IFERROR(__xludf.DUMMYFUNCTION("""COMPUTED_VALUE"""),"파슬리")</f>
        <v>파슬리</v>
      </c>
    </row>
    <row r="2588">
      <c r="A2588" s="2" t="str">
        <f>IFERROR(__xludf.DUMMYFUNCTION("""COMPUTED_VALUE"""),"미슐랭 쓰리스타는 게뿔")</f>
        <v>미슐랭 쓰리스타는 게뿔</v>
      </c>
      <c r="B2588" s="2" t="str">
        <f>IFERROR(__xludf.DUMMYFUNCTION("""COMPUTED_VALUE"""),"홀토마토 통조림")</f>
        <v>홀토마토 통조림</v>
      </c>
    </row>
    <row r="2589">
      <c r="A2589" s="2" t="str">
        <f>IFERROR(__xludf.DUMMYFUNCTION("""COMPUTED_VALUE"""),"미슐랭 쓰리스타는 게뿔")</f>
        <v>미슐랭 쓰리스타는 게뿔</v>
      </c>
      <c r="B2589" s="2" t="str">
        <f>IFERROR(__xludf.DUMMYFUNCTION("""COMPUTED_VALUE"""),"티카 마살라 소스")</f>
        <v>티카 마살라 소스</v>
      </c>
    </row>
    <row r="2590">
      <c r="A2590" s="2" t="str">
        <f>IFERROR(__xludf.DUMMYFUNCTION("""COMPUTED_VALUE"""),"미슐랭 쓰리스타는 게뿔")</f>
        <v>미슐랭 쓰리스타는 게뿔</v>
      </c>
      <c r="B2590" s="2" t="str">
        <f>IFERROR(__xludf.DUMMYFUNCTION("""COMPUTED_VALUE"""),"게살 통조림")</f>
        <v>게살 통조림</v>
      </c>
    </row>
    <row r="2591">
      <c r="A2591" s="2" t="str">
        <f>IFERROR(__xludf.DUMMYFUNCTION("""COMPUTED_VALUE"""),"미슐랭 쓰리스타는 게뿔")</f>
        <v>미슐랭 쓰리스타는 게뿔</v>
      </c>
      <c r="B2591" s="2" t="str">
        <f>IFERROR(__xludf.DUMMYFUNCTION("""COMPUTED_VALUE"""),"오렌지 리큐르")</f>
        <v>오렌지 리큐르</v>
      </c>
    </row>
    <row r="2592">
      <c r="A2592" s="2" t="str">
        <f>IFERROR(__xludf.DUMMYFUNCTION("""COMPUTED_VALUE"""),"미슐랭 쓰리스타는 게뿔")</f>
        <v>미슐랭 쓰리스타는 게뿔</v>
      </c>
      <c r="B2592" s="2" t="str">
        <f>IFERROR(__xludf.DUMMYFUNCTION("""COMPUTED_VALUE"""),"비프 스톡")</f>
        <v>비프 스톡</v>
      </c>
    </row>
    <row r="2593">
      <c r="A2593" s="2" t="str">
        <f>IFERROR(__xludf.DUMMYFUNCTION("""COMPUTED_VALUE"""),"미슐랭 쓰리스타는 게뿔")</f>
        <v>미슐랭 쓰리스타는 게뿔</v>
      </c>
      <c r="B2593" s="2" t="str">
        <f>IFERROR(__xludf.DUMMYFUNCTION("""COMPUTED_VALUE"""),"코코넛 크림")</f>
        <v>코코넛 크림</v>
      </c>
    </row>
    <row r="2594">
      <c r="A2594" s="2" t="str">
        <f>IFERROR(__xludf.DUMMYFUNCTION("""COMPUTED_VALUE"""),"미슐랭 쓰리스타는 게뿔")</f>
        <v>미슐랭 쓰리스타는 게뿔</v>
      </c>
      <c r="B2594" s="2" t="str">
        <f>IFERROR(__xludf.DUMMYFUNCTION("""COMPUTED_VALUE"""),"라즈베리")</f>
        <v>라즈베리</v>
      </c>
    </row>
    <row r="2595">
      <c r="A2595" s="2" t="str">
        <f>IFERROR(__xludf.DUMMYFUNCTION("""COMPUTED_VALUE"""),"미슐랭 쓰리스타는 게뿔")</f>
        <v>미슐랭 쓰리스타는 게뿔</v>
      </c>
      <c r="B2595" s="2" t="str">
        <f>IFERROR(__xludf.DUMMYFUNCTION("""COMPUTED_VALUE"""),"소금")</f>
        <v>소금</v>
      </c>
    </row>
    <row r="2596">
      <c r="A2596" s="2" t="str">
        <f>IFERROR(__xludf.DUMMYFUNCTION("""COMPUTED_VALUE"""),"미슐랭 쓰리스타는 게뿔")</f>
        <v>미슐랭 쓰리스타는 게뿔</v>
      </c>
      <c r="B2596" s="2" t="str">
        <f>IFERROR(__xludf.DUMMYFUNCTION("""COMPUTED_VALUE"""),"올리브 오일")</f>
        <v>올리브 오일</v>
      </c>
    </row>
    <row r="2597">
      <c r="A2597" s="2" t="str">
        <f>IFERROR(__xludf.DUMMYFUNCTION("""COMPUTED_VALUE"""),"미슐랭 쓰리스타는 게뿔")</f>
        <v>미슐랭 쓰리스타는 게뿔</v>
      </c>
      <c r="B2597" s="2" t="str">
        <f>IFERROR(__xludf.DUMMYFUNCTION("""COMPUTED_VALUE"""),"튀김가루")</f>
        <v>튀김가루</v>
      </c>
    </row>
    <row r="2598">
      <c r="A2598" s="2" t="str">
        <f>IFERROR(__xludf.DUMMYFUNCTION("""COMPUTED_VALUE"""),"미슐랭 쓰리스타는 게뿔")</f>
        <v>미슐랭 쓰리스타는 게뿔</v>
      </c>
      <c r="B2598" s="2" t="str">
        <f>IFERROR(__xludf.DUMMYFUNCTION("""COMPUTED_VALUE"""),"후추")</f>
        <v>후추</v>
      </c>
    </row>
    <row r="2599">
      <c r="A2599" s="2" t="str">
        <f>IFERROR(__xludf.DUMMYFUNCTION("""COMPUTED_VALUE"""),"로맨티스타 케이크")</f>
        <v>로맨티스타 케이크</v>
      </c>
      <c r="B2599" s="2" t="str">
        <f>IFERROR(__xludf.DUMMYFUNCTION("""COMPUTED_VALUE"""),"파스타면")</f>
        <v>파스타면</v>
      </c>
    </row>
    <row r="2600">
      <c r="A2600" s="2" t="str">
        <f>IFERROR(__xludf.DUMMYFUNCTION("""COMPUTED_VALUE"""),"로맨티스타 케이크")</f>
        <v>로맨티스타 케이크</v>
      </c>
      <c r="B2600" s="2" t="str">
        <f>IFERROR(__xludf.DUMMYFUNCTION("""COMPUTED_VALUE"""),"차돌박이")</f>
        <v>차돌박이</v>
      </c>
    </row>
    <row r="2601">
      <c r="A2601" s="2" t="str">
        <f>IFERROR(__xludf.DUMMYFUNCTION("""COMPUTED_VALUE"""),"로맨티스타 케이크")</f>
        <v>로맨티스타 케이크</v>
      </c>
      <c r="B2601" s="2" t="str">
        <f>IFERROR(__xludf.DUMMYFUNCTION("""COMPUTED_VALUE"""),"베이컨")</f>
        <v>베이컨</v>
      </c>
    </row>
    <row r="2602">
      <c r="A2602" s="2" t="str">
        <f>IFERROR(__xludf.DUMMYFUNCTION("""COMPUTED_VALUE"""),"로맨티스타 케이크")</f>
        <v>로맨티스타 케이크</v>
      </c>
      <c r="B2602" s="2" t="str">
        <f>IFERROR(__xludf.DUMMYFUNCTION("""COMPUTED_VALUE"""),"팽이버섯")</f>
        <v>팽이버섯</v>
      </c>
    </row>
    <row r="2603">
      <c r="A2603" s="2" t="str">
        <f>IFERROR(__xludf.DUMMYFUNCTION("""COMPUTED_VALUE"""),"로맨티스타 케이크")</f>
        <v>로맨티스타 케이크</v>
      </c>
      <c r="B2603" s="2" t="str">
        <f>IFERROR(__xludf.DUMMYFUNCTION("""COMPUTED_VALUE"""),"백김치")</f>
        <v>백김치</v>
      </c>
    </row>
    <row r="2604">
      <c r="A2604" s="2" t="str">
        <f>IFERROR(__xludf.DUMMYFUNCTION("""COMPUTED_VALUE"""),"로맨티스타 케이크")</f>
        <v>로맨티스타 케이크</v>
      </c>
      <c r="B2604" s="2" t="str">
        <f>IFERROR(__xludf.DUMMYFUNCTION("""COMPUTED_VALUE"""),"달걀")</f>
        <v>달걀</v>
      </c>
    </row>
    <row r="2605">
      <c r="A2605" s="2" t="str">
        <f>IFERROR(__xludf.DUMMYFUNCTION("""COMPUTED_VALUE"""),"로맨티스타 케이크")</f>
        <v>로맨티스타 케이크</v>
      </c>
      <c r="B2605" s="2" t="str">
        <f>IFERROR(__xludf.DUMMYFUNCTION("""COMPUTED_VALUE"""),"크림소스")</f>
        <v>크림소스</v>
      </c>
    </row>
    <row r="2606">
      <c r="A2606" s="2" t="str">
        <f>IFERROR(__xludf.DUMMYFUNCTION("""COMPUTED_VALUE"""),"로맨티스타 케이크")</f>
        <v>로맨티스타 케이크</v>
      </c>
      <c r="B2606" s="2" t="str">
        <f>IFERROR(__xludf.DUMMYFUNCTION("""COMPUTED_VALUE"""),"오징어 젓갈")</f>
        <v>오징어 젓갈</v>
      </c>
    </row>
    <row r="2607">
      <c r="A2607" s="2" t="str">
        <f>IFERROR(__xludf.DUMMYFUNCTION("""COMPUTED_VALUE"""),"로맨티스타 케이크")</f>
        <v>로맨티스타 케이크</v>
      </c>
      <c r="B2607" s="2" t="str">
        <f>IFERROR(__xludf.DUMMYFUNCTION("""COMPUTED_VALUE"""),"크림치즈")</f>
        <v>크림치즈</v>
      </c>
    </row>
    <row r="2608">
      <c r="A2608" s="2" t="str">
        <f>IFERROR(__xludf.DUMMYFUNCTION("""COMPUTED_VALUE"""),"로맨티스타 케이크")</f>
        <v>로맨티스타 케이크</v>
      </c>
      <c r="B2608" s="2" t="str">
        <f>IFERROR(__xludf.DUMMYFUNCTION("""COMPUTED_VALUE"""),"새우")</f>
        <v>새우</v>
      </c>
    </row>
    <row r="2609">
      <c r="A2609" s="2" t="str">
        <f>IFERROR(__xludf.DUMMYFUNCTION("""COMPUTED_VALUE"""),"로맨티스타 케이크")</f>
        <v>로맨티스타 케이크</v>
      </c>
      <c r="B2609" s="2" t="str">
        <f>IFERROR(__xludf.DUMMYFUNCTION("""COMPUTED_VALUE"""),"소금")</f>
        <v>소금</v>
      </c>
    </row>
    <row r="2610">
      <c r="A2610" s="2" t="str">
        <f>IFERROR(__xludf.DUMMYFUNCTION("""COMPUTED_VALUE"""),"로맨티스타 케이크")</f>
        <v>로맨티스타 케이크</v>
      </c>
      <c r="B2610" s="2" t="str">
        <f>IFERROR(__xludf.DUMMYFUNCTION("""COMPUTED_VALUE"""),"다진 마늘")</f>
        <v>다진 마늘</v>
      </c>
    </row>
    <row r="2611">
      <c r="A2611" s="2" t="str">
        <f>IFERROR(__xludf.DUMMYFUNCTION("""COMPUTED_VALUE"""),"로맨티스타 케이크")</f>
        <v>로맨티스타 케이크</v>
      </c>
      <c r="B2611" s="2" t="str">
        <f>IFERROR(__xludf.DUMMYFUNCTION("""COMPUTED_VALUE"""),"후추")</f>
        <v>후추</v>
      </c>
    </row>
    <row r="2612">
      <c r="A2612" s="2" t="str">
        <f>IFERROR(__xludf.DUMMYFUNCTION("""COMPUTED_VALUE"""),"마이 ♥ 케이크")</f>
        <v>마이 ♥ 케이크</v>
      </c>
      <c r="B2612" s="2" t="str">
        <f>IFERROR(__xludf.DUMMYFUNCTION("""COMPUTED_VALUE"""),"인스턴트 카레")</f>
        <v>인스턴트 카레</v>
      </c>
    </row>
    <row r="2613">
      <c r="A2613" s="2" t="str">
        <f>IFERROR(__xludf.DUMMYFUNCTION("""COMPUTED_VALUE"""),"마이 ♥ 케이크")</f>
        <v>마이 ♥ 케이크</v>
      </c>
      <c r="B2613" s="2" t="str">
        <f>IFERROR(__xludf.DUMMYFUNCTION("""COMPUTED_VALUE"""),"돈코츠 라면 수프")</f>
        <v>돈코츠 라면 수프</v>
      </c>
    </row>
    <row r="2614">
      <c r="A2614" s="2" t="str">
        <f>IFERROR(__xludf.DUMMYFUNCTION("""COMPUTED_VALUE"""),"마이 ♥ 케이크")</f>
        <v>마이 ♥ 케이크</v>
      </c>
      <c r="B2614" s="2" t="str">
        <f>IFERROR(__xludf.DUMMYFUNCTION("""COMPUTED_VALUE"""),"트러플 오일")</f>
        <v>트러플 오일</v>
      </c>
    </row>
    <row r="2615">
      <c r="A2615" s="2" t="str">
        <f>IFERROR(__xludf.DUMMYFUNCTION("""COMPUTED_VALUE"""),"마이 ♥ 케이크")</f>
        <v>마이 ♥ 케이크</v>
      </c>
      <c r="B2615" s="2" t="str">
        <f>IFERROR(__xludf.DUMMYFUNCTION("""COMPUTED_VALUE"""),"달걀")</f>
        <v>달걀</v>
      </c>
    </row>
    <row r="2616">
      <c r="A2616" s="2" t="str">
        <f>IFERROR(__xludf.DUMMYFUNCTION("""COMPUTED_VALUE"""),"마이 ♥ 케이크")</f>
        <v>마이 ♥ 케이크</v>
      </c>
      <c r="B2616" s="2" t="str">
        <f>IFERROR(__xludf.DUMMYFUNCTION("""COMPUTED_VALUE"""),"크림소스")</f>
        <v>크림소스</v>
      </c>
    </row>
    <row r="2617">
      <c r="A2617" s="2" t="str">
        <f>IFERROR(__xludf.DUMMYFUNCTION("""COMPUTED_VALUE"""),"마이 ♥ 케이크")</f>
        <v>마이 ♥ 케이크</v>
      </c>
      <c r="B2617" s="2" t="str">
        <f>IFERROR(__xludf.DUMMYFUNCTION("""COMPUTED_VALUE"""),"핫케이크 가루")</f>
        <v>핫케이크 가루</v>
      </c>
    </row>
    <row r="2618">
      <c r="A2618" s="2" t="str">
        <f>IFERROR(__xludf.DUMMYFUNCTION("""COMPUTED_VALUE"""),"마이 ♥ 케이크")</f>
        <v>마이 ♥ 케이크</v>
      </c>
      <c r="B2618" s="2" t="str">
        <f>IFERROR(__xludf.DUMMYFUNCTION("""COMPUTED_VALUE"""),"브로콜리")</f>
        <v>브로콜리</v>
      </c>
    </row>
    <row r="2619">
      <c r="A2619" s="2" t="str">
        <f>IFERROR(__xludf.DUMMYFUNCTION("""COMPUTED_VALUE"""),"마이 ♥ 케이크")</f>
        <v>마이 ♥ 케이크</v>
      </c>
      <c r="B2619" s="2" t="str">
        <f>IFERROR(__xludf.DUMMYFUNCTION("""COMPUTED_VALUE"""),"파프리카")</f>
        <v>파프리카</v>
      </c>
    </row>
    <row r="2620">
      <c r="A2620" s="2" t="str">
        <f>IFERROR(__xludf.DUMMYFUNCTION("""COMPUTED_VALUE"""),"마이 ♥ 케이크")</f>
        <v>마이 ♥ 케이크</v>
      </c>
      <c r="B2620" s="2" t="str">
        <f>IFERROR(__xludf.DUMMYFUNCTION("""COMPUTED_VALUE"""),"팽이버섯")</f>
        <v>팽이버섯</v>
      </c>
    </row>
    <row r="2621">
      <c r="A2621" s="2" t="str">
        <f>IFERROR(__xludf.DUMMYFUNCTION("""COMPUTED_VALUE"""),"마이 ♥ 케이크")</f>
        <v>마이 ♥ 케이크</v>
      </c>
      <c r="B2621" s="2" t="str">
        <f>IFERROR(__xludf.DUMMYFUNCTION("""COMPUTED_VALUE"""),"칵테일 새우")</f>
        <v>칵테일 새우</v>
      </c>
    </row>
    <row r="2622">
      <c r="A2622" s="2" t="str">
        <f>IFERROR(__xludf.DUMMYFUNCTION("""COMPUTED_VALUE"""),"마이 ♥ 케이크")</f>
        <v>마이 ♥ 케이크</v>
      </c>
      <c r="B2622" s="2" t="str">
        <f>IFERROR(__xludf.DUMMYFUNCTION("""COMPUTED_VALUE"""),"날치알")</f>
        <v>날치알</v>
      </c>
    </row>
    <row r="2623">
      <c r="A2623" s="2" t="str">
        <f>IFERROR(__xludf.DUMMYFUNCTION("""COMPUTED_VALUE"""),"마이 ♥ 케이크")</f>
        <v>마이 ♥ 케이크</v>
      </c>
      <c r="B2623" s="2" t="str">
        <f>IFERROR(__xludf.DUMMYFUNCTION("""COMPUTED_VALUE"""),"물")</f>
        <v>물</v>
      </c>
    </row>
    <row r="2624">
      <c r="A2624" s="2" t="str">
        <f>IFERROR(__xludf.DUMMYFUNCTION("""COMPUTED_VALUE"""),"마이 ♥ 케이크")</f>
        <v>마이 ♥ 케이크</v>
      </c>
      <c r="B2624" s="2" t="str">
        <f>IFERROR(__xludf.DUMMYFUNCTION("""COMPUTED_VALUE"""),"후추")</f>
        <v>후추</v>
      </c>
    </row>
    <row r="2625">
      <c r="A2625" s="2" t="str">
        <f>IFERROR(__xludf.DUMMYFUNCTION("""COMPUTED_VALUE"""),"마이 ♥ 케이크")</f>
        <v>마이 ♥ 케이크</v>
      </c>
      <c r="B2625" s="2" t="str">
        <f>IFERROR(__xludf.DUMMYFUNCTION("""COMPUTED_VALUE"""),"대파")</f>
        <v>대파</v>
      </c>
    </row>
    <row r="2626">
      <c r="A2626" s="2" t="str">
        <f>IFERROR(__xludf.DUMMYFUNCTION("""COMPUTED_VALUE"""),"마이 ♥ 케이크")</f>
        <v>마이 ♥ 케이크</v>
      </c>
      <c r="B2626" s="2" t="str">
        <f>IFERROR(__xludf.DUMMYFUNCTION("""COMPUTED_VALUE"""),"소금")</f>
        <v>소금</v>
      </c>
    </row>
    <row r="2627">
      <c r="A2627" s="2" t="str">
        <f>IFERROR(__xludf.DUMMYFUNCTION("""COMPUTED_VALUE"""),"크림 속에 비친 파프리카")</f>
        <v>크림 속에 비친 파프리카</v>
      </c>
      <c r="B2627" s="2" t="str">
        <f>IFERROR(__xludf.DUMMYFUNCTION("""COMPUTED_VALUE"""),"파프리카")</f>
        <v>파프리카</v>
      </c>
    </row>
    <row r="2628">
      <c r="A2628" s="2" t="str">
        <f>IFERROR(__xludf.DUMMYFUNCTION("""COMPUTED_VALUE"""),"크림 속에 비친 파프리카")</f>
        <v>크림 속에 비친 파프리카</v>
      </c>
      <c r="B2628" s="2" t="str">
        <f>IFERROR(__xludf.DUMMYFUNCTION("""COMPUTED_VALUE"""),"오븐구이용 삼치")</f>
        <v>오븐구이용 삼치</v>
      </c>
    </row>
    <row r="2629">
      <c r="A2629" s="2" t="str">
        <f>IFERROR(__xludf.DUMMYFUNCTION("""COMPUTED_VALUE"""),"크림 속에 비친 파프리카")</f>
        <v>크림 속에 비친 파프리카</v>
      </c>
      <c r="B2629" s="2" t="str">
        <f>IFERROR(__xludf.DUMMYFUNCTION("""COMPUTED_VALUE"""),"콩나물")</f>
        <v>콩나물</v>
      </c>
    </row>
    <row r="2630">
      <c r="A2630" s="2" t="str">
        <f>IFERROR(__xludf.DUMMYFUNCTION("""COMPUTED_VALUE"""),"크림 속에 비친 파프리카")</f>
        <v>크림 속에 비친 파프리카</v>
      </c>
      <c r="B2630" s="2" t="str">
        <f>IFERROR(__xludf.DUMMYFUNCTION("""COMPUTED_VALUE"""),"팽이버섯")</f>
        <v>팽이버섯</v>
      </c>
    </row>
    <row r="2631">
      <c r="A2631" s="2" t="str">
        <f>IFERROR(__xludf.DUMMYFUNCTION("""COMPUTED_VALUE"""),"크림 속에 비친 파프리카")</f>
        <v>크림 속에 비친 파프리카</v>
      </c>
      <c r="B2631" s="2" t="str">
        <f>IFERROR(__xludf.DUMMYFUNCTION("""COMPUTED_VALUE"""),"날치알")</f>
        <v>날치알</v>
      </c>
    </row>
    <row r="2632">
      <c r="A2632" s="2" t="str">
        <f>IFERROR(__xludf.DUMMYFUNCTION("""COMPUTED_VALUE"""),"크림 속에 비친 파프리카")</f>
        <v>크림 속에 비친 파프리카</v>
      </c>
      <c r="B2632" s="2" t="str">
        <f>IFERROR(__xludf.DUMMYFUNCTION("""COMPUTED_VALUE"""),"크림치즈")</f>
        <v>크림치즈</v>
      </c>
    </row>
    <row r="2633">
      <c r="A2633" s="2" t="str">
        <f>IFERROR(__xludf.DUMMYFUNCTION("""COMPUTED_VALUE"""),"크림 속에 비친 파프리카")</f>
        <v>크림 속에 비친 파프리카</v>
      </c>
      <c r="B2633" s="2" t="str">
        <f>IFERROR(__xludf.DUMMYFUNCTION("""COMPUTED_VALUE"""),"달걀")</f>
        <v>달걀</v>
      </c>
    </row>
    <row r="2634">
      <c r="A2634" s="2" t="str">
        <f>IFERROR(__xludf.DUMMYFUNCTION("""COMPUTED_VALUE"""),"크림 속에 비친 파프리카")</f>
        <v>크림 속에 비친 파프리카</v>
      </c>
      <c r="B2634" s="2" t="str">
        <f>IFERROR(__xludf.DUMMYFUNCTION("""COMPUTED_VALUE"""),"마늘")</f>
        <v>마늘</v>
      </c>
    </row>
    <row r="2635">
      <c r="A2635" s="2" t="str">
        <f>IFERROR(__xludf.DUMMYFUNCTION("""COMPUTED_VALUE"""),"크림 속에 비친 파프리카")</f>
        <v>크림 속에 비친 파프리카</v>
      </c>
      <c r="B2635" s="2" t="str">
        <f>IFERROR(__xludf.DUMMYFUNCTION("""COMPUTED_VALUE"""),"양파")</f>
        <v>양파</v>
      </c>
    </row>
    <row r="2636">
      <c r="A2636" s="2" t="str">
        <f>IFERROR(__xludf.DUMMYFUNCTION("""COMPUTED_VALUE"""),"크림 속에 비친 파프리카")</f>
        <v>크림 속에 비친 파프리카</v>
      </c>
      <c r="B2636" s="2" t="str">
        <f>IFERROR(__xludf.DUMMYFUNCTION("""COMPUTED_VALUE"""),"소금")</f>
        <v>소금</v>
      </c>
    </row>
    <row r="2637">
      <c r="A2637" s="2" t="str">
        <f>IFERROR(__xludf.DUMMYFUNCTION("""COMPUTED_VALUE"""),"크림 속에 비친 파프리카")</f>
        <v>크림 속에 비친 파프리카</v>
      </c>
      <c r="B2637" s="2" t="str">
        <f>IFERROR(__xludf.DUMMYFUNCTION("""COMPUTED_VALUE"""),"후추")</f>
        <v>후추</v>
      </c>
    </row>
    <row r="2638">
      <c r="A2638" s="2" t="str">
        <f>IFERROR(__xludf.DUMMYFUNCTION("""COMPUTED_VALUE"""),"크림 속에 비친 파프리카")</f>
        <v>크림 속에 비친 파프리카</v>
      </c>
      <c r="B2638" s="2" t="str">
        <f>IFERROR(__xludf.DUMMYFUNCTION("""COMPUTED_VALUE"""),"간장")</f>
        <v>간장</v>
      </c>
    </row>
    <row r="2639">
      <c r="A2639" s="2" t="str">
        <f>IFERROR(__xludf.DUMMYFUNCTION("""COMPUTED_VALUE"""),"크림 속에 비친 파프리카")</f>
        <v>크림 속에 비친 파프리카</v>
      </c>
      <c r="B2639" s="2" t="str">
        <f>IFERROR(__xludf.DUMMYFUNCTION("""COMPUTED_VALUE"""),"맛술")</f>
        <v>맛술</v>
      </c>
    </row>
    <row r="2640">
      <c r="A2640" s="2" t="str">
        <f>IFERROR(__xludf.DUMMYFUNCTION("""COMPUTED_VALUE"""),"크림 속에 비친 파프리카")</f>
        <v>크림 속에 비친 파프리카</v>
      </c>
      <c r="B2640" s="2" t="str">
        <f>IFERROR(__xludf.DUMMYFUNCTION("""COMPUTED_VALUE"""),"참디름")</f>
        <v>참디름</v>
      </c>
    </row>
    <row r="2641">
      <c r="A2641" s="2" t="str">
        <f>IFERROR(__xludf.DUMMYFUNCTION("""COMPUTED_VALUE"""),"크림 속에 비친 파프리카")</f>
        <v>크림 속에 비친 파프리카</v>
      </c>
      <c r="B2641" s="2" t="str">
        <f>IFERROR(__xludf.DUMMYFUNCTION("""COMPUTED_VALUE"""),"레몬")</f>
        <v>레몬</v>
      </c>
    </row>
    <row r="2642">
      <c r="A2642" s="2" t="str">
        <f>IFERROR(__xludf.DUMMYFUNCTION("""COMPUTED_VALUE"""),"크림 속에 비친 파프리카")</f>
        <v>크림 속에 비친 파프리카</v>
      </c>
      <c r="B2642" s="2" t="str">
        <f>IFERROR(__xludf.DUMMYFUNCTION("""COMPUTED_VALUE"""),"올리고당")</f>
        <v>올리고당</v>
      </c>
    </row>
    <row r="2643">
      <c r="A2643" s="2" t="str">
        <f>IFERROR(__xludf.DUMMYFUNCTION("""COMPUTED_VALUE"""),"크림 속에 비친 파프리카")</f>
        <v>크림 속에 비친 파프리카</v>
      </c>
      <c r="B2643" s="2" t="str">
        <f>IFERROR(__xludf.DUMMYFUNCTION("""COMPUTED_VALUE"""),"파")</f>
        <v>파</v>
      </c>
    </row>
    <row r="2644">
      <c r="A2644" s="2" t="str">
        <f>IFERROR(__xludf.DUMMYFUNCTION("""COMPUTED_VALUE"""),"크림 속에 비친 파프리카")</f>
        <v>크림 속에 비친 파프리카</v>
      </c>
      <c r="B2644" s="2" t="str">
        <f>IFERROR(__xludf.DUMMYFUNCTION("""COMPUTED_VALUE"""),"올리브 오일")</f>
        <v>올리브 오일</v>
      </c>
    </row>
    <row r="2645">
      <c r="A2645" s="2" t="str">
        <f>IFERROR(__xludf.DUMMYFUNCTION("""COMPUTED_VALUE"""),"사장님 라이스 버거~")</f>
        <v>사장님 라이스 버거~</v>
      </c>
      <c r="B2645" s="2" t="str">
        <f>IFERROR(__xludf.DUMMYFUNCTION("""COMPUTED_VALUE"""),"차돌박이")</f>
        <v>차돌박이</v>
      </c>
    </row>
    <row r="2646">
      <c r="A2646" s="2" t="str">
        <f>IFERROR(__xludf.DUMMYFUNCTION("""COMPUTED_VALUE"""),"사장님 라이스 버거~")</f>
        <v>사장님 라이스 버거~</v>
      </c>
      <c r="B2646" s="2" t="str">
        <f>IFERROR(__xludf.DUMMYFUNCTION("""COMPUTED_VALUE"""),"장조림")</f>
        <v>장조림</v>
      </c>
    </row>
    <row r="2647">
      <c r="A2647" s="2" t="str">
        <f>IFERROR(__xludf.DUMMYFUNCTION("""COMPUTED_VALUE"""),"사장님 라이스 버거~")</f>
        <v>사장님 라이스 버거~</v>
      </c>
      <c r="B2647" s="2" t="str">
        <f>IFERROR(__xludf.DUMMYFUNCTION("""COMPUTED_VALUE"""),"양상추")</f>
        <v>양상추</v>
      </c>
    </row>
    <row r="2648">
      <c r="A2648" s="2" t="str">
        <f>IFERROR(__xludf.DUMMYFUNCTION("""COMPUTED_VALUE"""),"사장님 라이스 버거~")</f>
        <v>사장님 라이스 버거~</v>
      </c>
      <c r="B2648" s="2" t="str">
        <f>IFERROR(__xludf.DUMMYFUNCTION("""COMPUTED_VALUE"""),"트러플 오일")</f>
        <v>트러플 오일</v>
      </c>
    </row>
    <row r="2649">
      <c r="A2649" s="2" t="str">
        <f>IFERROR(__xludf.DUMMYFUNCTION("""COMPUTED_VALUE"""),"사장님 라이스 버거~")</f>
        <v>사장님 라이스 버거~</v>
      </c>
      <c r="B2649" s="2" t="str">
        <f>IFERROR(__xludf.DUMMYFUNCTION("""COMPUTED_VALUE"""),"체다 치즈")</f>
        <v>체다 치즈</v>
      </c>
    </row>
    <row r="2650">
      <c r="A2650" s="2" t="str">
        <f>IFERROR(__xludf.DUMMYFUNCTION("""COMPUTED_VALUE"""),"사장님 라이스 버거~")</f>
        <v>사장님 라이스 버거~</v>
      </c>
      <c r="B2650" s="2" t="str">
        <f>IFERROR(__xludf.DUMMYFUNCTION("""COMPUTED_VALUE"""),"레몬")</f>
        <v>레몬</v>
      </c>
    </row>
    <row r="2651">
      <c r="A2651" s="2" t="str">
        <f>IFERROR(__xludf.DUMMYFUNCTION("""COMPUTED_VALUE"""),"사장님 라이스 버거~")</f>
        <v>사장님 라이스 버거~</v>
      </c>
      <c r="B2651" s="2" t="str">
        <f>IFERROR(__xludf.DUMMYFUNCTION("""COMPUTED_VALUE"""),"즉석밥")</f>
        <v>즉석밥</v>
      </c>
    </row>
    <row r="2652">
      <c r="A2652" s="2" t="str">
        <f>IFERROR(__xludf.DUMMYFUNCTION("""COMPUTED_VALUE"""),"사장님 라이스 버거~")</f>
        <v>사장님 라이스 버거~</v>
      </c>
      <c r="B2652" s="2" t="str">
        <f>IFERROR(__xludf.DUMMYFUNCTION("""COMPUTED_VALUE"""),"물")</f>
        <v>물</v>
      </c>
    </row>
    <row r="2653">
      <c r="A2653" s="2" t="str">
        <f>IFERROR(__xludf.DUMMYFUNCTION("""COMPUTED_VALUE"""),"사장님 라이스 버거~")</f>
        <v>사장님 라이스 버거~</v>
      </c>
      <c r="B2653" s="2" t="str">
        <f>IFERROR(__xludf.DUMMYFUNCTION("""COMPUTED_VALUE"""),"꿀")</f>
        <v>꿀</v>
      </c>
    </row>
    <row r="2654">
      <c r="A2654" s="2" t="str">
        <f>IFERROR(__xludf.DUMMYFUNCTION("""COMPUTED_VALUE"""),"사장님 라이스 버거~")</f>
        <v>사장님 라이스 버거~</v>
      </c>
      <c r="B2654" s="2" t="str">
        <f>IFERROR(__xludf.DUMMYFUNCTION("""COMPUTED_VALUE"""),"파")</f>
        <v>파</v>
      </c>
    </row>
    <row r="2655">
      <c r="A2655" s="2" t="str">
        <f>IFERROR(__xludf.DUMMYFUNCTION("""COMPUTED_VALUE"""),"사장님 라이스 버거~")</f>
        <v>사장님 라이스 버거~</v>
      </c>
      <c r="B2655" s="2" t="str">
        <f>IFERROR(__xludf.DUMMYFUNCTION("""COMPUTED_VALUE"""),"다진 마늘")</f>
        <v>다진 마늘</v>
      </c>
    </row>
    <row r="2656">
      <c r="A2656" s="2" t="str">
        <f>IFERROR(__xludf.DUMMYFUNCTION("""COMPUTED_VALUE"""),"사장님 라이스 버거~")</f>
        <v>사장님 라이스 버거~</v>
      </c>
      <c r="B2656" s="2" t="str">
        <f>IFERROR(__xludf.DUMMYFUNCTION("""COMPUTED_VALUE"""),"후추")</f>
        <v>후추</v>
      </c>
    </row>
    <row r="2657">
      <c r="A2657" s="2" t="str">
        <f>IFERROR(__xludf.DUMMYFUNCTION("""COMPUTED_VALUE"""),"사장님 라이스 버거~")</f>
        <v>사장님 라이스 버거~</v>
      </c>
      <c r="B2657" s="2" t="str">
        <f>IFERROR(__xludf.DUMMYFUNCTION("""COMPUTED_VALUE"""),"깨")</f>
        <v>깨</v>
      </c>
    </row>
    <row r="2658">
      <c r="A2658" s="2" t="str">
        <f>IFERROR(__xludf.DUMMYFUNCTION("""COMPUTED_VALUE"""),"사장님 라이스 버거~")</f>
        <v>사장님 라이스 버거~</v>
      </c>
      <c r="B2658" s="2" t="str">
        <f>IFERROR(__xludf.DUMMYFUNCTION("""COMPUTED_VALUE"""),"소금")</f>
        <v>소금</v>
      </c>
    </row>
    <row r="2659">
      <c r="A2659" s="2" t="str">
        <f>IFERROR(__xludf.DUMMYFUNCTION("""COMPUTED_VALUE"""),"사장님 라이스 버거~")</f>
        <v>사장님 라이스 버거~</v>
      </c>
      <c r="B2659" s="2" t="str">
        <f>IFERROR(__xludf.DUMMYFUNCTION("""COMPUTED_VALUE"""),"마요네즈")</f>
        <v>마요네즈</v>
      </c>
    </row>
    <row r="2660">
      <c r="A2660" s="2" t="str">
        <f>IFERROR(__xludf.DUMMYFUNCTION("""COMPUTED_VALUE"""),"사장님 라이스 버거~")</f>
        <v>사장님 라이스 버거~</v>
      </c>
      <c r="B2660" s="2" t="str">
        <f>IFERROR(__xludf.DUMMYFUNCTION("""COMPUTED_VALUE"""),"된장")</f>
        <v>된장</v>
      </c>
    </row>
    <row r="2661">
      <c r="A2661" s="2" t="str">
        <f>IFERROR(__xludf.DUMMYFUNCTION("""COMPUTED_VALUE"""),"사장님 라이스 버거~")</f>
        <v>사장님 라이스 버거~</v>
      </c>
      <c r="B2661" s="2" t="str">
        <f>IFERROR(__xludf.DUMMYFUNCTION("""COMPUTED_VALUE"""),"참기름")</f>
        <v>참기름</v>
      </c>
    </row>
    <row r="2662">
      <c r="A2662" s="2" t="str">
        <f>IFERROR(__xludf.DUMMYFUNCTION("""COMPUTED_VALUE"""),"사장님 라이스 버거~")</f>
        <v>사장님 라이스 버거~</v>
      </c>
      <c r="B2662" s="2" t="str">
        <f>IFERROR(__xludf.DUMMYFUNCTION("""COMPUTED_VALUE"""),"레몬")</f>
        <v>레몬</v>
      </c>
    </row>
    <row r="2663">
      <c r="A2663" s="2" t="str">
        <f>IFERROR(__xludf.DUMMYFUNCTION("""COMPUTED_VALUE"""),"이탈리안 특급 파스타")</f>
        <v>이탈리안 특급 파스타</v>
      </c>
      <c r="B2663" s="2" t="str">
        <f>IFERROR(__xludf.DUMMYFUNCTION("""COMPUTED_VALUE"""),"파스타면")</f>
        <v>파스타면</v>
      </c>
    </row>
    <row r="2664">
      <c r="A2664" s="2" t="str">
        <f>IFERROR(__xludf.DUMMYFUNCTION("""COMPUTED_VALUE"""),"이탈리안 특급 파스타")</f>
        <v>이탈리안 특급 파스타</v>
      </c>
      <c r="B2664" s="2" t="str">
        <f>IFERROR(__xludf.DUMMYFUNCTION("""COMPUTED_VALUE"""),"새송이버섯")</f>
        <v>새송이버섯</v>
      </c>
    </row>
    <row r="2665">
      <c r="A2665" s="2" t="str">
        <f>IFERROR(__xludf.DUMMYFUNCTION("""COMPUTED_VALUE"""),"이탈리안 특급 파스타")</f>
        <v>이탈리안 특급 파스타</v>
      </c>
      <c r="B2665" s="2" t="str">
        <f>IFERROR(__xludf.DUMMYFUNCTION("""COMPUTED_VALUE"""),"우설")</f>
        <v>우설</v>
      </c>
    </row>
    <row r="2666">
      <c r="A2666" s="2" t="str">
        <f>IFERROR(__xludf.DUMMYFUNCTION("""COMPUTED_VALUE"""),"이탈리안 특급 파스타")</f>
        <v>이탈리안 특급 파스타</v>
      </c>
      <c r="B2666" s="2" t="str">
        <f>IFERROR(__xludf.DUMMYFUNCTION("""COMPUTED_VALUE"""),"우유")</f>
        <v>우유</v>
      </c>
    </row>
    <row r="2667">
      <c r="A2667" s="2" t="str">
        <f>IFERROR(__xludf.DUMMYFUNCTION("""COMPUTED_VALUE"""),"이탈리안 특급 파스타")</f>
        <v>이탈리안 특급 파스타</v>
      </c>
      <c r="B2667" s="2" t="str">
        <f>IFERROR(__xludf.DUMMYFUNCTION("""COMPUTED_VALUE"""),"양파")</f>
        <v>양파</v>
      </c>
    </row>
    <row r="2668">
      <c r="A2668" s="2" t="str">
        <f>IFERROR(__xludf.DUMMYFUNCTION("""COMPUTED_VALUE"""),"이탈리안 특급 파스타")</f>
        <v>이탈리안 특급 파스타</v>
      </c>
      <c r="B2668" s="2" t="str">
        <f>IFERROR(__xludf.DUMMYFUNCTION("""COMPUTED_VALUE"""),"소금")</f>
        <v>소금</v>
      </c>
    </row>
    <row r="2669">
      <c r="A2669" s="2" t="str">
        <f>IFERROR(__xludf.DUMMYFUNCTION("""COMPUTED_VALUE"""),"이탈리안 특급 파스타")</f>
        <v>이탈리안 특급 파스타</v>
      </c>
      <c r="B2669" s="2" t="str">
        <f>IFERROR(__xludf.DUMMYFUNCTION("""COMPUTED_VALUE"""),"다진 마늘")</f>
        <v>다진 마늘</v>
      </c>
    </row>
    <row r="2670">
      <c r="A2670" s="2" t="str">
        <f>IFERROR(__xludf.DUMMYFUNCTION("""COMPUTED_VALUE"""),"이탈리안 특급 파스타")</f>
        <v>이탈리안 특급 파스타</v>
      </c>
      <c r="B2670" s="2" t="str">
        <f>IFERROR(__xludf.DUMMYFUNCTION("""COMPUTED_VALUE"""),"화이트 와인")</f>
        <v>화이트 와인</v>
      </c>
    </row>
    <row r="2671">
      <c r="A2671" s="2" t="str">
        <f>IFERROR(__xludf.DUMMYFUNCTION("""COMPUTED_VALUE"""),"이탈리안 특급 파스타")</f>
        <v>이탈리안 특급 파스타</v>
      </c>
      <c r="B2671" s="2" t="str">
        <f>IFERROR(__xludf.DUMMYFUNCTION("""COMPUTED_VALUE"""),"후추")</f>
        <v>후추</v>
      </c>
    </row>
    <row r="2672">
      <c r="A2672" s="2" t="str">
        <f>IFERROR(__xludf.DUMMYFUNCTION("""COMPUTED_VALUE"""),"이탈리안 특급 파스타")</f>
        <v>이탈리안 특급 파스타</v>
      </c>
      <c r="B2672" s="2" t="str">
        <f>IFERROR(__xludf.DUMMYFUNCTION("""COMPUTED_VALUE"""),"레몬")</f>
        <v>레몬</v>
      </c>
    </row>
    <row r="2673">
      <c r="A2673" s="2" t="str">
        <f>IFERROR(__xludf.DUMMYFUNCTION("""COMPUTED_VALUE"""),"이탈리안 특급 파스타")</f>
        <v>이탈리안 특급 파스타</v>
      </c>
      <c r="B2673" s="2" t="str">
        <f>IFERROR(__xludf.DUMMYFUNCTION("""COMPUTED_VALUE"""),"토마토 소스")</f>
        <v>토마토 소스</v>
      </c>
    </row>
    <row r="2674">
      <c r="A2674" s="2" t="str">
        <f>IFERROR(__xludf.DUMMYFUNCTION("""COMPUTED_VALUE"""),"이탈리안 특급 파스타")</f>
        <v>이탈리안 특급 파스타</v>
      </c>
      <c r="B2674" s="2" t="str">
        <f>IFERROR(__xludf.DUMMYFUNCTION("""COMPUTED_VALUE"""),"설탕")</f>
        <v>설탕</v>
      </c>
    </row>
    <row r="2675">
      <c r="A2675" s="2" t="str">
        <f>IFERROR(__xludf.DUMMYFUNCTION("""COMPUTED_VALUE"""),"이탈리안 특급 파스타")</f>
        <v>이탈리안 특급 파스타</v>
      </c>
      <c r="B2675" s="2" t="str">
        <f>IFERROR(__xludf.DUMMYFUNCTION("""COMPUTED_VALUE"""),"올리브 오일")</f>
        <v>올리브 오일</v>
      </c>
    </row>
    <row r="2676">
      <c r="A2676" s="2" t="str">
        <f>IFERROR(__xludf.DUMMYFUNCTION("""COMPUTED_VALUE"""),"당근 체인지업")</f>
        <v>당근 체인지업</v>
      </c>
      <c r="B2676" s="2" t="str">
        <f>IFERROR(__xludf.DUMMYFUNCTION("""COMPUTED_VALUE"""),"고기 안심")</f>
        <v>고기 안심</v>
      </c>
    </row>
    <row r="2677">
      <c r="A2677" s="2" t="str">
        <f>IFERROR(__xludf.DUMMYFUNCTION("""COMPUTED_VALUE"""),"당근 체인지업")</f>
        <v>당근 체인지업</v>
      </c>
      <c r="B2677" s="2" t="str">
        <f>IFERROR(__xludf.DUMMYFUNCTION("""COMPUTED_VALUE"""),"누룽지")</f>
        <v>누룽지</v>
      </c>
    </row>
    <row r="2678">
      <c r="A2678" s="2" t="str">
        <f>IFERROR(__xludf.DUMMYFUNCTION("""COMPUTED_VALUE"""),"당근 체인지업")</f>
        <v>당근 체인지업</v>
      </c>
      <c r="B2678" s="2" t="str">
        <f>IFERROR(__xludf.DUMMYFUNCTION("""COMPUTED_VALUE"""),"소금")</f>
        <v>소금</v>
      </c>
    </row>
    <row r="2679">
      <c r="A2679" s="2" t="str">
        <f>IFERROR(__xludf.DUMMYFUNCTION("""COMPUTED_VALUE"""),"당근 체인지업")</f>
        <v>당근 체인지업</v>
      </c>
      <c r="B2679" s="2" t="str">
        <f>IFERROR(__xludf.DUMMYFUNCTION("""COMPUTED_VALUE"""),"양파")</f>
        <v>양파</v>
      </c>
    </row>
    <row r="2680">
      <c r="A2680" s="2" t="str">
        <f>IFERROR(__xludf.DUMMYFUNCTION("""COMPUTED_VALUE"""),"당근 체인지업")</f>
        <v>당근 체인지업</v>
      </c>
      <c r="B2680" s="2" t="str">
        <f>IFERROR(__xludf.DUMMYFUNCTION("""COMPUTED_VALUE"""),"후추")</f>
        <v>후추</v>
      </c>
    </row>
    <row r="2681">
      <c r="A2681" s="2" t="str">
        <f>IFERROR(__xludf.DUMMYFUNCTION("""COMPUTED_VALUE"""),"당근 체인지업")</f>
        <v>당근 체인지업</v>
      </c>
      <c r="B2681" s="2" t="str">
        <f>IFERROR(__xludf.DUMMYFUNCTION("""COMPUTED_VALUE"""),"레드와인")</f>
        <v>레드와인</v>
      </c>
    </row>
    <row r="2682">
      <c r="A2682" s="2" t="str">
        <f>IFERROR(__xludf.DUMMYFUNCTION("""COMPUTED_VALUE"""),"당근 체인지업")</f>
        <v>당근 체인지업</v>
      </c>
      <c r="B2682" s="2" t="str">
        <f>IFERROR(__xludf.DUMMYFUNCTION("""COMPUTED_VALUE"""),"꿀")</f>
        <v>꿀</v>
      </c>
    </row>
    <row r="2683">
      <c r="A2683" s="2" t="str">
        <f>IFERROR(__xludf.DUMMYFUNCTION("""COMPUTED_VALUE"""),"당근 체인지업")</f>
        <v>당근 체인지업</v>
      </c>
      <c r="B2683" s="2" t="str">
        <f>IFERROR(__xludf.DUMMYFUNCTION("""COMPUTED_VALUE"""),"연겨자")</f>
        <v>연겨자</v>
      </c>
    </row>
    <row r="2684">
      <c r="A2684" s="2" t="str">
        <f>IFERROR(__xludf.DUMMYFUNCTION("""COMPUTED_VALUE"""),"당근 체인지업")</f>
        <v>당근 체인지업</v>
      </c>
      <c r="B2684" s="2" t="str">
        <f>IFERROR(__xludf.DUMMYFUNCTION("""COMPUTED_VALUE"""),"당근")</f>
        <v>당근</v>
      </c>
    </row>
    <row r="2685">
      <c r="A2685" s="2" t="str">
        <f>IFERROR(__xludf.DUMMYFUNCTION("""COMPUTED_VALUE"""),"당근 체인지업")</f>
        <v>당근 체인지업</v>
      </c>
      <c r="B2685" s="2" t="str">
        <f>IFERROR(__xludf.DUMMYFUNCTION("""COMPUTED_VALUE"""),"버터")</f>
        <v>버터</v>
      </c>
    </row>
    <row r="2686">
      <c r="A2686" s="2" t="str">
        <f>IFERROR(__xludf.DUMMYFUNCTION("""COMPUTED_VALUE"""),"입이 떡~갈비")</f>
        <v>입이 떡~갈비</v>
      </c>
      <c r="B2686" s="2" t="str">
        <f>IFERROR(__xludf.DUMMYFUNCTION("""COMPUTED_VALUE"""),"매실고추장")</f>
        <v>매실고추장</v>
      </c>
    </row>
    <row r="2687">
      <c r="A2687" s="2" t="str">
        <f>IFERROR(__xludf.DUMMYFUNCTION("""COMPUTED_VALUE"""),"입이 떡~갈비")</f>
        <v>입이 떡~갈비</v>
      </c>
      <c r="B2687" s="2" t="str">
        <f>IFERROR(__xludf.DUMMYFUNCTION("""COMPUTED_VALUE"""),"양파장아찌")</f>
        <v>양파장아찌</v>
      </c>
    </row>
    <row r="2688">
      <c r="A2688" s="2" t="str">
        <f>IFERROR(__xludf.DUMMYFUNCTION("""COMPUTED_VALUE"""),"입이 떡~갈비")</f>
        <v>입이 떡~갈비</v>
      </c>
      <c r="B2688" s="2" t="str">
        <f>IFERROR(__xludf.DUMMYFUNCTION("""COMPUTED_VALUE"""),"고추장아찌")</f>
        <v>고추장아찌</v>
      </c>
    </row>
    <row r="2689">
      <c r="A2689" s="2" t="str">
        <f>IFERROR(__xludf.DUMMYFUNCTION("""COMPUTED_VALUE"""),"입이 떡~갈비")</f>
        <v>입이 떡~갈비</v>
      </c>
      <c r="B2689" s="2" t="str">
        <f>IFERROR(__xludf.DUMMYFUNCTION("""COMPUTED_VALUE"""),"베트남 고추")</f>
        <v>베트남 고추</v>
      </c>
    </row>
    <row r="2690">
      <c r="A2690" s="2" t="str">
        <f>IFERROR(__xludf.DUMMYFUNCTION("""COMPUTED_VALUE"""),"입이 떡~갈비")</f>
        <v>입이 떡~갈비</v>
      </c>
      <c r="B2690" s="2" t="str">
        <f>IFERROR(__xludf.DUMMYFUNCTION("""COMPUTED_VALUE"""),"소고기")</f>
        <v>소고기</v>
      </c>
    </row>
    <row r="2691">
      <c r="A2691" s="2" t="str">
        <f>IFERROR(__xludf.DUMMYFUNCTION("""COMPUTED_VALUE"""),"입이 떡~갈비")</f>
        <v>입이 떡~갈비</v>
      </c>
      <c r="B2691" s="2" t="str">
        <f>IFERROR(__xludf.DUMMYFUNCTION("""COMPUTED_VALUE"""),"새송이버섯")</f>
        <v>새송이버섯</v>
      </c>
    </row>
    <row r="2692">
      <c r="A2692" s="2" t="str">
        <f>IFERROR(__xludf.DUMMYFUNCTION("""COMPUTED_VALUE"""),"입이 떡~갈비")</f>
        <v>입이 떡~갈비</v>
      </c>
      <c r="B2692" s="2" t="str">
        <f>IFERROR(__xludf.DUMMYFUNCTION("""COMPUTED_VALUE"""),"사과")</f>
        <v>사과</v>
      </c>
    </row>
    <row r="2693">
      <c r="A2693" s="2" t="str">
        <f>IFERROR(__xludf.DUMMYFUNCTION("""COMPUTED_VALUE"""),"입이 떡~갈비")</f>
        <v>입이 떡~갈비</v>
      </c>
      <c r="B2693" s="2" t="str">
        <f>IFERROR(__xludf.DUMMYFUNCTION("""COMPUTED_VALUE"""),"밤")</f>
        <v>밤</v>
      </c>
    </row>
    <row r="2694">
      <c r="A2694" s="2" t="str">
        <f>IFERROR(__xludf.DUMMYFUNCTION("""COMPUTED_VALUE"""),"입이 떡~갈비")</f>
        <v>입이 떡~갈비</v>
      </c>
      <c r="B2694" s="2" t="str">
        <f>IFERROR(__xludf.DUMMYFUNCTION("""COMPUTED_VALUE"""),"다진 마늘")</f>
        <v>다진 마늘</v>
      </c>
    </row>
    <row r="2695">
      <c r="A2695" s="2" t="str">
        <f>IFERROR(__xludf.DUMMYFUNCTION("""COMPUTED_VALUE"""),"입이 떡~갈비")</f>
        <v>입이 떡~갈비</v>
      </c>
      <c r="B2695" s="2" t="str">
        <f>IFERROR(__xludf.DUMMYFUNCTION("""COMPUTED_VALUE"""),"다진 생강")</f>
        <v>다진 생강</v>
      </c>
    </row>
    <row r="2696">
      <c r="A2696" s="2" t="str">
        <f>IFERROR(__xludf.DUMMYFUNCTION("""COMPUTED_VALUE"""),"입이 떡~갈비")</f>
        <v>입이 떡~갈비</v>
      </c>
      <c r="B2696" s="2" t="str">
        <f>IFERROR(__xludf.DUMMYFUNCTION("""COMPUTED_VALUE"""),"맛술")</f>
        <v>맛술</v>
      </c>
    </row>
    <row r="2697">
      <c r="A2697" s="2" t="str">
        <f>IFERROR(__xludf.DUMMYFUNCTION("""COMPUTED_VALUE"""),"입이 떡~갈비")</f>
        <v>입이 떡~갈비</v>
      </c>
      <c r="B2697" s="2" t="str">
        <f>IFERROR(__xludf.DUMMYFUNCTION("""COMPUTED_VALUE"""),"참기름")</f>
        <v>참기름</v>
      </c>
    </row>
    <row r="2698">
      <c r="A2698" s="2" t="str">
        <f>IFERROR(__xludf.DUMMYFUNCTION("""COMPUTED_VALUE"""),"입이 떡~갈비")</f>
        <v>입이 떡~갈비</v>
      </c>
      <c r="B2698" s="2" t="str">
        <f>IFERROR(__xludf.DUMMYFUNCTION("""COMPUTED_VALUE"""),"개")</f>
        <v>개</v>
      </c>
    </row>
    <row r="2699">
      <c r="A2699" s="2" t="str">
        <f>IFERROR(__xludf.DUMMYFUNCTION("""COMPUTED_VALUE"""),"입이 떡~갈비")</f>
        <v>입이 떡~갈비</v>
      </c>
      <c r="B2699" s="2" t="str">
        <f>IFERROR(__xludf.DUMMYFUNCTION("""COMPUTED_VALUE"""),"꿀")</f>
        <v>꿀</v>
      </c>
    </row>
    <row r="2700">
      <c r="A2700" s="2" t="str">
        <f>IFERROR(__xludf.DUMMYFUNCTION("""COMPUTED_VALUE"""),"입이 떡~갈비")</f>
        <v>입이 떡~갈비</v>
      </c>
      <c r="B2700" s="2" t="str">
        <f>IFERROR(__xludf.DUMMYFUNCTION("""COMPUTED_VALUE"""),"설탕")</f>
        <v>설탕</v>
      </c>
    </row>
    <row r="2701">
      <c r="A2701" s="2" t="str">
        <f>IFERROR(__xludf.DUMMYFUNCTION("""COMPUTED_VALUE"""),"입이 떡~갈비")</f>
        <v>입이 떡~갈비</v>
      </c>
      <c r="B2701" s="2" t="str">
        <f>IFERROR(__xludf.DUMMYFUNCTION("""COMPUTED_VALUE"""),"양파")</f>
        <v>양파</v>
      </c>
    </row>
    <row r="2702">
      <c r="A2702" s="2" t="str">
        <f>IFERROR(__xludf.DUMMYFUNCTION("""COMPUTED_VALUE"""),"입이 떡~갈비")</f>
        <v>입이 떡~갈비</v>
      </c>
      <c r="B2702" s="2" t="str">
        <f>IFERROR(__xludf.DUMMYFUNCTION("""COMPUTED_VALUE"""),"대파")</f>
        <v>대파</v>
      </c>
    </row>
    <row r="2703">
      <c r="A2703" s="2" t="str">
        <f>IFERROR(__xludf.DUMMYFUNCTION("""COMPUTED_VALUE"""),"입이 떡~갈비")</f>
        <v>입이 떡~갈비</v>
      </c>
      <c r="B2703" s="2" t="str">
        <f>IFERROR(__xludf.DUMMYFUNCTION("""COMPUTED_VALUE"""),"고추")</f>
        <v>고추</v>
      </c>
    </row>
    <row r="2704">
      <c r="A2704" s="2" t="str">
        <f>IFERROR(__xludf.DUMMYFUNCTION("""COMPUTED_VALUE"""),"입이 떡~갈비")</f>
        <v>입이 떡~갈비</v>
      </c>
      <c r="B2704" s="2" t="str">
        <f>IFERROR(__xludf.DUMMYFUNCTION("""COMPUTED_VALUE"""),"참기름")</f>
        <v>참기름</v>
      </c>
    </row>
    <row r="2705">
      <c r="A2705" s="2" t="str">
        <f>IFERROR(__xludf.DUMMYFUNCTION("""COMPUTED_VALUE"""),"입이 떡~갈비")</f>
        <v>입이 떡~갈비</v>
      </c>
      <c r="B2705" s="2" t="str">
        <f>IFERROR(__xludf.DUMMYFUNCTION("""COMPUTED_VALUE"""),"전분")</f>
        <v>전분</v>
      </c>
    </row>
    <row r="2706">
      <c r="A2706" s="2" t="str">
        <f>IFERROR(__xludf.DUMMYFUNCTION("""COMPUTED_VALUE"""),"입이 떡~갈비")</f>
        <v>입이 떡~갈비</v>
      </c>
      <c r="B2706" s="2" t="str">
        <f>IFERROR(__xludf.DUMMYFUNCTION("""COMPUTED_VALUE"""),"버터")</f>
        <v>버터</v>
      </c>
    </row>
    <row r="2707">
      <c r="A2707" s="2" t="str">
        <f>IFERROR(__xludf.DUMMYFUNCTION("""COMPUTED_VALUE"""),"입이 떡~갈비")</f>
        <v>입이 떡~갈비</v>
      </c>
      <c r="B2707" s="2" t="str">
        <f>IFERROR(__xludf.DUMMYFUNCTION("""COMPUTED_VALUE"""),"올리브 오일")</f>
        <v>올리브 오일</v>
      </c>
    </row>
    <row r="2708">
      <c r="A2708" s="2" t="str">
        <f>IFERROR(__xludf.DUMMYFUNCTION("""COMPUTED_VALUE"""),"입이 떡~갈비")</f>
        <v>입이 떡~갈비</v>
      </c>
      <c r="B2708" s="2" t="str">
        <f>IFERROR(__xludf.DUMMYFUNCTION("""COMPUTED_VALUE"""),"레몬")</f>
        <v>레몬</v>
      </c>
    </row>
    <row r="2709">
      <c r="A2709" s="2" t="str">
        <f>IFERROR(__xludf.DUMMYFUNCTION("""COMPUTED_VALUE"""),"콩나물 팍팍 무쳤돔")</f>
        <v>콩나물 팍팍 무쳤돔</v>
      </c>
      <c r="B2709" s="2" t="str">
        <f>IFERROR(__xludf.DUMMYFUNCTION("""COMPUTED_VALUE"""),"옥돔")</f>
        <v>옥돔</v>
      </c>
    </row>
    <row r="2710">
      <c r="A2710" s="2" t="str">
        <f>IFERROR(__xludf.DUMMYFUNCTION("""COMPUTED_VALUE"""),"콩나물 팍팍 무쳤돔")</f>
        <v>콩나물 팍팍 무쳤돔</v>
      </c>
      <c r="B2710" s="2" t="str">
        <f>IFERROR(__xludf.DUMMYFUNCTION("""COMPUTED_VALUE"""),"낙지")</f>
        <v>낙지</v>
      </c>
    </row>
    <row r="2711">
      <c r="A2711" s="2" t="str">
        <f>IFERROR(__xludf.DUMMYFUNCTION("""COMPUTED_VALUE"""),"콩나물 팍팍 무쳤돔")</f>
        <v>콩나물 팍팍 무쳤돔</v>
      </c>
      <c r="B2711" s="2" t="str">
        <f>IFERROR(__xludf.DUMMYFUNCTION("""COMPUTED_VALUE"""),"콩나물")</f>
        <v>콩나물</v>
      </c>
    </row>
    <row r="2712">
      <c r="A2712" s="2" t="str">
        <f>IFERROR(__xludf.DUMMYFUNCTION("""COMPUTED_VALUE"""),"콩나물 팍팍 무쳤돔")</f>
        <v>콩나물 팍팍 무쳤돔</v>
      </c>
      <c r="B2712" s="2" t="str">
        <f>IFERROR(__xludf.DUMMYFUNCTION("""COMPUTED_VALUE"""),"청양고추")</f>
        <v>청양고추</v>
      </c>
    </row>
    <row r="2713">
      <c r="A2713" s="2" t="str">
        <f>IFERROR(__xludf.DUMMYFUNCTION("""COMPUTED_VALUE"""),"콩나물 팍팍 무쳤돔")</f>
        <v>콩나물 팍팍 무쳤돔</v>
      </c>
      <c r="B2713" s="2" t="str">
        <f>IFERROR(__xludf.DUMMYFUNCTION("""COMPUTED_VALUE"""),"간장")</f>
        <v>간장</v>
      </c>
    </row>
    <row r="2714">
      <c r="A2714" s="2" t="str">
        <f>IFERROR(__xludf.DUMMYFUNCTION("""COMPUTED_VALUE"""),"콩나물 팍팍 무쳤돔")</f>
        <v>콩나물 팍팍 무쳤돔</v>
      </c>
      <c r="B2714" s="2" t="str">
        <f>IFERROR(__xludf.DUMMYFUNCTION("""COMPUTED_VALUE"""),"달걀")</f>
        <v>달걀</v>
      </c>
    </row>
    <row r="2715">
      <c r="A2715" s="2" t="str">
        <f>IFERROR(__xludf.DUMMYFUNCTION("""COMPUTED_VALUE"""),"콩나물 팍팍 무쳤돔")</f>
        <v>콩나물 팍팍 무쳤돔</v>
      </c>
      <c r="B2715" s="2" t="str">
        <f>IFERROR(__xludf.DUMMYFUNCTION("""COMPUTED_VALUE"""),"청주")</f>
        <v>청주</v>
      </c>
    </row>
    <row r="2716">
      <c r="A2716" s="2" t="str">
        <f>IFERROR(__xludf.DUMMYFUNCTION("""COMPUTED_VALUE"""),"콩나물 팍팍 무쳤돔")</f>
        <v>콩나물 팍팍 무쳤돔</v>
      </c>
      <c r="B2716" s="2" t="str">
        <f>IFERROR(__xludf.DUMMYFUNCTION("""COMPUTED_VALUE"""),"소금")</f>
        <v>소금</v>
      </c>
    </row>
    <row r="2717">
      <c r="A2717" s="2" t="str">
        <f>IFERROR(__xludf.DUMMYFUNCTION("""COMPUTED_VALUE"""),"콩나물 팍팍 무쳤돔")</f>
        <v>콩나물 팍팍 무쳤돔</v>
      </c>
      <c r="B2717" s="2" t="str">
        <f>IFERROR(__xludf.DUMMYFUNCTION("""COMPUTED_VALUE"""),"양파")</f>
        <v>양파</v>
      </c>
    </row>
    <row r="2718">
      <c r="A2718" s="2" t="str">
        <f>IFERROR(__xludf.DUMMYFUNCTION("""COMPUTED_VALUE"""),"콩나물 팍팍 무쳤돔")</f>
        <v>콩나물 팍팍 무쳤돔</v>
      </c>
      <c r="B2718" s="2" t="str">
        <f>IFERROR(__xludf.DUMMYFUNCTION("""COMPUTED_VALUE"""),"대파")</f>
        <v>대파</v>
      </c>
    </row>
    <row r="2719">
      <c r="A2719" s="2" t="str">
        <f>IFERROR(__xludf.DUMMYFUNCTION("""COMPUTED_VALUE"""),"콩나물 팍팍 무쳤돔")</f>
        <v>콩나물 팍팍 무쳤돔</v>
      </c>
      <c r="B2719" s="2" t="str">
        <f>IFERROR(__xludf.DUMMYFUNCTION("""COMPUTED_VALUE"""),"청양고추")</f>
        <v>청양고추</v>
      </c>
    </row>
    <row r="2720">
      <c r="A2720" s="2" t="str">
        <f>IFERROR(__xludf.DUMMYFUNCTION("""COMPUTED_VALUE"""),"콩나물 팍팍 무쳤돔")</f>
        <v>콩나물 팍팍 무쳤돔</v>
      </c>
      <c r="B2720" s="2" t="str">
        <f>IFERROR(__xludf.DUMMYFUNCTION("""COMPUTED_VALUE"""),"고춧가루")</f>
        <v>고춧가루</v>
      </c>
    </row>
    <row r="2721">
      <c r="A2721" s="2" t="str">
        <f>IFERROR(__xludf.DUMMYFUNCTION("""COMPUTED_VALUE"""),"콩나물 팍팍 무쳤돔")</f>
        <v>콩나물 팍팍 무쳤돔</v>
      </c>
      <c r="B2721" s="2" t="str">
        <f>IFERROR(__xludf.DUMMYFUNCTION("""COMPUTED_VALUE"""),"고추장")</f>
        <v>고추장</v>
      </c>
    </row>
    <row r="2722">
      <c r="A2722" s="2" t="str">
        <f>IFERROR(__xludf.DUMMYFUNCTION("""COMPUTED_VALUE"""),"콩나물 팍팍 무쳤돔")</f>
        <v>콩나물 팍팍 무쳤돔</v>
      </c>
      <c r="B2722" s="2" t="str">
        <f>IFERROR(__xludf.DUMMYFUNCTION("""COMPUTED_VALUE"""),"간장")</f>
        <v>간장</v>
      </c>
    </row>
    <row r="2723">
      <c r="A2723" s="2" t="str">
        <f>IFERROR(__xludf.DUMMYFUNCTION("""COMPUTED_VALUE"""),"콩나물 팍팍 무쳤돔")</f>
        <v>콩나물 팍팍 무쳤돔</v>
      </c>
      <c r="B2723" s="2" t="str">
        <f>IFERROR(__xludf.DUMMYFUNCTION("""COMPUTED_VALUE"""),"후추")</f>
        <v>후추</v>
      </c>
    </row>
    <row r="2724">
      <c r="A2724" s="2" t="str">
        <f>IFERROR(__xludf.DUMMYFUNCTION("""COMPUTED_VALUE"""),"콩나물 팍팍 무쳤돔")</f>
        <v>콩나물 팍팍 무쳤돔</v>
      </c>
      <c r="B2724" s="2" t="str">
        <f>IFERROR(__xludf.DUMMYFUNCTION("""COMPUTED_VALUE"""),"설탕")</f>
        <v>설탕</v>
      </c>
    </row>
    <row r="2725">
      <c r="A2725" s="2" t="str">
        <f>IFERROR(__xludf.DUMMYFUNCTION("""COMPUTED_VALUE"""),"콩나물 팍팍 무쳤돔")</f>
        <v>콩나물 팍팍 무쳤돔</v>
      </c>
      <c r="B2725" s="2" t="str">
        <f>IFERROR(__xludf.DUMMYFUNCTION("""COMPUTED_VALUE"""),"다진 마늘")</f>
        <v>다진 마늘</v>
      </c>
    </row>
    <row r="2726">
      <c r="A2726" s="2" t="str">
        <f>IFERROR(__xludf.DUMMYFUNCTION("""COMPUTED_VALUE"""),"콩나물 팍팍 무쳤돔")</f>
        <v>콩나물 팍팍 무쳤돔</v>
      </c>
      <c r="B2726" s="2" t="str">
        <f>IFERROR(__xludf.DUMMYFUNCTION("""COMPUTED_VALUE"""),"다진 생강")</f>
        <v>다진 생강</v>
      </c>
    </row>
    <row r="2727">
      <c r="A2727" s="2" t="str">
        <f>IFERROR(__xludf.DUMMYFUNCTION("""COMPUTED_VALUE"""),"콩나물 팍팍 무쳤돔")</f>
        <v>콩나물 팍팍 무쳤돔</v>
      </c>
      <c r="B2727" s="2" t="str">
        <f>IFERROR(__xludf.DUMMYFUNCTION("""COMPUTED_VALUE"""),"즉석밥")</f>
        <v>즉석밥</v>
      </c>
    </row>
    <row r="2728">
      <c r="A2728" s="2" t="str">
        <f>IFERROR(__xludf.DUMMYFUNCTION("""COMPUTED_VALUE"""),"콩나물 팍팍 무쳤돔")</f>
        <v>콩나물 팍팍 무쳤돔</v>
      </c>
      <c r="B2728" s="2" t="str">
        <f>IFERROR(__xludf.DUMMYFUNCTION("""COMPUTED_VALUE"""),"밀가루")</f>
        <v>밀가루</v>
      </c>
    </row>
    <row r="2729">
      <c r="A2729" s="2" t="str">
        <f>IFERROR(__xludf.DUMMYFUNCTION("""COMPUTED_VALUE"""),"토마토 쓴다고 놀리지 말아요")</f>
        <v>토마토 쓴다고 놀리지 말아요</v>
      </c>
      <c r="B2729" s="2" t="str">
        <f>IFERROR(__xludf.DUMMYFUNCTION("""COMPUTED_VALUE"""),"게")</f>
        <v>게</v>
      </c>
    </row>
    <row r="2730">
      <c r="A2730" s="2" t="str">
        <f>IFERROR(__xludf.DUMMYFUNCTION("""COMPUTED_VALUE"""),"토마토 쓴다고 놀리지 말아요")</f>
        <v>토마토 쓴다고 놀리지 말아요</v>
      </c>
      <c r="B2730" s="2" t="str">
        <f>IFERROR(__xludf.DUMMYFUNCTION("""COMPUTED_VALUE"""),"대구살")</f>
        <v>대구살</v>
      </c>
    </row>
    <row r="2731">
      <c r="A2731" s="2" t="str">
        <f>IFERROR(__xludf.DUMMYFUNCTION("""COMPUTED_VALUE"""),"토마토 쓴다고 놀리지 말아요")</f>
        <v>토마토 쓴다고 놀리지 말아요</v>
      </c>
      <c r="B2731" s="2" t="str">
        <f>IFERROR(__xludf.DUMMYFUNCTION("""COMPUTED_VALUE"""),"잣")</f>
        <v>잣</v>
      </c>
    </row>
    <row r="2732">
      <c r="A2732" s="2" t="str">
        <f>IFERROR(__xludf.DUMMYFUNCTION("""COMPUTED_VALUE"""),"토마토 쓴다고 놀리지 말아요")</f>
        <v>토마토 쓴다고 놀리지 말아요</v>
      </c>
      <c r="B2732" s="2" t="str">
        <f>IFERROR(__xludf.DUMMYFUNCTION("""COMPUTED_VALUE"""),"파르메산 치즈")</f>
        <v>파르메산 치즈</v>
      </c>
    </row>
    <row r="2733">
      <c r="A2733" s="2" t="str">
        <f>IFERROR(__xludf.DUMMYFUNCTION("""COMPUTED_VALUE"""),"토마토 쓴다고 놀리지 말아요")</f>
        <v>토마토 쓴다고 놀리지 말아요</v>
      </c>
      <c r="B2733" s="2" t="str">
        <f>IFERROR(__xludf.DUMMYFUNCTION("""COMPUTED_VALUE"""),"올리브")</f>
        <v>올리브</v>
      </c>
    </row>
    <row r="2734">
      <c r="A2734" s="2" t="str">
        <f>IFERROR(__xludf.DUMMYFUNCTION("""COMPUTED_VALUE"""),"토마토 쓴다고 놀리지 말아요")</f>
        <v>토마토 쓴다고 놀리지 말아요</v>
      </c>
      <c r="B2734" s="2" t="str">
        <f>IFERROR(__xludf.DUMMYFUNCTION("""COMPUTED_VALUE"""),"케이퍼")</f>
        <v>케이퍼</v>
      </c>
    </row>
    <row r="2735">
      <c r="A2735" s="2" t="str">
        <f>IFERROR(__xludf.DUMMYFUNCTION("""COMPUTED_VALUE"""),"토마토 쓴다고 놀리지 말아요")</f>
        <v>토마토 쓴다고 놀리지 말아요</v>
      </c>
      <c r="B2735" s="2" t="str">
        <f>IFERROR(__xludf.DUMMYFUNCTION("""COMPUTED_VALUE"""),"선드라이 토마토")</f>
        <v>선드라이 토마토</v>
      </c>
    </row>
    <row r="2736">
      <c r="A2736" s="2" t="str">
        <f>IFERROR(__xludf.DUMMYFUNCTION("""COMPUTED_VALUE"""),"토마토 쓴다고 놀리지 말아요")</f>
        <v>토마토 쓴다고 놀리지 말아요</v>
      </c>
      <c r="B2736" s="2" t="str">
        <f>IFERROR(__xludf.DUMMYFUNCTION("""COMPUTED_VALUE"""),"마늘")</f>
        <v>마늘</v>
      </c>
    </row>
    <row r="2737">
      <c r="A2737" s="2" t="str">
        <f>IFERROR(__xludf.DUMMYFUNCTION("""COMPUTED_VALUE"""),"토마토 쓴다고 놀리지 말아요")</f>
        <v>토마토 쓴다고 놀리지 말아요</v>
      </c>
      <c r="B2737" s="2" t="str">
        <f>IFERROR(__xludf.DUMMYFUNCTION("""COMPUTED_VALUE"""),"당근")</f>
        <v>당근</v>
      </c>
    </row>
    <row r="2738">
      <c r="A2738" s="2" t="str">
        <f>IFERROR(__xludf.DUMMYFUNCTION("""COMPUTED_VALUE"""),"토마토 쓴다고 놀리지 말아요")</f>
        <v>토마토 쓴다고 놀리지 말아요</v>
      </c>
      <c r="B2738" s="2" t="str">
        <f>IFERROR(__xludf.DUMMYFUNCTION("""COMPUTED_VALUE"""),"양파")</f>
        <v>양파</v>
      </c>
    </row>
    <row r="2739">
      <c r="A2739" s="2" t="str">
        <f>IFERROR(__xludf.DUMMYFUNCTION("""COMPUTED_VALUE"""),"토마토 쓴다고 놀리지 말아요")</f>
        <v>토마토 쓴다고 놀리지 말아요</v>
      </c>
      <c r="B2739" s="2" t="str">
        <f>IFERROR(__xludf.DUMMYFUNCTION("""COMPUTED_VALUE"""),"전분")</f>
        <v>전분</v>
      </c>
    </row>
    <row r="2740">
      <c r="A2740" s="2" t="str">
        <f>IFERROR(__xludf.DUMMYFUNCTION("""COMPUTED_VALUE"""),"토마토 쓴다고 놀리지 말아요")</f>
        <v>토마토 쓴다고 놀리지 말아요</v>
      </c>
      <c r="B2740" s="2" t="str">
        <f>IFERROR(__xludf.DUMMYFUNCTION("""COMPUTED_VALUE"""),"올리브 오일")</f>
        <v>올리브 오일</v>
      </c>
    </row>
    <row r="2741">
      <c r="A2741" s="2" t="str">
        <f>IFERROR(__xludf.DUMMYFUNCTION("""COMPUTED_VALUE"""),"밖으로 나가버리곤약")</f>
        <v>밖으로 나가버리곤약</v>
      </c>
      <c r="B2741" s="2" t="str">
        <f>IFERROR(__xludf.DUMMYFUNCTION("""COMPUTED_VALUE"""),"불고기용 소고기")</f>
        <v>불고기용 소고기</v>
      </c>
    </row>
    <row r="2742">
      <c r="A2742" s="2" t="str">
        <f>IFERROR(__xludf.DUMMYFUNCTION("""COMPUTED_VALUE"""),"밖으로 나가버리곤약")</f>
        <v>밖으로 나가버리곤약</v>
      </c>
      <c r="B2742" s="2" t="str">
        <f>IFERROR(__xludf.DUMMYFUNCTION("""COMPUTED_VALUE"""),"카레가루")</f>
        <v>카레가루</v>
      </c>
    </row>
    <row r="2743">
      <c r="A2743" s="2" t="str">
        <f>IFERROR(__xludf.DUMMYFUNCTION("""COMPUTED_VALUE"""),"밖으로 나가버리곤약")</f>
        <v>밖으로 나가버리곤약</v>
      </c>
      <c r="B2743" s="2" t="str">
        <f>IFERROR(__xludf.DUMMYFUNCTION("""COMPUTED_VALUE"""),"돈가스 소스")</f>
        <v>돈가스 소스</v>
      </c>
    </row>
    <row r="2744">
      <c r="A2744" s="2" t="str">
        <f>IFERROR(__xludf.DUMMYFUNCTION("""COMPUTED_VALUE"""),"밖으로 나가버리곤약")</f>
        <v>밖으로 나가버리곤약</v>
      </c>
      <c r="B2744" s="2" t="str">
        <f>IFERROR(__xludf.DUMMYFUNCTION("""COMPUTED_VALUE"""),"배즙")</f>
        <v>배즙</v>
      </c>
    </row>
    <row r="2745">
      <c r="A2745" s="2" t="str">
        <f>IFERROR(__xludf.DUMMYFUNCTION("""COMPUTED_VALUE"""),"밖으로 나가버리곤약")</f>
        <v>밖으로 나가버리곤약</v>
      </c>
      <c r="B2745" s="2" t="str">
        <f>IFERROR(__xludf.DUMMYFUNCTION("""COMPUTED_VALUE"""),"배")</f>
        <v>배</v>
      </c>
    </row>
    <row r="2746">
      <c r="A2746" s="2" t="str">
        <f>IFERROR(__xludf.DUMMYFUNCTION("""COMPUTED_VALUE"""),"밖으로 나가버리곤약")</f>
        <v>밖으로 나가버리곤약</v>
      </c>
      <c r="B2746" s="2" t="str">
        <f>IFERROR(__xludf.DUMMYFUNCTION("""COMPUTED_VALUE"""),"표고버섯")</f>
        <v>표고버섯</v>
      </c>
    </row>
    <row r="2747">
      <c r="A2747" s="2" t="str">
        <f>IFERROR(__xludf.DUMMYFUNCTION("""COMPUTED_VALUE"""),"밖으로 나가버리곤약")</f>
        <v>밖으로 나가버리곤약</v>
      </c>
      <c r="B2747" s="2" t="str">
        <f>IFERROR(__xludf.DUMMYFUNCTION("""COMPUTED_VALUE"""),"애호박")</f>
        <v>애호박</v>
      </c>
    </row>
    <row r="2748">
      <c r="A2748" s="2" t="str">
        <f>IFERROR(__xludf.DUMMYFUNCTION("""COMPUTED_VALUE"""),"밖으로 나가버리곤약")</f>
        <v>밖으로 나가버리곤약</v>
      </c>
      <c r="B2748" s="2" t="str">
        <f>IFERROR(__xludf.DUMMYFUNCTION("""COMPUTED_VALUE"""),"실곤약")</f>
        <v>실곤약</v>
      </c>
    </row>
    <row r="2749">
      <c r="A2749" s="2" t="str">
        <f>IFERROR(__xludf.DUMMYFUNCTION("""COMPUTED_VALUE"""),"밖으로 나가버리곤약")</f>
        <v>밖으로 나가버리곤약</v>
      </c>
      <c r="B2749" s="2" t="str">
        <f>IFERROR(__xludf.DUMMYFUNCTION("""COMPUTED_VALUE"""),"트러플 꿀")</f>
        <v>트러플 꿀</v>
      </c>
    </row>
    <row r="2750">
      <c r="A2750" s="2" t="str">
        <f>IFERROR(__xludf.DUMMYFUNCTION("""COMPUTED_VALUE"""),"밖으로 나가버리곤약")</f>
        <v>밖으로 나가버리곤약</v>
      </c>
      <c r="B2750" s="2" t="str">
        <f>IFERROR(__xludf.DUMMYFUNCTION("""COMPUTED_VALUE"""),"아스파라거스")</f>
        <v>아스파라거스</v>
      </c>
    </row>
    <row r="2751">
      <c r="A2751" s="2" t="str">
        <f>IFERROR(__xludf.DUMMYFUNCTION("""COMPUTED_VALUE"""),"밖으로 나가버리곤약")</f>
        <v>밖으로 나가버리곤약</v>
      </c>
      <c r="B2751" s="2" t="str">
        <f>IFERROR(__xludf.DUMMYFUNCTION("""COMPUTED_VALUE"""),"소금")</f>
        <v>소금</v>
      </c>
    </row>
    <row r="2752">
      <c r="A2752" s="2" t="str">
        <f>IFERROR(__xludf.DUMMYFUNCTION("""COMPUTED_VALUE"""),"밖으로 나가버리곤약")</f>
        <v>밖으로 나가버리곤약</v>
      </c>
      <c r="B2752" s="2" t="str">
        <f>IFERROR(__xludf.DUMMYFUNCTION("""COMPUTED_VALUE"""),"후추")</f>
        <v>후추</v>
      </c>
    </row>
    <row r="2753">
      <c r="A2753" s="2" t="str">
        <f>IFERROR(__xludf.DUMMYFUNCTION("""COMPUTED_VALUE"""),"밖으로 나가버리곤약")</f>
        <v>밖으로 나가버리곤약</v>
      </c>
      <c r="B2753" s="2" t="str">
        <f>IFERROR(__xludf.DUMMYFUNCTION("""COMPUTED_VALUE"""),"레드와인")</f>
        <v>레드와인</v>
      </c>
    </row>
    <row r="2754">
      <c r="A2754" s="2" t="str">
        <f>IFERROR(__xludf.DUMMYFUNCTION("""COMPUTED_VALUE"""),"안심하그라탱")</f>
        <v>안심하그라탱</v>
      </c>
      <c r="B2754" s="2" t="str">
        <f>IFERROR(__xludf.DUMMYFUNCTION("""COMPUTED_VALUE"""),"닭안심살")</f>
        <v>닭안심살</v>
      </c>
    </row>
    <row r="2755">
      <c r="A2755" s="2" t="str">
        <f>IFERROR(__xludf.DUMMYFUNCTION("""COMPUTED_VALUE"""),"안심하그라탱")</f>
        <v>안심하그라탱</v>
      </c>
      <c r="B2755" s="2" t="str">
        <f>IFERROR(__xludf.DUMMYFUNCTION("""COMPUTED_VALUE"""),"생모차렐라 치즈")</f>
        <v>생모차렐라 치즈</v>
      </c>
    </row>
    <row r="2756">
      <c r="A2756" s="2" t="str">
        <f>IFERROR(__xludf.DUMMYFUNCTION("""COMPUTED_VALUE"""),"안심하그라탱")</f>
        <v>안심하그라탱</v>
      </c>
      <c r="B2756" s="2" t="str">
        <f>IFERROR(__xludf.DUMMYFUNCTION("""COMPUTED_VALUE"""),"흑토마토")</f>
        <v>흑토마토</v>
      </c>
    </row>
    <row r="2757">
      <c r="A2757" s="2" t="str">
        <f>IFERROR(__xludf.DUMMYFUNCTION("""COMPUTED_VALUE"""),"안심하그라탱")</f>
        <v>안심하그라탱</v>
      </c>
      <c r="B2757" s="2" t="str">
        <f>IFERROR(__xludf.DUMMYFUNCTION("""COMPUTED_VALUE"""),"모차렐라 치즈")</f>
        <v>모차렐라 치즈</v>
      </c>
    </row>
    <row r="2758">
      <c r="A2758" s="2" t="str">
        <f>IFERROR(__xludf.DUMMYFUNCTION("""COMPUTED_VALUE"""),"안심하그라탱")</f>
        <v>안심하그라탱</v>
      </c>
      <c r="B2758" s="2" t="str">
        <f>IFERROR(__xludf.DUMMYFUNCTION("""COMPUTED_VALUE"""),"토마토")</f>
        <v>토마토</v>
      </c>
    </row>
    <row r="2759">
      <c r="A2759" s="2" t="str">
        <f>IFERROR(__xludf.DUMMYFUNCTION("""COMPUTED_VALUE"""),"안심하그라탱")</f>
        <v>안심하그라탱</v>
      </c>
      <c r="B2759" s="2" t="str">
        <f>IFERROR(__xludf.DUMMYFUNCTION("""COMPUTED_VALUE"""),"상추")</f>
        <v>상추</v>
      </c>
    </row>
    <row r="2760">
      <c r="A2760" s="2" t="str">
        <f>IFERROR(__xludf.DUMMYFUNCTION("""COMPUTED_VALUE"""),"안심하그라탱")</f>
        <v>안심하그라탱</v>
      </c>
      <c r="B2760" s="2" t="str">
        <f>IFERROR(__xludf.DUMMYFUNCTION("""COMPUTED_VALUE"""),"올리브")</f>
        <v>올리브</v>
      </c>
    </row>
    <row r="2761">
      <c r="A2761" s="2" t="str">
        <f>IFERROR(__xludf.DUMMYFUNCTION("""COMPUTED_VALUE"""),"안심하그라탱")</f>
        <v>안심하그라탱</v>
      </c>
      <c r="B2761" s="2" t="str">
        <f>IFERROR(__xludf.DUMMYFUNCTION("""COMPUTED_VALUE"""),"데친 아스파라거스")</f>
        <v>데친 아스파라거스</v>
      </c>
    </row>
    <row r="2762">
      <c r="A2762" s="2" t="str">
        <f>IFERROR(__xludf.DUMMYFUNCTION("""COMPUTED_VALUE"""),"안심하그라탱")</f>
        <v>안심하그라탱</v>
      </c>
      <c r="B2762" s="2" t="str">
        <f>IFERROR(__xludf.DUMMYFUNCTION("""COMPUTED_VALUE"""),"소금")</f>
        <v>소금</v>
      </c>
    </row>
    <row r="2763">
      <c r="A2763" s="2" t="str">
        <f>IFERROR(__xludf.DUMMYFUNCTION("""COMPUTED_VALUE"""),"안심하그라탱")</f>
        <v>안심하그라탱</v>
      </c>
      <c r="B2763" s="2" t="str">
        <f>IFERROR(__xludf.DUMMYFUNCTION("""COMPUTED_VALUE"""),"후추")</f>
        <v>후추</v>
      </c>
    </row>
    <row r="2764">
      <c r="A2764" s="2" t="str">
        <f>IFERROR(__xludf.DUMMYFUNCTION("""COMPUTED_VALUE"""),"안심하그라탱")</f>
        <v>안심하그라탱</v>
      </c>
      <c r="B2764" s="2" t="str">
        <f>IFERROR(__xludf.DUMMYFUNCTION("""COMPUTED_VALUE"""),"올리브 오일")</f>
        <v>올리브 오일</v>
      </c>
    </row>
    <row r="2765">
      <c r="A2765" s="2" t="str">
        <f>IFERROR(__xludf.DUMMYFUNCTION("""COMPUTED_VALUE"""),"홍시 밭의 거위")</f>
        <v>홍시 밭의 거위</v>
      </c>
      <c r="B2765" s="2" t="str">
        <f>IFERROR(__xludf.DUMMYFUNCTION("""COMPUTED_VALUE"""),"푸아그라 통조림")</f>
        <v>푸아그라 통조림</v>
      </c>
    </row>
    <row r="2766">
      <c r="A2766" s="2" t="str">
        <f>IFERROR(__xludf.DUMMYFUNCTION("""COMPUTED_VALUE"""),"홍시 밭의 거위")</f>
        <v>홍시 밭의 거위</v>
      </c>
      <c r="B2766" s="2" t="str">
        <f>IFERROR(__xludf.DUMMYFUNCTION("""COMPUTED_VALUE"""),"홍삼정과")</f>
        <v>홍삼정과</v>
      </c>
    </row>
    <row r="2767">
      <c r="A2767" s="2" t="str">
        <f>IFERROR(__xludf.DUMMYFUNCTION("""COMPUTED_VALUE"""),"홍시 밭의 거위")</f>
        <v>홍시 밭의 거위</v>
      </c>
      <c r="B2767" s="2" t="str">
        <f>IFERROR(__xludf.DUMMYFUNCTION("""COMPUTED_VALUE"""),"상추")</f>
        <v>상추</v>
      </c>
    </row>
    <row r="2768">
      <c r="A2768" s="2" t="str">
        <f>IFERROR(__xludf.DUMMYFUNCTION("""COMPUTED_VALUE"""),"홍시 밭의 거위")</f>
        <v>홍시 밭의 거위</v>
      </c>
      <c r="B2768" s="2" t="str">
        <f>IFERROR(__xludf.DUMMYFUNCTION("""COMPUTED_VALUE"""),"허니 아몬드")</f>
        <v>허니 아몬드</v>
      </c>
    </row>
    <row r="2769">
      <c r="A2769" s="2" t="str">
        <f>IFERROR(__xludf.DUMMYFUNCTION("""COMPUTED_VALUE"""),"홍시 밭의 거위")</f>
        <v>홍시 밭의 거위</v>
      </c>
      <c r="B2769" s="2" t="str">
        <f>IFERROR(__xludf.DUMMYFUNCTION("""COMPUTED_VALUE"""),"홍시")</f>
        <v>홍시</v>
      </c>
    </row>
    <row r="2770">
      <c r="A2770" s="2" t="str">
        <f>IFERROR(__xludf.DUMMYFUNCTION("""COMPUTED_VALUE"""),"홍시 밭의 거위")</f>
        <v>홍시 밭의 거위</v>
      </c>
      <c r="B2770" s="2" t="str">
        <f>IFERROR(__xludf.DUMMYFUNCTION("""COMPUTED_VALUE"""),"트러플 오일")</f>
        <v>트러플 오일</v>
      </c>
    </row>
    <row r="2771">
      <c r="A2771" s="2" t="str">
        <f>IFERROR(__xludf.DUMMYFUNCTION("""COMPUTED_VALUE"""),"홍시 밭의 거위")</f>
        <v>홍시 밭의 거위</v>
      </c>
      <c r="B2771" s="2" t="str">
        <f>IFERROR(__xludf.DUMMYFUNCTION("""COMPUTED_VALUE"""),"트러플 꿀")</f>
        <v>트러플 꿀</v>
      </c>
    </row>
    <row r="2772">
      <c r="A2772" s="2" t="str">
        <f>IFERROR(__xludf.DUMMYFUNCTION("""COMPUTED_VALUE"""),"홍시 밭의 거위")</f>
        <v>홍시 밭의 거위</v>
      </c>
      <c r="B2772" s="2" t="str">
        <f>IFERROR(__xludf.DUMMYFUNCTION("""COMPUTED_VALUE"""),"트러플 소금")</f>
        <v>트러플 소금</v>
      </c>
    </row>
    <row r="2773">
      <c r="A2773" s="2" t="str">
        <f>IFERROR(__xludf.DUMMYFUNCTION("""COMPUTED_VALUE"""),"홍시 밭의 거위")</f>
        <v>홍시 밭의 거위</v>
      </c>
      <c r="B2773" s="2" t="str">
        <f>IFERROR(__xludf.DUMMYFUNCTION("""COMPUTED_VALUE"""),"아스파라거스")</f>
        <v>아스파라거스</v>
      </c>
    </row>
    <row r="2774">
      <c r="A2774" s="2" t="str">
        <f>IFERROR(__xludf.DUMMYFUNCTION("""COMPUTED_VALUE"""),"홍시 밭의 거위")</f>
        <v>홍시 밭의 거위</v>
      </c>
      <c r="B2774" s="2" t="str">
        <f>IFERROR(__xludf.DUMMYFUNCTION("""COMPUTED_VALUE"""),"소금")</f>
        <v>소금</v>
      </c>
    </row>
    <row r="2775">
      <c r="A2775" s="2" t="str">
        <f>IFERROR(__xludf.DUMMYFUNCTION("""COMPUTED_VALUE"""),"홍시 밭의 거위")</f>
        <v>홍시 밭의 거위</v>
      </c>
      <c r="B2775" s="2" t="str">
        <f>IFERROR(__xludf.DUMMYFUNCTION("""COMPUTED_VALUE"""),"후추")</f>
        <v>후추</v>
      </c>
    </row>
    <row r="2776">
      <c r="A2776" s="2" t="str">
        <f>IFERROR(__xludf.DUMMYFUNCTION("""COMPUTED_VALUE"""),"장어 팔복채")</f>
        <v>장어 팔복채</v>
      </c>
      <c r="B2776" s="2" t="str">
        <f>IFERROR(__xludf.DUMMYFUNCTION("""COMPUTED_VALUE"""),"전복")</f>
        <v>전복</v>
      </c>
    </row>
    <row r="2777">
      <c r="A2777" s="2" t="str">
        <f>IFERROR(__xludf.DUMMYFUNCTION("""COMPUTED_VALUE"""),"장어 팔복채")</f>
        <v>장어 팔복채</v>
      </c>
      <c r="B2777" s="2" t="str">
        <f>IFERROR(__xludf.DUMMYFUNCTION("""COMPUTED_VALUE"""),"오징어")</f>
        <v>오징어</v>
      </c>
    </row>
    <row r="2778">
      <c r="A2778" s="2" t="str">
        <f>IFERROR(__xludf.DUMMYFUNCTION("""COMPUTED_VALUE"""),"장어 팔복채")</f>
        <v>장어 팔복채</v>
      </c>
      <c r="B2778" s="2" t="str">
        <f>IFERROR(__xludf.DUMMYFUNCTION("""COMPUTED_VALUE"""),"새우")</f>
        <v>새우</v>
      </c>
    </row>
    <row r="2779">
      <c r="A2779" s="2" t="str">
        <f>IFERROR(__xludf.DUMMYFUNCTION("""COMPUTED_VALUE"""),"장어 팔복채")</f>
        <v>장어 팔복채</v>
      </c>
      <c r="B2779" s="2" t="str">
        <f>IFERROR(__xludf.DUMMYFUNCTION("""COMPUTED_VALUE"""),"장어")</f>
        <v>장어</v>
      </c>
    </row>
    <row r="2780">
      <c r="A2780" s="2" t="str">
        <f>IFERROR(__xludf.DUMMYFUNCTION("""COMPUTED_VALUE"""),"장어 팔복채")</f>
        <v>장어 팔복채</v>
      </c>
      <c r="B2780" s="2" t="str">
        <f>IFERROR(__xludf.DUMMYFUNCTION("""COMPUTED_VALUE"""),"브로콜리")</f>
        <v>브로콜리</v>
      </c>
    </row>
    <row r="2781">
      <c r="A2781" s="2" t="str">
        <f>IFERROR(__xludf.DUMMYFUNCTION("""COMPUTED_VALUE"""),"장어 팔복채")</f>
        <v>장어 팔복채</v>
      </c>
      <c r="B2781" s="2" t="str">
        <f>IFERROR(__xludf.DUMMYFUNCTION("""COMPUTED_VALUE"""),"파프리카")</f>
        <v>파프리카</v>
      </c>
    </row>
    <row r="2782">
      <c r="A2782" s="2" t="str">
        <f>IFERROR(__xludf.DUMMYFUNCTION("""COMPUTED_VALUE"""),"장어 팔복채")</f>
        <v>장어 팔복채</v>
      </c>
      <c r="B2782" s="2" t="str">
        <f>IFERROR(__xludf.DUMMYFUNCTION("""COMPUTED_VALUE"""),"표고버섯")</f>
        <v>표고버섯</v>
      </c>
    </row>
    <row r="2783">
      <c r="A2783" s="2" t="str">
        <f>IFERROR(__xludf.DUMMYFUNCTION("""COMPUTED_VALUE"""),"장어 팔복채")</f>
        <v>장어 팔복채</v>
      </c>
      <c r="B2783" s="2" t="str">
        <f>IFERROR(__xludf.DUMMYFUNCTION("""COMPUTED_VALUE"""),"배추")</f>
        <v>배추</v>
      </c>
    </row>
    <row r="2784">
      <c r="A2784" s="2" t="str">
        <f>IFERROR(__xludf.DUMMYFUNCTION("""COMPUTED_VALUE"""),"장어 팔복채")</f>
        <v>장어 팔복채</v>
      </c>
      <c r="B2784" s="2" t="str">
        <f>IFERROR(__xludf.DUMMYFUNCTION("""COMPUTED_VALUE"""),"장어구이용 소스")</f>
        <v>장어구이용 소스</v>
      </c>
    </row>
    <row r="2785">
      <c r="A2785" s="2" t="str">
        <f>IFERROR(__xludf.DUMMYFUNCTION("""COMPUTED_VALUE"""),"장어 팔복채")</f>
        <v>장어 팔복채</v>
      </c>
      <c r="B2785" s="2" t="str">
        <f>IFERROR(__xludf.DUMMYFUNCTION("""COMPUTED_VALUE"""),"두반장")</f>
        <v>두반장</v>
      </c>
    </row>
    <row r="2786">
      <c r="A2786" s="2" t="str">
        <f>IFERROR(__xludf.DUMMYFUNCTION("""COMPUTED_VALUE"""),"장어 팔복채")</f>
        <v>장어 팔복채</v>
      </c>
      <c r="B2786" s="2" t="str">
        <f>IFERROR(__xludf.DUMMYFUNCTION("""COMPUTED_VALUE"""),"대파")</f>
        <v>대파</v>
      </c>
    </row>
    <row r="2787">
      <c r="A2787" s="2" t="str">
        <f>IFERROR(__xludf.DUMMYFUNCTION("""COMPUTED_VALUE"""),"장어 팔복채")</f>
        <v>장어 팔복채</v>
      </c>
      <c r="B2787" s="2" t="str">
        <f>IFERROR(__xludf.DUMMYFUNCTION("""COMPUTED_VALUE"""),"마늘")</f>
        <v>마늘</v>
      </c>
    </row>
    <row r="2788">
      <c r="A2788" s="2" t="str">
        <f>IFERROR(__xludf.DUMMYFUNCTION("""COMPUTED_VALUE"""),"장어 팔복채")</f>
        <v>장어 팔복채</v>
      </c>
      <c r="B2788" s="2" t="str">
        <f>IFERROR(__xludf.DUMMYFUNCTION("""COMPUTED_VALUE"""),"고추")</f>
        <v>고추</v>
      </c>
    </row>
    <row r="2789">
      <c r="A2789" s="2" t="str">
        <f>IFERROR(__xludf.DUMMYFUNCTION("""COMPUTED_VALUE"""),"장어 팔복채")</f>
        <v>장어 팔복채</v>
      </c>
      <c r="B2789" s="2" t="str">
        <f>IFERROR(__xludf.DUMMYFUNCTION("""COMPUTED_VALUE"""),"다진 생강")</f>
        <v>다진 생강</v>
      </c>
    </row>
    <row r="2790">
      <c r="A2790" s="2" t="str">
        <f>IFERROR(__xludf.DUMMYFUNCTION("""COMPUTED_VALUE"""),"장어 팔복채")</f>
        <v>장어 팔복채</v>
      </c>
      <c r="B2790" s="2" t="str">
        <f>IFERROR(__xludf.DUMMYFUNCTION("""COMPUTED_VALUE"""),"고춧가루")</f>
        <v>고춧가루</v>
      </c>
    </row>
    <row r="2791">
      <c r="A2791" s="2" t="str">
        <f>IFERROR(__xludf.DUMMYFUNCTION("""COMPUTED_VALUE"""),"장어 팔복채")</f>
        <v>장어 팔복채</v>
      </c>
      <c r="B2791" s="2" t="str">
        <f>IFERROR(__xludf.DUMMYFUNCTION("""COMPUTED_VALUE"""),"전분")</f>
        <v>전분</v>
      </c>
    </row>
    <row r="2792">
      <c r="A2792" s="2" t="str">
        <f>IFERROR(__xludf.DUMMYFUNCTION("""COMPUTED_VALUE"""),"장어 팔복채")</f>
        <v>장어 팔복채</v>
      </c>
      <c r="B2792" s="2" t="str">
        <f>IFERROR(__xludf.DUMMYFUNCTION("""COMPUTED_VALUE"""),"간장")</f>
        <v>간장</v>
      </c>
    </row>
    <row r="2793">
      <c r="A2793" s="2" t="str">
        <f>IFERROR(__xludf.DUMMYFUNCTION("""COMPUTED_VALUE"""),"장어 팔복채")</f>
        <v>장어 팔복채</v>
      </c>
      <c r="B2793" s="2" t="str">
        <f>IFERROR(__xludf.DUMMYFUNCTION("""COMPUTED_VALUE"""),"청주")</f>
        <v>청주</v>
      </c>
    </row>
    <row r="2794">
      <c r="A2794" s="2" t="str">
        <f>IFERROR(__xludf.DUMMYFUNCTION("""COMPUTED_VALUE"""),"트러플 메이커")</f>
        <v>트러플 메이커</v>
      </c>
      <c r="B2794" s="2" t="str">
        <f>IFERROR(__xludf.DUMMYFUNCTION("""COMPUTED_VALUE"""),"달걀")</f>
        <v>달걀</v>
      </c>
    </row>
    <row r="2795">
      <c r="A2795" s="2" t="str">
        <f>IFERROR(__xludf.DUMMYFUNCTION("""COMPUTED_VALUE"""),"트러플 메이커")</f>
        <v>트러플 메이커</v>
      </c>
      <c r="B2795" s="2" t="str">
        <f>IFERROR(__xludf.DUMMYFUNCTION("""COMPUTED_VALUE"""),"화이트 트러플 페이스트")</f>
        <v>화이트 트러플 페이스트</v>
      </c>
    </row>
    <row r="2796">
      <c r="A2796" s="2" t="str">
        <f>IFERROR(__xludf.DUMMYFUNCTION("""COMPUTED_VALUE"""),"트러플 메이커")</f>
        <v>트러플 메이커</v>
      </c>
      <c r="B2796" s="2" t="str">
        <f>IFERROR(__xludf.DUMMYFUNCTION("""COMPUTED_VALUE"""),"곡물빵")</f>
        <v>곡물빵</v>
      </c>
    </row>
    <row r="2797">
      <c r="A2797" s="2" t="str">
        <f>IFERROR(__xludf.DUMMYFUNCTION("""COMPUTED_VALUE"""),"트러플 메이커")</f>
        <v>트러플 메이커</v>
      </c>
      <c r="B2797" s="2" t="str">
        <f>IFERROR(__xludf.DUMMYFUNCTION("""COMPUTED_VALUE"""),"나초 치즈")</f>
        <v>나초 치즈</v>
      </c>
    </row>
    <row r="2798">
      <c r="A2798" s="2" t="str">
        <f>IFERROR(__xludf.DUMMYFUNCTION("""COMPUTED_VALUE"""),"트러플 메이커")</f>
        <v>트러플 메이커</v>
      </c>
      <c r="B2798" s="2" t="str">
        <f>IFERROR(__xludf.DUMMYFUNCTION("""COMPUTED_VALUE"""),"화이트 트러플")</f>
        <v>화이트 트러플</v>
      </c>
    </row>
    <row r="2799">
      <c r="A2799" s="2" t="str">
        <f>IFERROR(__xludf.DUMMYFUNCTION("""COMPUTED_VALUE"""),"트러플 메이커")</f>
        <v>트러플 메이커</v>
      </c>
      <c r="B2799" s="2" t="str">
        <f>IFERROR(__xludf.DUMMYFUNCTION("""COMPUTED_VALUE"""),"버터")</f>
        <v>버터</v>
      </c>
    </row>
    <row r="2800">
      <c r="A2800" s="2" t="str">
        <f>IFERROR(__xludf.DUMMYFUNCTION("""COMPUTED_VALUE"""),"트러플 메이커")</f>
        <v>트러플 메이커</v>
      </c>
      <c r="B2800" s="2" t="str">
        <f>IFERROR(__xludf.DUMMYFUNCTION("""COMPUTED_VALUE"""),"식초")</f>
        <v>식초</v>
      </c>
    </row>
    <row r="2801">
      <c r="A2801" s="2" t="str">
        <f>IFERROR(__xludf.DUMMYFUNCTION("""COMPUTED_VALUE"""),"자연풍 주의보")</f>
        <v>자연풍 주의보</v>
      </c>
      <c r="B2801" s="2" t="str">
        <f>IFERROR(__xludf.DUMMYFUNCTION("""COMPUTED_VALUE"""),"파프리카")</f>
        <v>파프리카</v>
      </c>
    </row>
    <row r="2802">
      <c r="A2802" s="2" t="str">
        <f>IFERROR(__xludf.DUMMYFUNCTION("""COMPUTED_VALUE"""),"자연풍 주의보")</f>
        <v>자연풍 주의보</v>
      </c>
      <c r="B2802" s="2" t="str">
        <f>IFERROR(__xludf.DUMMYFUNCTION("""COMPUTED_VALUE"""),"새우")</f>
        <v>새우</v>
      </c>
    </row>
    <row r="2803">
      <c r="A2803" s="2" t="str">
        <f>IFERROR(__xludf.DUMMYFUNCTION("""COMPUTED_VALUE"""),"자연풍 주의보")</f>
        <v>자연풍 주의보</v>
      </c>
      <c r="B2803" s="2" t="str">
        <f>IFERROR(__xludf.DUMMYFUNCTION("""COMPUTED_VALUE"""),"들기름")</f>
        <v>들기름</v>
      </c>
    </row>
    <row r="2804">
      <c r="A2804" s="2" t="str">
        <f>IFERROR(__xludf.DUMMYFUNCTION("""COMPUTED_VALUE"""),"자연풍 주의보")</f>
        <v>자연풍 주의보</v>
      </c>
      <c r="B2804" s="2" t="str">
        <f>IFERROR(__xludf.DUMMYFUNCTION("""COMPUTED_VALUE"""),"우유")</f>
        <v>우유</v>
      </c>
    </row>
    <row r="2805">
      <c r="A2805" s="2" t="str">
        <f>IFERROR(__xludf.DUMMYFUNCTION("""COMPUTED_VALUE"""),"자연풍 주의보")</f>
        <v>자연풍 주의보</v>
      </c>
      <c r="B2805" s="2" t="str">
        <f>IFERROR(__xludf.DUMMYFUNCTION("""COMPUTED_VALUE"""),"들깨가루")</f>
        <v>들깨가루</v>
      </c>
    </row>
    <row r="2806">
      <c r="A2806" s="2" t="str">
        <f>IFERROR(__xludf.DUMMYFUNCTION("""COMPUTED_VALUE"""),"자연풍 주의보")</f>
        <v>자연풍 주의보</v>
      </c>
      <c r="B2806" s="2" t="str">
        <f>IFERROR(__xludf.DUMMYFUNCTION("""COMPUTED_VALUE"""),"아보카도")</f>
        <v>아보카도</v>
      </c>
    </row>
    <row r="2807">
      <c r="A2807" s="2" t="str">
        <f>IFERROR(__xludf.DUMMYFUNCTION("""COMPUTED_VALUE"""),"자연풍 주의보")</f>
        <v>자연풍 주의보</v>
      </c>
      <c r="B2807" s="2" t="str">
        <f>IFERROR(__xludf.DUMMYFUNCTION("""COMPUTED_VALUE"""),"파르메산 치즈")</f>
        <v>파르메산 치즈</v>
      </c>
    </row>
    <row r="2808">
      <c r="A2808" s="2" t="str">
        <f>IFERROR(__xludf.DUMMYFUNCTION("""COMPUTED_VALUE"""),"자연풍 주의보")</f>
        <v>자연풍 주의보</v>
      </c>
      <c r="B2808" s="2" t="str">
        <f>IFERROR(__xludf.DUMMYFUNCTION("""COMPUTED_VALUE"""),"소금")</f>
        <v>소금</v>
      </c>
    </row>
    <row r="2809">
      <c r="A2809" s="2" t="str">
        <f>IFERROR(__xludf.DUMMYFUNCTION("""COMPUTED_VALUE"""),"자연풍 주의보")</f>
        <v>자연풍 주의보</v>
      </c>
      <c r="B2809" s="2" t="str">
        <f>IFERROR(__xludf.DUMMYFUNCTION("""COMPUTED_VALUE"""),"후추")</f>
        <v>후추</v>
      </c>
    </row>
    <row r="2810">
      <c r="A2810" s="2" t="str">
        <f>IFERROR(__xludf.DUMMYFUNCTION("""COMPUTED_VALUE"""),"자연풍 주의보")</f>
        <v>자연풍 주의보</v>
      </c>
      <c r="B2810" s="2" t="str">
        <f>IFERROR(__xludf.DUMMYFUNCTION("""COMPUTED_VALUE"""),"버터")</f>
        <v>버터</v>
      </c>
    </row>
    <row r="2811">
      <c r="A2811" s="2" t="str">
        <f>IFERROR(__xludf.DUMMYFUNCTION("""COMPUTED_VALUE"""),"자연풍 주의보")</f>
        <v>자연풍 주의보</v>
      </c>
      <c r="B2811" s="2" t="str">
        <f>IFERROR(__xludf.DUMMYFUNCTION("""COMPUTED_VALUE"""),"화이트와인")</f>
        <v>화이트와인</v>
      </c>
    </row>
    <row r="2812">
      <c r="A2812" s="2" t="str">
        <f>IFERROR(__xludf.DUMMYFUNCTION("""COMPUTED_VALUE"""),"마성의 해물면")</f>
        <v>마성의 해물면</v>
      </c>
      <c r="B2812" s="2" t="str">
        <f>IFERROR(__xludf.DUMMYFUNCTION("""COMPUTED_VALUE"""),"마")</f>
        <v>마</v>
      </c>
    </row>
    <row r="2813">
      <c r="A2813" s="2" t="str">
        <f>IFERROR(__xludf.DUMMYFUNCTION("""COMPUTED_VALUE"""),"마성의 해물면")</f>
        <v>마성의 해물면</v>
      </c>
      <c r="B2813" s="2" t="str">
        <f>IFERROR(__xludf.DUMMYFUNCTION("""COMPUTED_VALUE"""),"오징어")</f>
        <v>오징어</v>
      </c>
    </row>
    <row r="2814">
      <c r="A2814" s="2" t="str">
        <f>IFERROR(__xludf.DUMMYFUNCTION("""COMPUTED_VALUE"""),"마성의 해물면")</f>
        <v>마성의 해물면</v>
      </c>
      <c r="B2814" s="2" t="str">
        <f>IFERROR(__xludf.DUMMYFUNCTION("""COMPUTED_VALUE"""),"새우")</f>
        <v>새우</v>
      </c>
    </row>
    <row r="2815">
      <c r="A2815" s="2" t="str">
        <f>IFERROR(__xludf.DUMMYFUNCTION("""COMPUTED_VALUE"""),"마성의 해물면")</f>
        <v>마성의 해물면</v>
      </c>
      <c r="B2815" s="2" t="str">
        <f>IFERROR(__xludf.DUMMYFUNCTION("""COMPUTED_VALUE"""),"달걀")</f>
        <v>달걀</v>
      </c>
    </row>
    <row r="2816">
      <c r="A2816" s="2" t="str">
        <f>IFERROR(__xludf.DUMMYFUNCTION("""COMPUTED_VALUE"""),"마성의 해물면")</f>
        <v>마성의 해물면</v>
      </c>
      <c r="B2816" s="2" t="str">
        <f>IFERROR(__xludf.DUMMYFUNCTION("""COMPUTED_VALUE"""),"성게알")</f>
        <v>성게알</v>
      </c>
    </row>
    <row r="2817">
      <c r="A2817" s="2" t="str">
        <f>IFERROR(__xludf.DUMMYFUNCTION("""COMPUTED_VALUE"""),"마성의 해물면")</f>
        <v>마성의 해물면</v>
      </c>
      <c r="B2817" s="2" t="str">
        <f>IFERROR(__xludf.DUMMYFUNCTION("""COMPUTED_VALUE"""),"전복")</f>
        <v>전복</v>
      </c>
    </row>
    <row r="2818">
      <c r="A2818" s="2" t="str">
        <f>IFERROR(__xludf.DUMMYFUNCTION("""COMPUTED_VALUE"""),"마성의 해물면")</f>
        <v>마성의 해물면</v>
      </c>
      <c r="B2818" s="2" t="str">
        <f>IFERROR(__xludf.DUMMYFUNCTION("""COMPUTED_VALUE"""),"애호박")</f>
        <v>애호박</v>
      </c>
    </row>
    <row r="2819">
      <c r="A2819" s="2" t="str">
        <f>IFERROR(__xludf.DUMMYFUNCTION("""COMPUTED_VALUE"""),"마성의 해물면")</f>
        <v>마성의 해물면</v>
      </c>
      <c r="B2819" s="2" t="str">
        <f>IFERROR(__xludf.DUMMYFUNCTION("""COMPUTED_VALUE"""),"트러플 오일")</f>
        <v>트러플 오일</v>
      </c>
    </row>
    <row r="2820">
      <c r="A2820" s="2" t="str">
        <f>IFERROR(__xludf.DUMMYFUNCTION("""COMPUTED_VALUE"""),"마성의 해물면")</f>
        <v>마성의 해물면</v>
      </c>
      <c r="B2820" s="2" t="str">
        <f>IFERROR(__xludf.DUMMYFUNCTION("""COMPUTED_VALUE"""),"전분")</f>
        <v>전분</v>
      </c>
    </row>
    <row r="2821">
      <c r="A2821" s="2" t="str">
        <f>IFERROR(__xludf.DUMMYFUNCTION("""COMPUTED_VALUE"""),"마성의 해물면")</f>
        <v>마성의 해물면</v>
      </c>
      <c r="B2821" s="2" t="str">
        <f>IFERROR(__xludf.DUMMYFUNCTION("""COMPUTED_VALUE"""),"간장")</f>
        <v>간장</v>
      </c>
    </row>
    <row r="2822">
      <c r="A2822" s="2" t="str">
        <f>IFERROR(__xludf.DUMMYFUNCTION("""COMPUTED_VALUE"""),"마성의 해물면")</f>
        <v>마성의 해물면</v>
      </c>
      <c r="B2822" s="2" t="str">
        <f>IFERROR(__xludf.DUMMYFUNCTION("""COMPUTED_VALUE"""),"소금")</f>
        <v>소금</v>
      </c>
    </row>
    <row r="2823">
      <c r="A2823" s="2" t="str">
        <f>IFERROR(__xludf.DUMMYFUNCTION("""COMPUTED_VALUE"""),"라자냐는 나자냐")</f>
        <v>라자냐는 나자냐</v>
      </c>
      <c r="B2823" s="2" t="str">
        <f>IFERROR(__xludf.DUMMYFUNCTION("""COMPUTED_VALUE"""),"라자냐")</f>
        <v>라자냐</v>
      </c>
    </row>
    <row r="2824">
      <c r="A2824" s="2" t="str">
        <f>IFERROR(__xludf.DUMMYFUNCTION("""COMPUTED_VALUE"""),"라자냐는 나자냐")</f>
        <v>라자냐는 나자냐</v>
      </c>
      <c r="B2824" s="2" t="str">
        <f>IFERROR(__xludf.DUMMYFUNCTION("""COMPUTED_VALUE"""),"파프리카")</f>
        <v>파프리카</v>
      </c>
    </row>
    <row r="2825">
      <c r="A2825" s="2" t="str">
        <f>IFERROR(__xludf.DUMMYFUNCTION("""COMPUTED_VALUE"""),"라자냐는 나자냐")</f>
        <v>라자냐는 나자냐</v>
      </c>
      <c r="B2825" s="2" t="str">
        <f>IFERROR(__xludf.DUMMYFUNCTION("""COMPUTED_VALUE"""),"삶은 호박고지")</f>
        <v>삶은 호박고지</v>
      </c>
    </row>
    <row r="2826">
      <c r="A2826" s="2" t="str">
        <f>IFERROR(__xludf.DUMMYFUNCTION("""COMPUTED_VALUE"""),"라자냐는 나자냐")</f>
        <v>라자냐는 나자냐</v>
      </c>
      <c r="B2826" s="2" t="str">
        <f>IFERROR(__xludf.DUMMYFUNCTION("""COMPUTED_VALUE"""),"느타리버섯")</f>
        <v>느타리버섯</v>
      </c>
    </row>
    <row r="2827">
      <c r="A2827" s="2" t="str">
        <f>IFERROR(__xludf.DUMMYFUNCTION("""COMPUTED_VALUE"""),"라자냐는 나자냐")</f>
        <v>라자냐는 나자냐</v>
      </c>
      <c r="B2827" s="2" t="str">
        <f>IFERROR(__xludf.DUMMYFUNCTION("""COMPUTED_VALUE"""),"브로콜리")</f>
        <v>브로콜리</v>
      </c>
    </row>
    <row r="2828">
      <c r="A2828" s="2" t="str">
        <f>IFERROR(__xludf.DUMMYFUNCTION("""COMPUTED_VALUE"""),"라자냐는 나자냐")</f>
        <v>라자냐는 나자냐</v>
      </c>
      <c r="B2828" s="2" t="str">
        <f>IFERROR(__xludf.DUMMYFUNCTION("""COMPUTED_VALUE"""),"가지")</f>
        <v>가지</v>
      </c>
    </row>
    <row r="2829">
      <c r="A2829" s="2" t="str">
        <f>IFERROR(__xludf.DUMMYFUNCTION("""COMPUTED_VALUE"""),"라자냐는 나자냐")</f>
        <v>라자냐는 나자냐</v>
      </c>
      <c r="B2829" s="2" t="str">
        <f>IFERROR(__xludf.DUMMYFUNCTION("""COMPUTED_VALUE"""),"닭다리살")</f>
        <v>닭다리살</v>
      </c>
    </row>
    <row r="2830">
      <c r="A2830" s="2" t="str">
        <f>IFERROR(__xludf.DUMMYFUNCTION("""COMPUTED_VALUE"""),"라자냐는 나자냐")</f>
        <v>라자냐는 나자냐</v>
      </c>
      <c r="B2830" s="2" t="str">
        <f>IFERROR(__xludf.DUMMYFUNCTION("""COMPUTED_VALUE"""),"파르메산 치즈")</f>
        <v>파르메산 치즈</v>
      </c>
    </row>
    <row r="2831">
      <c r="A2831" s="2" t="str">
        <f>IFERROR(__xludf.DUMMYFUNCTION("""COMPUTED_VALUE"""),"라자냐는 나자냐")</f>
        <v>라자냐는 나자냐</v>
      </c>
      <c r="B2831" s="2" t="str">
        <f>IFERROR(__xludf.DUMMYFUNCTION("""COMPUTED_VALUE"""),"화이트 와인 식초")</f>
        <v>화이트 와인 식초</v>
      </c>
    </row>
    <row r="2832">
      <c r="A2832" s="2" t="str">
        <f>IFERROR(__xludf.DUMMYFUNCTION("""COMPUTED_VALUE"""),"라자냐는 나자냐")</f>
        <v>라자냐는 나자냐</v>
      </c>
      <c r="B2832" s="2" t="str">
        <f>IFERROR(__xludf.DUMMYFUNCTION("""COMPUTED_VALUE"""),"토마토 소스")</f>
        <v>토마토 소스</v>
      </c>
    </row>
    <row r="2833">
      <c r="A2833" s="2" t="str">
        <f>IFERROR(__xludf.DUMMYFUNCTION("""COMPUTED_VALUE"""),"라자냐는 나자냐")</f>
        <v>라자냐는 나자냐</v>
      </c>
      <c r="B2833" s="2" t="str">
        <f>IFERROR(__xludf.DUMMYFUNCTION("""COMPUTED_VALUE"""),"슬라이스 치즈")</f>
        <v>슬라이스 치즈</v>
      </c>
    </row>
    <row r="2834">
      <c r="A2834" s="2" t="str">
        <f>IFERROR(__xludf.DUMMYFUNCTION("""COMPUTED_VALUE"""),"라자냐는 나자냐")</f>
        <v>라자냐는 나자냐</v>
      </c>
      <c r="B2834" s="2" t="str">
        <f>IFERROR(__xludf.DUMMYFUNCTION("""COMPUTED_VALUE"""),"소금")</f>
        <v>소금</v>
      </c>
    </row>
    <row r="2835">
      <c r="A2835" s="2" t="str">
        <f>IFERROR(__xludf.DUMMYFUNCTION("""COMPUTED_VALUE"""),"라자냐는 나자냐")</f>
        <v>라자냐는 나자냐</v>
      </c>
      <c r="B2835" s="2" t="str">
        <f>IFERROR(__xludf.DUMMYFUNCTION("""COMPUTED_VALUE"""),"양파")</f>
        <v>양파</v>
      </c>
    </row>
    <row r="2836">
      <c r="A2836" s="2" t="str">
        <f>IFERROR(__xludf.DUMMYFUNCTION("""COMPUTED_VALUE"""),"라자냐는 나자냐")</f>
        <v>라자냐는 나자냐</v>
      </c>
      <c r="B2836" s="2" t="str">
        <f>IFERROR(__xludf.DUMMYFUNCTION("""COMPUTED_VALUE"""),"후추")</f>
        <v>후추</v>
      </c>
    </row>
    <row r="2837">
      <c r="A2837" s="2" t="str">
        <f>IFERROR(__xludf.DUMMYFUNCTION("""COMPUTED_VALUE"""),"라자냐는 나자냐")</f>
        <v>라자냐는 나자냐</v>
      </c>
      <c r="B2837" s="2" t="str">
        <f>IFERROR(__xludf.DUMMYFUNCTION("""COMPUTED_VALUE"""),"버터")</f>
        <v>버터</v>
      </c>
    </row>
    <row r="2838">
      <c r="A2838" s="2" t="str">
        <f>IFERROR(__xludf.DUMMYFUNCTION("""COMPUTED_VALUE"""),"라자냐는 나자냐")</f>
        <v>라자냐는 나자냐</v>
      </c>
      <c r="B2838" s="2" t="str">
        <f>IFERROR(__xludf.DUMMYFUNCTION("""COMPUTED_VALUE"""),"밀가루")</f>
        <v>밀가루</v>
      </c>
    </row>
    <row r="2839">
      <c r="A2839" s="2" t="str">
        <f>IFERROR(__xludf.DUMMYFUNCTION("""COMPUTED_VALUE"""),"라자냐는 나자냐")</f>
        <v>라자냐는 나자냐</v>
      </c>
      <c r="B2839" s="2" t="str">
        <f>IFERROR(__xludf.DUMMYFUNCTION("""COMPUTED_VALUE"""),"설탕")</f>
        <v>설탕</v>
      </c>
    </row>
    <row r="2840">
      <c r="A2840" s="2" t="str">
        <f>IFERROR(__xludf.DUMMYFUNCTION("""COMPUTED_VALUE"""),"라자냐는 나자냐")</f>
        <v>라자냐는 나자냐</v>
      </c>
      <c r="B2840" s="2" t="str">
        <f>IFERROR(__xludf.DUMMYFUNCTION("""COMPUTED_VALUE"""),"올리브 오일")</f>
        <v>올리브 오일</v>
      </c>
    </row>
    <row r="2841">
      <c r="A2841" s="2" t="str">
        <f>IFERROR(__xludf.DUMMYFUNCTION("""COMPUTED_VALUE"""),"사랑햄")</f>
        <v>사랑햄</v>
      </c>
      <c r="B2841" s="2" t="str">
        <f>IFERROR(__xludf.DUMMYFUNCTION("""COMPUTED_VALUE"""),"달걀")</f>
        <v>달걀</v>
      </c>
    </row>
    <row r="2842">
      <c r="A2842" s="2" t="str">
        <f>IFERROR(__xludf.DUMMYFUNCTION("""COMPUTED_VALUE"""),"사랑햄")</f>
        <v>사랑햄</v>
      </c>
      <c r="B2842" s="2" t="str">
        <f>IFERROR(__xludf.DUMMYFUNCTION("""COMPUTED_VALUE"""),"슬라이스 치즈")</f>
        <v>슬라이스 치즈</v>
      </c>
    </row>
    <row r="2843">
      <c r="A2843" s="2" t="str">
        <f>IFERROR(__xludf.DUMMYFUNCTION("""COMPUTED_VALUE"""),"사랑햄")</f>
        <v>사랑햄</v>
      </c>
      <c r="B2843" s="2" t="str">
        <f>IFERROR(__xludf.DUMMYFUNCTION("""COMPUTED_VALUE"""),"통조림 햄")</f>
        <v>통조림 햄</v>
      </c>
    </row>
    <row r="2844">
      <c r="A2844" s="2" t="str">
        <f>IFERROR(__xludf.DUMMYFUNCTION("""COMPUTED_VALUE"""),"사랑햄")</f>
        <v>사랑햄</v>
      </c>
      <c r="B2844" s="2" t="str">
        <f>IFERROR(__xludf.DUMMYFUNCTION("""COMPUTED_VALUE"""),"사과")</f>
        <v>사과</v>
      </c>
    </row>
    <row r="2845">
      <c r="A2845" s="2" t="str">
        <f>IFERROR(__xludf.DUMMYFUNCTION("""COMPUTED_VALUE"""),"사랑햄")</f>
        <v>사랑햄</v>
      </c>
      <c r="B2845" s="2" t="str">
        <f>IFERROR(__xludf.DUMMYFUNCTION("""COMPUTED_VALUE"""),"사과주스")</f>
        <v>사과주스</v>
      </c>
    </row>
    <row r="2846">
      <c r="A2846" s="2" t="str">
        <f>IFERROR(__xludf.DUMMYFUNCTION("""COMPUTED_VALUE"""),"사랑햄")</f>
        <v>사랑햄</v>
      </c>
      <c r="B2846" s="2" t="str">
        <f>IFERROR(__xludf.DUMMYFUNCTION("""COMPUTED_VALUE"""),"설탕")</f>
        <v>설탕</v>
      </c>
    </row>
    <row r="2847">
      <c r="A2847" s="2" t="str">
        <f>IFERROR(__xludf.DUMMYFUNCTION("""COMPUTED_VALUE"""),"사랑햄")</f>
        <v>사랑햄</v>
      </c>
      <c r="B2847" s="2" t="str">
        <f>IFERROR(__xludf.DUMMYFUNCTION("""COMPUTED_VALUE"""),"버터")</f>
        <v>버터</v>
      </c>
    </row>
    <row r="2848">
      <c r="A2848" s="2" t="str">
        <f>IFERROR(__xludf.DUMMYFUNCTION("""COMPUTED_VALUE"""),"사랑햄")</f>
        <v>사랑햄</v>
      </c>
      <c r="B2848" s="2" t="str">
        <f>IFERROR(__xludf.DUMMYFUNCTION("""COMPUTED_VALUE"""),"밀가루")</f>
        <v>밀가루</v>
      </c>
    </row>
    <row r="2849">
      <c r="A2849" s="2" t="str">
        <f>IFERROR(__xludf.DUMMYFUNCTION("""COMPUTED_VALUE"""),"사랑햄")</f>
        <v>사랑햄</v>
      </c>
      <c r="B2849" s="2" t="str">
        <f>IFERROR(__xludf.DUMMYFUNCTION("""COMPUTED_VALUE"""),"우유")</f>
        <v>우유</v>
      </c>
    </row>
    <row r="2850">
      <c r="A2850" s="2" t="str">
        <f>IFERROR(__xludf.DUMMYFUNCTION("""COMPUTED_VALUE"""),"사랑햄")</f>
        <v>사랑햄</v>
      </c>
      <c r="B2850" s="2" t="str">
        <f>IFERROR(__xludf.DUMMYFUNCTION("""COMPUTED_VALUE"""),"빵가루")</f>
        <v>빵가루</v>
      </c>
    </row>
    <row r="2851">
      <c r="A2851" s="2" t="str">
        <f>IFERROR(__xludf.DUMMYFUNCTION("""COMPUTED_VALUE"""),"가지 싸움에 새우등 터진다")</f>
        <v>가지 싸움에 새우등 터진다</v>
      </c>
      <c r="B2851" s="2" t="str">
        <f>IFERROR(__xludf.DUMMYFUNCTION("""COMPUTED_VALUE"""),"가지")</f>
        <v>가지</v>
      </c>
    </row>
    <row r="2852">
      <c r="A2852" s="2" t="str">
        <f>IFERROR(__xludf.DUMMYFUNCTION("""COMPUTED_VALUE"""),"가지 싸움에 새우등 터진다")</f>
        <v>가지 싸움에 새우등 터진다</v>
      </c>
      <c r="B2852" s="2" t="str">
        <f>IFERROR(__xludf.DUMMYFUNCTION("""COMPUTED_VALUE"""),"칵테일 새우")</f>
        <v>칵테일 새우</v>
      </c>
    </row>
    <row r="2853">
      <c r="A2853" s="2" t="str">
        <f>IFERROR(__xludf.DUMMYFUNCTION("""COMPUTED_VALUE"""),"가지 싸움에 새우등 터진다")</f>
        <v>가지 싸움에 새우등 터진다</v>
      </c>
      <c r="B2853" s="2" t="str">
        <f>IFERROR(__xludf.DUMMYFUNCTION("""COMPUTED_VALUE"""),"소고기")</f>
        <v>소고기</v>
      </c>
    </row>
    <row r="2854">
      <c r="A2854" s="2" t="str">
        <f>IFERROR(__xludf.DUMMYFUNCTION("""COMPUTED_VALUE"""),"가지 싸움에 새우등 터진다")</f>
        <v>가지 싸움에 새우등 터진다</v>
      </c>
      <c r="B2854" s="2" t="str">
        <f>IFERROR(__xludf.DUMMYFUNCTION("""COMPUTED_VALUE"""),"달걀")</f>
        <v>달걀</v>
      </c>
    </row>
    <row r="2855">
      <c r="A2855" s="2" t="str">
        <f>IFERROR(__xludf.DUMMYFUNCTION("""COMPUTED_VALUE"""),"가지 싸움에 새우등 터진다")</f>
        <v>가지 싸움에 새우등 터진다</v>
      </c>
      <c r="B2855" s="2" t="str">
        <f>IFERROR(__xludf.DUMMYFUNCTION("""COMPUTED_VALUE"""),"파프리카")</f>
        <v>파프리카</v>
      </c>
    </row>
    <row r="2856">
      <c r="A2856" s="2" t="str">
        <f>IFERROR(__xludf.DUMMYFUNCTION("""COMPUTED_VALUE"""),"가지 싸움에 새우등 터진다")</f>
        <v>가지 싸움에 새우등 터진다</v>
      </c>
      <c r="B2856" s="2" t="str">
        <f>IFERROR(__xludf.DUMMYFUNCTION("""COMPUTED_VALUE"""),"밀가루")</f>
        <v>밀가루</v>
      </c>
    </row>
    <row r="2857">
      <c r="A2857" s="2" t="str">
        <f>IFERROR(__xludf.DUMMYFUNCTION("""COMPUTED_VALUE"""),"가지 싸움에 새우등 터진다")</f>
        <v>가지 싸움에 새우등 터진다</v>
      </c>
      <c r="B2857" s="2" t="str">
        <f>IFERROR(__xludf.DUMMYFUNCTION("""COMPUTED_VALUE"""),"감자 전분")</f>
        <v>감자 전분</v>
      </c>
    </row>
    <row r="2858">
      <c r="A2858" s="2" t="str">
        <f>IFERROR(__xludf.DUMMYFUNCTION("""COMPUTED_VALUE"""),"가지 싸움에 새우등 터진다")</f>
        <v>가지 싸움에 새우등 터진다</v>
      </c>
      <c r="B2858" s="2" t="str">
        <f>IFERROR(__xludf.DUMMYFUNCTION("""COMPUTED_VALUE"""),"생강즙")</f>
        <v>생강즙</v>
      </c>
    </row>
    <row r="2859">
      <c r="A2859" s="2" t="str">
        <f>IFERROR(__xludf.DUMMYFUNCTION("""COMPUTED_VALUE"""),"가지 싸움에 새우등 터진다")</f>
        <v>가지 싸움에 새우등 터진다</v>
      </c>
      <c r="B2859" s="2" t="str">
        <f>IFERROR(__xludf.DUMMYFUNCTION("""COMPUTED_VALUE"""),"옥수수 전분")</f>
        <v>옥수수 전분</v>
      </c>
    </row>
    <row r="2860">
      <c r="A2860" s="2" t="str">
        <f>IFERROR(__xludf.DUMMYFUNCTION("""COMPUTED_VALUE"""),"가지 싸움에 새우등 터진다")</f>
        <v>가지 싸움에 새우등 터진다</v>
      </c>
      <c r="B2860" s="2" t="str">
        <f>IFERROR(__xludf.DUMMYFUNCTION("""COMPUTED_VALUE"""),"마늘")</f>
        <v>마늘</v>
      </c>
    </row>
    <row r="2861">
      <c r="A2861" s="2" t="str">
        <f>IFERROR(__xludf.DUMMYFUNCTION("""COMPUTED_VALUE"""),"가지 싸움에 새우등 터진다")</f>
        <v>가지 싸움에 새우등 터진다</v>
      </c>
      <c r="B2861" s="2" t="str">
        <f>IFERROR(__xludf.DUMMYFUNCTION("""COMPUTED_VALUE"""),"대파")</f>
        <v>대파</v>
      </c>
    </row>
    <row r="2862">
      <c r="A2862" s="2" t="str">
        <f>IFERROR(__xludf.DUMMYFUNCTION("""COMPUTED_VALUE"""),"가지 싸움에 새우등 터진다")</f>
        <v>가지 싸움에 새우등 터진다</v>
      </c>
      <c r="B2862" s="2" t="str">
        <f>IFERROR(__xludf.DUMMYFUNCTION("""COMPUTED_VALUE"""),"파프리카")</f>
        <v>파프리카</v>
      </c>
    </row>
    <row r="2863">
      <c r="A2863" s="2" t="str">
        <f>IFERROR(__xludf.DUMMYFUNCTION("""COMPUTED_VALUE"""),"가지 싸움에 새우등 터진다")</f>
        <v>가지 싸움에 새우등 터진다</v>
      </c>
      <c r="B2863" s="2" t="str">
        <f>IFERROR(__xludf.DUMMYFUNCTION("""COMPUTED_VALUE"""),"간장")</f>
        <v>간장</v>
      </c>
    </row>
    <row r="2864">
      <c r="A2864" s="2" t="str">
        <f>IFERROR(__xludf.DUMMYFUNCTION("""COMPUTED_VALUE"""),"가지 싸움에 새우등 터진다")</f>
        <v>가지 싸움에 새우등 터진다</v>
      </c>
      <c r="B2864" s="2" t="str">
        <f>IFERROR(__xludf.DUMMYFUNCTION("""COMPUTED_VALUE"""),"식초")</f>
        <v>식초</v>
      </c>
    </row>
    <row r="2865">
      <c r="A2865" s="2" t="str">
        <f>IFERROR(__xludf.DUMMYFUNCTION("""COMPUTED_VALUE"""),"가지 싸움에 새우등 터진다")</f>
        <v>가지 싸움에 새우등 터진다</v>
      </c>
      <c r="B2865" s="2" t="str">
        <f>IFERROR(__xludf.DUMMYFUNCTION("""COMPUTED_VALUE"""),"설탕")</f>
        <v>설탕</v>
      </c>
    </row>
    <row r="2866">
      <c r="A2866" s="2" t="str">
        <f>IFERROR(__xludf.DUMMYFUNCTION("""COMPUTED_VALUE"""),"대게 맛있는 따로 덮밥")</f>
        <v>대게 맛있는 따로 덮밥</v>
      </c>
      <c r="B2866" s="2" t="str">
        <f>IFERROR(__xludf.DUMMYFUNCTION("""COMPUTED_VALUE"""),"양파")</f>
        <v>양파</v>
      </c>
    </row>
    <row r="2867">
      <c r="A2867" s="2" t="str">
        <f>IFERROR(__xludf.DUMMYFUNCTION("""COMPUTED_VALUE"""),"대게 맛있는 따로 덮밥")</f>
        <v>대게 맛있는 따로 덮밥</v>
      </c>
      <c r="B2867" s="2" t="str">
        <f>IFERROR(__xludf.DUMMYFUNCTION("""COMPUTED_VALUE"""),"삶은 호박고지")</f>
        <v>삶은 호박고지</v>
      </c>
    </row>
    <row r="2868">
      <c r="A2868" s="2" t="str">
        <f>IFERROR(__xludf.DUMMYFUNCTION("""COMPUTED_VALUE"""),"대게 맛있는 따로 덮밥")</f>
        <v>대게 맛있는 따로 덮밥</v>
      </c>
      <c r="B2868" s="2" t="str">
        <f>IFERROR(__xludf.DUMMYFUNCTION("""COMPUTED_VALUE"""),"대파")</f>
        <v>대파</v>
      </c>
    </row>
    <row r="2869">
      <c r="A2869" s="2" t="str">
        <f>IFERROR(__xludf.DUMMYFUNCTION("""COMPUTED_VALUE"""),"대게 맛있는 따로 덮밥")</f>
        <v>대게 맛있는 따로 덮밥</v>
      </c>
      <c r="B2869" s="2" t="str">
        <f>IFERROR(__xludf.DUMMYFUNCTION("""COMPUTED_VALUE"""),"삶은 고사리")</f>
        <v>삶은 고사리</v>
      </c>
    </row>
    <row r="2870">
      <c r="A2870" s="2" t="str">
        <f>IFERROR(__xludf.DUMMYFUNCTION("""COMPUTED_VALUE"""),"대게 맛있는 따로 덮밥")</f>
        <v>대게 맛있는 따로 덮밥</v>
      </c>
      <c r="B2870" s="2" t="str">
        <f>IFERROR(__xludf.DUMMYFUNCTION("""COMPUTED_VALUE"""),"맛간장")</f>
        <v>맛간장</v>
      </c>
    </row>
    <row r="2871">
      <c r="A2871" s="2" t="str">
        <f>IFERROR(__xludf.DUMMYFUNCTION("""COMPUTED_VALUE"""),"대게 맛있는 따로 덮밥")</f>
        <v>대게 맛있는 따로 덮밥</v>
      </c>
      <c r="B2871" s="2" t="str">
        <f>IFERROR(__xludf.DUMMYFUNCTION("""COMPUTED_VALUE"""),"표고버섯")</f>
        <v>표고버섯</v>
      </c>
    </row>
    <row r="2872">
      <c r="A2872" s="2" t="str">
        <f>IFERROR(__xludf.DUMMYFUNCTION("""COMPUTED_VALUE"""),"대게 맛있는 따로 덮밥")</f>
        <v>대게 맛있는 따로 덮밥</v>
      </c>
      <c r="B2872" s="2" t="str">
        <f>IFERROR(__xludf.DUMMYFUNCTION("""COMPUTED_VALUE"""),"고추")</f>
        <v>고추</v>
      </c>
    </row>
    <row r="2873">
      <c r="A2873" s="2" t="str">
        <f>IFERROR(__xludf.DUMMYFUNCTION("""COMPUTED_VALUE"""),"대게 맛있는 따로 덮밥")</f>
        <v>대게 맛있는 따로 덮밥</v>
      </c>
      <c r="B2873" s="2" t="str">
        <f>IFERROR(__xludf.DUMMYFUNCTION("""COMPUTED_VALUE"""),"대게살")</f>
        <v>대게살</v>
      </c>
    </row>
    <row r="2874">
      <c r="A2874" s="2" t="str">
        <f>IFERROR(__xludf.DUMMYFUNCTION("""COMPUTED_VALUE"""),"대게 맛있는 따로 덮밥")</f>
        <v>대게 맛있는 따로 덮밥</v>
      </c>
      <c r="B2874" s="2" t="str">
        <f>IFERROR(__xludf.DUMMYFUNCTION("""COMPUTED_VALUE"""),"삶은 문어")</f>
        <v>삶은 문어</v>
      </c>
    </row>
    <row r="2875">
      <c r="A2875" s="2" t="str">
        <f>IFERROR(__xludf.DUMMYFUNCTION("""COMPUTED_VALUE"""),"대게 맛있는 따로 덮밥")</f>
        <v>대게 맛있는 따로 덮밥</v>
      </c>
      <c r="B2875" s="2" t="str">
        <f>IFERROR(__xludf.DUMMYFUNCTION("""COMPUTED_VALUE"""),"참기름")</f>
        <v>참기름</v>
      </c>
    </row>
    <row r="2876">
      <c r="A2876" s="2" t="str">
        <f>IFERROR(__xludf.DUMMYFUNCTION("""COMPUTED_VALUE"""),"대게 맛있는 따로 덮밥")</f>
        <v>대게 맛있는 따로 덮밥</v>
      </c>
      <c r="B2876" s="2" t="str">
        <f>IFERROR(__xludf.DUMMYFUNCTION("""COMPUTED_VALUE"""),"삶은 시래기")</f>
        <v>삶은 시래기</v>
      </c>
    </row>
    <row r="2877">
      <c r="A2877" s="2" t="str">
        <f>IFERROR(__xludf.DUMMYFUNCTION("""COMPUTED_VALUE"""),"대게 맛있는 따로 덮밥")</f>
        <v>대게 맛있는 따로 덮밥</v>
      </c>
      <c r="B2877" s="2" t="str">
        <f>IFERROR(__xludf.DUMMYFUNCTION("""COMPUTED_VALUE"""),"다진 마늘")</f>
        <v>다진 마늘</v>
      </c>
    </row>
    <row r="2878">
      <c r="A2878" s="2" t="str">
        <f>IFERROR(__xludf.DUMMYFUNCTION("""COMPUTED_VALUE"""),"대게 맛있는 따로 덮밥")</f>
        <v>대게 맛있는 따로 덮밥</v>
      </c>
      <c r="B2878" s="2" t="str">
        <f>IFERROR(__xludf.DUMMYFUNCTION("""COMPUTED_VALUE"""),"맛술")</f>
        <v>맛술</v>
      </c>
    </row>
    <row r="2879">
      <c r="A2879" s="2" t="str">
        <f>IFERROR(__xludf.DUMMYFUNCTION("""COMPUTED_VALUE"""),"대게 맛있는 따로 덮밥")</f>
        <v>대게 맛있는 따로 덮밥</v>
      </c>
      <c r="B2879" s="2" t="str">
        <f>IFERROR(__xludf.DUMMYFUNCTION("""COMPUTED_VALUE"""),"올리고당")</f>
        <v>올리고당</v>
      </c>
    </row>
    <row r="2880">
      <c r="A2880" s="2" t="str">
        <f>IFERROR(__xludf.DUMMYFUNCTION("""COMPUTED_VALUE"""),"대게 맛있는 따로 덮밥")</f>
        <v>대게 맛있는 따로 덮밥</v>
      </c>
      <c r="B2880" s="2" t="str">
        <f>IFERROR(__xludf.DUMMYFUNCTION("""COMPUTED_VALUE"""),"후추")</f>
        <v>후추</v>
      </c>
    </row>
    <row r="2881">
      <c r="A2881" s="2" t="str">
        <f>IFERROR(__xludf.DUMMYFUNCTION("""COMPUTED_VALUE"""),"대게 맛있는 따로 덮밥")</f>
        <v>대게 맛있는 따로 덮밥</v>
      </c>
      <c r="B2881" s="2" t="str">
        <f>IFERROR(__xludf.DUMMYFUNCTION("""COMPUTED_VALUE"""),"즉석밥")</f>
        <v>즉석밥</v>
      </c>
    </row>
    <row r="2882">
      <c r="A2882" s="2" t="str">
        <f>IFERROR(__xludf.DUMMYFUNCTION("""COMPUTED_VALUE"""),"대게 맛있는 따로 덮밥")</f>
        <v>대게 맛있는 따로 덮밥</v>
      </c>
      <c r="B2882" s="2" t="str">
        <f>IFERROR(__xludf.DUMMYFUNCTION("""COMPUTED_VALUE"""),"달걀")</f>
        <v>달걀</v>
      </c>
    </row>
    <row r="2883">
      <c r="A2883" s="2" t="str">
        <f>IFERROR(__xludf.DUMMYFUNCTION("""COMPUTED_VALUE"""),"대게 맛있는 따로 덮밥")</f>
        <v>대게 맛있는 따로 덮밥</v>
      </c>
      <c r="B2883" s="2" t="str">
        <f>IFERROR(__xludf.DUMMYFUNCTION("""COMPUTED_VALUE"""),"참기름")</f>
        <v>참기름</v>
      </c>
    </row>
    <row r="2884">
      <c r="A2884" s="2" t="str">
        <f>IFERROR(__xludf.DUMMYFUNCTION("""COMPUTED_VALUE"""),"대게 맛있는 따로 덮밥")</f>
        <v>대게 맛있는 따로 덮밥</v>
      </c>
      <c r="B2884" s="2" t="str">
        <f>IFERROR(__xludf.DUMMYFUNCTION("""COMPUTED_VALUE"""),"소금")</f>
        <v>소금</v>
      </c>
    </row>
    <row r="2885">
      <c r="A2885" s="2" t="str">
        <f>IFERROR(__xludf.DUMMYFUNCTION("""COMPUTED_VALUE"""),"대게 맛있는 따로 덮밥")</f>
        <v>대게 맛있는 따로 덮밥</v>
      </c>
      <c r="B2885" s="2" t="str">
        <f>IFERROR(__xludf.DUMMYFUNCTION("""COMPUTED_VALUE"""),"깨")</f>
        <v>깨</v>
      </c>
    </row>
    <row r="2886">
      <c r="A2886" s="2" t="str">
        <f>IFERROR(__xludf.DUMMYFUNCTION("""COMPUTED_VALUE"""),"삼치렐라")</f>
        <v>삼치렐라</v>
      </c>
      <c r="B2886" s="2" t="str">
        <f>IFERROR(__xludf.DUMMYFUNCTION("""COMPUTED_VALUE"""),"삼치")</f>
        <v>삼치</v>
      </c>
    </row>
    <row r="2887">
      <c r="A2887" s="2" t="str">
        <f>IFERROR(__xludf.DUMMYFUNCTION("""COMPUTED_VALUE"""),"삼치렐라")</f>
        <v>삼치렐라</v>
      </c>
      <c r="B2887" s="2" t="str">
        <f>IFERROR(__xludf.DUMMYFUNCTION("""COMPUTED_VALUE"""),"호두")</f>
        <v>호두</v>
      </c>
    </row>
    <row r="2888">
      <c r="A2888" s="2" t="str">
        <f>IFERROR(__xludf.DUMMYFUNCTION("""COMPUTED_VALUE"""),"삼치렐라")</f>
        <v>삼치렐라</v>
      </c>
      <c r="B2888" s="2" t="str">
        <f>IFERROR(__xludf.DUMMYFUNCTION("""COMPUTED_VALUE"""),"달걀")</f>
        <v>달걀</v>
      </c>
    </row>
    <row r="2889">
      <c r="A2889" s="2" t="str">
        <f>IFERROR(__xludf.DUMMYFUNCTION("""COMPUTED_VALUE"""),"삼치렐라")</f>
        <v>삼치렐라</v>
      </c>
      <c r="B2889" s="2" t="str">
        <f>IFERROR(__xludf.DUMMYFUNCTION("""COMPUTED_VALUE"""),"브로콜리")</f>
        <v>브로콜리</v>
      </c>
    </row>
    <row r="2890">
      <c r="A2890" s="2" t="str">
        <f>IFERROR(__xludf.DUMMYFUNCTION("""COMPUTED_VALUE"""),"삼치렐라")</f>
        <v>삼치렐라</v>
      </c>
      <c r="B2890" s="2" t="str">
        <f>IFERROR(__xludf.DUMMYFUNCTION("""COMPUTED_VALUE"""),"마늘")</f>
        <v>마늘</v>
      </c>
    </row>
    <row r="2891">
      <c r="A2891" s="2" t="str">
        <f>IFERROR(__xludf.DUMMYFUNCTION("""COMPUTED_VALUE"""),"삼치렐라")</f>
        <v>삼치렐라</v>
      </c>
      <c r="B2891" s="2" t="str">
        <f>IFERROR(__xludf.DUMMYFUNCTION("""COMPUTED_VALUE"""),"파프리카")</f>
        <v>파프리카</v>
      </c>
    </row>
    <row r="2892">
      <c r="A2892" s="2" t="str">
        <f>IFERROR(__xludf.DUMMYFUNCTION("""COMPUTED_VALUE"""),"삼치렐라")</f>
        <v>삼치렐라</v>
      </c>
      <c r="B2892" s="2" t="str">
        <f>IFERROR(__xludf.DUMMYFUNCTION("""COMPUTED_VALUE"""),"토마토")</f>
        <v>토마토</v>
      </c>
    </row>
    <row r="2893">
      <c r="A2893" s="2" t="str">
        <f>IFERROR(__xludf.DUMMYFUNCTION("""COMPUTED_VALUE"""),"삼치렐라")</f>
        <v>삼치렐라</v>
      </c>
      <c r="B2893" s="2" t="str">
        <f>IFERROR(__xludf.DUMMYFUNCTION("""COMPUTED_VALUE"""),"바질 페스토")</f>
        <v>바질 페스토</v>
      </c>
    </row>
    <row r="2894">
      <c r="A2894" s="2" t="str">
        <f>IFERROR(__xludf.DUMMYFUNCTION("""COMPUTED_VALUE"""),"삼치렐라")</f>
        <v>삼치렐라</v>
      </c>
      <c r="B2894" s="2" t="str">
        <f>IFERROR(__xludf.DUMMYFUNCTION("""COMPUTED_VALUE"""),"수제 요거트")</f>
        <v>수제 요거트</v>
      </c>
    </row>
    <row r="2895">
      <c r="A2895" s="2" t="str">
        <f>IFERROR(__xludf.DUMMYFUNCTION("""COMPUTED_VALUE"""),"삼치렐라")</f>
        <v>삼치렐라</v>
      </c>
      <c r="B2895" s="2" t="str">
        <f>IFERROR(__xludf.DUMMYFUNCTION("""COMPUTED_VALUE"""),"실파")</f>
        <v>실파</v>
      </c>
    </row>
    <row r="2896">
      <c r="A2896" s="2" t="str">
        <f>IFERROR(__xludf.DUMMYFUNCTION("""COMPUTED_VALUE"""),"삼치렐라")</f>
        <v>삼치렐라</v>
      </c>
      <c r="B2896" s="2" t="str">
        <f>IFERROR(__xludf.DUMMYFUNCTION("""COMPUTED_VALUE"""),"소금")</f>
        <v>소금</v>
      </c>
    </row>
    <row r="2897">
      <c r="A2897" s="2" t="str">
        <f>IFERROR(__xludf.DUMMYFUNCTION("""COMPUTED_VALUE"""),"삼치렐라")</f>
        <v>삼치렐라</v>
      </c>
      <c r="B2897" s="2" t="str">
        <f>IFERROR(__xludf.DUMMYFUNCTION("""COMPUTED_VALUE"""),"후추")</f>
        <v>후추</v>
      </c>
    </row>
    <row r="2898">
      <c r="A2898" s="2" t="str">
        <f>IFERROR(__xludf.DUMMYFUNCTION("""COMPUTED_VALUE"""),"삼치렐라")</f>
        <v>삼치렐라</v>
      </c>
      <c r="B2898" s="2" t="str">
        <f>IFERROR(__xludf.DUMMYFUNCTION("""COMPUTED_VALUE"""),"레몬")</f>
        <v>레몬</v>
      </c>
    </row>
    <row r="2899">
      <c r="A2899" s="2" t="str">
        <f>IFERROR(__xludf.DUMMYFUNCTION("""COMPUTED_VALUE"""),"삼치렐라")</f>
        <v>삼치렐라</v>
      </c>
      <c r="B2899" s="2" t="str">
        <f>IFERROR(__xludf.DUMMYFUNCTION("""COMPUTED_VALUE"""),"밀가루")</f>
        <v>밀가루</v>
      </c>
    </row>
    <row r="2900">
      <c r="A2900" s="2" t="str">
        <f>IFERROR(__xludf.DUMMYFUNCTION("""COMPUTED_VALUE"""),"삼치렐라")</f>
        <v>삼치렐라</v>
      </c>
      <c r="B2900" s="2" t="str">
        <f>IFERROR(__xludf.DUMMYFUNCTION("""COMPUTED_VALUE"""),"버터")</f>
        <v>버터</v>
      </c>
    </row>
    <row r="2901">
      <c r="A2901" s="2" t="str">
        <f>IFERROR(__xludf.DUMMYFUNCTION("""COMPUTED_VALUE"""),"삼치렐라")</f>
        <v>삼치렐라</v>
      </c>
      <c r="B2901" s="2" t="str">
        <f>IFERROR(__xludf.DUMMYFUNCTION("""COMPUTED_VALUE"""),"올리브 오일")</f>
        <v>올리브 오일</v>
      </c>
    </row>
    <row r="2902">
      <c r="A2902" s="2" t="str">
        <f>IFERROR(__xludf.DUMMYFUNCTION("""COMPUTED_VALUE"""),"삼치렐라")</f>
        <v>삼치렐라</v>
      </c>
      <c r="B2902" s="2" t="str">
        <f>IFERROR(__xludf.DUMMYFUNCTION("""COMPUTED_VALUE"""),"청양고추")</f>
        <v>청양고추</v>
      </c>
    </row>
    <row r="2903">
      <c r="A2903" s="2" t="str">
        <f>IFERROR(__xludf.DUMMYFUNCTION("""COMPUTED_VALUE"""),"삼치렐라")</f>
        <v>삼치렐라</v>
      </c>
      <c r="B2903" s="2" t="str">
        <f>IFERROR(__xludf.DUMMYFUNCTION("""COMPUTED_VALUE"""),"마요네즈")</f>
        <v>마요네즈</v>
      </c>
    </row>
    <row r="2904">
      <c r="A2904" s="2" t="str">
        <f>IFERROR(__xludf.DUMMYFUNCTION("""COMPUTED_VALUE"""),"개천에서 용 났새우")</f>
        <v>개천에서 용 났새우</v>
      </c>
      <c r="B2904" s="2" t="str">
        <f>IFERROR(__xludf.DUMMYFUNCTION("""COMPUTED_VALUE"""),"브로콜리")</f>
        <v>브로콜리</v>
      </c>
    </row>
    <row r="2905">
      <c r="A2905" s="2" t="str">
        <f>IFERROR(__xludf.DUMMYFUNCTION("""COMPUTED_VALUE"""),"개천에서 용 났새우")</f>
        <v>개천에서 용 났새우</v>
      </c>
      <c r="B2905" s="2" t="str">
        <f>IFERROR(__xludf.DUMMYFUNCTION("""COMPUTED_VALUE"""),"북어채")</f>
        <v>북어채</v>
      </c>
    </row>
    <row r="2906">
      <c r="A2906" s="2" t="str">
        <f>IFERROR(__xludf.DUMMYFUNCTION("""COMPUTED_VALUE"""),"개천에서 용 났새우")</f>
        <v>개천에서 용 났새우</v>
      </c>
      <c r="B2906" s="2" t="str">
        <f>IFERROR(__xludf.DUMMYFUNCTION("""COMPUTED_VALUE"""),"새우")</f>
        <v>새우</v>
      </c>
    </row>
    <row r="2907">
      <c r="A2907" s="2" t="str">
        <f>IFERROR(__xludf.DUMMYFUNCTION("""COMPUTED_VALUE"""),"개천에서 용 났새우")</f>
        <v>개천에서 용 났새우</v>
      </c>
      <c r="B2907" s="2" t="str">
        <f>IFERROR(__xludf.DUMMYFUNCTION("""COMPUTED_VALUE"""),"다진 청양고추")</f>
        <v>다진 청양고추</v>
      </c>
    </row>
    <row r="2908">
      <c r="A2908" s="2" t="str">
        <f>IFERROR(__xludf.DUMMYFUNCTION("""COMPUTED_VALUE"""),"개천에서 용 났새우")</f>
        <v>개천에서 용 났새우</v>
      </c>
      <c r="B2908" s="2" t="str">
        <f>IFERROR(__xludf.DUMMYFUNCTION("""COMPUTED_VALUE"""),"대파")</f>
        <v>대파</v>
      </c>
    </row>
    <row r="2909">
      <c r="A2909" s="2" t="str">
        <f>IFERROR(__xludf.DUMMYFUNCTION("""COMPUTED_VALUE"""),"개천에서 용 났새우")</f>
        <v>개천에서 용 났새우</v>
      </c>
      <c r="B2909" s="2" t="str">
        <f>IFERROR(__xludf.DUMMYFUNCTION("""COMPUTED_VALUE"""),"마늘")</f>
        <v>마늘</v>
      </c>
    </row>
    <row r="2910">
      <c r="A2910" s="2" t="str">
        <f>IFERROR(__xludf.DUMMYFUNCTION("""COMPUTED_VALUE"""),"개천에서 용 났새우")</f>
        <v>개천에서 용 났새우</v>
      </c>
      <c r="B2910" s="2" t="str">
        <f>IFERROR(__xludf.DUMMYFUNCTION("""COMPUTED_VALUE"""),"라면")</f>
        <v>라면</v>
      </c>
    </row>
    <row r="2911">
      <c r="A2911" s="2" t="str">
        <f>IFERROR(__xludf.DUMMYFUNCTION("""COMPUTED_VALUE"""),"개천에서 용 났새우")</f>
        <v>개천에서 용 났새우</v>
      </c>
      <c r="B2911" s="2" t="str">
        <f>IFERROR(__xludf.DUMMYFUNCTION("""COMPUTED_VALUE"""),"올리브 오일")</f>
        <v>올리브 오일</v>
      </c>
    </row>
    <row r="2912">
      <c r="A2912" s="2" t="str">
        <f>IFERROR(__xludf.DUMMYFUNCTION("""COMPUTED_VALUE"""),"부드럽끼")</f>
        <v>부드럽끼</v>
      </c>
      <c r="B2912" s="2" t="str">
        <f>IFERROR(__xludf.DUMMYFUNCTION("""COMPUTED_VALUE"""),"감자")</f>
        <v>감자</v>
      </c>
    </row>
    <row r="2913">
      <c r="A2913" s="2" t="str">
        <f>IFERROR(__xludf.DUMMYFUNCTION("""COMPUTED_VALUE"""),"부드럽끼")</f>
        <v>부드럽끼</v>
      </c>
      <c r="B2913" s="2" t="str">
        <f>IFERROR(__xludf.DUMMYFUNCTION("""COMPUTED_VALUE"""),"우유")</f>
        <v>우유</v>
      </c>
    </row>
    <row r="2914">
      <c r="A2914" s="2" t="str">
        <f>IFERROR(__xludf.DUMMYFUNCTION("""COMPUTED_VALUE"""),"부드럽끼")</f>
        <v>부드럽끼</v>
      </c>
      <c r="B2914" s="2" t="str">
        <f>IFERROR(__xludf.DUMMYFUNCTION("""COMPUTED_VALUE"""),"꼬리곰탕")</f>
        <v>꼬리곰탕</v>
      </c>
    </row>
    <row r="2915">
      <c r="A2915" s="2" t="str">
        <f>IFERROR(__xludf.DUMMYFUNCTION("""COMPUTED_VALUE"""),"부드럽끼")</f>
        <v>부드럽끼</v>
      </c>
      <c r="B2915" s="2" t="str">
        <f>IFERROR(__xludf.DUMMYFUNCTION("""COMPUTED_VALUE"""),"리코타 치즈")</f>
        <v>리코타 치즈</v>
      </c>
    </row>
    <row r="2916">
      <c r="A2916" s="2" t="str">
        <f>IFERROR(__xludf.DUMMYFUNCTION("""COMPUTED_VALUE"""),"부드럽끼")</f>
        <v>부드럽끼</v>
      </c>
      <c r="B2916" s="2" t="str">
        <f>IFERROR(__xludf.DUMMYFUNCTION("""COMPUTED_VALUE"""),"카망베르 치즈")</f>
        <v>카망베르 치즈</v>
      </c>
    </row>
    <row r="2917">
      <c r="A2917" s="2" t="str">
        <f>IFERROR(__xludf.DUMMYFUNCTION("""COMPUTED_VALUE"""),"부드럽끼")</f>
        <v>부드럽끼</v>
      </c>
      <c r="B2917" s="2" t="str">
        <f>IFERROR(__xludf.DUMMYFUNCTION("""COMPUTED_VALUE"""),"달걀")</f>
        <v>달걀</v>
      </c>
    </row>
    <row r="2918">
      <c r="A2918" s="2" t="str">
        <f>IFERROR(__xludf.DUMMYFUNCTION("""COMPUTED_VALUE"""),"부드럽끼")</f>
        <v>부드럽끼</v>
      </c>
      <c r="B2918" s="2" t="str">
        <f>IFERROR(__xludf.DUMMYFUNCTION("""COMPUTED_VALUE"""),"양파")</f>
        <v>양파</v>
      </c>
    </row>
    <row r="2919">
      <c r="A2919" s="2" t="str">
        <f>IFERROR(__xludf.DUMMYFUNCTION("""COMPUTED_VALUE"""),"부드럽끼")</f>
        <v>부드럽끼</v>
      </c>
      <c r="B2919" s="2" t="str">
        <f>IFERROR(__xludf.DUMMYFUNCTION("""COMPUTED_VALUE"""),"소금")</f>
        <v>소금</v>
      </c>
    </row>
    <row r="2920">
      <c r="A2920" s="2" t="str">
        <f>IFERROR(__xludf.DUMMYFUNCTION("""COMPUTED_VALUE"""),"부드럽끼")</f>
        <v>부드럽끼</v>
      </c>
      <c r="B2920" s="2" t="str">
        <f>IFERROR(__xludf.DUMMYFUNCTION("""COMPUTED_VALUE"""),"후추")</f>
        <v>후추</v>
      </c>
    </row>
    <row r="2921">
      <c r="A2921" s="2" t="str">
        <f>IFERROR(__xludf.DUMMYFUNCTION("""COMPUTED_VALUE"""),"부드럽끼")</f>
        <v>부드럽끼</v>
      </c>
      <c r="B2921" s="2" t="str">
        <f>IFERROR(__xludf.DUMMYFUNCTION("""COMPUTED_VALUE"""),"밀가루")</f>
        <v>밀가루</v>
      </c>
    </row>
    <row r="2922">
      <c r="A2922" s="2" t="str">
        <f>IFERROR(__xludf.DUMMYFUNCTION("""COMPUTED_VALUE"""),"유아식망고땡!")</f>
        <v>유아식망고땡!</v>
      </c>
      <c r="B2922" s="2" t="str">
        <f>IFERROR(__xludf.DUMMYFUNCTION("""COMPUTED_VALUE"""),"우유")</f>
        <v>우유</v>
      </c>
    </row>
    <row r="2923">
      <c r="A2923" s="2" t="str">
        <f>IFERROR(__xludf.DUMMYFUNCTION("""COMPUTED_VALUE"""),"유아식망고땡!")</f>
        <v>유아식망고땡!</v>
      </c>
      <c r="B2923" s="2" t="str">
        <f>IFERROR(__xludf.DUMMYFUNCTION("""COMPUTED_VALUE"""),"망고")</f>
        <v>망고</v>
      </c>
    </row>
    <row r="2924">
      <c r="A2924" s="2" t="str">
        <f>IFERROR(__xludf.DUMMYFUNCTION("""COMPUTED_VALUE"""),"유아식망고땡!")</f>
        <v>유아식망고땡!</v>
      </c>
      <c r="B2924" s="2" t="str">
        <f>IFERROR(__xludf.DUMMYFUNCTION("""COMPUTED_VALUE"""),"호두")</f>
        <v>호두</v>
      </c>
    </row>
    <row r="2925">
      <c r="A2925" s="2" t="str">
        <f>IFERROR(__xludf.DUMMYFUNCTION("""COMPUTED_VALUE"""),"유아식망고땡!")</f>
        <v>유아식망고땡!</v>
      </c>
      <c r="B2925" s="2" t="str">
        <f>IFERROR(__xludf.DUMMYFUNCTION("""COMPUTED_VALUE"""),"잣")</f>
        <v>잣</v>
      </c>
    </row>
    <row r="2926">
      <c r="A2926" s="2" t="str">
        <f>IFERROR(__xludf.DUMMYFUNCTION("""COMPUTED_VALUE"""),"유아식망고땡!")</f>
        <v>유아식망고땡!</v>
      </c>
      <c r="B2926" s="2" t="str">
        <f>IFERROR(__xludf.DUMMYFUNCTION("""COMPUTED_VALUE"""),"대추")</f>
        <v>대추</v>
      </c>
    </row>
    <row r="2927">
      <c r="A2927" s="2" t="str">
        <f>IFERROR(__xludf.DUMMYFUNCTION("""COMPUTED_VALUE"""),"유아식망고땡!")</f>
        <v>유아식망고땡!</v>
      </c>
      <c r="B2927" s="2" t="str">
        <f>IFERROR(__xludf.DUMMYFUNCTION("""COMPUTED_VALUE"""),"당근")</f>
        <v>당근</v>
      </c>
    </row>
    <row r="2928">
      <c r="A2928" s="2" t="str">
        <f>IFERROR(__xludf.DUMMYFUNCTION("""COMPUTED_VALUE"""),"유아식망고땡!")</f>
        <v>유아식망고땡!</v>
      </c>
      <c r="B2928" s="2" t="str">
        <f>IFERROR(__xludf.DUMMYFUNCTION("""COMPUTED_VALUE"""),"즉석밥")</f>
        <v>즉석밥</v>
      </c>
    </row>
    <row r="2929">
      <c r="A2929" s="2" t="str">
        <f>IFERROR(__xludf.DUMMYFUNCTION("""COMPUTED_VALUE"""),"유아식망고땡!")</f>
        <v>유아식망고땡!</v>
      </c>
      <c r="B2929" s="2" t="str">
        <f>IFERROR(__xludf.DUMMYFUNCTION("""COMPUTED_VALUE"""),"꿀")</f>
        <v>꿀</v>
      </c>
    </row>
    <row r="2930">
      <c r="A2930" s="2" t="str">
        <f>IFERROR(__xludf.DUMMYFUNCTION("""COMPUTED_VALUE"""),"유아식망고땡!")</f>
        <v>유아식망고땡!</v>
      </c>
      <c r="B2930" s="2" t="str">
        <f>IFERROR(__xludf.DUMMYFUNCTION("""COMPUTED_VALUE"""),"소금")</f>
        <v>소금</v>
      </c>
    </row>
    <row r="2931">
      <c r="A2931" s="2" t="str">
        <f>IFERROR(__xludf.DUMMYFUNCTION("""COMPUTED_VALUE"""),"요기조기 탕수")</f>
        <v>요기조기 탕수</v>
      </c>
      <c r="B2931" s="2" t="str">
        <f>IFERROR(__xludf.DUMMYFUNCTION("""COMPUTED_VALUE"""),"조기")</f>
        <v>조기</v>
      </c>
    </row>
    <row r="2932">
      <c r="A2932" s="2" t="str">
        <f>IFERROR(__xludf.DUMMYFUNCTION("""COMPUTED_VALUE"""),"요기조기 탕수")</f>
        <v>요기조기 탕수</v>
      </c>
      <c r="B2932" s="2" t="str">
        <f>IFERROR(__xludf.DUMMYFUNCTION("""COMPUTED_VALUE"""),"표고버섯채")</f>
        <v>표고버섯채</v>
      </c>
    </row>
    <row r="2933">
      <c r="A2933" s="2" t="str">
        <f>IFERROR(__xludf.DUMMYFUNCTION("""COMPUTED_VALUE"""),"요기조기 탕수")</f>
        <v>요기조기 탕수</v>
      </c>
      <c r="B2933" s="2" t="str">
        <f>IFERROR(__xludf.DUMMYFUNCTION("""COMPUTED_VALUE"""),"청양고추")</f>
        <v>청양고추</v>
      </c>
    </row>
    <row r="2934">
      <c r="A2934" s="2" t="str">
        <f>IFERROR(__xludf.DUMMYFUNCTION("""COMPUTED_VALUE"""),"요기조기 탕수")</f>
        <v>요기조기 탕수</v>
      </c>
      <c r="B2934" s="2" t="str">
        <f>IFERROR(__xludf.DUMMYFUNCTION("""COMPUTED_VALUE"""),"감자전분")</f>
        <v>감자전분</v>
      </c>
    </row>
    <row r="2935">
      <c r="A2935" s="2" t="str">
        <f>IFERROR(__xludf.DUMMYFUNCTION("""COMPUTED_VALUE"""),"요기조기 탕수")</f>
        <v>요기조기 탕수</v>
      </c>
      <c r="B2935" s="2" t="str">
        <f>IFERROR(__xludf.DUMMYFUNCTION("""COMPUTED_VALUE"""),"양파")</f>
        <v>양파</v>
      </c>
    </row>
    <row r="2936">
      <c r="A2936" s="2" t="str">
        <f>IFERROR(__xludf.DUMMYFUNCTION("""COMPUTED_VALUE"""),"요기조기 탕수")</f>
        <v>요기조기 탕수</v>
      </c>
      <c r="B2936" s="2" t="str">
        <f>IFERROR(__xludf.DUMMYFUNCTION("""COMPUTED_VALUE"""),"당근")</f>
        <v>당근</v>
      </c>
    </row>
    <row r="2937">
      <c r="A2937" s="2" t="str">
        <f>IFERROR(__xludf.DUMMYFUNCTION("""COMPUTED_VALUE"""),"요기조기 탕수")</f>
        <v>요기조기 탕수</v>
      </c>
      <c r="B2937" s="2" t="str">
        <f>IFERROR(__xludf.DUMMYFUNCTION("""COMPUTED_VALUE"""),"파")</f>
        <v>파</v>
      </c>
    </row>
    <row r="2938">
      <c r="A2938" s="2" t="str">
        <f>IFERROR(__xludf.DUMMYFUNCTION("""COMPUTED_VALUE"""),"요기조기 탕수")</f>
        <v>요기조기 탕수</v>
      </c>
      <c r="B2938" s="2" t="str">
        <f>IFERROR(__xludf.DUMMYFUNCTION("""COMPUTED_VALUE"""),"간장")</f>
        <v>간장</v>
      </c>
    </row>
    <row r="2939">
      <c r="A2939" s="2" t="str">
        <f>IFERROR(__xludf.DUMMYFUNCTION("""COMPUTED_VALUE"""),"요기조기 탕수")</f>
        <v>요기조기 탕수</v>
      </c>
      <c r="B2939" s="2" t="str">
        <f>IFERROR(__xludf.DUMMYFUNCTION("""COMPUTED_VALUE"""),"후추")</f>
        <v>후추</v>
      </c>
    </row>
    <row r="2940">
      <c r="A2940" s="2" t="str">
        <f>IFERROR(__xludf.DUMMYFUNCTION("""COMPUTED_VALUE"""),"요기조기 탕수")</f>
        <v>요기조기 탕수</v>
      </c>
      <c r="B2940" s="2" t="str">
        <f>IFERROR(__xludf.DUMMYFUNCTION("""COMPUTED_VALUE"""),"식초")</f>
        <v>식초</v>
      </c>
    </row>
    <row r="2941">
      <c r="A2941" s="2" t="str">
        <f>IFERROR(__xludf.DUMMYFUNCTION("""COMPUTED_VALUE"""),"요기조기 탕수")</f>
        <v>요기조기 탕수</v>
      </c>
      <c r="B2941" s="2" t="str">
        <f>IFERROR(__xludf.DUMMYFUNCTION("""COMPUTED_VALUE"""),"꿀")</f>
        <v>꿀</v>
      </c>
    </row>
    <row r="2942">
      <c r="A2942" s="2" t="str">
        <f>IFERROR(__xludf.DUMMYFUNCTION("""COMPUTED_VALUE"""),"뒤집었닭")</f>
        <v>뒤집었닭</v>
      </c>
      <c r="B2942" s="2" t="str">
        <f>IFERROR(__xludf.DUMMYFUNCTION("""COMPUTED_VALUE"""),"닭날개")</f>
        <v>닭날개</v>
      </c>
    </row>
    <row r="2943">
      <c r="A2943" s="2" t="str">
        <f>IFERROR(__xludf.DUMMYFUNCTION("""COMPUTED_VALUE"""),"뒤집었닭")</f>
        <v>뒤집었닭</v>
      </c>
      <c r="B2943" s="2" t="str">
        <f>IFERROR(__xludf.DUMMYFUNCTION("""COMPUTED_VALUE"""),"반숙란")</f>
        <v>반숙란</v>
      </c>
    </row>
    <row r="2944">
      <c r="A2944" s="2" t="str">
        <f>IFERROR(__xludf.DUMMYFUNCTION("""COMPUTED_VALUE"""),"뒤집었닭")</f>
        <v>뒤집었닭</v>
      </c>
      <c r="B2944" s="2" t="str">
        <f>IFERROR(__xludf.DUMMYFUNCTION("""COMPUTED_VALUE"""),"삶은 양배추")</f>
        <v>삶은 양배추</v>
      </c>
    </row>
    <row r="2945">
      <c r="A2945" s="2" t="str">
        <f>IFERROR(__xludf.DUMMYFUNCTION("""COMPUTED_VALUE"""),"뒤집었닭")</f>
        <v>뒤집었닭</v>
      </c>
      <c r="B2945" s="2" t="str">
        <f>IFERROR(__xludf.DUMMYFUNCTION("""COMPUTED_VALUE"""),"총각김치")</f>
        <v>총각김치</v>
      </c>
    </row>
    <row r="2946">
      <c r="A2946" s="2" t="str">
        <f>IFERROR(__xludf.DUMMYFUNCTION("""COMPUTED_VALUE"""),"뒤집었닭")</f>
        <v>뒤집었닭</v>
      </c>
      <c r="B2946" s="2" t="str">
        <f>IFERROR(__xludf.DUMMYFUNCTION("""COMPUTED_VALUE"""),"올리브")</f>
        <v>올리브</v>
      </c>
    </row>
    <row r="2947">
      <c r="A2947" s="2" t="str">
        <f>IFERROR(__xludf.DUMMYFUNCTION("""COMPUTED_VALUE"""),"뒤집었닭")</f>
        <v>뒤집었닭</v>
      </c>
      <c r="B2947" s="2" t="str">
        <f>IFERROR(__xludf.DUMMYFUNCTION("""COMPUTED_VALUE"""),"느타리버섯 볶음")</f>
        <v>느타리버섯 볶음</v>
      </c>
    </row>
    <row r="2948">
      <c r="A2948" s="2" t="str">
        <f>IFERROR(__xludf.DUMMYFUNCTION("""COMPUTED_VALUE"""),"뒤집었닭")</f>
        <v>뒤집었닭</v>
      </c>
      <c r="B2948" s="2" t="str">
        <f>IFERROR(__xludf.DUMMYFUNCTION("""COMPUTED_VALUE"""),"맥주")</f>
        <v>맥주</v>
      </c>
    </row>
    <row r="2949">
      <c r="A2949" s="2" t="str">
        <f>IFERROR(__xludf.DUMMYFUNCTION("""COMPUTED_VALUE"""),"뒤집었닭")</f>
        <v>뒤집었닭</v>
      </c>
      <c r="B2949" s="2" t="str">
        <f>IFERROR(__xludf.DUMMYFUNCTION("""COMPUTED_VALUE"""),"파슬리")</f>
        <v>파슬리</v>
      </c>
    </row>
    <row r="2950">
      <c r="A2950" s="2" t="str">
        <f>IFERROR(__xludf.DUMMYFUNCTION("""COMPUTED_VALUE"""),"뒤집었닭")</f>
        <v>뒤집었닭</v>
      </c>
      <c r="B2950" s="2" t="str">
        <f>IFERROR(__xludf.DUMMYFUNCTION("""COMPUTED_VALUE"""),"소금")</f>
        <v>소금</v>
      </c>
    </row>
    <row r="2951">
      <c r="A2951" s="2" t="str">
        <f>IFERROR(__xludf.DUMMYFUNCTION("""COMPUTED_VALUE"""),"뒤집었닭")</f>
        <v>뒤집었닭</v>
      </c>
      <c r="B2951" s="2" t="str">
        <f>IFERROR(__xludf.DUMMYFUNCTION("""COMPUTED_VALUE"""),"고춧가루")</f>
        <v>고춧가루</v>
      </c>
    </row>
    <row r="2952">
      <c r="A2952" s="2" t="str">
        <f>IFERROR(__xludf.DUMMYFUNCTION("""COMPUTED_VALUE"""),"뒤집었닭")</f>
        <v>뒤집었닭</v>
      </c>
      <c r="B2952" s="2" t="str">
        <f>IFERROR(__xludf.DUMMYFUNCTION("""COMPUTED_VALUE"""),"후추")</f>
        <v>후추</v>
      </c>
    </row>
    <row r="2953">
      <c r="A2953" s="2" t="str">
        <f>IFERROR(__xludf.DUMMYFUNCTION("""COMPUTED_VALUE"""),"뒤집었닭")</f>
        <v>뒤집었닭</v>
      </c>
      <c r="B2953" s="2" t="str">
        <f>IFERROR(__xludf.DUMMYFUNCTION("""COMPUTED_VALUE"""),"식초")</f>
        <v>식초</v>
      </c>
    </row>
    <row r="2954">
      <c r="A2954" s="2" t="str">
        <f>IFERROR(__xludf.DUMMYFUNCTION("""COMPUTED_VALUE"""),"명란 대파주이소")</f>
        <v>명란 대파주이소</v>
      </c>
      <c r="B2954" s="2" t="str">
        <f>IFERROR(__xludf.DUMMYFUNCTION("""COMPUTED_VALUE"""),"채끝등심")</f>
        <v>채끝등심</v>
      </c>
    </row>
    <row r="2955">
      <c r="A2955" s="2" t="str">
        <f>IFERROR(__xludf.DUMMYFUNCTION("""COMPUTED_VALUE"""),"명란 대파주이소")</f>
        <v>명란 대파주이소</v>
      </c>
      <c r="B2955" s="2" t="str">
        <f>IFERROR(__xludf.DUMMYFUNCTION("""COMPUTED_VALUE"""),"삶은 양배추")</f>
        <v>삶은 양배추</v>
      </c>
    </row>
    <row r="2956">
      <c r="A2956" s="2" t="str">
        <f>IFERROR(__xludf.DUMMYFUNCTION("""COMPUTED_VALUE"""),"명란 대파주이소")</f>
        <v>명란 대파주이소</v>
      </c>
      <c r="B2956" s="2" t="str">
        <f>IFERROR(__xludf.DUMMYFUNCTION("""COMPUTED_VALUE"""),"명란")</f>
        <v>명란</v>
      </c>
    </row>
    <row r="2957">
      <c r="A2957" s="2" t="str">
        <f>IFERROR(__xludf.DUMMYFUNCTION("""COMPUTED_VALUE"""),"명란 대파주이소")</f>
        <v>명란 대파주이소</v>
      </c>
      <c r="B2957" s="2" t="str">
        <f>IFERROR(__xludf.DUMMYFUNCTION("""COMPUTED_VALUE"""),"청양고추")</f>
        <v>청양고추</v>
      </c>
    </row>
    <row r="2958">
      <c r="A2958" s="2" t="str">
        <f>IFERROR(__xludf.DUMMYFUNCTION("""COMPUTED_VALUE"""),"명란 대파주이소")</f>
        <v>명란 대파주이소</v>
      </c>
      <c r="B2958" s="2" t="str">
        <f>IFERROR(__xludf.DUMMYFUNCTION("""COMPUTED_VALUE"""),"올리브")</f>
        <v>올리브</v>
      </c>
    </row>
    <row r="2959">
      <c r="A2959" s="2" t="str">
        <f>IFERROR(__xludf.DUMMYFUNCTION("""COMPUTED_VALUE"""),"명란 대파주이소")</f>
        <v>명란 대파주이소</v>
      </c>
      <c r="B2959" s="2" t="str">
        <f>IFERROR(__xludf.DUMMYFUNCTION("""COMPUTED_VALUE"""),"표고버섯채")</f>
        <v>표고버섯채</v>
      </c>
    </row>
    <row r="2960">
      <c r="A2960" s="2" t="str">
        <f>IFERROR(__xludf.DUMMYFUNCTION("""COMPUTED_VALUE"""),"명란 대파주이소")</f>
        <v>명란 대파주이소</v>
      </c>
      <c r="B2960" s="2" t="str">
        <f>IFERROR(__xludf.DUMMYFUNCTION("""COMPUTED_VALUE"""),"참기름")</f>
        <v>참기름</v>
      </c>
    </row>
    <row r="2961">
      <c r="A2961" s="2" t="str">
        <f>IFERROR(__xludf.DUMMYFUNCTION("""COMPUTED_VALUE"""),"명란 대파주이소")</f>
        <v>명란 대파주이소</v>
      </c>
      <c r="B2961" s="2" t="str">
        <f>IFERROR(__xludf.DUMMYFUNCTION("""COMPUTED_VALUE"""),"참깨")</f>
        <v>참깨</v>
      </c>
    </row>
    <row r="2962">
      <c r="A2962" s="2" t="str">
        <f>IFERROR(__xludf.DUMMYFUNCTION("""COMPUTED_VALUE"""),"명란 대파주이소")</f>
        <v>명란 대파주이소</v>
      </c>
      <c r="B2962" s="2" t="str">
        <f>IFERROR(__xludf.DUMMYFUNCTION("""COMPUTED_VALUE"""),"다진 마늘")</f>
        <v>다진 마늘</v>
      </c>
    </row>
    <row r="2963">
      <c r="A2963" s="2" t="str">
        <f>IFERROR(__xludf.DUMMYFUNCTION("""COMPUTED_VALUE"""),"명란 대파주이소")</f>
        <v>명란 대파주이소</v>
      </c>
      <c r="B2963" s="2" t="str">
        <f>IFERROR(__xludf.DUMMYFUNCTION("""COMPUTED_VALUE"""),"파")</f>
        <v>파</v>
      </c>
    </row>
    <row r="2964">
      <c r="A2964" s="2" t="str">
        <f>IFERROR(__xludf.DUMMYFUNCTION("""COMPUTED_VALUE"""),"명란 대파주이소")</f>
        <v>명란 대파주이소</v>
      </c>
      <c r="B2964" s="2" t="str">
        <f>IFERROR(__xludf.DUMMYFUNCTION("""COMPUTED_VALUE"""),"소금")</f>
        <v>소금</v>
      </c>
    </row>
    <row r="2965">
      <c r="A2965" s="2" t="str">
        <f>IFERROR(__xludf.DUMMYFUNCTION("""COMPUTED_VALUE"""),"명란 대파주이소")</f>
        <v>명란 대파주이소</v>
      </c>
      <c r="B2965" s="2" t="str">
        <f>IFERROR(__xludf.DUMMYFUNCTION("""COMPUTED_VALUE"""),"후추")</f>
        <v>후추</v>
      </c>
    </row>
    <row r="2966">
      <c r="A2966" s="2" t="str">
        <f>IFERROR(__xludf.DUMMYFUNCTION("""COMPUTED_VALUE"""),"명란 대파주이소")</f>
        <v>명란 대파주이소</v>
      </c>
      <c r="B2966" s="2" t="str">
        <f>IFERROR(__xludf.DUMMYFUNCTION("""COMPUTED_VALUE"""),"고춧가루")</f>
        <v>고춧가루</v>
      </c>
    </row>
    <row r="2967">
      <c r="A2967" s="2" t="str">
        <f>IFERROR(__xludf.DUMMYFUNCTION("""COMPUTED_VALUE"""),"명란 대파주이소")</f>
        <v>명란 대파주이소</v>
      </c>
      <c r="B2967" s="2" t="str">
        <f>IFERROR(__xludf.DUMMYFUNCTION("""COMPUTED_VALUE"""),"마늘")</f>
        <v>마늘</v>
      </c>
    </row>
    <row r="2968">
      <c r="A2968" s="2" t="str">
        <f>IFERROR(__xludf.DUMMYFUNCTION("""COMPUTED_VALUE"""),"채끝과 당근")</f>
        <v>채끝과 당근</v>
      </c>
      <c r="B2968" s="2" t="str">
        <f>IFERROR(__xludf.DUMMYFUNCTION("""COMPUTED_VALUE"""),"채끝등심")</f>
        <v>채끝등심</v>
      </c>
    </row>
    <row r="2969">
      <c r="A2969" s="2" t="str">
        <f>IFERROR(__xludf.DUMMYFUNCTION("""COMPUTED_VALUE"""),"채끝과 당근")</f>
        <v>채끝과 당근</v>
      </c>
      <c r="B2969" s="2" t="str">
        <f>IFERROR(__xludf.DUMMYFUNCTION("""COMPUTED_VALUE"""),"삶은 양배추")</f>
        <v>삶은 양배추</v>
      </c>
    </row>
    <row r="2970">
      <c r="A2970" s="2" t="str">
        <f>IFERROR(__xludf.DUMMYFUNCTION("""COMPUTED_VALUE"""),"채끝과 당근")</f>
        <v>채끝과 당근</v>
      </c>
      <c r="B2970" s="2" t="str">
        <f>IFERROR(__xludf.DUMMYFUNCTION("""COMPUTED_VALUE"""),"느타리버섯 볶음")</f>
        <v>느타리버섯 볶음</v>
      </c>
    </row>
    <row r="2971">
      <c r="A2971" s="2" t="str">
        <f>IFERROR(__xludf.DUMMYFUNCTION("""COMPUTED_VALUE"""),"채끝과 당근")</f>
        <v>채끝과 당근</v>
      </c>
      <c r="B2971" s="2" t="str">
        <f>IFERROR(__xludf.DUMMYFUNCTION("""COMPUTED_VALUE"""),"당근")</f>
        <v>당근</v>
      </c>
    </row>
    <row r="2972">
      <c r="A2972" s="2" t="str">
        <f>IFERROR(__xludf.DUMMYFUNCTION("""COMPUTED_VALUE"""),"채끝과 당근")</f>
        <v>채끝과 당근</v>
      </c>
      <c r="B2972" s="2" t="str">
        <f>IFERROR(__xludf.DUMMYFUNCTION("""COMPUTED_VALUE"""),"찹쌀가루")</f>
        <v>찹쌀가루</v>
      </c>
    </row>
    <row r="2973">
      <c r="A2973" s="2" t="str">
        <f>IFERROR(__xludf.DUMMYFUNCTION("""COMPUTED_VALUE"""),"채끝과 당근")</f>
        <v>채끝과 당근</v>
      </c>
      <c r="B2973" s="2" t="str">
        <f>IFERROR(__xludf.DUMMYFUNCTION("""COMPUTED_VALUE"""),"파슬리")</f>
        <v>파슬리</v>
      </c>
    </row>
    <row r="2974">
      <c r="A2974" s="2" t="str">
        <f>IFERROR(__xludf.DUMMYFUNCTION("""COMPUTED_VALUE"""),"채끝과 당근")</f>
        <v>채끝과 당근</v>
      </c>
      <c r="B2974" s="2" t="str">
        <f>IFERROR(__xludf.DUMMYFUNCTION("""COMPUTED_VALUE"""),"소금")</f>
        <v>소금</v>
      </c>
    </row>
    <row r="2975">
      <c r="A2975" s="2" t="str">
        <f>IFERROR(__xludf.DUMMYFUNCTION("""COMPUTED_VALUE"""),"채끝과 당근")</f>
        <v>채끝과 당근</v>
      </c>
      <c r="B2975" s="2" t="str">
        <f>IFERROR(__xludf.DUMMYFUNCTION("""COMPUTED_VALUE"""),"설탕")</f>
        <v>설탕</v>
      </c>
    </row>
    <row r="2976">
      <c r="A2976" s="2" t="str">
        <f>IFERROR(__xludf.DUMMYFUNCTION("""COMPUTED_VALUE"""),"채끝과 당근")</f>
        <v>채끝과 당근</v>
      </c>
      <c r="B2976" s="2" t="str">
        <f>IFERROR(__xludf.DUMMYFUNCTION("""COMPUTED_VALUE"""),"후추")</f>
        <v>후추</v>
      </c>
    </row>
    <row r="2977">
      <c r="A2977" s="2" t="str">
        <f>IFERROR(__xludf.DUMMYFUNCTION("""COMPUTED_VALUE"""),"채끝과 당근")</f>
        <v>채끝과 당근</v>
      </c>
      <c r="B2977" s="2" t="str">
        <f>IFERROR(__xludf.DUMMYFUNCTION("""COMPUTED_VALUE"""),"레몬")</f>
        <v>레몬</v>
      </c>
    </row>
    <row r="2978">
      <c r="A2978" s="2" t="str">
        <f>IFERROR(__xludf.DUMMYFUNCTION("""COMPUTED_VALUE"""),"채끝과 당근")</f>
        <v>채끝과 당근</v>
      </c>
      <c r="B2978" s="2" t="str">
        <f>IFERROR(__xludf.DUMMYFUNCTION("""COMPUTED_VALUE"""),"버터")</f>
        <v>버터</v>
      </c>
    </row>
    <row r="2979">
      <c r="A2979" s="2" t="str">
        <f>IFERROR(__xludf.DUMMYFUNCTION("""COMPUTED_VALUE"""),"채끝과 당근")</f>
        <v>채끝과 당근</v>
      </c>
      <c r="B2979" s="2" t="str">
        <f>IFERROR(__xludf.DUMMYFUNCTION("""COMPUTED_VALUE"""),"레드와인")</f>
        <v>레드와인</v>
      </c>
    </row>
    <row r="2980">
      <c r="A2980" s="2" t="str">
        <f>IFERROR(__xludf.DUMMYFUNCTION("""COMPUTED_VALUE"""),"채끝과 당근")</f>
        <v>채끝과 당근</v>
      </c>
      <c r="B2980" s="2" t="str">
        <f>IFERROR(__xludf.DUMMYFUNCTION("""COMPUTED_VALUE"""),"꿀")</f>
        <v>꿀</v>
      </c>
    </row>
    <row r="2981">
      <c r="A2981" s="2" t="str">
        <f>IFERROR(__xludf.DUMMYFUNCTION("""COMPUTED_VALUE"""),"위풍닭닭")</f>
        <v>위풍닭닭</v>
      </c>
      <c r="B2981" s="2" t="str">
        <f>IFERROR(__xludf.DUMMYFUNCTION("""COMPUTED_VALUE"""),"호두")</f>
        <v>호두</v>
      </c>
    </row>
    <row r="2982">
      <c r="A2982" s="2" t="str">
        <f>IFERROR(__xludf.DUMMYFUNCTION("""COMPUTED_VALUE"""),"위풍닭닭")</f>
        <v>위풍닭닭</v>
      </c>
      <c r="B2982" s="2" t="str">
        <f>IFERROR(__xludf.DUMMYFUNCTION("""COMPUTED_VALUE"""),"땅콩")</f>
        <v>땅콩</v>
      </c>
    </row>
    <row r="2983">
      <c r="A2983" s="2" t="str">
        <f>IFERROR(__xludf.DUMMYFUNCTION("""COMPUTED_VALUE"""),"위풍닭닭")</f>
        <v>위풍닭닭</v>
      </c>
      <c r="B2983" s="2" t="str">
        <f>IFERROR(__xludf.DUMMYFUNCTION("""COMPUTED_VALUE"""),"포트와인")</f>
        <v>포트와인</v>
      </c>
    </row>
    <row r="2984">
      <c r="A2984" s="2" t="str">
        <f>IFERROR(__xludf.DUMMYFUNCTION("""COMPUTED_VALUE"""),"위풍닭닭")</f>
        <v>위풍닭닭</v>
      </c>
      <c r="B2984" s="2" t="str">
        <f>IFERROR(__xludf.DUMMYFUNCTION("""COMPUTED_VALUE"""),"말린 대추")</f>
        <v>말린 대추</v>
      </c>
    </row>
    <row r="2985">
      <c r="A2985" s="2" t="str">
        <f>IFERROR(__xludf.DUMMYFUNCTION("""COMPUTED_VALUE"""),"위풍닭닭")</f>
        <v>위풍닭닭</v>
      </c>
      <c r="B2985" s="2" t="str">
        <f>IFERROR(__xludf.DUMMYFUNCTION("""COMPUTED_VALUE"""),"생닭")</f>
        <v>생닭</v>
      </c>
    </row>
    <row r="2986">
      <c r="A2986" s="2" t="str">
        <f>IFERROR(__xludf.DUMMYFUNCTION("""COMPUTED_VALUE"""),"위풍닭닭")</f>
        <v>위풍닭닭</v>
      </c>
      <c r="B2986" s="2" t="str">
        <f>IFERROR(__xludf.DUMMYFUNCTION("""COMPUTED_VALUE"""),"사과")</f>
        <v>사과</v>
      </c>
    </row>
    <row r="2987">
      <c r="A2987" s="2" t="str">
        <f>IFERROR(__xludf.DUMMYFUNCTION("""COMPUTED_VALUE"""),"위풍닭닭")</f>
        <v>위풍닭닭</v>
      </c>
      <c r="B2987" s="2" t="str">
        <f>IFERROR(__xludf.DUMMYFUNCTION("""COMPUTED_VALUE"""),"양파")</f>
        <v>양파</v>
      </c>
    </row>
    <row r="2988">
      <c r="A2988" s="2" t="str">
        <f>IFERROR(__xludf.DUMMYFUNCTION("""COMPUTED_VALUE"""),"위풍닭닭")</f>
        <v>위풍닭닭</v>
      </c>
      <c r="B2988" s="2" t="str">
        <f>IFERROR(__xludf.DUMMYFUNCTION("""COMPUTED_VALUE"""),"당근")</f>
        <v>당근</v>
      </c>
    </row>
    <row r="2989">
      <c r="A2989" s="2" t="str">
        <f>IFERROR(__xludf.DUMMYFUNCTION("""COMPUTED_VALUE"""),"위풍닭닭")</f>
        <v>위풍닭닭</v>
      </c>
      <c r="B2989" s="2" t="str">
        <f>IFERROR(__xludf.DUMMYFUNCTION("""COMPUTED_VALUE"""),"대파")</f>
        <v>대파</v>
      </c>
    </row>
    <row r="2990">
      <c r="A2990" s="2" t="str">
        <f>IFERROR(__xludf.DUMMYFUNCTION("""COMPUTED_VALUE"""),"위풍닭닭")</f>
        <v>위풍닭닭</v>
      </c>
      <c r="B2990" s="2" t="str">
        <f>IFERROR(__xludf.DUMMYFUNCTION("""COMPUTED_VALUE"""),"설탕")</f>
        <v>설탕</v>
      </c>
    </row>
    <row r="2991">
      <c r="A2991" s="2" t="str">
        <f>IFERROR(__xludf.DUMMYFUNCTION("""COMPUTED_VALUE"""),"위풍닭닭")</f>
        <v>위풍닭닭</v>
      </c>
      <c r="B2991" s="2" t="str">
        <f>IFERROR(__xludf.DUMMYFUNCTION("""COMPUTED_VALUE"""),"고춧가루")</f>
        <v>고춧가루</v>
      </c>
    </row>
    <row r="2992">
      <c r="A2992" s="2" t="str">
        <f>IFERROR(__xludf.DUMMYFUNCTION("""COMPUTED_VALUE"""),"위풍닭닭")</f>
        <v>위풍닭닭</v>
      </c>
      <c r="B2992" s="2" t="str">
        <f>IFERROR(__xludf.DUMMYFUNCTION("""COMPUTED_VALUE"""),"소금")</f>
        <v>소금</v>
      </c>
    </row>
    <row r="2993">
      <c r="A2993" s="2" t="str">
        <f>IFERROR(__xludf.DUMMYFUNCTION("""COMPUTED_VALUE"""),"위풍닭닭")</f>
        <v>위풍닭닭</v>
      </c>
      <c r="B2993" s="2" t="str">
        <f>IFERROR(__xludf.DUMMYFUNCTION("""COMPUTED_VALUE"""),"후추")</f>
        <v>후추</v>
      </c>
    </row>
    <row r="2994">
      <c r="A2994" s="2" t="str">
        <f>IFERROR(__xludf.DUMMYFUNCTION("""COMPUTED_VALUE"""),"위풍닭닭")</f>
        <v>위풍닭닭</v>
      </c>
      <c r="B2994" s="2" t="str">
        <f>IFERROR(__xludf.DUMMYFUNCTION("""COMPUTED_VALUE"""),"버터")</f>
        <v>버터</v>
      </c>
    </row>
    <row r="2995">
      <c r="A2995" s="2" t="str">
        <f>IFERROR(__xludf.DUMMYFUNCTION("""COMPUTED_VALUE"""),"위풍닭닭")</f>
        <v>위풍닭닭</v>
      </c>
      <c r="B2995" s="2" t="str">
        <f>IFERROR(__xludf.DUMMYFUNCTION("""COMPUTED_VALUE"""),"꿀")</f>
        <v>꿀</v>
      </c>
    </row>
    <row r="2996">
      <c r="A2996" s="2" t="str">
        <f>IFERROR(__xludf.DUMMYFUNCTION("""COMPUTED_VALUE"""),"미트볼그레")</f>
        <v>미트볼그레</v>
      </c>
      <c r="B2996" s="2" t="str">
        <f>IFERROR(__xludf.DUMMYFUNCTION("""COMPUTED_VALUE"""),"돼지고기")</f>
        <v>돼지고기</v>
      </c>
    </row>
    <row r="2997">
      <c r="A2997" s="2" t="str">
        <f>IFERROR(__xludf.DUMMYFUNCTION("""COMPUTED_VALUE"""),"미트볼그레")</f>
        <v>미트볼그레</v>
      </c>
      <c r="B2997" s="2" t="str">
        <f>IFERROR(__xludf.DUMMYFUNCTION("""COMPUTED_VALUE"""),"소고기")</f>
        <v>소고기</v>
      </c>
    </row>
    <row r="2998">
      <c r="A2998" s="2" t="str">
        <f>IFERROR(__xludf.DUMMYFUNCTION("""COMPUTED_VALUE"""),"미트볼그레")</f>
        <v>미트볼그레</v>
      </c>
      <c r="B2998" s="2" t="str">
        <f>IFERROR(__xludf.DUMMYFUNCTION("""COMPUTED_VALUE"""),"달걀")</f>
        <v>달걀</v>
      </c>
    </row>
    <row r="2999">
      <c r="A2999" s="2" t="str">
        <f>IFERROR(__xludf.DUMMYFUNCTION("""COMPUTED_VALUE"""),"미트볼그레")</f>
        <v>미트볼그레</v>
      </c>
      <c r="B2999" s="2" t="str">
        <f>IFERROR(__xludf.DUMMYFUNCTION("""COMPUTED_VALUE"""),"사과")</f>
        <v>사과</v>
      </c>
    </row>
    <row r="3000">
      <c r="A3000" s="2" t="str">
        <f>IFERROR(__xludf.DUMMYFUNCTION("""COMPUTED_VALUE"""),"미트볼그레")</f>
        <v>미트볼그레</v>
      </c>
      <c r="B3000" s="2" t="str">
        <f>IFERROR(__xludf.DUMMYFUNCTION("""COMPUTED_VALUE"""),"파프리카")</f>
        <v>파프리카</v>
      </c>
    </row>
    <row r="3001">
      <c r="A3001" s="2" t="str">
        <f>IFERROR(__xludf.DUMMYFUNCTION("""COMPUTED_VALUE"""),"미트볼그레")</f>
        <v>미트볼그레</v>
      </c>
      <c r="B3001" s="2" t="str">
        <f>IFERROR(__xludf.DUMMYFUNCTION("""COMPUTED_VALUE"""),"호두")</f>
        <v>호두</v>
      </c>
    </row>
    <row r="3002">
      <c r="A3002" s="2" t="str">
        <f>IFERROR(__xludf.DUMMYFUNCTION("""COMPUTED_VALUE"""),"미트볼그레")</f>
        <v>미트볼그레</v>
      </c>
      <c r="B3002" s="2" t="str">
        <f>IFERROR(__xludf.DUMMYFUNCTION("""COMPUTED_VALUE"""),"잣")</f>
        <v>잣</v>
      </c>
    </row>
    <row r="3003">
      <c r="A3003" s="2" t="str">
        <f>IFERROR(__xludf.DUMMYFUNCTION("""COMPUTED_VALUE"""),"미트볼그레")</f>
        <v>미트볼그레</v>
      </c>
      <c r="B3003" s="2" t="str">
        <f>IFERROR(__xludf.DUMMYFUNCTION("""COMPUTED_VALUE"""),"포트와인")</f>
        <v>포트와인</v>
      </c>
    </row>
    <row r="3004">
      <c r="A3004" s="2" t="str">
        <f>IFERROR(__xludf.DUMMYFUNCTION("""COMPUTED_VALUE"""),"미트볼그레")</f>
        <v>미트볼그레</v>
      </c>
      <c r="B3004" s="2" t="str">
        <f>IFERROR(__xludf.DUMMYFUNCTION("""COMPUTED_VALUE"""),"꿀")</f>
        <v>꿀</v>
      </c>
    </row>
    <row r="3005">
      <c r="A3005" s="2" t="str">
        <f>IFERROR(__xludf.DUMMYFUNCTION("""COMPUTED_VALUE"""),"미트볼그레")</f>
        <v>미트볼그레</v>
      </c>
      <c r="B3005" s="2" t="str">
        <f>IFERROR(__xludf.DUMMYFUNCTION("""COMPUTED_VALUE"""),"양파")</f>
        <v>양파</v>
      </c>
    </row>
    <row r="3006">
      <c r="A3006" s="2" t="str">
        <f>IFERROR(__xludf.DUMMYFUNCTION("""COMPUTED_VALUE"""),"미트볼그레")</f>
        <v>미트볼그레</v>
      </c>
      <c r="B3006" s="2" t="str">
        <f>IFERROR(__xludf.DUMMYFUNCTION("""COMPUTED_VALUE"""),"대파")</f>
        <v>대파</v>
      </c>
    </row>
    <row r="3007">
      <c r="A3007" s="2" t="str">
        <f>IFERROR(__xludf.DUMMYFUNCTION("""COMPUTED_VALUE"""),"미트볼그레")</f>
        <v>미트볼그레</v>
      </c>
      <c r="B3007" s="2" t="str">
        <f>IFERROR(__xludf.DUMMYFUNCTION("""COMPUTED_VALUE"""),"고추")</f>
        <v>고추</v>
      </c>
    </row>
    <row r="3008">
      <c r="A3008" s="2" t="str">
        <f>IFERROR(__xludf.DUMMYFUNCTION("""COMPUTED_VALUE"""),"미트볼그레")</f>
        <v>미트볼그레</v>
      </c>
      <c r="B3008" s="2" t="str">
        <f>IFERROR(__xludf.DUMMYFUNCTION("""COMPUTED_VALUE"""),"다진 생강")</f>
        <v>다진 생강</v>
      </c>
    </row>
    <row r="3009">
      <c r="A3009" s="2" t="str">
        <f>IFERROR(__xludf.DUMMYFUNCTION("""COMPUTED_VALUE"""),"미트볼그레")</f>
        <v>미트볼그레</v>
      </c>
      <c r="B3009" s="2" t="str">
        <f>IFERROR(__xludf.DUMMYFUNCTION("""COMPUTED_VALUE"""),"소금")</f>
        <v>소금</v>
      </c>
    </row>
    <row r="3010">
      <c r="A3010" s="2" t="str">
        <f>IFERROR(__xludf.DUMMYFUNCTION("""COMPUTED_VALUE"""),"미트볼그레")</f>
        <v>미트볼그레</v>
      </c>
      <c r="B3010" s="2" t="str">
        <f>IFERROR(__xludf.DUMMYFUNCTION("""COMPUTED_VALUE"""),"간장")</f>
        <v>간장</v>
      </c>
    </row>
    <row r="3011">
      <c r="A3011" s="2" t="str">
        <f>IFERROR(__xludf.DUMMYFUNCTION("""COMPUTED_VALUE"""),"미트볼그레")</f>
        <v>미트볼그레</v>
      </c>
      <c r="B3011" s="2" t="str">
        <f>IFERROR(__xludf.DUMMYFUNCTION("""COMPUTED_VALUE"""),"청주")</f>
        <v>청주</v>
      </c>
    </row>
    <row r="3012">
      <c r="A3012" s="2" t="str">
        <f>IFERROR(__xludf.DUMMYFUNCTION("""COMPUTED_VALUE"""),"미트볼그레")</f>
        <v>미트볼그레</v>
      </c>
      <c r="B3012" s="2" t="str">
        <f>IFERROR(__xludf.DUMMYFUNCTION("""COMPUTED_VALUE"""),"후추")</f>
        <v>후추</v>
      </c>
    </row>
    <row r="3013">
      <c r="A3013" s="2" t="str">
        <f>IFERROR(__xludf.DUMMYFUNCTION("""COMPUTED_VALUE"""),"미트볼그레")</f>
        <v>미트볼그레</v>
      </c>
      <c r="B3013" s="2" t="str">
        <f>IFERROR(__xludf.DUMMYFUNCTION("""COMPUTED_VALUE"""),"맛술")</f>
        <v>맛술</v>
      </c>
    </row>
    <row r="3014">
      <c r="A3014" s="2" t="str">
        <f>IFERROR(__xludf.DUMMYFUNCTION("""COMPUTED_VALUE"""),"미트볼그레")</f>
        <v>미트볼그레</v>
      </c>
      <c r="B3014" s="2" t="str">
        <f>IFERROR(__xludf.DUMMYFUNCTION("""COMPUTED_VALUE"""),"설탕")</f>
        <v>설탕</v>
      </c>
    </row>
    <row r="3015">
      <c r="A3015" s="2" t="str">
        <f>IFERROR(__xludf.DUMMYFUNCTION("""COMPUTED_VALUE"""),"장풍덮밥")</f>
        <v>장풍덮밥</v>
      </c>
      <c r="B3015" s="2" t="str">
        <f>IFERROR(__xludf.DUMMYFUNCTION("""COMPUTED_VALUE"""),"돼지고기")</f>
        <v>돼지고기</v>
      </c>
    </row>
    <row r="3016">
      <c r="A3016" s="2" t="str">
        <f>IFERROR(__xludf.DUMMYFUNCTION("""COMPUTED_VALUE"""),"장풍덮밥")</f>
        <v>장풍덮밥</v>
      </c>
      <c r="B3016" s="2" t="str">
        <f>IFERROR(__xludf.DUMMYFUNCTION("""COMPUTED_VALUE"""),"새우살")</f>
        <v>새우살</v>
      </c>
    </row>
    <row r="3017">
      <c r="A3017" s="2" t="str">
        <f>IFERROR(__xludf.DUMMYFUNCTION("""COMPUTED_VALUE"""),"장풍덮밥")</f>
        <v>장풍덮밥</v>
      </c>
      <c r="B3017" s="2" t="str">
        <f>IFERROR(__xludf.DUMMYFUNCTION("""COMPUTED_VALUE"""),"파프리카")</f>
        <v>파프리카</v>
      </c>
    </row>
    <row r="3018">
      <c r="A3018" s="2" t="str">
        <f>IFERROR(__xludf.DUMMYFUNCTION("""COMPUTED_VALUE"""),"장풍덮밥")</f>
        <v>장풍덮밥</v>
      </c>
      <c r="B3018" s="2" t="str">
        <f>IFERROR(__xludf.DUMMYFUNCTION("""COMPUTED_VALUE"""),"인스턴트 카레")</f>
        <v>인스턴트 카레</v>
      </c>
    </row>
    <row r="3019">
      <c r="A3019" s="2" t="str">
        <f>IFERROR(__xludf.DUMMYFUNCTION("""COMPUTED_VALUE"""),"장풍덮밥")</f>
        <v>장풍덮밥</v>
      </c>
      <c r="B3019" s="2" t="str">
        <f>IFERROR(__xludf.DUMMYFUNCTION("""COMPUTED_VALUE"""),"달걀")</f>
        <v>달걀</v>
      </c>
    </row>
    <row r="3020">
      <c r="A3020" s="2" t="str">
        <f>IFERROR(__xludf.DUMMYFUNCTION("""COMPUTED_VALUE"""),"장풍덮밥")</f>
        <v>장풍덮밥</v>
      </c>
      <c r="B3020" s="2" t="str">
        <f>IFERROR(__xludf.DUMMYFUNCTION("""COMPUTED_VALUE"""),"대파")</f>
        <v>대파</v>
      </c>
    </row>
    <row r="3021">
      <c r="A3021" s="2" t="str">
        <f>IFERROR(__xludf.DUMMYFUNCTION("""COMPUTED_VALUE"""),"장풍덮밥")</f>
        <v>장풍덮밥</v>
      </c>
      <c r="B3021" s="2" t="str">
        <f>IFERROR(__xludf.DUMMYFUNCTION("""COMPUTED_VALUE"""),"마늘")</f>
        <v>마늘</v>
      </c>
    </row>
    <row r="3022">
      <c r="A3022" s="2" t="str">
        <f>IFERROR(__xludf.DUMMYFUNCTION("""COMPUTED_VALUE"""),"장풍덮밥")</f>
        <v>장풍덮밥</v>
      </c>
      <c r="B3022" s="2" t="str">
        <f>IFERROR(__xludf.DUMMYFUNCTION("""COMPUTED_VALUE"""),"고추")</f>
        <v>고추</v>
      </c>
    </row>
    <row r="3023">
      <c r="A3023" s="2" t="str">
        <f>IFERROR(__xludf.DUMMYFUNCTION("""COMPUTED_VALUE"""),"장풍덮밥")</f>
        <v>장풍덮밥</v>
      </c>
      <c r="B3023" s="2" t="str">
        <f>IFERROR(__xludf.DUMMYFUNCTION("""COMPUTED_VALUE"""),"파프리카")</f>
        <v>파프리카</v>
      </c>
    </row>
    <row r="3024">
      <c r="A3024" s="2" t="str">
        <f>IFERROR(__xludf.DUMMYFUNCTION("""COMPUTED_VALUE"""),"장풍덮밥")</f>
        <v>장풍덮밥</v>
      </c>
      <c r="B3024" s="2" t="str">
        <f>IFERROR(__xludf.DUMMYFUNCTION("""COMPUTED_VALUE"""),"고춧가루")</f>
        <v>고춧가루</v>
      </c>
    </row>
    <row r="3025">
      <c r="A3025" s="2" t="str">
        <f>IFERROR(__xludf.DUMMYFUNCTION("""COMPUTED_VALUE"""),"장풍덮밥")</f>
        <v>장풍덮밥</v>
      </c>
      <c r="B3025" s="2" t="str">
        <f>IFERROR(__xludf.DUMMYFUNCTION("""COMPUTED_VALUE"""),"맛술")</f>
        <v>맛술</v>
      </c>
    </row>
    <row r="3026">
      <c r="A3026" s="2" t="str">
        <f>IFERROR(__xludf.DUMMYFUNCTION("""COMPUTED_VALUE"""),"장풍덮밥")</f>
        <v>장풍덮밥</v>
      </c>
      <c r="B3026" s="2" t="str">
        <f>IFERROR(__xludf.DUMMYFUNCTION("""COMPUTED_VALUE"""),"간장")</f>
        <v>간장</v>
      </c>
    </row>
    <row r="3027">
      <c r="A3027" s="2" t="str">
        <f>IFERROR(__xludf.DUMMYFUNCTION("""COMPUTED_VALUE"""),"장풍덮밥")</f>
        <v>장풍덮밥</v>
      </c>
      <c r="B3027" s="2" t="str">
        <f>IFERROR(__xludf.DUMMYFUNCTION("""COMPUTED_VALUE"""),"된장")</f>
        <v>된장</v>
      </c>
    </row>
    <row r="3028">
      <c r="A3028" s="2" t="str">
        <f>IFERROR(__xludf.DUMMYFUNCTION("""COMPUTED_VALUE"""),"장풍덮밥")</f>
        <v>장풍덮밥</v>
      </c>
      <c r="B3028" s="2" t="str">
        <f>IFERROR(__xludf.DUMMYFUNCTION("""COMPUTED_VALUE"""),"식초")</f>
        <v>식초</v>
      </c>
    </row>
    <row r="3029">
      <c r="A3029" s="2" t="str">
        <f>IFERROR(__xludf.DUMMYFUNCTION("""COMPUTED_VALUE"""),"장풍덮밥")</f>
        <v>장풍덮밥</v>
      </c>
      <c r="B3029" s="2" t="str">
        <f>IFERROR(__xludf.DUMMYFUNCTION("""COMPUTED_VALUE"""),"즉석밥")</f>
        <v>즉석밥</v>
      </c>
    </row>
    <row r="3030">
      <c r="A3030" s="2" t="str">
        <f>IFERROR(__xludf.DUMMYFUNCTION("""COMPUTED_VALUE"""),"돼.새.김")</f>
        <v>돼.새.김</v>
      </c>
      <c r="B3030" s="2" t="str">
        <f>IFERROR(__xludf.DUMMYFUNCTION("""COMPUTED_VALUE"""),"조미김")</f>
        <v>조미김</v>
      </c>
    </row>
    <row r="3031">
      <c r="A3031" s="2" t="str">
        <f>IFERROR(__xludf.DUMMYFUNCTION("""COMPUTED_VALUE"""),"돼.새.김")</f>
        <v>돼.새.김</v>
      </c>
      <c r="B3031" s="2" t="str">
        <f>IFERROR(__xludf.DUMMYFUNCTION("""COMPUTED_VALUE"""),"돼지고기")</f>
        <v>돼지고기</v>
      </c>
    </row>
    <row r="3032">
      <c r="A3032" s="2" t="str">
        <f>IFERROR(__xludf.DUMMYFUNCTION("""COMPUTED_VALUE"""),"돼.새.김")</f>
        <v>돼.새.김</v>
      </c>
      <c r="B3032" s="2" t="str">
        <f>IFERROR(__xludf.DUMMYFUNCTION("""COMPUTED_VALUE"""),"생강대추청")</f>
        <v>생강대추청</v>
      </c>
    </row>
    <row r="3033">
      <c r="A3033" s="2" t="str">
        <f>IFERROR(__xludf.DUMMYFUNCTION("""COMPUTED_VALUE"""),"돼.새.김")</f>
        <v>돼.새.김</v>
      </c>
      <c r="B3033" s="2" t="str">
        <f>IFERROR(__xludf.DUMMYFUNCTION("""COMPUTED_VALUE"""),"달걀")</f>
        <v>달걀</v>
      </c>
    </row>
    <row r="3034">
      <c r="A3034" s="2" t="str">
        <f>IFERROR(__xludf.DUMMYFUNCTION("""COMPUTED_VALUE"""),"돼.새.김")</f>
        <v>돼.새.김</v>
      </c>
      <c r="B3034" s="2" t="str">
        <f>IFERROR(__xludf.DUMMYFUNCTION("""COMPUTED_VALUE"""),"새우살")</f>
        <v>새우살</v>
      </c>
    </row>
    <row r="3035">
      <c r="A3035" s="2" t="str">
        <f>IFERROR(__xludf.DUMMYFUNCTION("""COMPUTED_VALUE"""),"돼.새.김")</f>
        <v>돼.새.김</v>
      </c>
      <c r="B3035" s="2" t="str">
        <f>IFERROR(__xludf.DUMMYFUNCTION("""COMPUTED_VALUE"""),"대파")</f>
        <v>대파</v>
      </c>
    </row>
    <row r="3036">
      <c r="A3036" s="2" t="str">
        <f>IFERROR(__xludf.DUMMYFUNCTION("""COMPUTED_VALUE"""),"돼.새.김")</f>
        <v>돼.새.김</v>
      </c>
      <c r="B3036" s="2" t="str">
        <f>IFERROR(__xludf.DUMMYFUNCTION("""COMPUTED_VALUE"""),"맛술")</f>
        <v>맛술</v>
      </c>
    </row>
    <row r="3037">
      <c r="A3037" s="2" t="str">
        <f>IFERROR(__xludf.DUMMYFUNCTION("""COMPUTED_VALUE"""),"돼.새.김")</f>
        <v>돼.새.김</v>
      </c>
      <c r="B3037" s="2" t="str">
        <f>IFERROR(__xludf.DUMMYFUNCTION("""COMPUTED_VALUE"""),"간장")</f>
        <v>간장</v>
      </c>
    </row>
    <row r="3038">
      <c r="A3038" s="2" t="str">
        <f>IFERROR(__xludf.DUMMYFUNCTION("""COMPUTED_VALUE"""),"돼.새.김")</f>
        <v>돼.새.김</v>
      </c>
      <c r="B3038" s="2" t="str">
        <f>IFERROR(__xludf.DUMMYFUNCTION("""COMPUTED_VALUE"""),"전분")</f>
        <v>전분</v>
      </c>
    </row>
    <row r="3039">
      <c r="A3039" s="2" t="str">
        <f>IFERROR(__xludf.DUMMYFUNCTION("""COMPUTED_VALUE"""),"돼.새.김")</f>
        <v>돼.새.김</v>
      </c>
      <c r="B3039" s="2" t="str">
        <f>IFERROR(__xludf.DUMMYFUNCTION("""COMPUTED_VALUE"""),"고춧가루")</f>
        <v>고춧가루</v>
      </c>
    </row>
    <row r="3040">
      <c r="A3040" s="2" t="str">
        <f>IFERROR(__xludf.DUMMYFUNCTION("""COMPUTED_VALUE"""),"돼.새.김")</f>
        <v>돼.새.김</v>
      </c>
      <c r="B3040" s="2" t="str">
        <f>IFERROR(__xludf.DUMMYFUNCTION("""COMPUTED_VALUE"""),"버터")</f>
        <v>버터</v>
      </c>
    </row>
    <row r="3041">
      <c r="A3041" s="2" t="str">
        <f>IFERROR(__xludf.DUMMYFUNCTION("""COMPUTED_VALUE"""),"돼.새.김")</f>
        <v>돼.새.김</v>
      </c>
      <c r="B3041" s="2" t="str">
        <f>IFERROR(__xludf.DUMMYFUNCTION("""COMPUTED_VALUE"""),"즉석밥")</f>
        <v>즉석밥</v>
      </c>
    </row>
    <row r="3042">
      <c r="A3042" s="2" t="str">
        <f>IFERROR(__xludf.DUMMYFUNCTION("""COMPUTED_VALUE"""),"아! 추로스~")</f>
        <v>아! 추로스~</v>
      </c>
      <c r="B3042" s="2" t="str">
        <f>IFERROR(__xludf.DUMMYFUNCTION("""COMPUTED_VALUE"""),"우유")</f>
        <v>우유</v>
      </c>
    </row>
    <row r="3043">
      <c r="A3043" s="2" t="str">
        <f>IFERROR(__xludf.DUMMYFUNCTION("""COMPUTED_VALUE"""),"아! 추로스~")</f>
        <v>아! 추로스~</v>
      </c>
      <c r="B3043" s="2" t="str">
        <f>IFERROR(__xludf.DUMMYFUNCTION("""COMPUTED_VALUE"""),"블루베리즙")</f>
        <v>블루베리즙</v>
      </c>
    </row>
    <row r="3044">
      <c r="A3044" s="2" t="str">
        <f>IFERROR(__xludf.DUMMYFUNCTION("""COMPUTED_VALUE"""),"아! 추로스~")</f>
        <v>아! 추로스~</v>
      </c>
      <c r="B3044" s="2" t="str">
        <f>IFERROR(__xludf.DUMMYFUNCTION("""COMPUTED_VALUE"""),"블루베리")</f>
        <v>블루베리</v>
      </c>
    </row>
    <row r="3045">
      <c r="A3045" s="2" t="str">
        <f>IFERROR(__xludf.DUMMYFUNCTION("""COMPUTED_VALUE"""),"아! 추로스~")</f>
        <v>아! 추로스~</v>
      </c>
      <c r="B3045" s="2" t="str">
        <f>IFERROR(__xludf.DUMMYFUNCTION("""COMPUTED_VALUE"""),"달걀")</f>
        <v>달걀</v>
      </c>
    </row>
    <row r="3046">
      <c r="A3046" s="2" t="str">
        <f>IFERROR(__xludf.DUMMYFUNCTION("""COMPUTED_VALUE"""),"아! 추로스~")</f>
        <v>아! 추로스~</v>
      </c>
      <c r="B3046" s="2" t="str">
        <f>IFERROR(__xludf.DUMMYFUNCTION("""COMPUTED_VALUE"""),"버터")</f>
        <v>버터</v>
      </c>
    </row>
    <row r="3047">
      <c r="A3047" s="2" t="str">
        <f>IFERROR(__xludf.DUMMYFUNCTION("""COMPUTED_VALUE"""),"아! 추로스~")</f>
        <v>아! 추로스~</v>
      </c>
      <c r="B3047" s="2" t="str">
        <f>IFERROR(__xludf.DUMMYFUNCTION("""COMPUTED_VALUE"""),"소금")</f>
        <v>소금</v>
      </c>
    </row>
    <row r="3048">
      <c r="A3048" s="2" t="str">
        <f>IFERROR(__xludf.DUMMYFUNCTION("""COMPUTED_VALUE"""),"아! 추로스~")</f>
        <v>아! 추로스~</v>
      </c>
      <c r="B3048" s="2" t="str">
        <f>IFERROR(__xludf.DUMMYFUNCTION("""COMPUTED_VALUE"""),"설탕")</f>
        <v>설탕</v>
      </c>
    </row>
    <row r="3049">
      <c r="A3049" s="2" t="str">
        <f>IFERROR(__xludf.DUMMYFUNCTION("""COMPUTED_VALUE"""),"아! 추로스~")</f>
        <v>아! 추로스~</v>
      </c>
      <c r="B3049" s="2" t="str">
        <f>IFERROR(__xludf.DUMMYFUNCTION("""COMPUTED_VALUE"""),"레몬즙")</f>
        <v>레몬즙</v>
      </c>
    </row>
    <row r="3050">
      <c r="A3050" s="2" t="str">
        <f>IFERROR(__xludf.DUMMYFUNCTION("""COMPUTED_VALUE"""),"아! 추로스~")</f>
        <v>아! 추로스~</v>
      </c>
      <c r="B3050" s="2" t="str">
        <f>IFERROR(__xludf.DUMMYFUNCTION("""COMPUTED_VALUE"""),"밀가루")</f>
        <v>밀가루</v>
      </c>
    </row>
    <row r="3051">
      <c r="A3051" s="2" t="str">
        <f>IFERROR(__xludf.DUMMYFUNCTION("""COMPUTED_VALUE"""),"퍼펙타르트")</f>
        <v>퍼펙타르트</v>
      </c>
      <c r="B3051" s="2" t="str">
        <f>IFERROR(__xludf.DUMMYFUNCTION("""COMPUTED_VALUE"""),"블루베리")</f>
        <v>블루베리</v>
      </c>
    </row>
    <row r="3052">
      <c r="A3052" s="2" t="str">
        <f>IFERROR(__xludf.DUMMYFUNCTION("""COMPUTED_VALUE"""),"퍼펙타르트")</f>
        <v>퍼펙타르트</v>
      </c>
      <c r="B3052" s="2" t="str">
        <f>IFERROR(__xludf.DUMMYFUNCTION("""COMPUTED_VALUE"""),"블루베리즙")</f>
        <v>블루베리즙</v>
      </c>
    </row>
    <row r="3053">
      <c r="A3053" s="2" t="str">
        <f>IFERROR(__xludf.DUMMYFUNCTION("""COMPUTED_VALUE"""),"퍼펙타르트")</f>
        <v>퍼펙타르트</v>
      </c>
      <c r="B3053" s="2" t="str">
        <f>IFERROR(__xludf.DUMMYFUNCTION("""COMPUTED_VALUE"""),"해시 브라운 포테이토")</f>
        <v>해시 브라운 포테이토</v>
      </c>
    </row>
    <row r="3054">
      <c r="A3054" s="2" t="str">
        <f>IFERROR(__xludf.DUMMYFUNCTION("""COMPUTED_VALUE"""),"퍼펙타르트")</f>
        <v>퍼펙타르트</v>
      </c>
      <c r="B3054" s="2" t="str">
        <f>IFERROR(__xludf.DUMMYFUNCTION("""COMPUTED_VALUE"""),"사과")</f>
        <v>사과</v>
      </c>
    </row>
    <row r="3055">
      <c r="A3055" s="2" t="str">
        <f>IFERROR(__xludf.DUMMYFUNCTION("""COMPUTED_VALUE"""),"퍼펙타르트")</f>
        <v>퍼펙타르트</v>
      </c>
      <c r="B3055" s="2" t="str">
        <f>IFERROR(__xludf.DUMMYFUNCTION("""COMPUTED_VALUE"""),"모차렐라 치즈")</f>
        <v>모차렐라 치즈</v>
      </c>
    </row>
    <row r="3056">
      <c r="A3056" s="2" t="str">
        <f>IFERROR(__xludf.DUMMYFUNCTION("""COMPUTED_VALUE"""),"퍼펙타르트")</f>
        <v>퍼펙타르트</v>
      </c>
      <c r="B3056" s="2" t="str">
        <f>IFERROR(__xludf.DUMMYFUNCTION("""COMPUTED_VALUE"""),"딸기")</f>
        <v>딸기</v>
      </c>
    </row>
    <row r="3057">
      <c r="A3057" s="2" t="str">
        <f>IFERROR(__xludf.DUMMYFUNCTION("""COMPUTED_VALUE"""),"퍼펙타르트")</f>
        <v>퍼펙타르트</v>
      </c>
      <c r="B3057" s="2" t="str">
        <f>IFERROR(__xludf.DUMMYFUNCTION("""COMPUTED_VALUE"""),"땅콩")</f>
        <v>땅콩</v>
      </c>
    </row>
    <row r="3058">
      <c r="A3058" s="2" t="str">
        <f>IFERROR(__xludf.DUMMYFUNCTION("""COMPUTED_VALUE"""),"퍼펙타르트")</f>
        <v>퍼펙타르트</v>
      </c>
      <c r="B3058" s="2" t="str">
        <f>IFERROR(__xludf.DUMMYFUNCTION("""COMPUTED_VALUE"""),"설탕")</f>
        <v>설탕</v>
      </c>
    </row>
    <row r="3059">
      <c r="A3059" s="2" t="str">
        <f>IFERROR(__xludf.DUMMYFUNCTION("""COMPUTED_VALUE"""),"한잔비어떡")</f>
        <v>한잔비어떡</v>
      </c>
      <c r="B3059" s="2" t="str">
        <f>IFERROR(__xludf.DUMMYFUNCTION("""COMPUTED_VALUE"""),"훈제 닭가슴살")</f>
        <v>훈제 닭가슴살</v>
      </c>
    </row>
    <row r="3060">
      <c r="A3060" s="2" t="str">
        <f>IFERROR(__xludf.DUMMYFUNCTION("""COMPUTED_VALUE"""),"한잔비어떡")</f>
        <v>한잔비어떡</v>
      </c>
      <c r="B3060" s="2" t="str">
        <f>IFERROR(__xludf.DUMMYFUNCTION("""COMPUTED_VALUE"""),"대파")</f>
        <v>대파</v>
      </c>
    </row>
    <row r="3061">
      <c r="A3061" s="2" t="str">
        <f>IFERROR(__xludf.DUMMYFUNCTION("""COMPUTED_VALUE"""),"한잔비어떡")</f>
        <v>한잔비어떡</v>
      </c>
      <c r="B3061" s="2" t="str">
        <f>IFERROR(__xludf.DUMMYFUNCTION("""COMPUTED_VALUE"""),"밀가루")</f>
        <v>밀가루</v>
      </c>
    </row>
    <row r="3062">
      <c r="A3062" s="2" t="str">
        <f>IFERROR(__xludf.DUMMYFUNCTION("""COMPUTED_VALUE"""),"한잔비어떡")</f>
        <v>한잔비어떡</v>
      </c>
      <c r="B3062" s="2" t="str">
        <f>IFERROR(__xludf.DUMMYFUNCTION("""COMPUTED_VALUE"""),"소금")</f>
        <v>소금</v>
      </c>
    </row>
    <row r="3063">
      <c r="A3063" s="2" t="str">
        <f>IFERROR(__xludf.DUMMYFUNCTION("""COMPUTED_VALUE"""),"한잔비어떡")</f>
        <v>한잔비어떡</v>
      </c>
      <c r="B3063" s="2" t="str">
        <f>IFERROR(__xludf.DUMMYFUNCTION("""COMPUTED_VALUE"""),"참기름")</f>
        <v>참기름</v>
      </c>
    </row>
    <row r="3064">
      <c r="A3064" s="2" t="str">
        <f>IFERROR(__xludf.DUMMYFUNCTION("""COMPUTED_VALUE"""),"한잔비어떡")</f>
        <v>한잔비어떡</v>
      </c>
      <c r="B3064" s="2" t="str">
        <f>IFERROR(__xludf.DUMMYFUNCTION("""COMPUTED_VALUE"""),"버터")</f>
        <v>버터</v>
      </c>
    </row>
    <row r="3065">
      <c r="A3065" s="2" t="str">
        <f>IFERROR(__xludf.DUMMYFUNCTION("""COMPUTED_VALUE"""),"닭고치")</f>
        <v>닭고치</v>
      </c>
      <c r="B3065" s="2" t="str">
        <f>IFERROR(__xludf.DUMMYFUNCTION("""COMPUTED_VALUE"""),"해시 브라운 포테이토")</f>
        <v>해시 브라운 포테이토</v>
      </c>
    </row>
    <row r="3066">
      <c r="A3066" s="2" t="str">
        <f>IFERROR(__xludf.DUMMYFUNCTION("""COMPUTED_VALUE"""),"닭고치")</f>
        <v>닭고치</v>
      </c>
      <c r="B3066" s="2" t="str">
        <f>IFERROR(__xludf.DUMMYFUNCTION("""COMPUTED_VALUE"""),"훈제 닭가슴살")</f>
        <v>훈제 닭가슴살</v>
      </c>
    </row>
    <row r="3067">
      <c r="A3067" s="2" t="str">
        <f>IFERROR(__xludf.DUMMYFUNCTION("""COMPUTED_VALUE"""),"닭고치")</f>
        <v>닭고치</v>
      </c>
      <c r="B3067" s="2" t="str">
        <f>IFERROR(__xludf.DUMMYFUNCTION("""COMPUTED_VALUE"""),"데리야키 소스")</f>
        <v>데리야키 소스</v>
      </c>
    </row>
    <row r="3068">
      <c r="A3068" s="2" t="str">
        <f>IFERROR(__xludf.DUMMYFUNCTION("""COMPUTED_VALUE"""),"닭고치")</f>
        <v>닭고치</v>
      </c>
      <c r="B3068" s="2" t="str">
        <f>IFERROR(__xludf.DUMMYFUNCTION("""COMPUTED_VALUE"""),"시럽용 올리고당")</f>
        <v>시럽용 올리고당</v>
      </c>
    </row>
    <row r="3069">
      <c r="A3069" s="2" t="str">
        <f>IFERROR(__xludf.DUMMYFUNCTION("""COMPUTED_VALUE"""),"닭고치")</f>
        <v>닭고치</v>
      </c>
      <c r="B3069" s="2" t="str">
        <f>IFERROR(__xludf.DUMMYFUNCTION("""COMPUTED_VALUE"""),"슬라이스 치즈")</f>
        <v>슬라이스 치즈</v>
      </c>
    </row>
    <row r="3070">
      <c r="A3070" s="2" t="str">
        <f>IFERROR(__xludf.DUMMYFUNCTION("""COMPUTED_VALUE"""),"닭고치")</f>
        <v>닭고치</v>
      </c>
      <c r="B3070" s="2" t="str">
        <f>IFERROR(__xludf.DUMMYFUNCTION("""COMPUTED_VALUE"""),"모차렐라 치즈")</f>
        <v>모차렐라 치즈</v>
      </c>
    </row>
    <row r="3071">
      <c r="A3071" s="2" t="str">
        <f>IFERROR(__xludf.DUMMYFUNCTION("""COMPUTED_VALUE"""),"닭고치")</f>
        <v>닭고치</v>
      </c>
      <c r="B3071" s="2" t="str">
        <f>IFERROR(__xludf.DUMMYFUNCTION("""COMPUTED_VALUE"""),"대파")</f>
        <v>대파</v>
      </c>
    </row>
    <row r="3072">
      <c r="A3072" s="2" t="str">
        <f>IFERROR(__xludf.DUMMYFUNCTION("""COMPUTED_VALUE"""),"닭고치")</f>
        <v>닭고치</v>
      </c>
      <c r="B3072" s="2" t="str">
        <f>IFERROR(__xludf.DUMMYFUNCTION("""COMPUTED_VALUE"""),"양파")</f>
        <v>양파</v>
      </c>
    </row>
    <row r="3073">
      <c r="A3073" s="2" t="str">
        <f>IFERROR(__xludf.DUMMYFUNCTION("""COMPUTED_VALUE"""),"닭고치")</f>
        <v>닭고치</v>
      </c>
      <c r="B3073" s="2" t="str">
        <f>IFERROR(__xludf.DUMMYFUNCTION("""COMPUTED_VALUE"""),"청양고추")</f>
        <v>청양고추</v>
      </c>
    </row>
    <row r="3074">
      <c r="A3074" s="2" t="str">
        <f>IFERROR(__xludf.DUMMYFUNCTION("""COMPUTED_VALUE"""),"닭고치")</f>
        <v>닭고치</v>
      </c>
      <c r="B3074" s="2" t="str">
        <f>IFERROR(__xludf.DUMMYFUNCTION("""COMPUTED_VALUE"""),"고추장")</f>
        <v>고추장</v>
      </c>
    </row>
    <row r="3075">
      <c r="A3075" s="2" t="str">
        <f>IFERROR(__xludf.DUMMYFUNCTION("""COMPUTED_VALUE"""),"닭고치")</f>
        <v>닭고치</v>
      </c>
      <c r="B3075" s="2" t="str">
        <f>IFERROR(__xludf.DUMMYFUNCTION("""COMPUTED_VALUE"""),"설탕")</f>
        <v>설탕</v>
      </c>
    </row>
    <row r="3076">
      <c r="A3076" s="2" t="str">
        <f>IFERROR(__xludf.DUMMYFUNCTION("""COMPUTED_VALUE"""),"닭고치")</f>
        <v>닭고치</v>
      </c>
      <c r="B3076" s="2" t="str">
        <f>IFERROR(__xludf.DUMMYFUNCTION("""COMPUTED_VALUE"""),"고춧가루")</f>
        <v>고춧가루</v>
      </c>
    </row>
    <row r="3077">
      <c r="A3077" s="2" t="str">
        <f>IFERROR(__xludf.DUMMYFUNCTION("""COMPUTED_VALUE"""),"긴밤지새우콩")</f>
        <v>긴밤지새우콩</v>
      </c>
      <c r="B3077" s="2" t="str">
        <f>IFERROR(__xludf.DUMMYFUNCTION("""COMPUTED_VALUE"""),"새우")</f>
        <v>새우</v>
      </c>
    </row>
    <row r="3078">
      <c r="A3078" s="2" t="str">
        <f>IFERROR(__xludf.DUMMYFUNCTION("""COMPUTED_VALUE"""),"긴밤지새우콩")</f>
        <v>긴밤지새우콩</v>
      </c>
      <c r="B3078" s="2" t="str">
        <f>IFERROR(__xludf.DUMMYFUNCTION("""COMPUTED_VALUE"""),"감자")</f>
        <v>감자</v>
      </c>
    </row>
    <row r="3079">
      <c r="A3079" s="2" t="str">
        <f>IFERROR(__xludf.DUMMYFUNCTION("""COMPUTED_VALUE"""),"긴밤지새우콩")</f>
        <v>긴밤지새우콩</v>
      </c>
      <c r="B3079" s="2" t="str">
        <f>IFERROR(__xludf.DUMMYFUNCTION("""COMPUTED_VALUE"""),"완두콩")</f>
        <v>완두콩</v>
      </c>
    </row>
    <row r="3080">
      <c r="A3080" s="2" t="str">
        <f>IFERROR(__xludf.DUMMYFUNCTION("""COMPUTED_VALUE"""),"긴밤지새우콩")</f>
        <v>긴밤지새우콩</v>
      </c>
      <c r="B3080" s="2" t="str">
        <f>IFERROR(__xludf.DUMMYFUNCTION("""COMPUTED_VALUE"""),"인스턴트 사골곰탕")</f>
        <v>인스턴트 사골곰탕</v>
      </c>
    </row>
    <row r="3081">
      <c r="A3081" s="2" t="str">
        <f>IFERROR(__xludf.DUMMYFUNCTION("""COMPUTED_VALUE"""),"긴밤지새우콩")</f>
        <v>긴밤지새우콩</v>
      </c>
      <c r="B3081" s="2" t="str">
        <f>IFERROR(__xludf.DUMMYFUNCTION("""COMPUTED_VALUE"""),"고르곤졸라 치즈")</f>
        <v>고르곤졸라 치즈</v>
      </c>
    </row>
    <row r="3082">
      <c r="A3082" s="2" t="str">
        <f>IFERROR(__xludf.DUMMYFUNCTION("""COMPUTED_VALUE"""),"긴밤지새우콩")</f>
        <v>긴밤지새우콩</v>
      </c>
      <c r="B3082" s="2" t="str">
        <f>IFERROR(__xludf.DUMMYFUNCTION("""COMPUTED_VALUE"""),"돼지고기")</f>
        <v>돼지고기</v>
      </c>
    </row>
    <row r="3083">
      <c r="A3083" s="2" t="str">
        <f>IFERROR(__xludf.DUMMYFUNCTION("""COMPUTED_VALUE"""),"긴밤지새우콩")</f>
        <v>긴밤지새우콩</v>
      </c>
      <c r="B3083" s="2" t="str">
        <f>IFERROR(__xludf.DUMMYFUNCTION("""COMPUTED_VALUE"""),"쯔유")</f>
        <v>쯔유</v>
      </c>
    </row>
    <row r="3084">
      <c r="A3084" s="2" t="str">
        <f>IFERROR(__xludf.DUMMYFUNCTION("""COMPUTED_VALUE"""),"긴밤지새우콩")</f>
        <v>긴밤지새우콩</v>
      </c>
      <c r="B3084" s="2" t="str">
        <f>IFERROR(__xludf.DUMMYFUNCTION("""COMPUTED_VALUE"""),"양파")</f>
        <v>양파</v>
      </c>
    </row>
    <row r="3085">
      <c r="A3085" s="2" t="str">
        <f>IFERROR(__xludf.DUMMYFUNCTION("""COMPUTED_VALUE"""),"긴밤지새우콩")</f>
        <v>긴밤지새우콩</v>
      </c>
      <c r="B3085" s="2" t="str">
        <f>IFERROR(__xludf.DUMMYFUNCTION("""COMPUTED_VALUE"""),"버터")</f>
        <v>버터</v>
      </c>
    </row>
    <row r="3086">
      <c r="A3086" s="2" t="str">
        <f>IFERROR(__xludf.DUMMYFUNCTION("""COMPUTED_VALUE"""),"긴밤지새우콩")</f>
        <v>긴밤지새우콩</v>
      </c>
      <c r="B3086" s="2" t="str">
        <f>IFERROR(__xludf.DUMMYFUNCTION("""COMPUTED_VALUE"""),"소금")</f>
        <v>소금</v>
      </c>
    </row>
    <row r="3087">
      <c r="A3087" s="2" t="str">
        <f>IFERROR(__xludf.DUMMYFUNCTION("""COMPUTED_VALUE"""),"긴밤지새우콩")</f>
        <v>긴밤지새우콩</v>
      </c>
      <c r="B3087" s="2" t="str">
        <f>IFERROR(__xludf.DUMMYFUNCTION("""COMPUTED_VALUE"""),"후추")</f>
        <v>후추</v>
      </c>
    </row>
    <row r="3088">
      <c r="A3088" s="2" t="str">
        <f>IFERROR(__xludf.DUMMYFUNCTION("""COMPUTED_VALUE"""),"긴밤지새우콩")</f>
        <v>긴밤지새우콩</v>
      </c>
      <c r="B3088" s="2" t="str">
        <f>IFERROR(__xludf.DUMMYFUNCTION("""COMPUTED_VALUE"""),"밀가루")</f>
        <v>밀가루</v>
      </c>
    </row>
    <row r="3089">
      <c r="A3089" s="2" t="str">
        <f>IFERROR(__xludf.DUMMYFUNCTION("""COMPUTED_VALUE"""),"살빠질톰얌")</f>
        <v>살빠질톰얌</v>
      </c>
      <c r="B3089" s="2" t="str">
        <f>IFERROR(__xludf.DUMMYFUNCTION("""COMPUTED_VALUE"""),"새우")</f>
        <v>새우</v>
      </c>
    </row>
    <row r="3090">
      <c r="A3090" s="2" t="str">
        <f>IFERROR(__xludf.DUMMYFUNCTION("""COMPUTED_VALUE"""),"살빠질톰얌")</f>
        <v>살빠질톰얌</v>
      </c>
      <c r="B3090" s="2" t="str">
        <f>IFERROR(__xludf.DUMMYFUNCTION("""COMPUTED_VALUE"""),"감자")</f>
        <v>감자</v>
      </c>
    </row>
    <row r="3091">
      <c r="A3091" s="2" t="str">
        <f>IFERROR(__xludf.DUMMYFUNCTION("""COMPUTED_VALUE"""),"살빠질톰얌")</f>
        <v>살빠질톰얌</v>
      </c>
      <c r="B3091" s="2" t="str">
        <f>IFERROR(__xludf.DUMMYFUNCTION("""COMPUTED_VALUE"""),"베트남 고추")</f>
        <v>베트남 고추</v>
      </c>
    </row>
    <row r="3092">
      <c r="A3092" s="2" t="str">
        <f>IFERROR(__xludf.DUMMYFUNCTION("""COMPUTED_VALUE"""),"살빠질톰얌")</f>
        <v>살빠질톰얌</v>
      </c>
      <c r="B3092" s="2" t="str">
        <f>IFERROR(__xludf.DUMMYFUNCTION("""COMPUTED_VALUE"""),"톰얌 페이스트")</f>
        <v>톰얌 페이스트</v>
      </c>
    </row>
    <row r="3093">
      <c r="A3093" s="2" t="str">
        <f>IFERROR(__xludf.DUMMYFUNCTION("""COMPUTED_VALUE"""),"살빠질톰얌")</f>
        <v>살빠질톰얌</v>
      </c>
      <c r="B3093" s="2" t="str">
        <f>IFERROR(__xludf.DUMMYFUNCTION("""COMPUTED_VALUE"""),"액상조미료")</f>
        <v>액상조미료</v>
      </c>
    </row>
    <row r="3094">
      <c r="A3094" s="2" t="str">
        <f>IFERROR(__xludf.DUMMYFUNCTION("""COMPUTED_VALUE"""),"살빠질톰얌")</f>
        <v>살빠질톰얌</v>
      </c>
      <c r="B3094" s="2" t="str">
        <f>IFERROR(__xludf.DUMMYFUNCTION("""COMPUTED_VALUE"""),"토마토")</f>
        <v>토마토</v>
      </c>
    </row>
    <row r="3095">
      <c r="A3095" s="2" t="str">
        <f>IFERROR(__xludf.DUMMYFUNCTION("""COMPUTED_VALUE"""),"살빠질톰얌")</f>
        <v>살빠질톰얌</v>
      </c>
      <c r="B3095" s="2" t="str">
        <f>IFERROR(__xludf.DUMMYFUNCTION("""COMPUTED_VALUE"""),"달걀")</f>
        <v>달걀</v>
      </c>
    </row>
    <row r="3096">
      <c r="A3096" s="2" t="str">
        <f>IFERROR(__xludf.DUMMYFUNCTION("""COMPUTED_VALUE"""),"살빠질톰얌")</f>
        <v>살빠질톰얌</v>
      </c>
      <c r="B3096" s="2" t="str">
        <f>IFERROR(__xludf.DUMMYFUNCTION("""COMPUTED_VALUE"""),"당근")</f>
        <v>당근</v>
      </c>
    </row>
    <row r="3097">
      <c r="A3097" s="2" t="str">
        <f>IFERROR(__xludf.DUMMYFUNCTION("""COMPUTED_VALUE"""),"살빠질톰얌")</f>
        <v>살빠질톰얌</v>
      </c>
      <c r="B3097" s="2" t="str">
        <f>IFERROR(__xludf.DUMMYFUNCTION("""COMPUTED_VALUE"""),"양파")</f>
        <v>양파</v>
      </c>
    </row>
    <row r="3098">
      <c r="A3098" s="2" t="str">
        <f>IFERROR(__xludf.DUMMYFUNCTION("""COMPUTED_VALUE"""),"살빠질톰얌")</f>
        <v>살빠질톰얌</v>
      </c>
      <c r="B3098" s="2" t="str">
        <f>IFERROR(__xludf.DUMMYFUNCTION("""COMPUTED_VALUE"""),"대파")</f>
        <v>대파</v>
      </c>
    </row>
    <row r="3099">
      <c r="A3099" s="2" t="str">
        <f>IFERROR(__xludf.DUMMYFUNCTION("""COMPUTED_VALUE"""),"살빠질톰얌")</f>
        <v>살빠질톰얌</v>
      </c>
      <c r="B3099" s="2" t="str">
        <f>IFERROR(__xludf.DUMMYFUNCTION("""COMPUTED_VALUE"""),"마늘")</f>
        <v>마늘</v>
      </c>
    </row>
    <row r="3100">
      <c r="A3100" s="2" t="str">
        <f>IFERROR(__xludf.DUMMYFUNCTION("""COMPUTED_VALUE"""),"살빠질톰얌")</f>
        <v>살빠질톰얌</v>
      </c>
      <c r="B3100" s="2" t="str">
        <f>IFERROR(__xludf.DUMMYFUNCTION("""COMPUTED_VALUE"""),"소금")</f>
        <v>소금</v>
      </c>
    </row>
    <row r="3101">
      <c r="A3101" s="2" t="str">
        <f>IFERROR(__xludf.DUMMYFUNCTION("""COMPUTED_VALUE"""),"살빠질톰얌")</f>
        <v>살빠질톰얌</v>
      </c>
      <c r="B3101" s="2" t="str">
        <f>IFERROR(__xludf.DUMMYFUNCTION("""COMPUTED_VALUE"""),"후추")</f>
        <v>후추</v>
      </c>
    </row>
    <row r="3102">
      <c r="A3102" s="2" t="str">
        <f>IFERROR(__xludf.DUMMYFUNCTION("""COMPUTED_VALUE"""),"한잔하새우")</f>
        <v>한잔하새우</v>
      </c>
      <c r="B3102" s="2" t="str">
        <f>IFERROR(__xludf.DUMMYFUNCTION("""COMPUTED_VALUE"""),"자숙새우살")</f>
        <v>자숙새우살</v>
      </c>
    </row>
    <row r="3103">
      <c r="A3103" s="2" t="str">
        <f>IFERROR(__xludf.DUMMYFUNCTION("""COMPUTED_VALUE"""),"한잔하새우")</f>
        <v>한잔하새우</v>
      </c>
      <c r="B3103" s="2" t="str">
        <f>IFERROR(__xludf.DUMMYFUNCTION("""COMPUTED_VALUE"""),"올리브")</f>
        <v>올리브</v>
      </c>
    </row>
    <row r="3104">
      <c r="A3104" s="2" t="str">
        <f>IFERROR(__xludf.DUMMYFUNCTION("""COMPUTED_VALUE"""),"한잔하새우")</f>
        <v>한잔하새우</v>
      </c>
      <c r="B3104" s="2" t="str">
        <f>IFERROR(__xludf.DUMMYFUNCTION("""COMPUTED_VALUE"""),"할라페뇨")</f>
        <v>할라페뇨</v>
      </c>
    </row>
    <row r="3105">
      <c r="A3105" s="2" t="str">
        <f>IFERROR(__xludf.DUMMYFUNCTION("""COMPUTED_VALUE"""),"한잔하새우")</f>
        <v>한잔하새우</v>
      </c>
      <c r="B3105" s="2" t="str">
        <f>IFERROR(__xludf.DUMMYFUNCTION("""COMPUTED_VALUE"""),"식빵")</f>
        <v>식빵</v>
      </c>
    </row>
    <row r="3106">
      <c r="A3106" s="2" t="str">
        <f>IFERROR(__xludf.DUMMYFUNCTION("""COMPUTED_VALUE"""),"한잔하새우")</f>
        <v>한잔하새우</v>
      </c>
      <c r="B3106" s="2" t="str">
        <f>IFERROR(__xludf.DUMMYFUNCTION("""COMPUTED_VALUE"""),"조미김")</f>
        <v>조미김</v>
      </c>
    </row>
    <row r="3107">
      <c r="A3107" s="2" t="str">
        <f>IFERROR(__xludf.DUMMYFUNCTION("""COMPUTED_VALUE"""),"한잔하새우")</f>
        <v>한잔하새우</v>
      </c>
      <c r="B3107" s="2" t="str">
        <f>IFERROR(__xludf.DUMMYFUNCTION("""COMPUTED_VALUE"""),"낙지젓")</f>
        <v>낙지젓</v>
      </c>
    </row>
    <row r="3108">
      <c r="A3108" s="2" t="str">
        <f>IFERROR(__xludf.DUMMYFUNCTION("""COMPUTED_VALUE"""),"한잔하새우")</f>
        <v>한잔하새우</v>
      </c>
      <c r="B3108" s="2" t="str">
        <f>IFERROR(__xludf.DUMMYFUNCTION("""COMPUTED_VALUE"""),"멸치볶음")</f>
        <v>멸치볶음</v>
      </c>
    </row>
    <row r="3109">
      <c r="A3109" s="2" t="str">
        <f>IFERROR(__xludf.DUMMYFUNCTION("""COMPUTED_VALUE"""),"한잔하새우")</f>
        <v>한잔하새우</v>
      </c>
      <c r="B3109" s="2" t="str">
        <f>IFERROR(__xludf.DUMMYFUNCTION("""COMPUTED_VALUE"""),"칠리소스")</f>
        <v>칠리소스</v>
      </c>
    </row>
    <row r="3110">
      <c r="A3110" s="2" t="str">
        <f>IFERROR(__xludf.DUMMYFUNCTION("""COMPUTED_VALUE"""),"한잔하새우")</f>
        <v>한잔하새우</v>
      </c>
      <c r="B3110" s="2" t="str">
        <f>IFERROR(__xludf.DUMMYFUNCTION("""COMPUTED_VALUE"""),"머스터드소스")</f>
        <v>머스터드소스</v>
      </c>
    </row>
    <row r="3111">
      <c r="A3111" s="2" t="str">
        <f>IFERROR(__xludf.DUMMYFUNCTION("""COMPUTED_VALUE"""),"한잔하새우")</f>
        <v>한잔하새우</v>
      </c>
      <c r="B3111" s="2" t="str">
        <f>IFERROR(__xludf.DUMMYFUNCTION("""COMPUTED_VALUE"""),"향쑥리큐어")</f>
        <v>향쑥리큐어</v>
      </c>
    </row>
    <row r="3112">
      <c r="A3112" s="2" t="str">
        <f>IFERROR(__xludf.DUMMYFUNCTION("""COMPUTED_VALUE"""),"한잔하새우")</f>
        <v>한잔하새우</v>
      </c>
      <c r="B3112" s="2" t="str">
        <f>IFERROR(__xludf.DUMMYFUNCTION("""COMPUTED_VALUE"""),"알배추")</f>
        <v>알배추</v>
      </c>
    </row>
    <row r="3113">
      <c r="A3113" s="2" t="str">
        <f>IFERROR(__xludf.DUMMYFUNCTION("""COMPUTED_VALUE"""),"한잔하새우")</f>
        <v>한잔하새우</v>
      </c>
      <c r="B3113" s="2" t="str">
        <f>IFERROR(__xludf.DUMMYFUNCTION("""COMPUTED_VALUE"""),"양파")</f>
        <v>양파</v>
      </c>
    </row>
    <row r="3114">
      <c r="A3114" s="2" t="str">
        <f>IFERROR(__xludf.DUMMYFUNCTION("""COMPUTED_VALUE"""),"한잔하새우")</f>
        <v>한잔하새우</v>
      </c>
      <c r="B3114" s="2" t="str">
        <f>IFERROR(__xludf.DUMMYFUNCTION("""COMPUTED_VALUE"""),"레몬")</f>
        <v>레몬</v>
      </c>
    </row>
    <row r="3115">
      <c r="A3115" s="2" t="str">
        <f>IFERROR(__xludf.DUMMYFUNCTION("""COMPUTED_VALUE"""),"한잔하새우")</f>
        <v>한잔하새우</v>
      </c>
      <c r="B3115" s="2" t="str">
        <f>IFERROR(__xludf.DUMMYFUNCTION("""COMPUTED_VALUE"""),"마요네즈")</f>
        <v>마요네즈</v>
      </c>
    </row>
    <row r="3116">
      <c r="A3116" s="2" t="str">
        <f>IFERROR(__xludf.DUMMYFUNCTION("""COMPUTED_VALUE"""),"한잔하새우")</f>
        <v>한잔하새우</v>
      </c>
      <c r="B3116" s="2" t="str">
        <f>IFERROR(__xludf.DUMMYFUNCTION("""COMPUTED_VALUE"""),"소금")</f>
        <v>소금</v>
      </c>
    </row>
    <row r="3117">
      <c r="A3117" s="2" t="str">
        <f>IFERROR(__xludf.DUMMYFUNCTION("""COMPUTED_VALUE"""),"한잔하새우")</f>
        <v>한잔하새우</v>
      </c>
      <c r="B3117" s="2" t="str">
        <f>IFERROR(__xludf.DUMMYFUNCTION("""COMPUTED_VALUE"""),"후추")</f>
        <v>후추</v>
      </c>
    </row>
    <row r="3118">
      <c r="A3118" s="2" t="str">
        <f>IFERROR(__xludf.DUMMYFUNCTION("""COMPUTED_VALUE"""),"한잔하새우")</f>
        <v>한잔하새우</v>
      </c>
      <c r="B3118" s="2" t="str">
        <f>IFERROR(__xludf.DUMMYFUNCTION("""COMPUTED_VALUE"""),"올리브오일")</f>
        <v>올리브오일</v>
      </c>
    </row>
    <row r="3119">
      <c r="A3119" s="2" t="str">
        <f>IFERROR(__xludf.DUMMYFUNCTION("""COMPUTED_VALUE"""),"뱅뱅뱅볶음")</f>
        <v>뱅뱅뱅볶음</v>
      </c>
      <c r="B3119" s="2" t="str">
        <f>IFERROR(__xludf.DUMMYFUNCTION("""COMPUTED_VALUE"""),"알배추")</f>
        <v>알배추</v>
      </c>
    </row>
    <row r="3120">
      <c r="A3120" s="2" t="str">
        <f>IFERROR(__xludf.DUMMYFUNCTION("""COMPUTED_VALUE"""),"뱅뱅뱅볶음")</f>
        <v>뱅뱅뱅볶음</v>
      </c>
      <c r="B3120" s="2" t="str">
        <f>IFERROR(__xludf.DUMMYFUNCTION("""COMPUTED_VALUE"""),"골뱅이 통조림")</f>
        <v>골뱅이 통조림</v>
      </c>
    </row>
    <row r="3121">
      <c r="A3121" s="2" t="str">
        <f>IFERROR(__xludf.DUMMYFUNCTION("""COMPUTED_VALUE"""),"뱅뱅뱅볶음")</f>
        <v>뱅뱅뱅볶음</v>
      </c>
      <c r="B3121" s="2" t="str">
        <f>IFERROR(__xludf.DUMMYFUNCTION("""COMPUTED_VALUE"""),"들깨가루")</f>
        <v>들깨가루</v>
      </c>
    </row>
    <row r="3122">
      <c r="A3122" s="2" t="str">
        <f>IFERROR(__xludf.DUMMYFUNCTION("""COMPUTED_VALUE"""),"뱅뱅뱅볶음")</f>
        <v>뱅뱅뱅볶음</v>
      </c>
      <c r="B3122" s="2" t="str">
        <f>IFERROR(__xludf.DUMMYFUNCTION("""COMPUTED_VALUE"""),"인스턴트 사골곰탕")</f>
        <v>인스턴트 사골곰탕</v>
      </c>
    </row>
    <row r="3123">
      <c r="A3123" s="2" t="str">
        <f>IFERROR(__xludf.DUMMYFUNCTION("""COMPUTED_VALUE"""),"뱅뱅뱅볶음")</f>
        <v>뱅뱅뱅볶음</v>
      </c>
      <c r="B3123" s="2" t="str">
        <f>IFERROR(__xludf.DUMMYFUNCTION("""COMPUTED_VALUE"""),"양파")</f>
        <v>양파</v>
      </c>
    </row>
    <row r="3124">
      <c r="A3124" s="2" t="str">
        <f>IFERROR(__xludf.DUMMYFUNCTION("""COMPUTED_VALUE"""),"뱅뱅뱅볶음")</f>
        <v>뱅뱅뱅볶음</v>
      </c>
      <c r="B3124" s="2" t="str">
        <f>IFERROR(__xludf.DUMMYFUNCTION("""COMPUTED_VALUE"""),"다진 마늘")</f>
        <v>다진 마늘</v>
      </c>
    </row>
    <row r="3125">
      <c r="A3125" s="2" t="str">
        <f>IFERROR(__xludf.DUMMYFUNCTION("""COMPUTED_VALUE"""),"뱅뱅뱅볶음")</f>
        <v>뱅뱅뱅볶음</v>
      </c>
      <c r="B3125" s="2" t="str">
        <f>IFERROR(__xludf.DUMMYFUNCTION("""COMPUTED_VALUE"""),"청양고추")</f>
        <v>청양고추</v>
      </c>
    </row>
    <row r="3126">
      <c r="A3126" s="2" t="str">
        <f>IFERROR(__xludf.DUMMYFUNCTION("""COMPUTED_VALUE"""),"뱅뱅뱅볶음")</f>
        <v>뱅뱅뱅볶음</v>
      </c>
      <c r="B3126" s="2" t="str">
        <f>IFERROR(__xludf.DUMMYFUNCTION("""COMPUTED_VALUE"""),"고춧가루")</f>
        <v>고춧가루</v>
      </c>
    </row>
    <row r="3127">
      <c r="A3127" s="2" t="str">
        <f>IFERROR(__xludf.DUMMYFUNCTION("""COMPUTED_VALUE"""),"뱅뱅뱅볶음")</f>
        <v>뱅뱅뱅볶음</v>
      </c>
      <c r="B3127" s="2" t="str">
        <f>IFERROR(__xludf.DUMMYFUNCTION("""COMPUTED_VALUE"""),"간장")</f>
        <v>간장</v>
      </c>
    </row>
    <row r="3128">
      <c r="A3128" s="2" t="str">
        <f>IFERROR(__xludf.DUMMYFUNCTION("""COMPUTED_VALUE"""),"뱅뱅뱅볶음")</f>
        <v>뱅뱅뱅볶음</v>
      </c>
      <c r="B3128" s="2" t="str">
        <f>IFERROR(__xludf.DUMMYFUNCTION("""COMPUTED_VALUE"""),"설탕")</f>
        <v>설탕</v>
      </c>
    </row>
    <row r="3129">
      <c r="A3129" s="2" t="str">
        <f>IFERROR(__xludf.DUMMYFUNCTION("""COMPUTED_VALUE"""),"뱅뱅뱅볶음")</f>
        <v>뱅뱅뱅볶음</v>
      </c>
      <c r="B3129" s="2" t="str">
        <f>IFERROR(__xludf.DUMMYFUNCTION("""COMPUTED_VALUE"""),"참기름")</f>
        <v>참기름</v>
      </c>
    </row>
    <row r="3130">
      <c r="A3130" s="2" t="str">
        <f>IFERROR(__xludf.DUMMYFUNCTION("""COMPUTED_VALUE"""),"뱅뱅뱅볶음")</f>
        <v>뱅뱅뱅볶음</v>
      </c>
      <c r="B3130" s="2" t="str">
        <f>IFERROR(__xludf.DUMMYFUNCTION("""COMPUTED_VALUE"""),"맛술")</f>
        <v>맛술</v>
      </c>
    </row>
    <row r="3131">
      <c r="A3131" s="2" t="str">
        <f>IFERROR(__xludf.DUMMYFUNCTION("""COMPUTED_VALUE"""),"뱅뱅뱅볶음")</f>
        <v>뱅뱅뱅볶음</v>
      </c>
      <c r="B3131" s="2" t="str">
        <f>IFERROR(__xludf.DUMMYFUNCTION("""COMPUTED_VALUE"""),"식용유")</f>
        <v>식용유</v>
      </c>
    </row>
    <row r="3132">
      <c r="A3132" s="2" t="str">
        <f>IFERROR(__xludf.DUMMYFUNCTION("""COMPUTED_VALUE"""),"뱅뱅뱅볶음")</f>
        <v>뱅뱅뱅볶음</v>
      </c>
      <c r="B3132" s="2" t="str">
        <f>IFERROR(__xludf.DUMMYFUNCTION("""COMPUTED_VALUE"""),"들기름")</f>
        <v>들기름</v>
      </c>
    </row>
    <row r="3133">
      <c r="A3133" s="2" t="str">
        <f>IFERROR(__xludf.DUMMYFUNCTION("""COMPUTED_VALUE"""),"소풍가는 닭")</f>
        <v>소풍가는 닭</v>
      </c>
      <c r="B3133" s="2" t="str">
        <f>IFERROR(__xludf.DUMMYFUNCTION("""COMPUTED_VALUE"""),"감자")</f>
        <v>감자</v>
      </c>
    </row>
    <row r="3134">
      <c r="A3134" s="2" t="str">
        <f>IFERROR(__xludf.DUMMYFUNCTION("""COMPUTED_VALUE"""),"소풍가는 닭")</f>
        <v>소풍가는 닭</v>
      </c>
      <c r="B3134" s="2" t="str">
        <f>IFERROR(__xludf.DUMMYFUNCTION("""COMPUTED_VALUE"""),"양배추")</f>
        <v>양배추</v>
      </c>
    </row>
    <row r="3135">
      <c r="A3135" s="2" t="str">
        <f>IFERROR(__xludf.DUMMYFUNCTION("""COMPUTED_VALUE"""),"소풍가는 닭")</f>
        <v>소풍가는 닭</v>
      </c>
      <c r="B3135" s="2" t="str">
        <f>IFERROR(__xludf.DUMMYFUNCTION("""COMPUTED_VALUE"""),"데친 브로콜리")</f>
        <v>데친 브로콜리</v>
      </c>
    </row>
    <row r="3136">
      <c r="A3136" s="2" t="str">
        <f>IFERROR(__xludf.DUMMYFUNCTION("""COMPUTED_VALUE"""),"소풍가는 닭")</f>
        <v>소풍가는 닭</v>
      </c>
      <c r="B3136" s="2" t="str">
        <f>IFERROR(__xludf.DUMMYFUNCTION("""COMPUTED_VALUE"""),"닭안심살")</f>
        <v>닭안심살</v>
      </c>
    </row>
    <row r="3137">
      <c r="A3137" s="2" t="str">
        <f>IFERROR(__xludf.DUMMYFUNCTION("""COMPUTED_VALUE"""),"소풍가는 닭")</f>
        <v>소풍가는 닭</v>
      </c>
      <c r="B3137" s="2" t="str">
        <f>IFERROR(__xludf.DUMMYFUNCTION("""COMPUTED_VALUE"""),"시금치")</f>
        <v>시금치</v>
      </c>
    </row>
    <row r="3138">
      <c r="A3138" s="2" t="str">
        <f>IFERROR(__xludf.DUMMYFUNCTION("""COMPUTED_VALUE"""),"소풍가는 닭")</f>
        <v>소풍가는 닭</v>
      </c>
      <c r="B3138" s="2" t="str">
        <f>IFERROR(__xludf.DUMMYFUNCTION("""COMPUTED_VALUE"""),"허니버터 브레드")</f>
        <v>허니버터 브레드</v>
      </c>
    </row>
    <row r="3139">
      <c r="A3139" s="2" t="str">
        <f>IFERROR(__xludf.DUMMYFUNCTION("""COMPUTED_VALUE"""),"소풍가는 닭")</f>
        <v>소풍가는 닭</v>
      </c>
      <c r="B3139" s="2" t="str">
        <f>IFERROR(__xludf.DUMMYFUNCTION("""COMPUTED_VALUE"""),"보코치니 치즈")</f>
        <v>보코치니 치즈</v>
      </c>
    </row>
    <row r="3140">
      <c r="A3140" s="2" t="str">
        <f>IFERROR(__xludf.DUMMYFUNCTION("""COMPUTED_VALUE"""),"소풍가는 닭")</f>
        <v>소풍가는 닭</v>
      </c>
      <c r="B3140" s="2" t="str">
        <f>IFERROR(__xludf.DUMMYFUNCTION("""COMPUTED_VALUE"""),"달걀")</f>
        <v>달걀</v>
      </c>
    </row>
    <row r="3141">
      <c r="A3141" s="2" t="str">
        <f>IFERROR(__xludf.DUMMYFUNCTION("""COMPUTED_VALUE"""),"소풍가는 닭")</f>
        <v>소풍가는 닭</v>
      </c>
      <c r="B3141" s="2" t="str">
        <f>IFERROR(__xludf.DUMMYFUNCTION("""COMPUTED_VALUE"""),"명이나물 장아찌")</f>
        <v>명이나물 장아찌</v>
      </c>
    </row>
    <row r="3142">
      <c r="A3142" s="2" t="str">
        <f>IFERROR(__xludf.DUMMYFUNCTION("""COMPUTED_VALUE"""),"소풍가는 닭")</f>
        <v>소풍가는 닭</v>
      </c>
      <c r="B3142" s="2" t="str">
        <f>IFERROR(__xludf.DUMMYFUNCTION("""COMPUTED_VALUE"""),"크림소스")</f>
        <v>크림소스</v>
      </c>
    </row>
    <row r="3143">
      <c r="A3143" s="2" t="str">
        <f>IFERROR(__xludf.DUMMYFUNCTION("""COMPUTED_VALUE"""),"소풍가는 닭")</f>
        <v>소풍가는 닭</v>
      </c>
      <c r="B3143" s="2" t="str">
        <f>IFERROR(__xludf.DUMMYFUNCTION("""COMPUTED_VALUE"""),"버터")</f>
        <v>버터</v>
      </c>
    </row>
    <row r="3144">
      <c r="A3144" s="2" t="str">
        <f>IFERROR(__xludf.DUMMYFUNCTION("""COMPUTED_VALUE"""),"소풍가는 닭")</f>
        <v>소풍가는 닭</v>
      </c>
      <c r="B3144" s="2" t="str">
        <f>IFERROR(__xludf.DUMMYFUNCTION("""COMPUTED_VALUE"""),"다진 마늘")</f>
        <v>다진 마늘</v>
      </c>
    </row>
    <row r="3145">
      <c r="A3145" s="2" t="str">
        <f>IFERROR(__xludf.DUMMYFUNCTION("""COMPUTED_VALUE"""),"소풍가는 닭")</f>
        <v>소풍가는 닭</v>
      </c>
      <c r="B3145" s="2" t="str">
        <f>IFERROR(__xludf.DUMMYFUNCTION("""COMPUTED_VALUE"""),"다진 파")</f>
        <v>다진 파</v>
      </c>
    </row>
    <row r="3146">
      <c r="A3146" s="2" t="str">
        <f>IFERROR(__xludf.DUMMYFUNCTION("""COMPUTED_VALUE"""),"소풍가는 닭")</f>
        <v>소풍가는 닭</v>
      </c>
      <c r="B3146" s="2" t="str">
        <f>IFERROR(__xludf.DUMMYFUNCTION("""COMPUTED_VALUE"""),"소금")</f>
        <v>소금</v>
      </c>
    </row>
    <row r="3147">
      <c r="A3147" s="2" t="str">
        <f>IFERROR(__xludf.DUMMYFUNCTION("""COMPUTED_VALUE"""),"소풍가는 닭")</f>
        <v>소풍가는 닭</v>
      </c>
      <c r="B3147" s="2" t="str">
        <f>IFERROR(__xludf.DUMMYFUNCTION("""COMPUTED_VALUE"""),"후추")</f>
        <v>후추</v>
      </c>
    </row>
    <row r="3148">
      <c r="A3148" s="2" t="str">
        <f>IFERROR(__xludf.DUMMYFUNCTION("""COMPUTED_VALUE"""),"소풍가는 닭")</f>
        <v>소풍가는 닭</v>
      </c>
      <c r="B3148" s="2" t="str">
        <f>IFERROR(__xludf.DUMMYFUNCTION("""COMPUTED_VALUE"""),"밀가루")</f>
        <v>밀가루</v>
      </c>
    </row>
    <row r="3149">
      <c r="A3149" s="2" t="str">
        <f>IFERROR(__xludf.DUMMYFUNCTION("""COMPUTED_VALUE"""),"함박웃음치~즈")</f>
        <v>함박웃음치~즈</v>
      </c>
      <c r="B3149" s="2" t="str">
        <f>IFERROR(__xludf.DUMMYFUNCTION("""COMPUTED_VALUE"""),"동치미")</f>
        <v>동치미</v>
      </c>
    </row>
    <row r="3150">
      <c r="A3150" s="2" t="str">
        <f>IFERROR(__xludf.DUMMYFUNCTION("""COMPUTED_VALUE"""),"함박웃음치~즈")</f>
        <v>함박웃음치~즈</v>
      </c>
      <c r="B3150" s="2" t="str">
        <f>IFERROR(__xludf.DUMMYFUNCTION("""COMPUTED_VALUE"""),"미니 파프리카")</f>
        <v>미니 파프리카</v>
      </c>
    </row>
    <row r="3151">
      <c r="A3151" s="2" t="str">
        <f>IFERROR(__xludf.DUMMYFUNCTION("""COMPUTED_VALUE"""),"함박웃음치~즈")</f>
        <v>함박웃음치~즈</v>
      </c>
      <c r="B3151" s="2" t="str">
        <f>IFERROR(__xludf.DUMMYFUNCTION("""COMPUTED_VALUE"""),"오이")</f>
        <v>오이</v>
      </c>
    </row>
    <row r="3152">
      <c r="A3152" s="2" t="str">
        <f>IFERROR(__xludf.DUMMYFUNCTION("""COMPUTED_VALUE"""),"함박웃음치~즈")</f>
        <v>함박웃음치~즈</v>
      </c>
      <c r="B3152" s="2" t="str">
        <f>IFERROR(__xludf.DUMMYFUNCTION("""COMPUTED_VALUE"""),"치마살")</f>
        <v>치마살</v>
      </c>
    </row>
    <row r="3153">
      <c r="A3153" s="2" t="str">
        <f>IFERROR(__xludf.DUMMYFUNCTION("""COMPUTED_VALUE"""),"함박웃음치~즈")</f>
        <v>함박웃음치~즈</v>
      </c>
      <c r="B3153" s="2" t="str">
        <f>IFERROR(__xludf.DUMMYFUNCTION("""COMPUTED_VALUE"""),"달걀")</f>
        <v>달걀</v>
      </c>
    </row>
    <row r="3154">
      <c r="A3154" s="2" t="str">
        <f>IFERROR(__xludf.DUMMYFUNCTION("""COMPUTED_VALUE"""),"함박웃음치~즈")</f>
        <v>함박웃음치~즈</v>
      </c>
      <c r="B3154" s="2" t="str">
        <f>IFERROR(__xludf.DUMMYFUNCTION("""COMPUTED_VALUE"""),"슬라이스 치즈")</f>
        <v>슬라이스 치즈</v>
      </c>
    </row>
    <row r="3155">
      <c r="A3155" s="2" t="str">
        <f>IFERROR(__xludf.DUMMYFUNCTION("""COMPUTED_VALUE"""),"함박웃음치~즈")</f>
        <v>함박웃음치~즈</v>
      </c>
      <c r="B3155" s="2" t="str">
        <f>IFERROR(__xludf.DUMMYFUNCTION("""COMPUTED_VALUE"""),"냉동된 밥")</f>
        <v>냉동된 밥</v>
      </c>
    </row>
    <row r="3156">
      <c r="A3156" s="2" t="str">
        <f>IFERROR(__xludf.DUMMYFUNCTION("""COMPUTED_VALUE"""),"함박웃음치~즈")</f>
        <v>함박웃음치~즈</v>
      </c>
      <c r="B3156" s="2" t="str">
        <f>IFERROR(__xludf.DUMMYFUNCTION("""COMPUTED_VALUE"""),"멸치볶음")</f>
        <v>멸치볶음</v>
      </c>
    </row>
    <row r="3157">
      <c r="A3157" s="2" t="str">
        <f>IFERROR(__xludf.DUMMYFUNCTION("""COMPUTED_VALUE"""),"함박웃음치~즈")</f>
        <v>함박웃음치~즈</v>
      </c>
      <c r="B3157" s="2" t="str">
        <f>IFERROR(__xludf.DUMMYFUNCTION("""COMPUTED_VALUE"""),"버터")</f>
        <v>버터</v>
      </c>
    </row>
    <row r="3158">
      <c r="A3158" s="2" t="str">
        <f>IFERROR(__xludf.DUMMYFUNCTION("""COMPUTED_VALUE"""),"함박웃음치~즈")</f>
        <v>함박웃음치~즈</v>
      </c>
      <c r="B3158" s="2" t="str">
        <f>IFERROR(__xludf.DUMMYFUNCTION("""COMPUTED_VALUE"""),"맛술")</f>
        <v>맛술</v>
      </c>
    </row>
    <row r="3159">
      <c r="A3159" s="2" t="str">
        <f>IFERROR(__xludf.DUMMYFUNCTION("""COMPUTED_VALUE"""),"함박웃음치~즈")</f>
        <v>함박웃음치~즈</v>
      </c>
      <c r="B3159" s="2" t="str">
        <f>IFERROR(__xludf.DUMMYFUNCTION("""COMPUTED_VALUE"""),"간장")</f>
        <v>간장</v>
      </c>
    </row>
    <row r="3160">
      <c r="A3160" s="2" t="str">
        <f>IFERROR(__xludf.DUMMYFUNCTION("""COMPUTED_VALUE"""),"함박웃음치~즈")</f>
        <v>함박웃음치~즈</v>
      </c>
      <c r="B3160" s="2" t="str">
        <f>IFERROR(__xludf.DUMMYFUNCTION("""COMPUTED_VALUE"""),"설탕")</f>
        <v>설탕</v>
      </c>
    </row>
    <row r="3161">
      <c r="A3161" s="2" t="str">
        <f>IFERROR(__xludf.DUMMYFUNCTION("""COMPUTED_VALUE"""),"함박웃음치~즈")</f>
        <v>함박웃음치~즈</v>
      </c>
      <c r="B3161" s="2" t="str">
        <f>IFERROR(__xludf.DUMMYFUNCTION("""COMPUTED_VALUE"""),"식초")</f>
        <v>식초</v>
      </c>
    </row>
    <row r="3162">
      <c r="A3162" s="2" t="str">
        <f>IFERROR(__xludf.DUMMYFUNCTION("""COMPUTED_VALUE"""),"함박웃음치~즈")</f>
        <v>함박웃음치~즈</v>
      </c>
      <c r="B3162" s="2" t="str">
        <f>IFERROR(__xludf.DUMMYFUNCTION("""COMPUTED_VALUE"""),"소금")</f>
        <v>소금</v>
      </c>
    </row>
    <row r="3163">
      <c r="A3163" s="2" t="str">
        <f>IFERROR(__xludf.DUMMYFUNCTION("""COMPUTED_VALUE"""),"함박웃음치~즈")</f>
        <v>함박웃음치~즈</v>
      </c>
      <c r="B3163" s="2" t="str">
        <f>IFERROR(__xludf.DUMMYFUNCTION("""COMPUTED_VALUE"""),"후추")</f>
        <v>후추</v>
      </c>
    </row>
    <row r="3164">
      <c r="A3164" s="2" t="str">
        <f>IFERROR(__xludf.DUMMYFUNCTION("""COMPUTED_VALUE"""),"함박웃음치~즈")</f>
        <v>함박웃음치~즈</v>
      </c>
      <c r="B3164" s="2" t="str">
        <f>IFERROR(__xludf.DUMMYFUNCTION("""COMPUTED_VALUE"""),"전분")</f>
        <v>전분</v>
      </c>
    </row>
    <row r="3165">
      <c r="A3165" s="2" t="str">
        <f>IFERROR(__xludf.DUMMYFUNCTION("""COMPUTED_VALUE"""),"함박웃음치~즈")</f>
        <v>함박웃음치~즈</v>
      </c>
      <c r="B3165" s="2" t="str">
        <f>IFERROR(__xludf.DUMMYFUNCTION("""COMPUTED_VALUE"""),"깨")</f>
        <v>깨</v>
      </c>
    </row>
    <row r="3166">
      <c r="A3166" s="2" t="str">
        <f>IFERROR(__xludf.DUMMYFUNCTION("""COMPUTED_VALUE"""),"함박웃음치~즈")</f>
        <v>함박웃음치~즈</v>
      </c>
      <c r="B3166" s="2" t="str">
        <f>IFERROR(__xludf.DUMMYFUNCTION("""COMPUTED_VALUE"""),"청주")</f>
        <v>청주</v>
      </c>
    </row>
    <row r="3167">
      <c r="A3167" s="2" t="str">
        <f>IFERROR(__xludf.DUMMYFUNCTION("""COMPUTED_VALUE"""),"육해공 연볶이")</f>
        <v>육해공 연볶이</v>
      </c>
      <c r="B3167" s="2" t="str">
        <f>IFERROR(__xludf.DUMMYFUNCTION("""COMPUTED_VALUE"""),"닭날개")</f>
        <v>닭날개</v>
      </c>
    </row>
    <row r="3168">
      <c r="A3168" s="2" t="str">
        <f>IFERROR(__xludf.DUMMYFUNCTION("""COMPUTED_VALUE"""),"육해공 연볶이")</f>
        <v>육해공 연볶이</v>
      </c>
      <c r="B3168" s="2" t="str">
        <f>IFERROR(__xludf.DUMMYFUNCTION("""COMPUTED_VALUE"""),"가래떡")</f>
        <v>가래떡</v>
      </c>
    </row>
    <row r="3169">
      <c r="A3169" s="2" t="str">
        <f>IFERROR(__xludf.DUMMYFUNCTION("""COMPUTED_VALUE"""),"육해공 연볶이")</f>
        <v>육해공 연볶이</v>
      </c>
      <c r="B3169" s="2" t="str">
        <f>IFERROR(__xludf.DUMMYFUNCTION("""COMPUTED_VALUE"""),"통조림 햄")</f>
        <v>통조림 햄</v>
      </c>
    </row>
    <row r="3170">
      <c r="A3170" s="2" t="str">
        <f>IFERROR(__xludf.DUMMYFUNCTION("""COMPUTED_VALUE"""),"육해공 연볶이")</f>
        <v>육해공 연볶이</v>
      </c>
      <c r="B3170" s="2" t="str">
        <f>IFERROR(__xludf.DUMMYFUNCTION("""COMPUTED_VALUE"""),"애호박")</f>
        <v>애호박</v>
      </c>
    </row>
    <row r="3171">
      <c r="A3171" s="2" t="str">
        <f>IFERROR(__xludf.DUMMYFUNCTION("""COMPUTED_VALUE"""),"육해공 연볶이")</f>
        <v>육해공 연볶이</v>
      </c>
      <c r="B3171" s="2" t="str">
        <f>IFERROR(__xludf.DUMMYFUNCTION("""COMPUTED_VALUE"""),"수제비 반죽")</f>
        <v>수제비 반죽</v>
      </c>
    </row>
    <row r="3172">
      <c r="A3172" s="2" t="str">
        <f>IFERROR(__xludf.DUMMYFUNCTION("""COMPUTED_VALUE"""),"육해공 연볶이")</f>
        <v>육해공 연볶이</v>
      </c>
      <c r="B3172" s="2" t="str">
        <f>IFERROR(__xludf.DUMMYFUNCTION("""COMPUTED_VALUE"""),"콩나물")</f>
        <v>콩나물</v>
      </c>
    </row>
    <row r="3173">
      <c r="A3173" s="2" t="str">
        <f>IFERROR(__xludf.DUMMYFUNCTION("""COMPUTED_VALUE"""),"육해공 연볶이")</f>
        <v>육해공 연볶이</v>
      </c>
      <c r="B3173" s="2" t="str">
        <f>IFERROR(__xludf.DUMMYFUNCTION("""COMPUTED_VALUE"""),"문어숙회")</f>
        <v>문어숙회</v>
      </c>
    </row>
    <row r="3174">
      <c r="A3174" s="2" t="str">
        <f>IFERROR(__xludf.DUMMYFUNCTION("""COMPUTED_VALUE"""),"육해공 연볶이")</f>
        <v>육해공 연볶이</v>
      </c>
      <c r="B3174" s="2" t="str">
        <f>IFERROR(__xludf.DUMMYFUNCTION("""COMPUTED_VALUE"""),"모차렐라 치즈")</f>
        <v>모차렐라 치즈</v>
      </c>
    </row>
    <row r="3175">
      <c r="A3175" s="2" t="str">
        <f>IFERROR(__xludf.DUMMYFUNCTION("""COMPUTED_VALUE"""),"육해공 연볶이")</f>
        <v>육해공 연볶이</v>
      </c>
      <c r="B3175" s="2" t="str">
        <f>IFERROR(__xludf.DUMMYFUNCTION("""COMPUTED_VALUE"""),"고추장")</f>
        <v>고추장</v>
      </c>
    </row>
    <row r="3176">
      <c r="A3176" s="2" t="str">
        <f>IFERROR(__xludf.DUMMYFUNCTION("""COMPUTED_VALUE"""),"육해공 연볶이")</f>
        <v>육해공 연볶이</v>
      </c>
      <c r="B3176" s="2" t="str">
        <f>IFERROR(__xludf.DUMMYFUNCTION("""COMPUTED_VALUE"""),"고형카레")</f>
        <v>고형카레</v>
      </c>
    </row>
    <row r="3177">
      <c r="A3177" s="2" t="str">
        <f>IFERROR(__xludf.DUMMYFUNCTION("""COMPUTED_VALUE"""),"육해공 연볶이")</f>
        <v>육해공 연볶이</v>
      </c>
      <c r="B3177" s="2" t="str">
        <f>IFERROR(__xludf.DUMMYFUNCTION("""COMPUTED_VALUE"""),"대파")</f>
        <v>대파</v>
      </c>
    </row>
    <row r="3178">
      <c r="A3178" s="2" t="str">
        <f>IFERROR(__xludf.DUMMYFUNCTION("""COMPUTED_VALUE"""),"육해공 연볶이")</f>
        <v>육해공 연볶이</v>
      </c>
      <c r="B3178" s="2" t="str">
        <f>IFERROR(__xludf.DUMMYFUNCTION("""COMPUTED_VALUE"""),"마늘")</f>
        <v>마늘</v>
      </c>
    </row>
    <row r="3179">
      <c r="A3179" s="2" t="str">
        <f>IFERROR(__xludf.DUMMYFUNCTION("""COMPUTED_VALUE"""),"육해공 연볶이")</f>
        <v>육해공 연볶이</v>
      </c>
      <c r="B3179" s="2" t="str">
        <f>IFERROR(__xludf.DUMMYFUNCTION("""COMPUTED_VALUE"""),"고춧가루")</f>
        <v>고춧가루</v>
      </c>
    </row>
    <row r="3180">
      <c r="A3180" s="2" t="str">
        <f>IFERROR(__xludf.DUMMYFUNCTION("""COMPUTED_VALUE"""),"육해공 연볶이")</f>
        <v>육해공 연볶이</v>
      </c>
      <c r="B3180" s="2" t="str">
        <f>IFERROR(__xludf.DUMMYFUNCTION("""COMPUTED_VALUE"""),"설탕")</f>
        <v>설탕</v>
      </c>
    </row>
    <row r="3181">
      <c r="A3181" s="2" t="str">
        <f>IFERROR(__xludf.DUMMYFUNCTION("""COMPUTED_VALUE"""),"육해공 연볶이")</f>
        <v>육해공 연볶이</v>
      </c>
      <c r="B3181" s="2" t="str">
        <f>IFERROR(__xludf.DUMMYFUNCTION("""COMPUTED_VALUE"""),"간장")</f>
        <v>간장</v>
      </c>
    </row>
    <row r="3182">
      <c r="A3182" s="2" t="str">
        <f>IFERROR(__xludf.DUMMYFUNCTION("""COMPUTED_VALUE"""),"육해공 연볶이")</f>
        <v>육해공 연볶이</v>
      </c>
      <c r="B3182" s="2" t="str">
        <f>IFERROR(__xludf.DUMMYFUNCTION("""COMPUTED_VALUE"""),"청주")</f>
        <v>청주</v>
      </c>
    </row>
    <row r="3183">
      <c r="A3183" s="2" t="str">
        <f>IFERROR(__xludf.DUMMYFUNCTION("""COMPUTED_VALUE"""),"너는 힙합! 나는 햄팝!")</f>
        <v>너는 힙합! 나는 햄팝!</v>
      </c>
      <c r="B3183" s="2" t="str">
        <f>IFERROR(__xludf.DUMMYFUNCTION("""COMPUTED_VALUE"""),"통조림 햄")</f>
        <v>통조림 햄</v>
      </c>
    </row>
    <row r="3184">
      <c r="A3184" s="2" t="str">
        <f>IFERROR(__xludf.DUMMYFUNCTION("""COMPUTED_VALUE"""),"너는 힙합! 나는 햄팝!")</f>
        <v>너는 힙합! 나는 햄팝!</v>
      </c>
      <c r="B3184" s="2" t="str">
        <f>IFERROR(__xludf.DUMMYFUNCTION("""COMPUTED_VALUE"""),"땅콩버터")</f>
        <v>땅콩버터</v>
      </c>
    </row>
    <row r="3185">
      <c r="A3185" s="2" t="str">
        <f>IFERROR(__xludf.DUMMYFUNCTION("""COMPUTED_VALUE"""),"너는 힙합! 나는 햄팝!")</f>
        <v>너는 힙합! 나는 햄팝!</v>
      </c>
      <c r="B3185" s="2" t="str">
        <f>IFERROR(__xludf.DUMMYFUNCTION("""COMPUTED_VALUE"""),"설탕")</f>
        <v>설탕</v>
      </c>
    </row>
    <row r="3186">
      <c r="A3186" s="2" t="str">
        <f>IFERROR(__xludf.DUMMYFUNCTION("""COMPUTED_VALUE"""),"너는 힙합! 나는 햄팝!")</f>
        <v>너는 힙합! 나는 햄팝!</v>
      </c>
      <c r="B3186" s="2" t="str">
        <f>IFERROR(__xludf.DUMMYFUNCTION("""COMPUTED_VALUE"""),"밀가루")</f>
        <v>밀가루</v>
      </c>
    </row>
    <row r="3187">
      <c r="A3187" s="2" t="str">
        <f>IFERROR(__xludf.DUMMYFUNCTION("""COMPUTED_VALUE"""),"너는 힙합! 나는 햄팝!")</f>
        <v>너는 힙합! 나는 햄팝!</v>
      </c>
      <c r="B3187" s="2" t="str">
        <f>IFERROR(__xludf.DUMMYFUNCTION("""COMPUTED_VALUE"""),"전분")</f>
        <v>전분</v>
      </c>
    </row>
    <row r="3188">
      <c r="A3188" s="2" t="str">
        <f>IFERROR(__xludf.DUMMYFUNCTION("""COMPUTED_VALUE"""),"쌈삼한 리소토")</f>
        <v>쌈삼한 리소토</v>
      </c>
      <c r="B3188" s="2" t="str">
        <f>IFERROR(__xludf.DUMMYFUNCTION("""COMPUTED_VALUE"""),"얼린 밥")</f>
        <v>얼린 밥</v>
      </c>
    </row>
    <row r="3189">
      <c r="A3189" s="2" t="str">
        <f>IFERROR(__xludf.DUMMYFUNCTION("""COMPUTED_VALUE"""),"쌈삼한 리소토")</f>
        <v>쌈삼한 리소토</v>
      </c>
      <c r="B3189" s="2" t="str">
        <f>IFERROR(__xludf.DUMMYFUNCTION("""COMPUTED_VALUE"""),"삼계탕")</f>
        <v>삼계탕</v>
      </c>
    </row>
    <row r="3190">
      <c r="A3190" s="2" t="str">
        <f>IFERROR(__xludf.DUMMYFUNCTION("""COMPUTED_VALUE"""),"쌈삼한 리소토")</f>
        <v>쌈삼한 리소토</v>
      </c>
      <c r="B3190" s="2" t="str">
        <f>IFERROR(__xludf.DUMMYFUNCTION("""COMPUTED_VALUE"""),"꽃게맛 과자")</f>
        <v>꽃게맛 과자</v>
      </c>
    </row>
    <row r="3191">
      <c r="A3191" s="2" t="str">
        <f>IFERROR(__xludf.DUMMYFUNCTION("""COMPUTED_VALUE"""),"쌈삼한 리소토")</f>
        <v>쌈삼한 리소토</v>
      </c>
      <c r="B3191" s="2" t="str">
        <f>IFERROR(__xludf.DUMMYFUNCTION("""COMPUTED_VALUE"""),"치즈맛 과자")</f>
        <v>치즈맛 과자</v>
      </c>
    </row>
    <row r="3192">
      <c r="A3192" s="2" t="str">
        <f>IFERROR(__xludf.DUMMYFUNCTION("""COMPUTED_VALUE"""),"쌈삼한 리소토")</f>
        <v>쌈삼한 리소토</v>
      </c>
      <c r="B3192" s="2" t="str">
        <f>IFERROR(__xludf.DUMMYFUNCTION("""COMPUTED_VALUE"""),"묵은지")</f>
        <v>묵은지</v>
      </c>
    </row>
    <row r="3193">
      <c r="A3193" s="2" t="str">
        <f>IFERROR(__xludf.DUMMYFUNCTION("""COMPUTED_VALUE"""),"쌈삼한 리소토")</f>
        <v>쌈삼한 리소토</v>
      </c>
      <c r="B3193" s="2" t="str">
        <f>IFERROR(__xludf.DUMMYFUNCTION("""COMPUTED_VALUE"""),"무김치")</f>
        <v>무김치</v>
      </c>
    </row>
    <row r="3194">
      <c r="A3194" s="2" t="str">
        <f>IFERROR(__xludf.DUMMYFUNCTION("""COMPUTED_VALUE"""),"쌈삼한 리소토")</f>
        <v>쌈삼한 리소토</v>
      </c>
      <c r="B3194" s="2" t="str">
        <f>IFERROR(__xludf.DUMMYFUNCTION("""COMPUTED_VALUE"""),"파르메산 치즈분말")</f>
        <v>파르메산 치즈분말</v>
      </c>
    </row>
    <row r="3195">
      <c r="A3195" s="2" t="str">
        <f>IFERROR(__xludf.DUMMYFUNCTION("""COMPUTED_VALUE"""),"쌈삼한 리소토")</f>
        <v>쌈삼한 리소토</v>
      </c>
      <c r="B3195" s="2" t="str">
        <f>IFERROR(__xludf.DUMMYFUNCTION("""COMPUTED_VALUE"""),"깨")</f>
        <v>깨</v>
      </c>
    </row>
    <row r="3196">
      <c r="A3196" s="2" t="str">
        <f>IFERROR(__xludf.DUMMYFUNCTION("""COMPUTED_VALUE"""),"쌈삼한 리소토")</f>
        <v>쌈삼한 리소토</v>
      </c>
      <c r="B3196" s="2" t="str">
        <f>IFERROR(__xludf.DUMMYFUNCTION("""COMPUTED_VALUE"""),"양파")</f>
        <v>양파</v>
      </c>
    </row>
    <row r="3197">
      <c r="A3197" s="2" t="str">
        <f>IFERROR(__xludf.DUMMYFUNCTION("""COMPUTED_VALUE"""),"쌈삼한 리소토")</f>
        <v>쌈삼한 리소토</v>
      </c>
      <c r="B3197" s="2" t="str">
        <f>IFERROR(__xludf.DUMMYFUNCTION("""COMPUTED_VALUE"""),"청양고추")</f>
        <v>청양고추</v>
      </c>
    </row>
    <row r="3198">
      <c r="A3198" s="2" t="str">
        <f>IFERROR(__xludf.DUMMYFUNCTION("""COMPUTED_VALUE"""),"쌈삼한 리소토")</f>
        <v>쌈삼한 리소토</v>
      </c>
      <c r="B3198" s="2" t="str">
        <f>IFERROR(__xludf.DUMMYFUNCTION("""COMPUTED_VALUE"""),"다진 마늘")</f>
        <v>다진 마늘</v>
      </c>
    </row>
    <row r="3199">
      <c r="A3199" s="2" t="str">
        <f>IFERROR(__xludf.DUMMYFUNCTION("""COMPUTED_VALUE"""),"쌈삼한 리소토")</f>
        <v>쌈삼한 리소토</v>
      </c>
      <c r="B3199" s="2" t="str">
        <f>IFERROR(__xludf.DUMMYFUNCTION("""COMPUTED_VALUE"""),"소금")</f>
        <v>소금</v>
      </c>
    </row>
    <row r="3200">
      <c r="A3200" s="2" t="str">
        <f>IFERROR(__xludf.DUMMYFUNCTION("""COMPUTED_VALUE"""),"쌈삼한 리소토")</f>
        <v>쌈삼한 리소토</v>
      </c>
      <c r="B3200" s="2" t="str">
        <f>IFERROR(__xludf.DUMMYFUNCTION("""COMPUTED_VALUE"""),"후추")</f>
        <v>후추</v>
      </c>
    </row>
    <row r="3201">
      <c r="A3201" s="2" t="str">
        <f>IFERROR(__xludf.DUMMYFUNCTION("""COMPUTED_VALUE"""),"쌈삼한 리소토")</f>
        <v>쌈삼한 리소토</v>
      </c>
      <c r="B3201" s="2" t="str">
        <f>IFERROR(__xludf.DUMMYFUNCTION("""COMPUTED_VALUE"""),"고춧가루")</f>
        <v>고춧가루</v>
      </c>
    </row>
    <row r="3202">
      <c r="A3202" s="2" t="str">
        <f>IFERROR(__xludf.DUMMYFUNCTION("""COMPUTED_VALUE"""),"쌈삼한 리소토")</f>
        <v>쌈삼한 리소토</v>
      </c>
      <c r="B3202" s="2" t="str">
        <f>IFERROR(__xludf.DUMMYFUNCTION("""COMPUTED_VALUE"""),"버터")</f>
        <v>버터</v>
      </c>
    </row>
    <row r="3203">
      <c r="A3203" s="2" t="str">
        <f>IFERROR(__xludf.DUMMYFUNCTION("""COMPUTED_VALUE"""),"쌈닭 파스타")</f>
        <v>쌈닭 파스타</v>
      </c>
      <c r="B3203" s="2" t="str">
        <f>IFERROR(__xludf.DUMMYFUNCTION("""COMPUTED_VALUE"""),"갈비탕")</f>
        <v>갈비탕</v>
      </c>
    </row>
    <row r="3204">
      <c r="A3204" s="2" t="str">
        <f>IFERROR(__xludf.DUMMYFUNCTION("""COMPUTED_VALUE"""),"쌈닭 파스타")</f>
        <v>쌈닭 파스타</v>
      </c>
      <c r="B3204" s="2" t="str">
        <f>IFERROR(__xludf.DUMMYFUNCTION("""COMPUTED_VALUE"""),"파스타면")</f>
        <v>파스타면</v>
      </c>
    </row>
    <row r="3205">
      <c r="A3205" s="2" t="str">
        <f>IFERROR(__xludf.DUMMYFUNCTION("""COMPUTED_VALUE"""),"쌈닭 파스타")</f>
        <v>쌈닭 파스타</v>
      </c>
      <c r="B3205" s="2" t="str">
        <f>IFERROR(__xludf.DUMMYFUNCTION("""COMPUTED_VALUE"""),"매운 양념숯불치킨")</f>
        <v>매운 양념숯불치킨</v>
      </c>
    </row>
    <row r="3206">
      <c r="A3206" s="2" t="str">
        <f>IFERROR(__xludf.DUMMYFUNCTION("""COMPUTED_VALUE"""),"쌈닭 파스타")</f>
        <v>쌈닭 파스타</v>
      </c>
      <c r="B3206" s="2" t="str">
        <f>IFERROR(__xludf.DUMMYFUNCTION("""COMPUTED_VALUE"""),"유자소주")</f>
        <v>유자소주</v>
      </c>
    </row>
    <row r="3207">
      <c r="A3207" s="2" t="str">
        <f>IFERROR(__xludf.DUMMYFUNCTION("""COMPUTED_VALUE"""),"쌈닭 파스타")</f>
        <v>쌈닭 파스타</v>
      </c>
      <c r="B3207" s="2" t="str">
        <f>IFERROR(__xludf.DUMMYFUNCTION("""COMPUTED_VALUE"""),"차르메산 치즈분말")</f>
        <v>차르메산 치즈분말</v>
      </c>
    </row>
    <row r="3208">
      <c r="A3208" s="2" t="str">
        <f>IFERROR(__xludf.DUMMYFUNCTION("""COMPUTED_VALUE"""),"쌈닭 파스타")</f>
        <v>쌈닭 파스타</v>
      </c>
      <c r="B3208" s="2" t="str">
        <f>IFERROR(__xludf.DUMMYFUNCTION("""COMPUTED_VALUE"""),"당근")</f>
        <v>당근</v>
      </c>
    </row>
    <row r="3209">
      <c r="A3209" s="2" t="str">
        <f>IFERROR(__xludf.DUMMYFUNCTION("""COMPUTED_VALUE"""),"쌈닭 파스타")</f>
        <v>쌈닭 파스타</v>
      </c>
      <c r="B3209" s="2" t="str">
        <f>IFERROR(__xludf.DUMMYFUNCTION("""COMPUTED_VALUE"""),"양파")</f>
        <v>양파</v>
      </c>
    </row>
    <row r="3210">
      <c r="A3210" s="2" t="str">
        <f>IFERROR(__xludf.DUMMYFUNCTION("""COMPUTED_VALUE"""),"쌈닭 파스타")</f>
        <v>쌈닭 파스타</v>
      </c>
      <c r="B3210" s="2" t="str">
        <f>IFERROR(__xludf.DUMMYFUNCTION("""COMPUTED_VALUE"""),"마늘")</f>
        <v>마늘</v>
      </c>
    </row>
    <row r="3211">
      <c r="A3211" s="2" t="str">
        <f>IFERROR(__xludf.DUMMYFUNCTION("""COMPUTED_VALUE"""),"쌈닭 파스타")</f>
        <v>쌈닭 파스타</v>
      </c>
      <c r="B3211" s="2" t="str">
        <f>IFERROR(__xludf.DUMMYFUNCTION("""COMPUTED_VALUE"""),"후추")</f>
        <v>후추</v>
      </c>
    </row>
    <row r="3212">
      <c r="A3212" s="2" t="str">
        <f>IFERROR(__xludf.DUMMYFUNCTION("""COMPUTED_VALUE"""),"쌈닭 파스타")</f>
        <v>쌈닭 파스타</v>
      </c>
      <c r="B3212" s="2" t="str">
        <f>IFERROR(__xludf.DUMMYFUNCTION("""COMPUTED_VALUE"""),"소금")</f>
        <v>소금</v>
      </c>
    </row>
    <row r="3213">
      <c r="A3213" s="2" t="str">
        <f>IFERROR(__xludf.DUMMYFUNCTION("""COMPUTED_VALUE"""),"소울 푸드의 고참")</f>
        <v>소울 푸드의 고참</v>
      </c>
      <c r="B3213" s="2" t="str">
        <f>IFERROR(__xludf.DUMMYFUNCTION("""COMPUTED_VALUE"""),"스위트콘 통조림")</f>
        <v>스위트콘 통조림</v>
      </c>
    </row>
    <row r="3214">
      <c r="A3214" s="2" t="str">
        <f>IFERROR(__xludf.DUMMYFUNCTION("""COMPUTED_VALUE"""),"소울 푸드의 고참")</f>
        <v>소울 푸드의 고참</v>
      </c>
      <c r="B3214" s="2" t="str">
        <f>IFERROR(__xludf.DUMMYFUNCTION("""COMPUTED_VALUE"""),"고추참치 통조림")</f>
        <v>고추참치 통조림</v>
      </c>
    </row>
    <row r="3215">
      <c r="A3215" s="2" t="str">
        <f>IFERROR(__xludf.DUMMYFUNCTION("""COMPUTED_VALUE"""),"소울 푸드의 고참")</f>
        <v>소울 푸드의 고참</v>
      </c>
      <c r="B3215" s="2" t="str">
        <f>IFERROR(__xludf.DUMMYFUNCTION("""COMPUTED_VALUE"""),"토마토 소스")</f>
        <v>토마토 소스</v>
      </c>
    </row>
    <row r="3216">
      <c r="A3216" s="2" t="str">
        <f>IFERROR(__xludf.DUMMYFUNCTION("""COMPUTED_VALUE"""),"소울 푸드의 고참")</f>
        <v>소울 푸드의 고참</v>
      </c>
      <c r="B3216" s="2" t="str">
        <f>IFERROR(__xludf.DUMMYFUNCTION("""COMPUTED_VALUE"""),"당근")</f>
        <v>당근</v>
      </c>
    </row>
    <row r="3217">
      <c r="A3217" s="2" t="str">
        <f>IFERROR(__xludf.DUMMYFUNCTION("""COMPUTED_VALUE"""),"소울 푸드의 고참")</f>
        <v>소울 푸드의 고참</v>
      </c>
      <c r="B3217" s="2" t="str">
        <f>IFERROR(__xludf.DUMMYFUNCTION("""COMPUTED_VALUE"""),"양파")</f>
        <v>양파</v>
      </c>
    </row>
    <row r="3218">
      <c r="A3218" s="2" t="str">
        <f>IFERROR(__xludf.DUMMYFUNCTION("""COMPUTED_VALUE"""),"소울 푸드의 고참")</f>
        <v>소울 푸드의 고참</v>
      </c>
      <c r="B3218" s="2" t="str">
        <f>IFERROR(__xludf.DUMMYFUNCTION("""COMPUTED_VALUE"""),"마늘")</f>
        <v>마늘</v>
      </c>
    </row>
    <row r="3219">
      <c r="A3219" s="2" t="str">
        <f>IFERROR(__xludf.DUMMYFUNCTION("""COMPUTED_VALUE"""),"소울 푸드의 고참")</f>
        <v>소울 푸드의 고참</v>
      </c>
      <c r="B3219" s="2" t="str">
        <f>IFERROR(__xludf.DUMMYFUNCTION("""COMPUTED_VALUE"""),"설탕")</f>
        <v>설탕</v>
      </c>
    </row>
    <row r="3220">
      <c r="A3220" s="2" t="str">
        <f>IFERROR(__xludf.DUMMYFUNCTION("""COMPUTED_VALUE"""),"소울 푸드의 고참")</f>
        <v>소울 푸드의 고참</v>
      </c>
      <c r="B3220" s="2" t="str">
        <f>IFERROR(__xludf.DUMMYFUNCTION("""COMPUTED_VALUE"""),"마요네즈")</f>
        <v>마요네즈</v>
      </c>
    </row>
    <row r="3221">
      <c r="A3221" s="2" t="str">
        <f>IFERROR(__xludf.DUMMYFUNCTION("""COMPUTED_VALUE"""),"소울 푸드의 고참")</f>
        <v>소울 푸드의 고참</v>
      </c>
      <c r="B3221" s="2" t="str">
        <f>IFERROR(__xludf.DUMMYFUNCTION("""COMPUTED_VALUE"""),"버터")</f>
        <v>버터</v>
      </c>
    </row>
    <row r="3222">
      <c r="A3222" s="2" t="str">
        <f>IFERROR(__xludf.DUMMYFUNCTION("""COMPUTED_VALUE"""),"소울 푸드의 고참")</f>
        <v>소울 푸드의 고참</v>
      </c>
      <c r="B3222" s="2" t="str">
        <f>IFERROR(__xludf.DUMMYFUNCTION("""COMPUTED_VALUE"""),"레몬")</f>
        <v>레몬</v>
      </c>
    </row>
    <row r="3223">
      <c r="A3223" s="2" t="str">
        <f>IFERROR(__xludf.DUMMYFUNCTION("""COMPUTED_VALUE"""),"소울 푸드의 고참")</f>
        <v>소울 푸드의 고참</v>
      </c>
      <c r="B3223" s="2" t="str">
        <f>IFERROR(__xludf.DUMMYFUNCTION("""COMPUTED_VALUE"""),"올리브오일")</f>
        <v>올리브오일</v>
      </c>
    </row>
    <row r="3224">
      <c r="A3224" s="2" t="str">
        <f>IFERROR(__xludf.DUMMYFUNCTION("""COMPUTED_VALUE"""),"소울 푸드의 고참")</f>
        <v>소울 푸드의 고참</v>
      </c>
      <c r="B3224" s="2" t="str">
        <f>IFERROR(__xludf.DUMMYFUNCTION("""COMPUTED_VALUE"""),"소금")</f>
        <v>소금</v>
      </c>
    </row>
    <row r="3225">
      <c r="A3225" s="2" t="str">
        <f>IFERROR(__xludf.DUMMYFUNCTION("""COMPUTED_VALUE"""),"소울 푸드의 고참")</f>
        <v>소울 푸드의 고참</v>
      </c>
      <c r="B3225" s="2" t="str">
        <f>IFERROR(__xludf.DUMMYFUNCTION("""COMPUTED_VALUE"""),"후추")</f>
        <v>후추</v>
      </c>
    </row>
    <row r="3226">
      <c r="A3226" s="2" t="str">
        <f>IFERROR(__xludf.DUMMYFUNCTION("""COMPUTED_VALUE"""),"소울 푸드의 고참")</f>
        <v>소울 푸드의 고참</v>
      </c>
      <c r="B3226" s="2" t="str">
        <f>IFERROR(__xludf.DUMMYFUNCTION("""COMPUTED_VALUE"""),"맛술")</f>
        <v>맛술</v>
      </c>
    </row>
    <row r="3227">
      <c r="A3227" s="2" t="str">
        <f>IFERROR(__xludf.DUMMYFUNCTION("""COMPUTED_VALUE"""),"소울 푸드의 고참")</f>
        <v>소울 푸드의 고참</v>
      </c>
      <c r="B3227" s="2" t="str">
        <f>IFERROR(__xludf.DUMMYFUNCTION("""COMPUTED_VALUE"""),"간장")</f>
        <v>간장</v>
      </c>
    </row>
    <row r="3228">
      <c r="A3228" s="2" t="str">
        <f>IFERROR(__xludf.DUMMYFUNCTION("""COMPUTED_VALUE"""),"소울 푸드의 고참")</f>
        <v>소울 푸드의 고참</v>
      </c>
      <c r="B3228" s="2" t="str">
        <f>IFERROR(__xludf.DUMMYFUNCTION("""COMPUTED_VALUE"""),"전분")</f>
        <v>전분</v>
      </c>
    </row>
    <row r="3229">
      <c r="A3229" s="2" t="str">
        <f>IFERROR(__xludf.DUMMYFUNCTION("""COMPUTED_VALUE"""),"소울 푸드의 고참")</f>
        <v>소울 푸드의 고참</v>
      </c>
      <c r="B3229" s="2" t="str">
        <f>IFERROR(__xludf.DUMMYFUNCTION("""COMPUTED_VALUE"""),"즉석밥")</f>
        <v>즉석밥</v>
      </c>
    </row>
    <row r="3230">
      <c r="A3230" s="2" t="str">
        <f>IFERROR(__xludf.DUMMYFUNCTION("""COMPUTED_VALUE"""),"옥수스웨그 팬케이크")</f>
        <v>옥수스웨그 팬케이크</v>
      </c>
      <c r="B3230" s="2" t="str">
        <f>IFERROR(__xludf.DUMMYFUNCTION("""COMPUTED_VALUE"""),"인스턴트 체다치즈 수프")</f>
        <v>인스턴트 체다치즈 수프</v>
      </c>
    </row>
    <row r="3231">
      <c r="A3231" s="2" t="str">
        <f>IFERROR(__xludf.DUMMYFUNCTION("""COMPUTED_VALUE"""),"옥수스웨그 팬케이크")</f>
        <v>옥수스웨그 팬케이크</v>
      </c>
      <c r="B3231" s="2" t="str">
        <f>IFERROR(__xludf.DUMMYFUNCTION("""COMPUTED_VALUE"""),"파르메산 치즈분말")</f>
        <v>파르메산 치즈분말</v>
      </c>
    </row>
    <row r="3232">
      <c r="A3232" s="2" t="str">
        <f>IFERROR(__xludf.DUMMYFUNCTION("""COMPUTED_VALUE"""),"옥수스웨그 팬케이크")</f>
        <v>옥수스웨그 팬케이크</v>
      </c>
      <c r="B3232" s="2" t="str">
        <f>IFERROR(__xludf.DUMMYFUNCTION("""COMPUTED_VALUE"""),"매운 양념숯불치킨")</f>
        <v>매운 양념숯불치킨</v>
      </c>
    </row>
    <row r="3233">
      <c r="A3233" s="2" t="str">
        <f>IFERROR(__xludf.DUMMYFUNCTION("""COMPUTED_VALUE"""),"옥수스웨그 팬케이크")</f>
        <v>옥수스웨그 팬케이크</v>
      </c>
      <c r="B3233" s="2" t="str">
        <f>IFERROR(__xludf.DUMMYFUNCTION("""COMPUTED_VALUE"""),"스위트콘 통조림")</f>
        <v>스위트콘 통조림</v>
      </c>
    </row>
    <row r="3234">
      <c r="A3234" s="2" t="str">
        <f>IFERROR(__xludf.DUMMYFUNCTION("""COMPUTED_VALUE"""),"옥수스웨그 팬케이크")</f>
        <v>옥수스웨그 팬케이크</v>
      </c>
      <c r="B3234" s="2" t="str">
        <f>IFERROR(__xludf.DUMMYFUNCTION("""COMPUTED_VALUE"""),"오이피클")</f>
        <v>오이피클</v>
      </c>
    </row>
    <row r="3235">
      <c r="A3235" s="2" t="str">
        <f>IFERROR(__xludf.DUMMYFUNCTION("""COMPUTED_VALUE"""),"옥수스웨그 팬케이크")</f>
        <v>옥수스웨그 팬케이크</v>
      </c>
      <c r="B3235" s="2" t="str">
        <f>IFERROR(__xludf.DUMMYFUNCTION("""COMPUTED_VALUE"""),"고추참치 통조림")</f>
        <v>고추참치 통조림</v>
      </c>
    </row>
    <row r="3236">
      <c r="A3236" s="2" t="str">
        <f>IFERROR(__xludf.DUMMYFUNCTION("""COMPUTED_VALUE"""),"옥수스웨그 팬케이크")</f>
        <v>옥수스웨그 팬케이크</v>
      </c>
      <c r="B3236" s="2" t="str">
        <f>IFERROR(__xludf.DUMMYFUNCTION("""COMPUTED_VALUE"""),"토마토 소스")</f>
        <v>토마토 소스</v>
      </c>
    </row>
    <row r="3237">
      <c r="A3237" s="2" t="str">
        <f>IFERROR(__xludf.DUMMYFUNCTION("""COMPUTED_VALUE"""),"옥수스웨그 팬케이크")</f>
        <v>옥수스웨그 팬케이크</v>
      </c>
      <c r="B3237" s="2" t="str">
        <f>IFERROR(__xludf.DUMMYFUNCTION("""COMPUTED_VALUE"""),"달걀")</f>
        <v>달걀</v>
      </c>
    </row>
    <row r="3238">
      <c r="A3238" s="2" t="str">
        <f>IFERROR(__xludf.DUMMYFUNCTION("""COMPUTED_VALUE"""),"옥수스웨그 팬케이크")</f>
        <v>옥수스웨그 팬케이크</v>
      </c>
      <c r="B3238" s="2" t="str">
        <f>IFERROR(__xludf.DUMMYFUNCTION("""COMPUTED_VALUE"""),"양파")</f>
        <v>양파</v>
      </c>
    </row>
    <row r="3239">
      <c r="A3239" s="2" t="str">
        <f>IFERROR(__xludf.DUMMYFUNCTION("""COMPUTED_VALUE"""),"옥수스웨그 팬케이크")</f>
        <v>옥수스웨그 팬케이크</v>
      </c>
      <c r="B3239" s="2" t="str">
        <f>IFERROR(__xludf.DUMMYFUNCTION("""COMPUTED_VALUE"""),"청양고추")</f>
        <v>청양고추</v>
      </c>
    </row>
    <row r="3240">
      <c r="A3240" s="2" t="str">
        <f>IFERROR(__xludf.DUMMYFUNCTION("""COMPUTED_VALUE"""),"옥수스웨그 팬케이크")</f>
        <v>옥수스웨그 팬케이크</v>
      </c>
      <c r="B3240" s="2" t="str">
        <f>IFERROR(__xludf.DUMMYFUNCTION("""COMPUTED_VALUE"""),"밀가루")</f>
        <v>밀가루</v>
      </c>
    </row>
    <row r="3241">
      <c r="A3241" s="2" t="str">
        <f>IFERROR(__xludf.DUMMYFUNCTION("""COMPUTED_VALUE"""),"옥수스웨그 팬케이크")</f>
        <v>옥수스웨그 팬케이크</v>
      </c>
      <c r="B3241" s="2" t="str">
        <f>IFERROR(__xludf.DUMMYFUNCTION("""COMPUTED_VALUE"""),"소금")</f>
        <v>소금</v>
      </c>
    </row>
    <row r="3242">
      <c r="A3242" s="2" t="str">
        <f>IFERROR(__xludf.DUMMYFUNCTION("""COMPUTED_VALUE"""),"옥수스웨그 팬케이크")</f>
        <v>옥수스웨그 팬케이크</v>
      </c>
      <c r="B3242" s="2" t="str">
        <f>IFERROR(__xludf.DUMMYFUNCTION("""COMPUTED_VALUE"""),"후추")</f>
        <v>후추</v>
      </c>
    </row>
    <row r="3243">
      <c r="A3243" s="2" t="str">
        <f>IFERROR(__xludf.DUMMYFUNCTION("""COMPUTED_VALUE"""),"옥수스웨그 팬케이크")</f>
        <v>옥수스웨그 팬케이크</v>
      </c>
      <c r="B3243" s="2" t="str">
        <f>IFERROR(__xludf.DUMMYFUNCTION("""COMPUTED_VALUE"""),"레몬")</f>
        <v>레몬</v>
      </c>
    </row>
    <row r="3244">
      <c r="A3244" s="2" t="str">
        <f>IFERROR(__xludf.DUMMYFUNCTION("""COMPUTED_VALUE"""),"등심빵빵")</f>
        <v>등심빵빵</v>
      </c>
      <c r="B3244" s="2" t="str">
        <f>IFERROR(__xludf.DUMMYFUNCTION("""COMPUTED_VALUE"""),"등심")</f>
        <v>등심</v>
      </c>
    </row>
    <row r="3245">
      <c r="A3245" s="2" t="str">
        <f>IFERROR(__xludf.DUMMYFUNCTION("""COMPUTED_VALUE"""),"등심빵빵")</f>
        <v>등심빵빵</v>
      </c>
      <c r="B3245" s="2" t="str">
        <f>IFERROR(__xludf.DUMMYFUNCTION("""COMPUTED_VALUE"""),"식빵")</f>
        <v>식빵</v>
      </c>
    </row>
    <row r="3246">
      <c r="A3246" s="2" t="str">
        <f>IFERROR(__xludf.DUMMYFUNCTION("""COMPUTED_VALUE"""),"등심빵빵")</f>
        <v>등심빵빵</v>
      </c>
      <c r="B3246" s="2" t="str">
        <f>IFERROR(__xludf.DUMMYFUNCTION("""COMPUTED_VALUE"""),"매실맛 후리카케")</f>
        <v>매실맛 후리카케</v>
      </c>
    </row>
    <row r="3247">
      <c r="A3247" s="2" t="str">
        <f>IFERROR(__xludf.DUMMYFUNCTION("""COMPUTED_VALUE"""),"등심빵빵")</f>
        <v>등심빵빵</v>
      </c>
      <c r="B3247" s="2" t="str">
        <f>IFERROR(__xludf.DUMMYFUNCTION("""COMPUTED_VALUE"""),"석류알")</f>
        <v>석류알</v>
      </c>
    </row>
    <row r="3248">
      <c r="A3248" s="2" t="str">
        <f>IFERROR(__xludf.DUMMYFUNCTION("""COMPUTED_VALUE"""),"등심빵빵")</f>
        <v>등심빵빵</v>
      </c>
      <c r="B3248" s="2" t="str">
        <f>IFERROR(__xludf.DUMMYFUNCTION("""COMPUTED_VALUE"""),"달걀")</f>
        <v>달걀</v>
      </c>
    </row>
    <row r="3249">
      <c r="A3249" s="2" t="str">
        <f>IFERROR(__xludf.DUMMYFUNCTION("""COMPUTED_VALUE"""),"등심빵빵")</f>
        <v>등심빵빵</v>
      </c>
      <c r="B3249" s="2" t="str">
        <f>IFERROR(__xludf.DUMMYFUNCTION("""COMPUTED_VALUE"""),"버터")</f>
        <v>버터</v>
      </c>
    </row>
    <row r="3250">
      <c r="A3250" s="2" t="str">
        <f>IFERROR(__xludf.DUMMYFUNCTION("""COMPUTED_VALUE"""),"등심빵빵")</f>
        <v>등심빵빵</v>
      </c>
      <c r="B3250" s="2" t="str">
        <f>IFERROR(__xludf.DUMMYFUNCTION("""COMPUTED_VALUE"""),"다진 생강")</f>
        <v>다진 생강</v>
      </c>
    </row>
    <row r="3251">
      <c r="A3251" s="2" t="str">
        <f>IFERROR(__xludf.DUMMYFUNCTION("""COMPUTED_VALUE"""),"등심빵빵")</f>
        <v>등심빵빵</v>
      </c>
      <c r="B3251" s="2" t="str">
        <f>IFERROR(__xludf.DUMMYFUNCTION("""COMPUTED_VALUE"""),"전분")</f>
        <v>전분</v>
      </c>
    </row>
    <row r="3252">
      <c r="A3252" s="2" t="str">
        <f>IFERROR(__xludf.DUMMYFUNCTION("""COMPUTED_VALUE"""),"등심빵빵")</f>
        <v>등심빵빵</v>
      </c>
      <c r="B3252" s="2" t="str">
        <f>IFERROR(__xludf.DUMMYFUNCTION("""COMPUTED_VALUE"""),"케첩")</f>
        <v>케첩</v>
      </c>
    </row>
    <row r="3253">
      <c r="A3253" s="2" t="str">
        <f>IFERROR(__xludf.DUMMYFUNCTION("""COMPUTED_VALUE"""),"등심빵빵")</f>
        <v>등심빵빵</v>
      </c>
      <c r="B3253" s="2" t="str">
        <f>IFERROR(__xludf.DUMMYFUNCTION("""COMPUTED_VALUE"""),"양파")</f>
        <v>양파</v>
      </c>
    </row>
    <row r="3254">
      <c r="A3254" s="2" t="str">
        <f>IFERROR(__xludf.DUMMYFUNCTION("""COMPUTED_VALUE"""),"등심빵빵")</f>
        <v>등심빵빵</v>
      </c>
      <c r="B3254" s="2" t="str">
        <f>IFERROR(__xludf.DUMMYFUNCTION("""COMPUTED_VALUE"""),"레몬")</f>
        <v>레몬</v>
      </c>
    </row>
    <row r="3255">
      <c r="A3255" s="2" t="str">
        <f>IFERROR(__xludf.DUMMYFUNCTION("""COMPUTED_VALUE"""),"달콤하게 튀겼지우")</f>
        <v>달콤하게 튀겼지우</v>
      </c>
      <c r="B3255" s="2" t="str">
        <f>IFERROR(__xludf.DUMMYFUNCTION("""COMPUTED_VALUE"""),"사과")</f>
        <v>사과</v>
      </c>
    </row>
    <row r="3256">
      <c r="A3256" s="2" t="str">
        <f>IFERROR(__xludf.DUMMYFUNCTION("""COMPUTED_VALUE"""),"달콤하게 튀겼지우")</f>
        <v>달콤하게 튀겼지우</v>
      </c>
      <c r="B3256" s="2" t="str">
        <f>IFERROR(__xludf.DUMMYFUNCTION("""COMPUTED_VALUE"""),"브리 치즈")</f>
        <v>브리 치즈</v>
      </c>
    </row>
    <row r="3257">
      <c r="A3257" s="2" t="str">
        <f>IFERROR(__xludf.DUMMYFUNCTION("""COMPUTED_VALUE"""),"달콤하게 튀겼지우")</f>
        <v>달콤하게 튀겼지우</v>
      </c>
      <c r="B3257" s="2" t="str">
        <f>IFERROR(__xludf.DUMMYFUNCTION("""COMPUTED_VALUE"""),"블루베리")</f>
        <v>블루베리</v>
      </c>
    </row>
    <row r="3258">
      <c r="A3258" s="2" t="str">
        <f>IFERROR(__xludf.DUMMYFUNCTION("""COMPUTED_VALUE"""),"달콤하게 튀겼지우")</f>
        <v>달콤하게 튀겼지우</v>
      </c>
      <c r="B3258" s="2" t="str">
        <f>IFERROR(__xludf.DUMMYFUNCTION("""COMPUTED_VALUE"""),"스파클링 사과주스")</f>
        <v>스파클링 사과주스</v>
      </c>
    </row>
    <row r="3259">
      <c r="A3259" s="2" t="str">
        <f>IFERROR(__xludf.DUMMYFUNCTION("""COMPUTED_VALUE"""),"달콤하게 튀겼지우")</f>
        <v>달콤하게 튀겼지우</v>
      </c>
      <c r="B3259" s="2" t="str">
        <f>IFERROR(__xludf.DUMMYFUNCTION("""COMPUTED_VALUE"""),"믹스너츠")</f>
        <v>믹스너츠</v>
      </c>
    </row>
    <row r="3260">
      <c r="A3260" s="2" t="str">
        <f>IFERROR(__xludf.DUMMYFUNCTION("""COMPUTED_VALUE"""),"달콤하게 튀겼지우")</f>
        <v>달콤하게 튀겼지우</v>
      </c>
      <c r="B3260" s="2" t="str">
        <f>IFERROR(__xludf.DUMMYFUNCTION("""COMPUTED_VALUE"""),"과일맛 맥주")</f>
        <v>과일맛 맥주</v>
      </c>
    </row>
    <row r="3261">
      <c r="A3261" s="2" t="str">
        <f>IFERROR(__xludf.DUMMYFUNCTION("""COMPUTED_VALUE"""),"달콤하게 튀겼지우")</f>
        <v>달콤하게 튀겼지우</v>
      </c>
      <c r="B3261" s="2" t="str">
        <f>IFERROR(__xludf.DUMMYFUNCTION("""COMPUTED_VALUE"""),"설탕")</f>
        <v>설탕</v>
      </c>
    </row>
    <row r="3262">
      <c r="A3262" s="2" t="str">
        <f>IFERROR(__xludf.DUMMYFUNCTION("""COMPUTED_VALUE"""),"달콤하게 튀겼지우")</f>
        <v>달콤하게 튀겼지우</v>
      </c>
      <c r="B3262" s="2" t="str">
        <f>IFERROR(__xludf.DUMMYFUNCTION("""COMPUTED_VALUE"""),"달걀")</f>
        <v>달걀</v>
      </c>
    </row>
    <row r="3263">
      <c r="A3263" s="2" t="str">
        <f>IFERROR(__xludf.DUMMYFUNCTION("""COMPUTED_VALUE"""),"달콤하게 튀겼지우")</f>
        <v>달콤하게 튀겼지우</v>
      </c>
      <c r="B3263" s="2" t="str">
        <f>IFERROR(__xludf.DUMMYFUNCTION("""COMPUTED_VALUE"""),"밀가루")</f>
        <v>밀가루</v>
      </c>
    </row>
    <row r="3264">
      <c r="A3264" s="2" t="str">
        <f>IFERROR(__xludf.DUMMYFUNCTION("""COMPUTED_VALUE"""),"여심전복")</f>
        <v>여심전복</v>
      </c>
      <c r="B3264" s="2" t="str">
        <f>IFERROR(__xludf.DUMMYFUNCTION("""COMPUTED_VALUE"""),"전복")</f>
        <v>전복</v>
      </c>
    </row>
    <row r="3265">
      <c r="A3265" s="2" t="str">
        <f>IFERROR(__xludf.DUMMYFUNCTION("""COMPUTED_VALUE"""),"여심전복")</f>
        <v>여심전복</v>
      </c>
      <c r="B3265" s="2" t="str">
        <f>IFERROR(__xludf.DUMMYFUNCTION("""COMPUTED_VALUE"""),"올리브")</f>
        <v>올리브</v>
      </c>
    </row>
    <row r="3266">
      <c r="A3266" s="2" t="str">
        <f>IFERROR(__xludf.DUMMYFUNCTION("""COMPUTED_VALUE"""),"여심전복")</f>
        <v>여심전복</v>
      </c>
      <c r="B3266" s="2" t="str">
        <f>IFERROR(__xludf.DUMMYFUNCTION("""COMPUTED_VALUE"""),"케이퍼")</f>
        <v>케이퍼</v>
      </c>
    </row>
    <row r="3267">
      <c r="A3267" s="2" t="str">
        <f>IFERROR(__xludf.DUMMYFUNCTION("""COMPUTED_VALUE"""),"여심전복")</f>
        <v>여심전복</v>
      </c>
      <c r="B3267" s="2" t="str">
        <f>IFERROR(__xludf.DUMMYFUNCTION("""COMPUTED_VALUE"""),"하몬")</f>
        <v>하몬</v>
      </c>
    </row>
    <row r="3268">
      <c r="A3268" s="2" t="str">
        <f>IFERROR(__xludf.DUMMYFUNCTION("""COMPUTED_VALUE"""),"여심전복")</f>
        <v>여심전복</v>
      </c>
      <c r="B3268" s="2" t="str">
        <f>IFERROR(__xludf.DUMMYFUNCTION("""COMPUTED_VALUE"""),"석류알")</f>
        <v>석류알</v>
      </c>
    </row>
    <row r="3269">
      <c r="A3269" s="2" t="str">
        <f>IFERROR(__xludf.DUMMYFUNCTION("""COMPUTED_VALUE"""),"여심전복")</f>
        <v>여심전복</v>
      </c>
      <c r="B3269" s="2" t="str">
        <f>IFERROR(__xludf.DUMMYFUNCTION("""COMPUTED_VALUE"""),"영양부추")</f>
        <v>영양부추</v>
      </c>
    </row>
    <row r="3270">
      <c r="A3270" s="2" t="str">
        <f>IFERROR(__xludf.DUMMYFUNCTION("""COMPUTED_VALUE"""),"여심전복")</f>
        <v>여심전복</v>
      </c>
      <c r="B3270" s="2" t="str">
        <f>IFERROR(__xludf.DUMMYFUNCTION("""COMPUTED_VALUE"""),"망고맛 젤리")</f>
        <v>망고맛 젤리</v>
      </c>
    </row>
    <row r="3271">
      <c r="A3271" s="2" t="str">
        <f>IFERROR(__xludf.DUMMYFUNCTION("""COMPUTED_VALUE"""),"여심전복")</f>
        <v>여심전복</v>
      </c>
      <c r="B3271" s="2" t="str">
        <f>IFERROR(__xludf.DUMMYFUNCTION("""COMPUTED_VALUE"""),"배추")</f>
        <v>배추</v>
      </c>
    </row>
    <row r="3272">
      <c r="A3272" s="2" t="str">
        <f>IFERROR(__xludf.DUMMYFUNCTION("""COMPUTED_VALUE"""),"여심전복")</f>
        <v>여심전복</v>
      </c>
      <c r="B3272" s="2" t="str">
        <f>IFERROR(__xludf.DUMMYFUNCTION("""COMPUTED_VALUE"""),"올리브오일")</f>
        <v>올리브오일</v>
      </c>
    </row>
    <row r="3273">
      <c r="A3273" s="2" t="str">
        <f>IFERROR(__xludf.DUMMYFUNCTION("""COMPUTED_VALUE"""),"여심전복")</f>
        <v>여심전복</v>
      </c>
      <c r="B3273" s="2" t="str">
        <f>IFERROR(__xludf.DUMMYFUNCTION("""COMPUTED_VALUE"""),"소금")</f>
        <v>소금</v>
      </c>
    </row>
    <row r="3274">
      <c r="A3274" s="2" t="str">
        <f>IFERROR(__xludf.DUMMYFUNCTION("""COMPUTED_VALUE"""),"여심전복")</f>
        <v>여심전복</v>
      </c>
      <c r="B3274" s="2" t="str">
        <f>IFERROR(__xludf.DUMMYFUNCTION("""COMPUTED_VALUE"""),"레몬")</f>
        <v>레몬</v>
      </c>
    </row>
    <row r="3275">
      <c r="A3275" s="2" t="str">
        <f>IFERROR(__xludf.DUMMYFUNCTION("""COMPUTED_VALUE"""),"여식공략")</f>
        <v>여식공략</v>
      </c>
      <c r="B3275" s="2" t="str">
        <f>IFERROR(__xludf.DUMMYFUNCTION("""COMPUTED_VALUE"""),"배추")</f>
        <v>배추</v>
      </c>
    </row>
    <row r="3276">
      <c r="A3276" s="2" t="str">
        <f>IFERROR(__xludf.DUMMYFUNCTION("""COMPUTED_VALUE"""),"여식공략")</f>
        <v>여식공략</v>
      </c>
      <c r="B3276" s="2" t="str">
        <f>IFERROR(__xludf.DUMMYFUNCTION("""COMPUTED_VALUE"""),"영양부추")</f>
        <v>영양부추</v>
      </c>
    </row>
    <row r="3277">
      <c r="A3277" s="2" t="str">
        <f>IFERROR(__xludf.DUMMYFUNCTION("""COMPUTED_VALUE"""),"여식공략")</f>
        <v>여식공략</v>
      </c>
      <c r="B3277" s="2" t="str">
        <f>IFERROR(__xludf.DUMMYFUNCTION("""COMPUTED_VALUE"""),"콜라비")</f>
        <v>콜라비</v>
      </c>
    </row>
    <row r="3278">
      <c r="A3278" s="2" t="str">
        <f>IFERROR(__xludf.DUMMYFUNCTION("""COMPUTED_VALUE"""),"여식공략")</f>
        <v>여식공략</v>
      </c>
      <c r="B3278" s="2" t="str">
        <f>IFERROR(__xludf.DUMMYFUNCTION("""COMPUTED_VALUE"""),"반건조 문어다리")</f>
        <v>반건조 문어다리</v>
      </c>
    </row>
    <row r="3279">
      <c r="A3279" s="2" t="str">
        <f>IFERROR(__xludf.DUMMYFUNCTION("""COMPUTED_VALUE"""),"여식공략")</f>
        <v>여식공략</v>
      </c>
      <c r="B3279" s="2" t="str">
        <f>IFERROR(__xludf.DUMMYFUNCTION("""COMPUTED_VALUE"""),"게맛살")</f>
        <v>게맛살</v>
      </c>
    </row>
    <row r="3280">
      <c r="A3280" s="2" t="str">
        <f>IFERROR(__xludf.DUMMYFUNCTION("""COMPUTED_VALUE"""),"여식공략")</f>
        <v>여식공략</v>
      </c>
      <c r="B3280" s="2" t="str">
        <f>IFERROR(__xludf.DUMMYFUNCTION("""COMPUTED_VALUE"""),"믹스너츠")</f>
        <v>믹스너츠</v>
      </c>
    </row>
    <row r="3281">
      <c r="A3281" s="2" t="str">
        <f>IFERROR(__xludf.DUMMYFUNCTION("""COMPUTED_VALUE"""),"여식공략")</f>
        <v>여식공략</v>
      </c>
      <c r="B3281" s="2" t="str">
        <f>IFERROR(__xludf.DUMMYFUNCTION("""COMPUTED_VALUE"""),"크림치즈")</f>
        <v>크림치즈</v>
      </c>
    </row>
    <row r="3282">
      <c r="A3282" s="2" t="str">
        <f>IFERROR(__xludf.DUMMYFUNCTION("""COMPUTED_VALUE"""),"여식공략")</f>
        <v>여식공략</v>
      </c>
      <c r="B3282" s="2" t="str">
        <f>IFERROR(__xludf.DUMMYFUNCTION("""COMPUTED_VALUE"""),"아스파라거스")</f>
        <v>아스파라거스</v>
      </c>
    </row>
    <row r="3283">
      <c r="A3283" s="2" t="str">
        <f>IFERROR(__xludf.DUMMYFUNCTION("""COMPUTED_VALUE"""),"여식공략")</f>
        <v>여식공략</v>
      </c>
      <c r="B3283" s="2" t="str">
        <f>IFERROR(__xludf.DUMMYFUNCTION("""COMPUTED_VALUE"""),"두릅")</f>
        <v>두릅</v>
      </c>
    </row>
    <row r="3284">
      <c r="A3284" s="2" t="str">
        <f>IFERROR(__xludf.DUMMYFUNCTION("""COMPUTED_VALUE"""),"여식공략")</f>
        <v>여식공략</v>
      </c>
      <c r="B3284" s="2" t="str">
        <f>IFERROR(__xludf.DUMMYFUNCTION("""COMPUTED_VALUE"""),"올리브")</f>
        <v>올리브</v>
      </c>
    </row>
    <row r="3285">
      <c r="A3285" s="2" t="str">
        <f>IFERROR(__xludf.DUMMYFUNCTION("""COMPUTED_VALUE"""),"여식공략")</f>
        <v>여식공략</v>
      </c>
      <c r="B3285" s="2" t="str">
        <f>IFERROR(__xludf.DUMMYFUNCTION("""COMPUTED_VALUE"""),"아보카도")</f>
        <v>아보카도</v>
      </c>
    </row>
    <row r="3286">
      <c r="A3286" s="2" t="str">
        <f>IFERROR(__xludf.DUMMYFUNCTION("""COMPUTED_VALUE"""),"여식공략")</f>
        <v>여식공략</v>
      </c>
      <c r="B3286" s="2" t="str">
        <f>IFERROR(__xludf.DUMMYFUNCTION("""COMPUTED_VALUE"""),"발사믹 식초")</f>
        <v>발사믹 식초</v>
      </c>
    </row>
    <row r="3287">
      <c r="A3287" s="2" t="str">
        <f>IFERROR(__xludf.DUMMYFUNCTION("""COMPUTED_VALUE"""),"여식공략")</f>
        <v>여식공략</v>
      </c>
      <c r="B3287" s="2" t="str">
        <f>IFERROR(__xludf.DUMMYFUNCTION("""COMPUTED_VALUE"""),"하몬")</f>
        <v>하몬</v>
      </c>
    </row>
    <row r="3288">
      <c r="A3288" s="2" t="str">
        <f>IFERROR(__xludf.DUMMYFUNCTION("""COMPUTED_VALUE"""),"여식공략")</f>
        <v>여식공략</v>
      </c>
      <c r="B3288" s="2" t="str">
        <f>IFERROR(__xludf.DUMMYFUNCTION("""COMPUTED_VALUE"""),"올리브오일")</f>
        <v>올리브오일</v>
      </c>
    </row>
    <row r="3289">
      <c r="A3289" s="2" t="str">
        <f>IFERROR(__xludf.DUMMYFUNCTION("""COMPUTED_VALUE"""),"여식공략")</f>
        <v>여식공략</v>
      </c>
      <c r="B3289" s="2" t="str">
        <f>IFERROR(__xludf.DUMMYFUNCTION("""COMPUTED_VALUE"""),"후추")</f>
        <v>후추</v>
      </c>
    </row>
    <row r="3290">
      <c r="A3290" s="2" t="str">
        <f>IFERROR(__xludf.DUMMYFUNCTION("""COMPUTED_VALUE"""),"여식공략")</f>
        <v>여식공략</v>
      </c>
      <c r="B3290" s="2" t="str">
        <f>IFERROR(__xludf.DUMMYFUNCTION("""COMPUTED_VALUE"""),"레몬")</f>
        <v>레몬</v>
      </c>
    </row>
    <row r="3291">
      <c r="A3291" s="2" t="str">
        <f>IFERROR(__xludf.DUMMYFUNCTION("""COMPUTED_VALUE"""),"여식공략")</f>
        <v>여식공략</v>
      </c>
      <c r="B3291" s="2" t="str">
        <f>IFERROR(__xludf.DUMMYFUNCTION("""COMPUTED_VALUE"""),"소금")</f>
        <v>소금</v>
      </c>
    </row>
    <row r="3292">
      <c r="A3292" s="2" t="str">
        <f>IFERROR(__xludf.DUMMYFUNCTION("""COMPUTED_VALUE"""),"최후의 소보로")</f>
        <v>최후의 소보로</v>
      </c>
      <c r="B3292" s="2" t="str">
        <f>IFERROR(__xludf.DUMMYFUNCTION("""COMPUTED_VALUE"""),"식빵")</f>
        <v>식빵</v>
      </c>
    </row>
    <row r="3293">
      <c r="A3293" s="2" t="str">
        <f>IFERROR(__xludf.DUMMYFUNCTION("""COMPUTED_VALUE"""),"최후의 소보로")</f>
        <v>최후의 소보로</v>
      </c>
      <c r="B3293" s="2" t="str">
        <f>IFERROR(__xludf.DUMMYFUNCTION("""COMPUTED_VALUE"""),"잣")</f>
        <v>잣</v>
      </c>
    </row>
    <row r="3294">
      <c r="A3294" s="2" t="str">
        <f>IFERROR(__xludf.DUMMYFUNCTION("""COMPUTED_VALUE"""),"최후의 소보로")</f>
        <v>최후의 소보로</v>
      </c>
      <c r="B3294" s="2" t="str">
        <f>IFERROR(__xludf.DUMMYFUNCTION("""COMPUTED_VALUE"""),"우유")</f>
        <v>우유</v>
      </c>
    </row>
    <row r="3295">
      <c r="A3295" s="2" t="str">
        <f>IFERROR(__xludf.DUMMYFUNCTION("""COMPUTED_VALUE"""),"최후의 소보로")</f>
        <v>최후의 소보로</v>
      </c>
      <c r="B3295" s="2" t="str">
        <f>IFERROR(__xludf.DUMMYFUNCTION("""COMPUTED_VALUE"""),"달걀")</f>
        <v>달걀</v>
      </c>
    </row>
    <row r="3296">
      <c r="A3296" s="2" t="str">
        <f>IFERROR(__xludf.DUMMYFUNCTION("""COMPUTED_VALUE"""),"최후의 소보로")</f>
        <v>최후의 소보로</v>
      </c>
      <c r="B3296" s="2" t="str">
        <f>IFERROR(__xludf.DUMMYFUNCTION("""COMPUTED_VALUE"""),"파인애플&amp;망고잼")</f>
        <v>파인애플&amp;망고잼</v>
      </c>
    </row>
    <row r="3297">
      <c r="A3297" s="2" t="str">
        <f>IFERROR(__xludf.DUMMYFUNCTION("""COMPUTED_VALUE"""),"최후의 소보로")</f>
        <v>최후의 소보로</v>
      </c>
      <c r="B3297" s="2" t="str">
        <f>IFERROR(__xludf.DUMMYFUNCTION("""COMPUTED_VALUE"""),"밀가루")</f>
        <v>밀가루</v>
      </c>
    </row>
    <row r="3298">
      <c r="A3298" s="2" t="str">
        <f>IFERROR(__xludf.DUMMYFUNCTION("""COMPUTED_VALUE"""),"최후의 소보로")</f>
        <v>최후의 소보로</v>
      </c>
      <c r="B3298" s="2" t="str">
        <f>IFERROR(__xludf.DUMMYFUNCTION("""COMPUTED_VALUE"""),"설탕")</f>
        <v>설탕</v>
      </c>
    </row>
    <row r="3299">
      <c r="A3299" s="2" t="str">
        <f>IFERROR(__xludf.DUMMYFUNCTION("""COMPUTED_VALUE"""),"최후의 소보로")</f>
        <v>최후의 소보로</v>
      </c>
      <c r="B3299" s="2" t="str">
        <f>IFERROR(__xludf.DUMMYFUNCTION("""COMPUTED_VALUE"""),"버터")</f>
        <v>버터</v>
      </c>
    </row>
    <row r="3300">
      <c r="A3300" s="2" t="str">
        <f>IFERROR(__xludf.DUMMYFUNCTION("""COMPUTED_VALUE"""),"최후의 소보로")</f>
        <v>최후의 소보로</v>
      </c>
      <c r="B3300" s="2" t="str">
        <f>IFERROR(__xludf.DUMMYFUNCTION("""COMPUTED_VALUE"""),"소금")</f>
        <v>소금</v>
      </c>
    </row>
    <row r="3301">
      <c r="A3301" s="2" t="str">
        <f>IFERROR(__xludf.DUMMYFUNCTION("""COMPUTED_VALUE"""),"봉주르마끼")</f>
        <v>봉주르마끼</v>
      </c>
      <c r="B3301" s="2" t="str">
        <f>IFERROR(__xludf.DUMMYFUNCTION("""COMPUTED_VALUE"""),"베이컨")</f>
        <v>베이컨</v>
      </c>
    </row>
    <row r="3302">
      <c r="A3302" s="2" t="str">
        <f>IFERROR(__xludf.DUMMYFUNCTION("""COMPUTED_VALUE"""),"봉주르마끼")</f>
        <v>봉주르마끼</v>
      </c>
      <c r="B3302" s="2" t="str">
        <f>IFERROR(__xludf.DUMMYFUNCTION("""COMPUTED_VALUE"""),"게맛살")</f>
        <v>게맛살</v>
      </c>
    </row>
    <row r="3303">
      <c r="A3303" s="2" t="str">
        <f>IFERROR(__xludf.DUMMYFUNCTION("""COMPUTED_VALUE"""),"봉주르마끼")</f>
        <v>봉주르마끼</v>
      </c>
      <c r="B3303" s="2" t="str">
        <f>IFERROR(__xludf.DUMMYFUNCTION("""COMPUTED_VALUE"""),"사과")</f>
        <v>사과</v>
      </c>
    </row>
    <row r="3304">
      <c r="A3304" s="2" t="str">
        <f>IFERROR(__xludf.DUMMYFUNCTION("""COMPUTED_VALUE"""),"봉주르마끼")</f>
        <v>봉주르마끼</v>
      </c>
      <c r="B3304" s="2" t="str">
        <f>IFERROR(__xludf.DUMMYFUNCTION("""COMPUTED_VALUE"""),"우유")</f>
        <v>우유</v>
      </c>
    </row>
    <row r="3305">
      <c r="A3305" s="2" t="str">
        <f>IFERROR(__xludf.DUMMYFUNCTION("""COMPUTED_VALUE"""),"봉주르마끼")</f>
        <v>봉주르마끼</v>
      </c>
      <c r="B3305" s="2" t="str">
        <f>IFERROR(__xludf.DUMMYFUNCTION("""COMPUTED_VALUE"""),"식빵")</f>
        <v>식빵</v>
      </c>
    </row>
    <row r="3306">
      <c r="A3306" s="2" t="str">
        <f>IFERROR(__xludf.DUMMYFUNCTION("""COMPUTED_VALUE"""),"봉주르마끼")</f>
        <v>봉주르마끼</v>
      </c>
      <c r="B3306" s="2" t="str">
        <f>IFERROR(__xludf.DUMMYFUNCTION("""COMPUTED_VALUE"""),"달걀")</f>
        <v>달걀</v>
      </c>
    </row>
    <row r="3307">
      <c r="A3307" s="2" t="str">
        <f>IFERROR(__xludf.DUMMYFUNCTION("""COMPUTED_VALUE"""),"봉주르마끼")</f>
        <v>봉주르마끼</v>
      </c>
      <c r="B3307" s="2" t="str">
        <f>IFERROR(__xludf.DUMMYFUNCTION("""COMPUTED_VALUE"""),"양파")</f>
        <v>양파</v>
      </c>
    </row>
    <row r="3308">
      <c r="A3308" s="2" t="str">
        <f>IFERROR(__xludf.DUMMYFUNCTION("""COMPUTED_VALUE"""),"봉주르마끼")</f>
        <v>봉주르마끼</v>
      </c>
      <c r="B3308" s="2" t="str">
        <f>IFERROR(__xludf.DUMMYFUNCTION("""COMPUTED_VALUE"""),"당근")</f>
        <v>당근</v>
      </c>
    </row>
    <row r="3309">
      <c r="A3309" s="2" t="str">
        <f>IFERROR(__xludf.DUMMYFUNCTION("""COMPUTED_VALUE"""),"봉주르마끼")</f>
        <v>봉주르마끼</v>
      </c>
      <c r="B3309" s="2" t="str">
        <f>IFERROR(__xludf.DUMMYFUNCTION("""COMPUTED_VALUE"""),"마요네즈")</f>
        <v>마요네즈</v>
      </c>
    </row>
    <row r="3310">
      <c r="A3310" s="2" t="str">
        <f>IFERROR(__xludf.DUMMYFUNCTION("""COMPUTED_VALUE"""),"봉주르마끼")</f>
        <v>봉주르마끼</v>
      </c>
      <c r="B3310" s="2" t="str">
        <f>IFERROR(__xludf.DUMMYFUNCTION("""COMPUTED_VALUE"""),"버터")</f>
        <v>버터</v>
      </c>
    </row>
    <row r="3311">
      <c r="A3311" s="2" t="str">
        <f>IFERROR(__xludf.DUMMYFUNCTION("""COMPUTED_VALUE"""),"봉주르마끼")</f>
        <v>봉주르마끼</v>
      </c>
      <c r="B3311" s="2" t="str">
        <f>IFERROR(__xludf.DUMMYFUNCTION("""COMPUTED_VALUE"""),"설탕")</f>
        <v>설탕</v>
      </c>
    </row>
    <row r="3312">
      <c r="A3312" s="2" t="str">
        <f>IFERROR(__xludf.DUMMYFUNCTION("""COMPUTED_VALUE"""),"봉주르마끼")</f>
        <v>봉주르마끼</v>
      </c>
      <c r="B3312" s="2" t="str">
        <f>IFERROR(__xludf.DUMMYFUNCTION("""COMPUTED_VALUE"""),"밀가루")</f>
        <v>밀가루</v>
      </c>
    </row>
    <row r="3313">
      <c r="A3313" s="2" t="str">
        <f>IFERROR(__xludf.DUMMYFUNCTION("""COMPUTED_VALUE"""),"봉주르마끼")</f>
        <v>봉주르마끼</v>
      </c>
      <c r="B3313" s="2" t="str">
        <f>IFERROR(__xludf.DUMMYFUNCTION("""COMPUTED_VALUE"""),"소금")</f>
        <v>소금</v>
      </c>
    </row>
    <row r="3314">
      <c r="A3314" s="2" t="str">
        <f>IFERROR(__xludf.DUMMYFUNCTION("""COMPUTED_VALUE"""),"봉주르마끼")</f>
        <v>봉주르마끼</v>
      </c>
      <c r="B3314" s="2" t="str">
        <f>IFERROR(__xludf.DUMMYFUNCTION("""COMPUTED_VALUE"""),"맛술")</f>
        <v>맛술</v>
      </c>
    </row>
    <row r="3315">
      <c r="A3315" s="2" t="str">
        <f>IFERROR(__xludf.DUMMYFUNCTION("""COMPUTED_VALUE"""),"어무이라이스")</f>
        <v>어무이라이스</v>
      </c>
      <c r="B3315" s="2" t="str">
        <f>IFERROR(__xludf.DUMMYFUNCTION("""COMPUTED_VALUE"""),"베이컨")</f>
        <v>베이컨</v>
      </c>
    </row>
    <row r="3316">
      <c r="A3316" s="2" t="str">
        <f>IFERROR(__xludf.DUMMYFUNCTION("""COMPUTED_VALUE"""),"어무이라이스")</f>
        <v>어무이라이스</v>
      </c>
      <c r="B3316" s="2" t="str">
        <f>IFERROR(__xludf.DUMMYFUNCTION("""COMPUTED_VALUE"""),"차돌박이")</f>
        <v>차돌박이</v>
      </c>
    </row>
    <row r="3317">
      <c r="A3317" s="2" t="str">
        <f>IFERROR(__xludf.DUMMYFUNCTION("""COMPUTED_VALUE"""),"어무이라이스")</f>
        <v>어무이라이스</v>
      </c>
      <c r="B3317" s="2" t="str">
        <f>IFERROR(__xludf.DUMMYFUNCTION("""COMPUTED_VALUE"""),"달걀")</f>
        <v>달걀</v>
      </c>
    </row>
    <row r="3318">
      <c r="A3318" s="2" t="str">
        <f>IFERROR(__xludf.DUMMYFUNCTION("""COMPUTED_VALUE"""),"어무이라이스")</f>
        <v>어무이라이스</v>
      </c>
      <c r="B3318" s="2" t="str">
        <f>IFERROR(__xludf.DUMMYFUNCTION("""COMPUTED_VALUE"""),"마늘")</f>
        <v>마늘</v>
      </c>
    </row>
    <row r="3319">
      <c r="A3319" s="2" t="str">
        <f>IFERROR(__xludf.DUMMYFUNCTION("""COMPUTED_VALUE"""),"어무이라이스")</f>
        <v>어무이라이스</v>
      </c>
      <c r="B3319" s="2" t="str">
        <f>IFERROR(__xludf.DUMMYFUNCTION("""COMPUTED_VALUE"""),"대파")</f>
        <v>대파</v>
      </c>
    </row>
    <row r="3320">
      <c r="A3320" s="2" t="str">
        <f>IFERROR(__xludf.DUMMYFUNCTION("""COMPUTED_VALUE"""),"어무이라이스")</f>
        <v>어무이라이스</v>
      </c>
      <c r="B3320" s="2" t="str">
        <f>IFERROR(__xludf.DUMMYFUNCTION("""COMPUTED_VALUE"""),"당근")</f>
        <v>당근</v>
      </c>
    </row>
    <row r="3321">
      <c r="A3321" s="2" t="str">
        <f>IFERROR(__xludf.DUMMYFUNCTION("""COMPUTED_VALUE"""),"어무이라이스")</f>
        <v>어무이라이스</v>
      </c>
      <c r="B3321" s="2" t="str">
        <f>IFERROR(__xludf.DUMMYFUNCTION("""COMPUTED_VALUE"""),"양파")</f>
        <v>양파</v>
      </c>
    </row>
    <row r="3322">
      <c r="A3322" s="2" t="str">
        <f>IFERROR(__xludf.DUMMYFUNCTION("""COMPUTED_VALUE"""),"어무이라이스")</f>
        <v>어무이라이스</v>
      </c>
      <c r="B3322" s="2" t="str">
        <f>IFERROR(__xludf.DUMMYFUNCTION("""COMPUTED_VALUE"""),"소금")</f>
        <v>소금</v>
      </c>
    </row>
    <row r="3323">
      <c r="A3323" s="2" t="str">
        <f>IFERROR(__xludf.DUMMYFUNCTION("""COMPUTED_VALUE"""),"어무이라이스")</f>
        <v>어무이라이스</v>
      </c>
      <c r="B3323" s="2" t="str">
        <f>IFERROR(__xludf.DUMMYFUNCTION("""COMPUTED_VALUE"""),"후추")</f>
        <v>후추</v>
      </c>
    </row>
    <row r="3324">
      <c r="A3324" s="2" t="str">
        <f>IFERROR(__xludf.DUMMYFUNCTION("""COMPUTED_VALUE"""),"어무이라이스")</f>
        <v>어무이라이스</v>
      </c>
      <c r="B3324" s="2" t="str">
        <f>IFERROR(__xludf.DUMMYFUNCTION("""COMPUTED_VALUE"""),"맛술")</f>
        <v>맛술</v>
      </c>
    </row>
    <row r="3325">
      <c r="A3325" s="2" t="str">
        <f>IFERROR(__xludf.DUMMYFUNCTION("""COMPUTED_VALUE"""),"어무이라이스")</f>
        <v>어무이라이스</v>
      </c>
      <c r="B3325" s="2" t="str">
        <f>IFERROR(__xludf.DUMMYFUNCTION("""COMPUTED_VALUE"""),"간장")</f>
        <v>간장</v>
      </c>
    </row>
    <row r="3326">
      <c r="A3326" s="2" t="str">
        <f>IFERROR(__xludf.DUMMYFUNCTION("""COMPUTED_VALUE"""),"어무이라이스")</f>
        <v>어무이라이스</v>
      </c>
      <c r="B3326" s="2" t="str">
        <f>IFERROR(__xludf.DUMMYFUNCTION("""COMPUTED_VALUE"""),"식초")</f>
        <v>식초</v>
      </c>
    </row>
    <row r="3327">
      <c r="A3327" s="2" t="str">
        <f>IFERROR(__xludf.DUMMYFUNCTION("""COMPUTED_VALUE"""),"어무이라이스")</f>
        <v>어무이라이스</v>
      </c>
      <c r="B3327" s="2" t="str">
        <f>IFERROR(__xludf.DUMMYFUNCTION("""COMPUTED_VALUE"""),"전분")</f>
        <v>전분</v>
      </c>
    </row>
    <row r="3328">
      <c r="A3328" s="2" t="str">
        <f>IFERROR(__xludf.DUMMYFUNCTION("""COMPUTED_VALUE"""),"어무이라이스")</f>
        <v>어무이라이스</v>
      </c>
      <c r="B3328" s="2" t="str">
        <f>IFERROR(__xludf.DUMMYFUNCTION("""COMPUTED_VALUE"""),"고춧가루")</f>
        <v>고춧가루</v>
      </c>
    </row>
    <row r="3329">
      <c r="A3329" s="2" t="str">
        <f>IFERROR(__xludf.DUMMYFUNCTION("""COMPUTED_VALUE"""),"어무이라이스")</f>
        <v>어무이라이스</v>
      </c>
      <c r="B3329" s="2" t="str">
        <f>IFERROR(__xludf.DUMMYFUNCTION("""COMPUTED_VALUE"""),"설탕")</f>
        <v>설탕</v>
      </c>
    </row>
    <row r="3330">
      <c r="A3330" s="2" t="str">
        <f>IFERROR(__xludf.DUMMYFUNCTION("""COMPUTED_VALUE"""),"어무이라이스")</f>
        <v>어무이라이스</v>
      </c>
      <c r="B3330" s="2" t="str">
        <f>IFERROR(__xludf.DUMMYFUNCTION("""COMPUTED_VALUE"""),"올리브오일")</f>
        <v>올리브오일</v>
      </c>
    </row>
    <row r="3331">
      <c r="A3331" s="2" t="str">
        <f>IFERROR(__xludf.DUMMYFUNCTION("""COMPUTED_VALUE"""),"어무이라이스")</f>
        <v>어무이라이스</v>
      </c>
      <c r="B3331" s="2" t="str">
        <f>IFERROR(__xludf.DUMMYFUNCTION("""COMPUTED_VALUE"""),"깨")</f>
        <v>깨</v>
      </c>
    </row>
    <row r="3332">
      <c r="A3332" s="2" t="str">
        <f>IFERROR(__xludf.DUMMYFUNCTION("""COMPUTED_VALUE"""),"어무이라이스")</f>
        <v>어무이라이스</v>
      </c>
      <c r="B3332" s="2" t="str">
        <f>IFERROR(__xludf.DUMMYFUNCTION("""COMPUTED_VALUE"""),"즉석밥")</f>
        <v>즉석밥</v>
      </c>
    </row>
    <row r="3333">
      <c r="A3333" s="2" t="str">
        <f>IFERROR(__xludf.DUMMYFUNCTION("""COMPUTED_VALUE"""),"돼새찌개")</f>
        <v>돼새찌개</v>
      </c>
      <c r="B3333" s="2" t="str">
        <f>IFERROR(__xludf.DUMMYFUNCTION("""COMPUTED_VALUE"""),"삼겹살")</f>
        <v>삼겹살</v>
      </c>
    </row>
    <row r="3334">
      <c r="A3334" s="2" t="str">
        <f>IFERROR(__xludf.DUMMYFUNCTION("""COMPUTED_VALUE"""),"돼새찌개")</f>
        <v>돼새찌개</v>
      </c>
      <c r="B3334" s="2" t="str">
        <f>IFERROR(__xludf.DUMMYFUNCTION("""COMPUTED_VALUE"""),"새우젓")</f>
        <v>새우젓</v>
      </c>
    </row>
    <row r="3335">
      <c r="A3335" s="2" t="str">
        <f>IFERROR(__xludf.DUMMYFUNCTION("""COMPUTED_VALUE"""),"돼새찌개")</f>
        <v>돼새찌개</v>
      </c>
      <c r="B3335" s="2" t="str">
        <f>IFERROR(__xludf.DUMMYFUNCTION("""COMPUTED_VALUE"""),"목이버섯")</f>
        <v>목이버섯</v>
      </c>
    </row>
    <row r="3336">
      <c r="A3336" s="2" t="str">
        <f>IFERROR(__xludf.DUMMYFUNCTION("""COMPUTED_VALUE"""),"돼새찌개")</f>
        <v>돼새찌개</v>
      </c>
      <c r="B3336" s="2" t="str">
        <f>IFERROR(__xludf.DUMMYFUNCTION("""COMPUTED_VALUE"""),"양파")</f>
        <v>양파</v>
      </c>
    </row>
    <row r="3337">
      <c r="A3337" s="2" t="str">
        <f>IFERROR(__xludf.DUMMYFUNCTION("""COMPUTED_VALUE"""),"돼새찌개")</f>
        <v>돼새찌개</v>
      </c>
      <c r="B3337" s="2" t="str">
        <f>IFERROR(__xludf.DUMMYFUNCTION("""COMPUTED_VALUE"""),"대파")</f>
        <v>대파</v>
      </c>
    </row>
    <row r="3338">
      <c r="A3338" s="2" t="str">
        <f>IFERROR(__xludf.DUMMYFUNCTION("""COMPUTED_VALUE"""),"돼새찌개")</f>
        <v>돼새찌개</v>
      </c>
      <c r="B3338" s="2" t="str">
        <f>IFERROR(__xludf.DUMMYFUNCTION("""COMPUTED_VALUE"""),"청양고추")</f>
        <v>청양고추</v>
      </c>
    </row>
    <row r="3339">
      <c r="A3339" s="2" t="str">
        <f>IFERROR(__xludf.DUMMYFUNCTION("""COMPUTED_VALUE"""),"돼새찌개")</f>
        <v>돼새찌개</v>
      </c>
      <c r="B3339" s="2" t="str">
        <f>IFERROR(__xludf.DUMMYFUNCTION("""COMPUTED_VALUE"""),"마늘")</f>
        <v>마늘</v>
      </c>
    </row>
    <row r="3340">
      <c r="A3340" s="2" t="str">
        <f>IFERROR(__xludf.DUMMYFUNCTION("""COMPUTED_VALUE"""),"돼새찌개")</f>
        <v>돼새찌개</v>
      </c>
      <c r="B3340" s="2" t="str">
        <f>IFERROR(__xludf.DUMMYFUNCTION("""COMPUTED_VALUE"""),"다진 마늘")</f>
        <v>다진 마늘</v>
      </c>
    </row>
    <row r="3341">
      <c r="A3341" s="2" t="str">
        <f>IFERROR(__xludf.DUMMYFUNCTION("""COMPUTED_VALUE"""),"돼새찌개")</f>
        <v>돼새찌개</v>
      </c>
      <c r="B3341" s="2" t="str">
        <f>IFERROR(__xludf.DUMMYFUNCTION("""COMPUTED_VALUE"""),"고춧가루")</f>
        <v>고춧가루</v>
      </c>
    </row>
    <row r="3342">
      <c r="A3342" s="2" t="str">
        <f>IFERROR(__xludf.DUMMYFUNCTION("""COMPUTED_VALUE"""),"돼새찌개")</f>
        <v>돼새찌개</v>
      </c>
      <c r="B3342" s="2" t="str">
        <f>IFERROR(__xludf.DUMMYFUNCTION("""COMPUTED_VALUE"""),"간장")</f>
        <v>간장</v>
      </c>
    </row>
    <row r="3343">
      <c r="A3343" s="2" t="str">
        <f>IFERROR(__xludf.DUMMYFUNCTION("""COMPUTED_VALUE"""),"돼새찌개")</f>
        <v>돼새찌개</v>
      </c>
      <c r="B3343" s="2" t="str">
        <f>IFERROR(__xludf.DUMMYFUNCTION("""COMPUTED_VALUE"""),"즉석밥")</f>
        <v>즉석밥</v>
      </c>
    </row>
    <row r="3344">
      <c r="A3344" s="2" t="str">
        <f>IFERROR(__xludf.DUMMYFUNCTION("""COMPUTED_VALUE"""),"못 먹어도 고! 등어")</f>
        <v>못 먹어도 고! 등어</v>
      </c>
      <c r="B3344" s="2" t="str">
        <f>IFERROR(__xludf.DUMMYFUNCTION("""COMPUTED_VALUE"""),"고등어")</f>
        <v>고등어</v>
      </c>
    </row>
    <row r="3345">
      <c r="A3345" s="2" t="str">
        <f>IFERROR(__xludf.DUMMYFUNCTION("""COMPUTED_VALUE"""),"못 먹어도 고! 등어")</f>
        <v>못 먹어도 고! 등어</v>
      </c>
      <c r="B3345" s="2" t="str">
        <f>IFERROR(__xludf.DUMMYFUNCTION("""COMPUTED_VALUE"""),"명란젓")</f>
        <v>명란젓</v>
      </c>
    </row>
    <row r="3346">
      <c r="A3346" s="2" t="str">
        <f>IFERROR(__xludf.DUMMYFUNCTION("""COMPUTED_VALUE"""),"못 먹어도 고! 등어")</f>
        <v>못 먹어도 고! 등어</v>
      </c>
      <c r="B3346" s="2" t="str">
        <f>IFERROR(__xludf.DUMMYFUNCTION("""COMPUTED_VALUE"""),"방울토마토")</f>
        <v>방울토마토</v>
      </c>
    </row>
    <row r="3347">
      <c r="A3347" s="2" t="str">
        <f>IFERROR(__xludf.DUMMYFUNCTION("""COMPUTED_VALUE"""),"못 먹어도 고! 등어")</f>
        <v>못 먹어도 고! 등어</v>
      </c>
      <c r="B3347" s="2" t="str">
        <f>IFERROR(__xludf.DUMMYFUNCTION("""COMPUTED_VALUE"""),"코코넛 밀크")</f>
        <v>코코넛 밀크</v>
      </c>
    </row>
    <row r="3348">
      <c r="A3348" s="2" t="str">
        <f>IFERROR(__xludf.DUMMYFUNCTION("""COMPUTED_VALUE"""),"못 먹어도 고! 등어")</f>
        <v>못 먹어도 고! 등어</v>
      </c>
      <c r="B3348" s="2" t="str">
        <f>IFERROR(__xludf.DUMMYFUNCTION("""COMPUTED_VALUE"""),"우유")</f>
        <v>우유</v>
      </c>
    </row>
    <row r="3349">
      <c r="A3349" s="2" t="str">
        <f>IFERROR(__xludf.DUMMYFUNCTION("""COMPUTED_VALUE"""),"못 먹어도 고! 등어")</f>
        <v>못 먹어도 고! 등어</v>
      </c>
      <c r="B3349" s="2" t="str">
        <f>IFERROR(__xludf.DUMMYFUNCTION("""COMPUTED_VALUE"""),"양파")</f>
        <v>양파</v>
      </c>
    </row>
    <row r="3350">
      <c r="A3350" s="2" t="str">
        <f>IFERROR(__xludf.DUMMYFUNCTION("""COMPUTED_VALUE"""),"못 먹어도 고! 등어")</f>
        <v>못 먹어도 고! 등어</v>
      </c>
      <c r="B3350" s="2" t="str">
        <f>IFERROR(__xludf.DUMMYFUNCTION("""COMPUTED_VALUE"""),"화이트와인")</f>
        <v>화이트와인</v>
      </c>
    </row>
    <row r="3351">
      <c r="A3351" s="2" t="str">
        <f>IFERROR(__xludf.DUMMYFUNCTION("""COMPUTED_VALUE"""),"못 먹어도 고! 등어")</f>
        <v>못 먹어도 고! 등어</v>
      </c>
      <c r="B3351" s="2" t="str">
        <f>IFERROR(__xludf.DUMMYFUNCTION("""COMPUTED_VALUE"""),"밀가루")</f>
        <v>밀가루</v>
      </c>
    </row>
    <row r="3352">
      <c r="A3352" s="2" t="str">
        <f>IFERROR(__xludf.DUMMYFUNCTION("""COMPUTED_VALUE"""),"못 먹어도 고! 등어")</f>
        <v>못 먹어도 고! 등어</v>
      </c>
      <c r="B3352" s="2" t="str">
        <f>IFERROR(__xludf.DUMMYFUNCTION("""COMPUTED_VALUE"""),"후추")</f>
        <v>후추</v>
      </c>
    </row>
    <row r="3353">
      <c r="A3353" s="2" t="str">
        <f>IFERROR(__xludf.DUMMYFUNCTION("""COMPUTED_VALUE"""),"못 먹어도 고! 등어")</f>
        <v>못 먹어도 고! 등어</v>
      </c>
      <c r="B3353" s="2" t="str">
        <f>IFERROR(__xludf.DUMMYFUNCTION("""COMPUTED_VALUE"""),"올리브오일")</f>
        <v>올리브오일</v>
      </c>
    </row>
    <row r="3354">
      <c r="A3354" s="2" t="str">
        <f>IFERROR(__xludf.DUMMYFUNCTION("""COMPUTED_VALUE"""),"못 먹어도 고! 등어")</f>
        <v>못 먹어도 고! 등어</v>
      </c>
      <c r="B3354" s="2" t="str">
        <f>IFERROR(__xludf.DUMMYFUNCTION("""COMPUTED_VALUE"""),"소금")</f>
        <v>소금</v>
      </c>
    </row>
    <row r="3355">
      <c r="A3355" s="2" t="str">
        <f>IFERROR(__xludf.DUMMYFUNCTION("""COMPUTED_VALUE"""),"못 먹어도 고! 등어")</f>
        <v>못 먹어도 고! 등어</v>
      </c>
      <c r="B3355" s="2" t="str">
        <f>IFERROR(__xludf.DUMMYFUNCTION("""COMPUTED_VALUE"""),"버터")</f>
        <v>버터</v>
      </c>
    </row>
    <row r="3356">
      <c r="A3356" s="2" t="str">
        <f>IFERROR(__xludf.DUMMYFUNCTION("""COMPUTED_VALUE"""),"맛있을 고양")</f>
        <v>맛있을 고양</v>
      </c>
      <c r="B3356" s="2" t="str">
        <f>IFERROR(__xludf.DUMMYFUNCTION("""COMPUTED_VALUE"""),"고등어")</f>
        <v>고등어</v>
      </c>
    </row>
    <row r="3357">
      <c r="A3357" s="2" t="str">
        <f>IFERROR(__xludf.DUMMYFUNCTION("""COMPUTED_VALUE"""),"맛있을 고양")</f>
        <v>맛있을 고양</v>
      </c>
      <c r="B3357" s="2" t="str">
        <f>IFERROR(__xludf.DUMMYFUNCTION("""COMPUTED_VALUE"""),"고형카레")</f>
        <v>고형카레</v>
      </c>
    </row>
    <row r="3358">
      <c r="A3358" s="2" t="str">
        <f>IFERROR(__xludf.DUMMYFUNCTION("""COMPUTED_VALUE"""),"맛있을 고양")</f>
        <v>맛있을 고양</v>
      </c>
      <c r="B3358" s="2" t="str">
        <f>IFERROR(__xludf.DUMMYFUNCTION("""COMPUTED_VALUE"""),"우유")</f>
        <v>우유</v>
      </c>
    </row>
    <row r="3359">
      <c r="A3359" s="2" t="str">
        <f>IFERROR(__xludf.DUMMYFUNCTION("""COMPUTED_VALUE"""),"맛있을 고양")</f>
        <v>맛있을 고양</v>
      </c>
      <c r="B3359" s="2" t="str">
        <f>IFERROR(__xludf.DUMMYFUNCTION("""COMPUTED_VALUE"""),"달걀")</f>
        <v>달걀</v>
      </c>
    </row>
    <row r="3360">
      <c r="A3360" s="2" t="str">
        <f>IFERROR(__xludf.DUMMYFUNCTION("""COMPUTED_VALUE"""),"맛있을 고양")</f>
        <v>맛있을 고양</v>
      </c>
      <c r="B3360" s="2" t="str">
        <f>IFERROR(__xludf.DUMMYFUNCTION("""COMPUTED_VALUE"""),"맥주")</f>
        <v>맥주</v>
      </c>
    </row>
    <row r="3361">
      <c r="A3361" s="2" t="str">
        <f>IFERROR(__xludf.DUMMYFUNCTION("""COMPUTED_VALUE"""),"맛있을 고양")</f>
        <v>맛있을 고양</v>
      </c>
      <c r="B3361" s="2" t="str">
        <f>IFERROR(__xludf.DUMMYFUNCTION("""COMPUTED_VALUE"""),"밀가루")</f>
        <v>밀가루</v>
      </c>
    </row>
    <row r="3362">
      <c r="A3362" s="2" t="str">
        <f>IFERROR(__xludf.DUMMYFUNCTION("""COMPUTED_VALUE"""),"맛있을 고양")</f>
        <v>맛있을 고양</v>
      </c>
      <c r="B3362" s="2" t="str">
        <f>IFERROR(__xludf.DUMMYFUNCTION("""COMPUTED_VALUE"""),"전분")</f>
        <v>전분</v>
      </c>
    </row>
    <row r="3363">
      <c r="A3363" s="2" t="str">
        <f>IFERROR(__xludf.DUMMYFUNCTION("""COMPUTED_VALUE"""),"맛있을 고양")</f>
        <v>맛있을 고양</v>
      </c>
      <c r="B3363" s="2" t="str">
        <f>IFERROR(__xludf.DUMMYFUNCTION("""COMPUTED_VALUE"""),"라면스프")</f>
        <v>라면스프</v>
      </c>
    </row>
    <row r="3364">
      <c r="A3364" s="2" t="str">
        <f>IFERROR(__xludf.DUMMYFUNCTION("""COMPUTED_VALUE"""),"맛있을 고양")</f>
        <v>맛있을 고양</v>
      </c>
      <c r="B3364" s="2" t="str">
        <f>IFERROR(__xludf.DUMMYFUNCTION("""COMPUTED_VALUE"""),"맛술")</f>
        <v>맛술</v>
      </c>
    </row>
    <row r="3365">
      <c r="A3365" s="2" t="str">
        <f>IFERROR(__xludf.DUMMYFUNCTION("""COMPUTED_VALUE"""),"맛있을 고양")</f>
        <v>맛있을 고양</v>
      </c>
      <c r="B3365" s="2" t="str">
        <f>IFERROR(__xludf.DUMMYFUNCTION("""COMPUTED_VALUE"""),"버터")</f>
        <v>버터</v>
      </c>
    </row>
    <row r="3366">
      <c r="A3366" s="2" t="str">
        <f>IFERROR(__xludf.DUMMYFUNCTION("""COMPUTED_VALUE"""),"맛있을 고양")</f>
        <v>맛있을 고양</v>
      </c>
      <c r="B3366" s="2" t="str">
        <f>IFERROR(__xludf.DUMMYFUNCTION("""COMPUTED_VALUE"""),"밀가루")</f>
        <v>밀가루</v>
      </c>
    </row>
    <row r="3367">
      <c r="A3367" s="2" t="str">
        <f>IFERROR(__xludf.DUMMYFUNCTION("""COMPUTED_VALUE"""),"맛있을 고양")</f>
        <v>맛있을 고양</v>
      </c>
      <c r="B3367" s="2" t="str">
        <f>IFERROR(__xludf.DUMMYFUNCTION("""COMPUTED_VALUE"""),"레몬")</f>
        <v>레몬</v>
      </c>
    </row>
    <row r="3368">
      <c r="A3368" s="2" t="str">
        <f>IFERROR(__xludf.DUMMYFUNCTION("""COMPUTED_VALUE"""),"싹쓸이 팬")</f>
        <v>싹쓸이 팬</v>
      </c>
      <c r="B3368" s="2" t="str">
        <f>IFERROR(__xludf.DUMMYFUNCTION("""COMPUTED_VALUE"""),"방울토마토")</f>
        <v>방울토마토</v>
      </c>
    </row>
    <row r="3369">
      <c r="A3369" s="2" t="str">
        <f>IFERROR(__xludf.DUMMYFUNCTION("""COMPUTED_VALUE"""),"싹쓸이 팬")</f>
        <v>싹쓸이 팬</v>
      </c>
      <c r="B3369" s="2" t="str">
        <f>IFERROR(__xludf.DUMMYFUNCTION("""COMPUTED_VALUE"""),"페타 치즈")</f>
        <v>페타 치즈</v>
      </c>
    </row>
    <row r="3370">
      <c r="A3370" s="2" t="str">
        <f>IFERROR(__xludf.DUMMYFUNCTION("""COMPUTED_VALUE"""),"싹쓸이 팬")</f>
        <v>싹쓸이 팬</v>
      </c>
      <c r="B3370" s="2" t="str">
        <f>IFERROR(__xludf.DUMMYFUNCTION("""COMPUTED_VALUE"""),"달걀")</f>
        <v>달걀</v>
      </c>
    </row>
    <row r="3371">
      <c r="A3371" s="2" t="str">
        <f>IFERROR(__xludf.DUMMYFUNCTION("""COMPUTED_VALUE"""),"싹쓸이 팬")</f>
        <v>싹쓸이 팬</v>
      </c>
      <c r="B3371" s="2" t="str">
        <f>IFERROR(__xludf.DUMMYFUNCTION("""COMPUTED_VALUE"""),"양파")</f>
        <v>양파</v>
      </c>
    </row>
    <row r="3372">
      <c r="A3372" s="2" t="str">
        <f>IFERROR(__xludf.DUMMYFUNCTION("""COMPUTED_VALUE"""),"싹쓸이 팬")</f>
        <v>싹쓸이 팬</v>
      </c>
      <c r="B3372" s="2" t="str">
        <f>IFERROR(__xludf.DUMMYFUNCTION("""COMPUTED_VALUE"""),"풋고추")</f>
        <v>풋고추</v>
      </c>
    </row>
    <row r="3373">
      <c r="A3373" s="2" t="str">
        <f>IFERROR(__xludf.DUMMYFUNCTION("""COMPUTED_VALUE"""),"싹쓸이 팬")</f>
        <v>싹쓸이 팬</v>
      </c>
      <c r="B3373" s="2" t="str">
        <f>IFERROR(__xludf.DUMMYFUNCTION("""COMPUTED_VALUE"""),"후추")</f>
        <v>후추</v>
      </c>
    </row>
    <row r="3374">
      <c r="A3374" s="2" t="str">
        <f>IFERROR(__xludf.DUMMYFUNCTION("""COMPUTED_VALUE"""),"설레기 없수")</f>
        <v>설레기 없수</v>
      </c>
      <c r="B3374" s="2" t="str">
        <f>IFERROR(__xludf.DUMMYFUNCTION("""COMPUTED_VALUE"""),"고형카레")</f>
        <v>고형카레</v>
      </c>
    </row>
    <row r="3375">
      <c r="A3375" s="2" t="str">
        <f>IFERROR(__xludf.DUMMYFUNCTION("""COMPUTED_VALUE"""),"설레기 없수")</f>
        <v>설레기 없수</v>
      </c>
      <c r="B3375" s="2" t="str">
        <f>IFERROR(__xludf.DUMMYFUNCTION("""COMPUTED_VALUE"""),"훈제 닭가슴살")</f>
        <v>훈제 닭가슴살</v>
      </c>
    </row>
    <row r="3376">
      <c r="A3376" s="2" t="str">
        <f>IFERROR(__xludf.DUMMYFUNCTION("""COMPUTED_VALUE"""),"설레기 없수")</f>
        <v>설레기 없수</v>
      </c>
      <c r="B3376" s="2" t="str">
        <f>IFERROR(__xludf.DUMMYFUNCTION("""COMPUTED_VALUE"""),"코코넛 밀크")</f>
        <v>코코넛 밀크</v>
      </c>
    </row>
    <row r="3377">
      <c r="A3377" s="2" t="str">
        <f>IFERROR(__xludf.DUMMYFUNCTION("""COMPUTED_VALUE"""),"설레기 없수")</f>
        <v>설레기 없수</v>
      </c>
      <c r="B3377" s="2" t="str">
        <f>IFERROR(__xludf.DUMMYFUNCTION("""COMPUTED_VALUE"""),"말린 바나나")</f>
        <v>말린 바나나</v>
      </c>
    </row>
    <row r="3378">
      <c r="A3378" s="2" t="str">
        <f>IFERROR(__xludf.DUMMYFUNCTION("""COMPUTED_VALUE"""),"설레기 없수")</f>
        <v>설레기 없수</v>
      </c>
      <c r="B3378" s="2" t="str">
        <f>IFERROR(__xludf.DUMMYFUNCTION("""COMPUTED_VALUE"""),"아이스 망고바")</f>
        <v>아이스 망고바</v>
      </c>
    </row>
    <row r="3379">
      <c r="A3379" s="2" t="str">
        <f>IFERROR(__xludf.DUMMYFUNCTION("""COMPUTED_VALUE"""),"설레기 없수")</f>
        <v>설레기 없수</v>
      </c>
      <c r="B3379" s="2" t="str">
        <f>IFERROR(__xludf.DUMMYFUNCTION("""COMPUTED_VALUE"""),"아이스 파인애플바")</f>
        <v>아이스 파인애플바</v>
      </c>
    </row>
    <row r="3380">
      <c r="A3380" s="2" t="str">
        <f>IFERROR(__xludf.DUMMYFUNCTION("""COMPUTED_VALUE"""),"설레기 없수")</f>
        <v>설레기 없수</v>
      </c>
      <c r="B3380" s="2" t="str">
        <f>IFERROR(__xludf.DUMMYFUNCTION("""COMPUTED_VALUE"""),"육포")</f>
        <v>육포</v>
      </c>
    </row>
    <row r="3381">
      <c r="A3381" s="2" t="str">
        <f>IFERROR(__xludf.DUMMYFUNCTION("""COMPUTED_VALUE"""),"설레기 없수")</f>
        <v>설레기 없수</v>
      </c>
      <c r="B3381" s="2" t="str">
        <f>IFERROR(__xludf.DUMMYFUNCTION("""COMPUTED_VALUE"""),"버터")</f>
        <v>버터</v>
      </c>
    </row>
    <row r="3382">
      <c r="A3382" s="2" t="str">
        <f>IFERROR(__xludf.DUMMYFUNCTION("""COMPUTED_VALUE"""),"설레기 없수")</f>
        <v>설레기 없수</v>
      </c>
      <c r="B3382" s="2" t="str">
        <f>IFERROR(__xludf.DUMMYFUNCTION("""COMPUTED_VALUE"""),"소금")</f>
        <v>소금</v>
      </c>
    </row>
    <row r="3383">
      <c r="A3383" s="2" t="str">
        <f>IFERROR(__xludf.DUMMYFUNCTION("""COMPUTED_VALUE"""),"설레기 없수")</f>
        <v>설레기 없수</v>
      </c>
      <c r="B3383" s="2" t="str">
        <f>IFERROR(__xludf.DUMMYFUNCTION("""COMPUTED_VALUE"""),"후추")</f>
        <v>후추</v>
      </c>
    </row>
    <row r="3384">
      <c r="A3384" s="2" t="str">
        <f>IFERROR(__xludf.DUMMYFUNCTION("""COMPUTED_VALUE"""),"쌈싸시지")</f>
        <v>쌈싸시지</v>
      </c>
      <c r="B3384" s="2" t="str">
        <f>IFERROR(__xludf.DUMMYFUNCTION("""COMPUTED_VALUE"""),"어육소시지")</f>
        <v>어육소시지</v>
      </c>
    </row>
    <row r="3385">
      <c r="A3385" s="2" t="str">
        <f>IFERROR(__xludf.DUMMYFUNCTION("""COMPUTED_VALUE"""),"쌈싸시지")</f>
        <v>쌈싸시지</v>
      </c>
      <c r="B3385" s="2" t="str">
        <f>IFERROR(__xludf.DUMMYFUNCTION("""COMPUTED_VALUE"""),"소고기 등심")</f>
        <v>소고기 등심</v>
      </c>
    </row>
    <row r="3386">
      <c r="A3386" s="2" t="str">
        <f>IFERROR(__xludf.DUMMYFUNCTION("""COMPUTED_VALUE"""),"쌈싸시지")</f>
        <v>쌈싸시지</v>
      </c>
      <c r="B3386" s="2" t="str">
        <f>IFERROR(__xludf.DUMMYFUNCTION("""COMPUTED_VALUE"""),"매실맛 술")</f>
        <v>매실맛 술</v>
      </c>
    </row>
    <row r="3387">
      <c r="A3387" s="2" t="str">
        <f>IFERROR(__xludf.DUMMYFUNCTION("""COMPUTED_VALUE"""),"쌈싸시지")</f>
        <v>쌈싸시지</v>
      </c>
      <c r="B3387" s="2" t="str">
        <f>IFERROR(__xludf.DUMMYFUNCTION("""COMPUTED_VALUE"""),"땅콩버터")</f>
        <v>땅콩버터</v>
      </c>
    </row>
    <row r="3388">
      <c r="A3388" s="2" t="str">
        <f>IFERROR(__xludf.DUMMYFUNCTION("""COMPUTED_VALUE"""),"쌈싸시지")</f>
        <v>쌈싸시지</v>
      </c>
      <c r="B3388" s="2" t="str">
        <f>IFERROR(__xludf.DUMMYFUNCTION("""COMPUTED_VALUE"""),"달걀")</f>
        <v>달걀</v>
      </c>
    </row>
    <row r="3389">
      <c r="A3389" s="2" t="str">
        <f>IFERROR(__xludf.DUMMYFUNCTION("""COMPUTED_VALUE"""),"쌈싸시지")</f>
        <v>쌈싸시지</v>
      </c>
      <c r="B3389" s="2" t="str">
        <f>IFERROR(__xludf.DUMMYFUNCTION("""COMPUTED_VALUE"""),"청양고추")</f>
        <v>청양고추</v>
      </c>
    </row>
    <row r="3390">
      <c r="A3390" s="2" t="str">
        <f>IFERROR(__xludf.DUMMYFUNCTION("""COMPUTED_VALUE"""),"쌈싸시지")</f>
        <v>쌈싸시지</v>
      </c>
      <c r="B3390" s="2" t="str">
        <f>IFERROR(__xludf.DUMMYFUNCTION("""COMPUTED_VALUE"""),"양파")</f>
        <v>양파</v>
      </c>
    </row>
    <row r="3391">
      <c r="A3391" s="2" t="str">
        <f>IFERROR(__xludf.DUMMYFUNCTION("""COMPUTED_VALUE"""),"쌈싸시지")</f>
        <v>쌈싸시지</v>
      </c>
      <c r="B3391" s="2" t="str">
        <f>IFERROR(__xludf.DUMMYFUNCTION("""COMPUTED_VALUE"""),"당근")</f>
        <v>당근</v>
      </c>
    </row>
    <row r="3392">
      <c r="A3392" s="2" t="str">
        <f>IFERROR(__xludf.DUMMYFUNCTION("""COMPUTED_VALUE"""),"쌈싸시지")</f>
        <v>쌈싸시지</v>
      </c>
      <c r="B3392" s="2" t="str">
        <f>IFERROR(__xludf.DUMMYFUNCTION("""COMPUTED_VALUE"""),"대파")</f>
        <v>대파</v>
      </c>
    </row>
    <row r="3393">
      <c r="A3393" s="2" t="str">
        <f>IFERROR(__xludf.DUMMYFUNCTION("""COMPUTED_VALUE"""),"쌈싸시지")</f>
        <v>쌈싸시지</v>
      </c>
      <c r="B3393" s="2" t="str">
        <f>IFERROR(__xludf.DUMMYFUNCTION("""COMPUTED_VALUE"""),"마늘")</f>
        <v>마늘</v>
      </c>
    </row>
    <row r="3394">
      <c r="A3394" s="2" t="str">
        <f>IFERROR(__xludf.DUMMYFUNCTION("""COMPUTED_VALUE"""),"쌈싸시지")</f>
        <v>쌈싸시지</v>
      </c>
      <c r="B3394" s="2" t="str">
        <f>IFERROR(__xludf.DUMMYFUNCTION("""COMPUTED_VALUE"""),"밀가루")</f>
        <v>밀가루</v>
      </c>
    </row>
    <row r="3395">
      <c r="A3395" s="2" t="str">
        <f>IFERROR(__xludf.DUMMYFUNCTION("""COMPUTED_VALUE"""),"쌈싸시지")</f>
        <v>쌈싸시지</v>
      </c>
      <c r="B3395" s="2" t="str">
        <f>IFERROR(__xludf.DUMMYFUNCTION("""COMPUTED_VALUE"""),"소금")</f>
        <v>소금</v>
      </c>
    </row>
    <row r="3396">
      <c r="A3396" s="2" t="str">
        <f>IFERROR(__xludf.DUMMYFUNCTION("""COMPUTED_VALUE"""),"쌈싸시지")</f>
        <v>쌈싸시지</v>
      </c>
      <c r="B3396" s="2" t="str">
        <f>IFERROR(__xludf.DUMMYFUNCTION("""COMPUTED_VALUE"""),"식용유")</f>
        <v>식용유</v>
      </c>
    </row>
    <row r="3397">
      <c r="A3397" s="2" t="str">
        <f>IFERROR(__xludf.DUMMYFUNCTION("""COMPUTED_VALUE"""),"쌈싸시지")</f>
        <v>쌈싸시지</v>
      </c>
      <c r="B3397" s="2" t="str">
        <f>IFERROR(__xludf.DUMMYFUNCTION("""COMPUTED_VALUE"""),"전분")</f>
        <v>전분</v>
      </c>
    </row>
    <row r="3398">
      <c r="A3398" s="2" t="str">
        <f>IFERROR(__xludf.DUMMYFUNCTION("""COMPUTED_VALUE"""),"쌈싸시지")</f>
        <v>쌈싸시지</v>
      </c>
      <c r="B3398" s="2" t="str">
        <f>IFERROR(__xludf.DUMMYFUNCTION("""COMPUTED_VALUE"""),"간장")</f>
        <v>간장</v>
      </c>
    </row>
    <row r="3399">
      <c r="A3399" s="2" t="str">
        <f>IFERROR(__xludf.DUMMYFUNCTION("""COMPUTED_VALUE"""),"쌈싸시지")</f>
        <v>쌈싸시지</v>
      </c>
      <c r="B3399" s="2" t="str">
        <f>IFERROR(__xludf.DUMMYFUNCTION("""COMPUTED_VALUE"""),"후추")</f>
        <v>후추</v>
      </c>
    </row>
    <row r="3400">
      <c r="A3400" s="2" t="str">
        <f>IFERROR(__xludf.DUMMYFUNCTION("""COMPUTED_VALUE"""),"살몬의 지혜")</f>
        <v>살몬의 지혜</v>
      </c>
      <c r="B3400" s="2" t="str">
        <f>IFERROR(__xludf.DUMMYFUNCTION("""COMPUTED_VALUE"""),"연어 통조림")</f>
        <v>연어 통조림</v>
      </c>
    </row>
    <row r="3401">
      <c r="A3401" s="2" t="str">
        <f>IFERROR(__xludf.DUMMYFUNCTION("""COMPUTED_VALUE"""),"살몬의 지혜")</f>
        <v>살몬의 지혜</v>
      </c>
      <c r="B3401" s="2" t="str">
        <f>IFERROR(__xludf.DUMMYFUNCTION("""COMPUTED_VALUE"""),"훈제닭가슴살소시지")</f>
        <v>훈제닭가슴살소시지</v>
      </c>
    </row>
    <row r="3402">
      <c r="A3402" s="2" t="str">
        <f>IFERROR(__xludf.DUMMYFUNCTION("""COMPUTED_VALUE"""),"살몬의 지혜")</f>
        <v>살몬의 지혜</v>
      </c>
      <c r="B3402" s="2" t="str">
        <f>IFERROR(__xludf.DUMMYFUNCTION("""COMPUTED_VALUE"""),"베이컨")</f>
        <v>베이컨</v>
      </c>
    </row>
    <row r="3403">
      <c r="A3403" s="2" t="str">
        <f>IFERROR(__xludf.DUMMYFUNCTION("""COMPUTED_VALUE"""),"살몬의 지혜")</f>
        <v>살몬의 지혜</v>
      </c>
      <c r="B3403" s="2" t="str">
        <f>IFERROR(__xludf.DUMMYFUNCTION("""COMPUTED_VALUE"""),"크루아상")</f>
        <v>크루아상</v>
      </c>
    </row>
    <row r="3404">
      <c r="A3404" s="2" t="str">
        <f>IFERROR(__xludf.DUMMYFUNCTION("""COMPUTED_VALUE"""),"살몬의 지혜")</f>
        <v>살몬의 지혜</v>
      </c>
      <c r="B3404" s="2" t="str">
        <f>IFERROR(__xludf.DUMMYFUNCTION("""COMPUTED_VALUE"""),"사과맛 음용식초")</f>
        <v>사과맛 음용식초</v>
      </c>
    </row>
    <row r="3405">
      <c r="A3405" s="2" t="str">
        <f>IFERROR(__xludf.DUMMYFUNCTION("""COMPUTED_VALUE"""),"살몬의 지혜")</f>
        <v>살몬의 지혜</v>
      </c>
      <c r="B3405" s="2" t="str">
        <f>IFERROR(__xludf.DUMMYFUNCTION("""COMPUTED_VALUE"""),"아로니아액")</f>
        <v>아로니아액</v>
      </c>
    </row>
    <row r="3406">
      <c r="A3406" s="2" t="str">
        <f>IFERROR(__xludf.DUMMYFUNCTION("""COMPUTED_VALUE"""),"살몬의 지혜")</f>
        <v>살몬의 지혜</v>
      </c>
      <c r="B3406" s="2" t="str">
        <f>IFERROR(__xludf.DUMMYFUNCTION("""COMPUTED_VALUE"""),"달걀")</f>
        <v>달걀</v>
      </c>
    </row>
    <row r="3407">
      <c r="A3407" s="2" t="str">
        <f>IFERROR(__xludf.DUMMYFUNCTION("""COMPUTED_VALUE"""),"살몬의 지혜")</f>
        <v>살몬의 지혜</v>
      </c>
      <c r="B3407" s="2" t="str">
        <f>IFERROR(__xludf.DUMMYFUNCTION("""COMPUTED_VALUE"""),"양파")</f>
        <v>양파</v>
      </c>
    </row>
    <row r="3408">
      <c r="A3408" s="2" t="str">
        <f>IFERROR(__xludf.DUMMYFUNCTION("""COMPUTED_VALUE"""),"살몬의 지혜")</f>
        <v>살몬의 지혜</v>
      </c>
      <c r="B3408" s="2" t="str">
        <f>IFERROR(__xludf.DUMMYFUNCTION("""COMPUTED_VALUE"""),"대파")</f>
        <v>대파</v>
      </c>
    </row>
    <row r="3409">
      <c r="A3409" s="2" t="str">
        <f>IFERROR(__xludf.DUMMYFUNCTION("""COMPUTED_VALUE"""),"살몬의 지혜")</f>
        <v>살몬의 지혜</v>
      </c>
      <c r="B3409" s="2" t="str">
        <f>IFERROR(__xludf.DUMMYFUNCTION("""COMPUTED_VALUE"""),"소금")</f>
        <v>소금</v>
      </c>
    </row>
    <row r="3410">
      <c r="A3410" s="2" t="str">
        <f>IFERROR(__xludf.DUMMYFUNCTION("""COMPUTED_VALUE"""),"살몬의 지혜")</f>
        <v>살몬의 지혜</v>
      </c>
      <c r="B3410" s="2" t="str">
        <f>IFERROR(__xludf.DUMMYFUNCTION("""COMPUTED_VALUE"""),"후추")</f>
        <v>후추</v>
      </c>
    </row>
    <row r="3411">
      <c r="A3411" s="2" t="str">
        <f>IFERROR(__xludf.DUMMYFUNCTION("""COMPUTED_VALUE"""),"살몬의 지혜")</f>
        <v>살몬의 지혜</v>
      </c>
      <c r="B3411" s="2" t="str">
        <f>IFERROR(__xludf.DUMMYFUNCTION("""COMPUTED_VALUE"""),"마요네즈")</f>
        <v>마요네즈</v>
      </c>
    </row>
    <row r="3412">
      <c r="A3412" s="2" t="str">
        <f>IFERROR(__xludf.DUMMYFUNCTION("""COMPUTED_VALUE"""),"살몬의 지혜")</f>
        <v>살몬의 지혜</v>
      </c>
      <c r="B3412" s="2" t="str">
        <f>IFERROR(__xludf.DUMMYFUNCTION("""COMPUTED_VALUE"""),"전분")</f>
        <v>전분</v>
      </c>
    </row>
    <row r="3413">
      <c r="A3413" s="2" t="str">
        <f>IFERROR(__xludf.DUMMYFUNCTION("""COMPUTED_VALUE"""),"알콜달콤")</f>
        <v>알콜달콤</v>
      </c>
      <c r="B3413" s="2" t="str">
        <f>IFERROR(__xludf.DUMMYFUNCTION("""COMPUTED_VALUE"""),"복숭아맛 술")</f>
        <v>복숭아맛 술</v>
      </c>
    </row>
    <row r="3414">
      <c r="A3414" s="2" t="str">
        <f>IFERROR(__xludf.DUMMYFUNCTION("""COMPUTED_VALUE"""),"알콜달콤")</f>
        <v>알콜달콤</v>
      </c>
      <c r="B3414" s="2" t="str">
        <f>IFERROR(__xludf.DUMMYFUNCTION("""COMPUTED_VALUE"""),"딸기맛 술")</f>
        <v>딸기맛 술</v>
      </c>
    </row>
    <row r="3415">
      <c r="A3415" s="2" t="str">
        <f>IFERROR(__xludf.DUMMYFUNCTION("""COMPUTED_VALUE"""),"알콜달콤")</f>
        <v>알콜달콤</v>
      </c>
      <c r="B3415" s="2" t="str">
        <f>IFERROR(__xludf.DUMMYFUNCTION("""COMPUTED_VALUE"""),"레몬맛 술")</f>
        <v>레몬맛 술</v>
      </c>
    </row>
    <row r="3416">
      <c r="A3416" s="2" t="str">
        <f>IFERROR(__xludf.DUMMYFUNCTION("""COMPUTED_VALUE"""),"알콜달콤")</f>
        <v>알콜달콤</v>
      </c>
      <c r="B3416" s="2" t="str">
        <f>IFERROR(__xludf.DUMMYFUNCTION("""COMPUTED_VALUE"""),"크루아상")</f>
        <v>크루아상</v>
      </c>
    </row>
    <row r="3417">
      <c r="A3417" s="2" t="str">
        <f>IFERROR(__xludf.DUMMYFUNCTION("""COMPUTED_VALUE"""),"알콜달콤")</f>
        <v>알콜달콤</v>
      </c>
      <c r="B3417" s="2" t="str">
        <f>IFERROR(__xludf.DUMMYFUNCTION("""COMPUTED_VALUE"""),"딸기 초콜릿 과자")</f>
        <v>딸기 초콜릿 과자</v>
      </c>
    </row>
    <row r="3418">
      <c r="A3418" s="2" t="str">
        <f>IFERROR(__xludf.DUMMYFUNCTION("""COMPUTED_VALUE"""),"알콜달콤")</f>
        <v>알콜달콤</v>
      </c>
      <c r="B3418" s="2" t="str">
        <f>IFERROR(__xludf.DUMMYFUNCTION("""COMPUTED_VALUE"""),"달걀")</f>
        <v>달걀</v>
      </c>
    </row>
    <row r="3419">
      <c r="A3419" s="2" t="str">
        <f>IFERROR(__xludf.DUMMYFUNCTION("""COMPUTED_VALUE"""),"알콜달콤")</f>
        <v>알콜달콤</v>
      </c>
      <c r="B3419" s="2" t="str">
        <f>IFERROR(__xludf.DUMMYFUNCTION("""COMPUTED_VALUE"""),"설탕")</f>
        <v>설탕</v>
      </c>
    </row>
    <row r="3420">
      <c r="A3420" s="2" t="str">
        <f>IFERROR(__xludf.DUMMYFUNCTION("""COMPUTED_VALUE"""),"알콜달콤")</f>
        <v>알콜달콤</v>
      </c>
      <c r="B3420" s="2" t="str">
        <f>IFERROR(__xludf.DUMMYFUNCTION("""COMPUTED_VALUE"""),"레몬")</f>
        <v>레몬</v>
      </c>
    </row>
    <row r="3421">
      <c r="A3421" s="2" t="str">
        <f>IFERROR(__xludf.DUMMYFUNCTION("""COMPUTED_VALUE"""),"알콜달콤")</f>
        <v>알콜달콤</v>
      </c>
      <c r="B3421" s="2" t="str">
        <f>IFERROR(__xludf.DUMMYFUNCTION("""COMPUTED_VALUE"""),"버터")</f>
        <v>버터</v>
      </c>
    </row>
    <row r="3422">
      <c r="A3422" s="2" t="str">
        <f>IFERROR(__xludf.DUMMYFUNCTION("""COMPUTED_VALUE"""),"우동 노 미")</f>
        <v>우동 노 미</v>
      </c>
      <c r="B3422" s="2" t="str">
        <f>IFERROR(__xludf.DUMMYFUNCTION("""COMPUTED_VALUE"""),"콜라")</f>
        <v>콜라</v>
      </c>
    </row>
    <row r="3423">
      <c r="A3423" s="2" t="str">
        <f>IFERROR(__xludf.DUMMYFUNCTION("""COMPUTED_VALUE"""),"우동 노 미")</f>
        <v>우동 노 미</v>
      </c>
      <c r="B3423" s="2" t="str">
        <f>IFERROR(__xludf.DUMMYFUNCTION("""COMPUTED_VALUE"""),"불고기용 소고기")</f>
        <v>불고기용 소고기</v>
      </c>
    </row>
    <row r="3424">
      <c r="A3424" s="2" t="str">
        <f>IFERROR(__xludf.DUMMYFUNCTION("""COMPUTED_VALUE"""),"우동 노 미")</f>
        <v>우동 노 미</v>
      </c>
      <c r="B3424" s="2" t="str">
        <f>IFERROR(__xludf.DUMMYFUNCTION("""COMPUTED_VALUE"""),"인스턴트 우동")</f>
        <v>인스턴트 우동</v>
      </c>
    </row>
    <row r="3425">
      <c r="A3425" s="2" t="str">
        <f>IFERROR(__xludf.DUMMYFUNCTION("""COMPUTED_VALUE"""),"우동 노 미")</f>
        <v>우동 노 미</v>
      </c>
      <c r="B3425" s="2" t="str">
        <f>IFERROR(__xludf.DUMMYFUNCTION("""COMPUTED_VALUE"""),"달걀")</f>
        <v>달걀</v>
      </c>
    </row>
    <row r="3426">
      <c r="A3426" s="2" t="str">
        <f>IFERROR(__xludf.DUMMYFUNCTION("""COMPUTED_VALUE"""),"우동 노 미")</f>
        <v>우동 노 미</v>
      </c>
      <c r="B3426" s="2" t="str">
        <f>IFERROR(__xludf.DUMMYFUNCTION("""COMPUTED_VALUE"""),"양파")</f>
        <v>양파</v>
      </c>
    </row>
    <row r="3427">
      <c r="A3427" s="2" t="str">
        <f>IFERROR(__xludf.DUMMYFUNCTION("""COMPUTED_VALUE"""),"우동 노 미")</f>
        <v>우동 노 미</v>
      </c>
      <c r="B3427" s="2" t="str">
        <f>IFERROR(__xludf.DUMMYFUNCTION("""COMPUTED_VALUE"""),"대파")</f>
        <v>대파</v>
      </c>
    </row>
    <row r="3428">
      <c r="A3428" s="2" t="str">
        <f>IFERROR(__xludf.DUMMYFUNCTION("""COMPUTED_VALUE"""),"우동 노 미")</f>
        <v>우동 노 미</v>
      </c>
      <c r="B3428" s="2" t="str">
        <f>IFERROR(__xludf.DUMMYFUNCTION("""COMPUTED_VALUE"""),"당근")</f>
        <v>당근</v>
      </c>
    </row>
    <row r="3429">
      <c r="A3429" s="2" t="str">
        <f>IFERROR(__xludf.DUMMYFUNCTION("""COMPUTED_VALUE"""),"우동 노 미")</f>
        <v>우동 노 미</v>
      </c>
      <c r="B3429" s="2" t="str">
        <f>IFERROR(__xludf.DUMMYFUNCTION("""COMPUTED_VALUE"""),"청양고추")</f>
        <v>청양고추</v>
      </c>
    </row>
    <row r="3430">
      <c r="A3430" s="2" t="str">
        <f>IFERROR(__xludf.DUMMYFUNCTION("""COMPUTED_VALUE"""),"우동 노 미")</f>
        <v>우동 노 미</v>
      </c>
      <c r="B3430" s="2" t="str">
        <f>IFERROR(__xludf.DUMMYFUNCTION("""COMPUTED_VALUE"""),"맛술")</f>
        <v>맛술</v>
      </c>
    </row>
    <row r="3431">
      <c r="A3431" s="2" t="str">
        <f>IFERROR(__xludf.DUMMYFUNCTION("""COMPUTED_VALUE"""),"우동 노 미")</f>
        <v>우동 노 미</v>
      </c>
      <c r="B3431" s="2" t="str">
        <f>IFERROR(__xludf.DUMMYFUNCTION("""COMPUTED_VALUE"""),"간장")</f>
        <v>간장</v>
      </c>
    </row>
    <row r="3432">
      <c r="A3432" s="2" t="str">
        <f>IFERROR(__xludf.DUMMYFUNCTION("""COMPUTED_VALUE"""),"우동 노 미")</f>
        <v>우동 노 미</v>
      </c>
      <c r="B3432" s="2" t="str">
        <f>IFERROR(__xludf.DUMMYFUNCTION("""COMPUTED_VALUE"""),"설탕")</f>
        <v>설탕</v>
      </c>
    </row>
    <row r="3433">
      <c r="A3433" s="2" t="str">
        <f>IFERROR(__xludf.DUMMYFUNCTION("""COMPUTED_VALUE"""),"천하젤면")</f>
        <v>천하젤면</v>
      </c>
      <c r="B3433" s="2" t="str">
        <f>IFERROR(__xludf.DUMMYFUNCTION("""COMPUTED_VALUE"""),"돼지목살")</f>
        <v>돼지목살</v>
      </c>
    </row>
    <row r="3434">
      <c r="A3434" s="2" t="str">
        <f>IFERROR(__xludf.DUMMYFUNCTION("""COMPUTED_VALUE"""),"천하젤면")</f>
        <v>천하젤면</v>
      </c>
      <c r="B3434" s="2" t="str">
        <f>IFERROR(__xludf.DUMMYFUNCTION("""COMPUTED_VALUE"""),"애호박")</f>
        <v>애호박</v>
      </c>
    </row>
    <row r="3435">
      <c r="A3435" s="2" t="str">
        <f>IFERROR(__xludf.DUMMYFUNCTION("""COMPUTED_VALUE"""),"천하젤면")</f>
        <v>천하젤면</v>
      </c>
      <c r="B3435" s="2" t="str">
        <f>IFERROR(__xludf.DUMMYFUNCTION("""COMPUTED_VALUE"""),"아스파라거스")</f>
        <v>아스파라거스</v>
      </c>
    </row>
    <row r="3436">
      <c r="A3436" s="2" t="str">
        <f>IFERROR(__xludf.DUMMYFUNCTION("""COMPUTED_VALUE"""),"천하젤면")</f>
        <v>천하젤면</v>
      </c>
      <c r="B3436" s="2" t="str">
        <f>IFERROR(__xludf.DUMMYFUNCTION("""COMPUTED_VALUE"""),"샐러리")</f>
        <v>샐러리</v>
      </c>
    </row>
    <row r="3437">
      <c r="A3437" s="2" t="str">
        <f>IFERROR(__xludf.DUMMYFUNCTION("""COMPUTED_VALUE"""),"천하젤면")</f>
        <v>천하젤면</v>
      </c>
      <c r="B3437" s="2" t="str">
        <f>IFERROR(__xludf.DUMMYFUNCTION("""COMPUTED_VALUE"""),"굴소스")</f>
        <v>굴소스</v>
      </c>
    </row>
    <row r="3438">
      <c r="A3438" s="2" t="str">
        <f>IFERROR(__xludf.DUMMYFUNCTION("""COMPUTED_VALUE"""),"천하젤면")</f>
        <v>천하젤면</v>
      </c>
      <c r="B3438" s="2" t="str">
        <f>IFERROR(__xludf.DUMMYFUNCTION("""COMPUTED_VALUE"""),"밀가루")</f>
        <v>밀가루</v>
      </c>
    </row>
    <row r="3439">
      <c r="A3439" s="2" t="str">
        <f>IFERROR(__xludf.DUMMYFUNCTION("""COMPUTED_VALUE"""),"천하젤면")</f>
        <v>천하젤면</v>
      </c>
      <c r="B3439" s="2" t="str">
        <f>IFERROR(__xludf.DUMMYFUNCTION("""COMPUTED_VALUE"""),"옥수수전분")</f>
        <v>옥수수전분</v>
      </c>
    </row>
    <row r="3440">
      <c r="A3440" s="2" t="str">
        <f>IFERROR(__xludf.DUMMYFUNCTION("""COMPUTED_VALUE"""),"천하젤면")</f>
        <v>천하젤면</v>
      </c>
      <c r="B3440" s="2" t="str">
        <f>IFERROR(__xludf.DUMMYFUNCTION("""COMPUTED_VALUE"""),"감자전분")</f>
        <v>감자전분</v>
      </c>
    </row>
    <row r="3441">
      <c r="A3441" s="2" t="str">
        <f>IFERROR(__xludf.DUMMYFUNCTION("""COMPUTED_VALUE"""),"천하젤면")</f>
        <v>천하젤면</v>
      </c>
      <c r="B3441" s="2" t="str">
        <f>IFERROR(__xludf.DUMMYFUNCTION("""COMPUTED_VALUE"""),"소금")</f>
        <v>소금</v>
      </c>
    </row>
    <row r="3442">
      <c r="A3442" s="2" t="str">
        <f>IFERROR(__xludf.DUMMYFUNCTION("""COMPUTED_VALUE"""),"천하젤면")</f>
        <v>천하젤면</v>
      </c>
      <c r="B3442" s="2" t="str">
        <f>IFERROR(__xludf.DUMMYFUNCTION("""COMPUTED_VALUE"""),"양파")</f>
        <v>양파</v>
      </c>
    </row>
    <row r="3443">
      <c r="A3443" s="2" t="str">
        <f>IFERROR(__xludf.DUMMYFUNCTION("""COMPUTED_VALUE"""),"천하젤면")</f>
        <v>천하젤면</v>
      </c>
      <c r="B3443" s="2" t="str">
        <f>IFERROR(__xludf.DUMMYFUNCTION("""COMPUTED_VALUE"""),"당근")</f>
        <v>당근</v>
      </c>
    </row>
    <row r="3444">
      <c r="A3444" s="2" t="str">
        <f>IFERROR(__xludf.DUMMYFUNCTION("""COMPUTED_VALUE"""),"천하젤면")</f>
        <v>천하젤면</v>
      </c>
      <c r="B3444" s="2" t="str">
        <f>IFERROR(__xludf.DUMMYFUNCTION("""COMPUTED_VALUE"""),"대파")</f>
        <v>대파</v>
      </c>
    </row>
    <row r="3445">
      <c r="A3445" s="2" t="str">
        <f>IFERROR(__xludf.DUMMYFUNCTION("""COMPUTED_VALUE"""),"천하젤면")</f>
        <v>천하젤면</v>
      </c>
      <c r="B3445" s="2" t="str">
        <f>IFERROR(__xludf.DUMMYFUNCTION("""COMPUTED_VALUE"""),"마늘")</f>
        <v>마늘</v>
      </c>
    </row>
    <row r="3446">
      <c r="A3446" s="2" t="str">
        <f>IFERROR(__xludf.DUMMYFUNCTION("""COMPUTED_VALUE"""),"천하젤면")</f>
        <v>천하젤면</v>
      </c>
      <c r="B3446" s="2" t="str">
        <f>IFERROR(__xludf.DUMMYFUNCTION("""COMPUTED_VALUE"""),"고춧가루")</f>
        <v>고춧가루</v>
      </c>
    </row>
    <row r="3447">
      <c r="A3447" s="2" t="str">
        <f>IFERROR(__xludf.DUMMYFUNCTION("""COMPUTED_VALUE"""),"천하젤면")</f>
        <v>천하젤면</v>
      </c>
      <c r="B3447" s="2" t="str">
        <f>IFERROR(__xludf.DUMMYFUNCTION("""COMPUTED_VALUE"""),"청양고추")</f>
        <v>청양고추</v>
      </c>
    </row>
    <row r="3448">
      <c r="A3448" s="2" t="str">
        <f>IFERROR(__xludf.DUMMYFUNCTION("""COMPUTED_VALUE"""),"천하젤면")</f>
        <v>천하젤면</v>
      </c>
      <c r="B3448" s="2" t="str">
        <f>IFERROR(__xludf.DUMMYFUNCTION("""COMPUTED_VALUE"""),"간장")</f>
        <v>간장</v>
      </c>
    </row>
    <row r="3449">
      <c r="A3449" s="2" t="str">
        <f>IFERROR(__xludf.DUMMYFUNCTION("""COMPUTED_VALUE"""),"천하젤면")</f>
        <v>천하젤면</v>
      </c>
      <c r="B3449" s="2" t="str">
        <f>IFERROR(__xludf.DUMMYFUNCTION("""COMPUTED_VALUE"""),"맛술")</f>
        <v>맛술</v>
      </c>
    </row>
    <row r="3450">
      <c r="A3450" s="2" t="str">
        <f>IFERROR(__xludf.DUMMYFUNCTION("""COMPUTED_VALUE"""),"천하젤면")</f>
        <v>천하젤면</v>
      </c>
      <c r="B3450" s="2" t="str">
        <f>IFERROR(__xludf.DUMMYFUNCTION("""COMPUTED_VALUE"""),"참기름")</f>
        <v>참기름</v>
      </c>
    </row>
    <row r="3451">
      <c r="A3451" s="2" t="str">
        <f>IFERROR(__xludf.DUMMYFUNCTION("""COMPUTED_VALUE"""),"젤 맛있돔")</f>
        <v>젤 맛있돔</v>
      </c>
      <c r="B3451" s="2" t="str">
        <f>IFERROR(__xludf.DUMMYFUNCTION("""COMPUTED_VALUE"""),"코코넛워터")</f>
        <v>코코넛워터</v>
      </c>
    </row>
    <row r="3452">
      <c r="A3452" s="2" t="str">
        <f>IFERROR(__xludf.DUMMYFUNCTION("""COMPUTED_VALUE"""),"젤 맛있돔")</f>
        <v>젤 맛있돔</v>
      </c>
      <c r="B3452" s="2" t="str">
        <f>IFERROR(__xludf.DUMMYFUNCTION("""COMPUTED_VALUE"""),"방울토마토")</f>
        <v>방울토마토</v>
      </c>
    </row>
    <row r="3453">
      <c r="A3453" s="2" t="str">
        <f>IFERROR(__xludf.DUMMYFUNCTION("""COMPUTED_VALUE"""),"젤 맛있돔")</f>
        <v>젤 맛있돔</v>
      </c>
      <c r="B3453" s="2" t="str">
        <f>IFERROR(__xludf.DUMMYFUNCTION("""COMPUTED_VALUE"""),"사과주스")</f>
        <v>사과주스</v>
      </c>
    </row>
    <row r="3454">
      <c r="A3454" s="2" t="str">
        <f>IFERROR(__xludf.DUMMYFUNCTION("""COMPUTED_VALUE"""),"젤 맛있돔")</f>
        <v>젤 맛있돔</v>
      </c>
      <c r="B3454" s="2" t="str">
        <f>IFERROR(__xludf.DUMMYFUNCTION("""COMPUTED_VALUE"""),"방울양배추")</f>
        <v>방울양배추</v>
      </c>
    </row>
    <row r="3455">
      <c r="A3455" s="2" t="str">
        <f>IFERROR(__xludf.DUMMYFUNCTION("""COMPUTED_VALUE"""),"젤 맛있돔")</f>
        <v>젤 맛있돔</v>
      </c>
      <c r="B3455" s="2" t="str">
        <f>IFERROR(__xludf.DUMMYFUNCTION("""COMPUTED_VALUE"""),"라임")</f>
        <v>라임</v>
      </c>
    </row>
    <row r="3456">
      <c r="A3456" s="2" t="str">
        <f>IFERROR(__xludf.DUMMYFUNCTION("""COMPUTED_VALUE"""),"젤 맛있돔")</f>
        <v>젤 맛있돔</v>
      </c>
      <c r="B3456" s="2" t="str">
        <f>IFERROR(__xludf.DUMMYFUNCTION("""COMPUTED_VALUE"""),"달래")</f>
        <v>달래</v>
      </c>
    </row>
    <row r="3457">
      <c r="A3457" s="2" t="str">
        <f>IFERROR(__xludf.DUMMYFUNCTION("""COMPUTED_VALUE"""),"젤 맛있돔")</f>
        <v>젤 맛있돔</v>
      </c>
      <c r="B3457" s="2" t="str">
        <f>IFERROR(__xludf.DUMMYFUNCTION("""COMPUTED_VALUE"""),"인스턴트 새우딤섬")</f>
        <v>인스턴트 새우딤섬</v>
      </c>
    </row>
    <row r="3458">
      <c r="A3458" s="2" t="str">
        <f>IFERROR(__xludf.DUMMYFUNCTION("""COMPUTED_VALUE"""),"젤 맛있돔")</f>
        <v>젤 맛있돔</v>
      </c>
      <c r="B3458" s="2" t="str">
        <f>IFERROR(__xludf.DUMMYFUNCTION("""COMPUTED_VALUE"""),"아보카도")</f>
        <v>아보카도</v>
      </c>
    </row>
    <row r="3459">
      <c r="A3459" s="2" t="str">
        <f>IFERROR(__xludf.DUMMYFUNCTION("""COMPUTED_VALUE"""),"젤 맛있돔")</f>
        <v>젤 맛있돔</v>
      </c>
      <c r="B3459" s="2" t="str">
        <f>IFERROR(__xludf.DUMMYFUNCTION("""COMPUTED_VALUE"""),"판 젤라틴")</f>
        <v>판 젤라틴</v>
      </c>
    </row>
    <row r="3460">
      <c r="A3460" s="2" t="str">
        <f>IFERROR(__xludf.DUMMYFUNCTION("""COMPUTED_VALUE"""),"젤 맛있돔")</f>
        <v>젤 맛있돔</v>
      </c>
      <c r="B3460" s="2" t="str">
        <f>IFERROR(__xludf.DUMMYFUNCTION("""COMPUTED_VALUE"""),"간장")</f>
        <v>간장</v>
      </c>
    </row>
    <row r="3461">
      <c r="A3461" s="2" t="str">
        <f>IFERROR(__xludf.DUMMYFUNCTION("""COMPUTED_VALUE"""),"젤 맛있돔")</f>
        <v>젤 맛있돔</v>
      </c>
      <c r="B3461" s="2" t="str">
        <f>IFERROR(__xludf.DUMMYFUNCTION("""COMPUTED_VALUE"""),"마요네즈")</f>
        <v>마요네즈</v>
      </c>
    </row>
    <row r="3462">
      <c r="A3462" s="2" t="str">
        <f>IFERROR(__xludf.DUMMYFUNCTION("""COMPUTED_VALUE"""),"젤 맛있돔")</f>
        <v>젤 맛있돔</v>
      </c>
      <c r="B3462" s="2" t="str">
        <f>IFERROR(__xludf.DUMMYFUNCTION("""COMPUTED_VALUE"""),"후추")</f>
        <v>후추</v>
      </c>
    </row>
    <row r="3463">
      <c r="A3463" s="2" t="str">
        <f>IFERROR(__xludf.DUMMYFUNCTION("""COMPUTED_VALUE"""),"젤 맛있돔")</f>
        <v>젤 맛있돔</v>
      </c>
      <c r="B3463" s="2" t="str">
        <f>IFERROR(__xludf.DUMMYFUNCTION("""COMPUTED_VALUE"""),"소금")</f>
        <v>소금</v>
      </c>
    </row>
    <row r="3464">
      <c r="A3464" s="2" t="str">
        <f>IFERROR(__xludf.DUMMYFUNCTION("""COMPUTED_VALUE"""),"젤 맛있돔")</f>
        <v>젤 맛있돔</v>
      </c>
      <c r="B3464" s="2" t="str">
        <f>IFERROR(__xludf.DUMMYFUNCTION("""COMPUTED_VALUE"""),"올리브오일")</f>
        <v>올리브오일</v>
      </c>
    </row>
    <row r="3465">
      <c r="A3465" s="2" t="str">
        <f>IFERROR(__xludf.DUMMYFUNCTION("""COMPUTED_VALUE"""),"컵있슈")</f>
        <v>컵있슈</v>
      </c>
      <c r="B3465" s="2" t="str">
        <f>IFERROR(__xludf.DUMMYFUNCTION("""COMPUTED_VALUE"""),"달걀")</f>
        <v>달걀</v>
      </c>
    </row>
    <row r="3466">
      <c r="A3466" s="2" t="str">
        <f>IFERROR(__xludf.DUMMYFUNCTION("""COMPUTED_VALUE"""),"컵있슈")</f>
        <v>컵있슈</v>
      </c>
      <c r="B3466" s="2" t="str">
        <f>IFERROR(__xludf.DUMMYFUNCTION("""COMPUTED_VALUE"""),"우유")</f>
        <v>우유</v>
      </c>
    </row>
    <row r="3467">
      <c r="A3467" s="2" t="str">
        <f>IFERROR(__xludf.DUMMYFUNCTION("""COMPUTED_VALUE"""),"컵있슈")</f>
        <v>컵있슈</v>
      </c>
      <c r="B3467" s="2" t="str">
        <f>IFERROR(__xludf.DUMMYFUNCTION("""COMPUTED_VALUE"""),"두유")</f>
        <v>두유</v>
      </c>
    </row>
    <row r="3468">
      <c r="A3468" s="2" t="str">
        <f>IFERROR(__xludf.DUMMYFUNCTION("""COMPUTED_VALUE"""),"컵있슈")</f>
        <v>컵있슈</v>
      </c>
      <c r="B3468" s="2" t="str">
        <f>IFERROR(__xludf.DUMMYFUNCTION("""COMPUTED_VALUE"""),"파르메산 치즈")</f>
        <v>파르메산 치즈</v>
      </c>
    </row>
    <row r="3469">
      <c r="A3469" s="2" t="str">
        <f>IFERROR(__xludf.DUMMYFUNCTION("""COMPUTED_VALUE"""),"컵있슈")</f>
        <v>컵있슈</v>
      </c>
      <c r="B3469" s="2" t="str">
        <f>IFERROR(__xludf.DUMMYFUNCTION("""COMPUTED_VALUE"""),"핫초코 분말")</f>
        <v>핫초코 분말</v>
      </c>
    </row>
    <row r="3470">
      <c r="A3470" s="2" t="str">
        <f>IFERROR(__xludf.DUMMYFUNCTION("""COMPUTED_VALUE"""),"컵있슈")</f>
        <v>컵있슈</v>
      </c>
      <c r="B3470" s="2" t="str">
        <f>IFERROR(__xludf.DUMMYFUNCTION("""COMPUTED_VALUE"""),"열대과일 통조림")</f>
        <v>열대과일 통조림</v>
      </c>
    </row>
    <row r="3471">
      <c r="A3471" s="2" t="str">
        <f>IFERROR(__xludf.DUMMYFUNCTION("""COMPUTED_VALUE"""),"컵있슈")</f>
        <v>컵있슈</v>
      </c>
      <c r="B3471" s="2" t="str">
        <f>IFERROR(__xludf.DUMMYFUNCTION("""COMPUTED_VALUE"""),"파인애플 병조림")</f>
        <v>파인애플 병조림</v>
      </c>
    </row>
    <row r="3472">
      <c r="A3472" s="2" t="str">
        <f>IFERROR(__xludf.DUMMYFUNCTION("""COMPUTED_VALUE"""),"컵있슈")</f>
        <v>컵있슈</v>
      </c>
      <c r="B3472" s="2" t="str">
        <f>IFERROR(__xludf.DUMMYFUNCTION("""COMPUTED_VALUE"""),"망고")</f>
        <v>망고</v>
      </c>
    </row>
    <row r="3473">
      <c r="A3473" s="2" t="str">
        <f>IFERROR(__xludf.DUMMYFUNCTION("""COMPUTED_VALUE"""),"컵있슈")</f>
        <v>컵있슈</v>
      </c>
      <c r="B3473" s="2" t="str">
        <f>IFERROR(__xludf.DUMMYFUNCTION("""COMPUTED_VALUE"""),"소프트 아이스크림")</f>
        <v>소프트 아이스크림</v>
      </c>
    </row>
    <row r="3474">
      <c r="A3474" s="2" t="str">
        <f>IFERROR(__xludf.DUMMYFUNCTION("""COMPUTED_VALUE"""),"컵있슈")</f>
        <v>컵있슈</v>
      </c>
      <c r="B3474" s="2" t="str">
        <f>IFERROR(__xludf.DUMMYFUNCTION("""COMPUTED_VALUE"""),"젤리")</f>
        <v>젤리</v>
      </c>
    </row>
    <row r="3475">
      <c r="A3475" s="2" t="str">
        <f>IFERROR(__xludf.DUMMYFUNCTION("""COMPUTED_VALUE"""),"컵있슈")</f>
        <v>컵있슈</v>
      </c>
      <c r="B3475" s="2" t="str">
        <f>IFERROR(__xludf.DUMMYFUNCTION("""COMPUTED_VALUE"""),"체리")</f>
        <v>체리</v>
      </c>
    </row>
    <row r="3476">
      <c r="A3476" s="2" t="str">
        <f>IFERROR(__xludf.DUMMYFUNCTION("""COMPUTED_VALUE"""),"컵있슈")</f>
        <v>컵있슈</v>
      </c>
      <c r="B3476" s="2" t="str">
        <f>IFERROR(__xludf.DUMMYFUNCTION("""COMPUTED_VALUE"""),"버터")</f>
        <v>버터</v>
      </c>
    </row>
    <row r="3477">
      <c r="A3477" s="2" t="str">
        <f>IFERROR(__xludf.DUMMYFUNCTION("""COMPUTED_VALUE"""),"컵있슈")</f>
        <v>컵있슈</v>
      </c>
      <c r="B3477" s="2" t="str">
        <f>IFERROR(__xludf.DUMMYFUNCTION("""COMPUTED_VALUE"""),"설탕")</f>
        <v>설탕</v>
      </c>
    </row>
    <row r="3478">
      <c r="A3478" s="2" t="str">
        <f>IFERROR(__xludf.DUMMYFUNCTION("""COMPUTED_VALUE"""),"컵있슈")</f>
        <v>컵있슈</v>
      </c>
      <c r="B3478" s="2" t="str">
        <f>IFERROR(__xludf.DUMMYFUNCTION("""COMPUTED_VALUE"""),"밀가루")</f>
        <v>밀가루</v>
      </c>
    </row>
    <row r="3479">
      <c r="A3479" s="2" t="str">
        <f>IFERROR(__xludf.DUMMYFUNCTION("""COMPUTED_VALUE"""),"버블버블버블밥!")</f>
        <v>버블버블버블밥!</v>
      </c>
      <c r="B3479" s="2" t="str">
        <f>IFERROR(__xludf.DUMMYFUNCTION("""COMPUTED_VALUE"""),"삶은 옥수수")</f>
        <v>삶은 옥수수</v>
      </c>
    </row>
    <row r="3480">
      <c r="A3480" s="2" t="str">
        <f>IFERROR(__xludf.DUMMYFUNCTION("""COMPUTED_VALUE"""),"버블버블버블밥!")</f>
        <v>버블버블버블밥!</v>
      </c>
      <c r="B3480" s="2" t="str">
        <f>IFERROR(__xludf.DUMMYFUNCTION("""COMPUTED_VALUE"""),"아스파라거스")</f>
        <v>아스파라거스</v>
      </c>
    </row>
    <row r="3481">
      <c r="A3481" s="2" t="str">
        <f>IFERROR(__xludf.DUMMYFUNCTION("""COMPUTED_VALUE"""),"버블버블버블밥!")</f>
        <v>버블버블버블밥!</v>
      </c>
      <c r="B3481" s="2" t="str">
        <f>IFERROR(__xludf.DUMMYFUNCTION("""COMPUTED_VALUE"""),"파인애플")</f>
        <v>파인애플</v>
      </c>
    </row>
    <row r="3482">
      <c r="A3482" s="2" t="str">
        <f>IFERROR(__xludf.DUMMYFUNCTION("""COMPUTED_VALUE"""),"버블버블버블밥!")</f>
        <v>버블버블버블밥!</v>
      </c>
      <c r="B3482" s="2" t="str">
        <f>IFERROR(__xludf.DUMMYFUNCTION("""COMPUTED_VALUE"""),"인스턴트 깍두기 볶음밥")</f>
        <v>인스턴트 깍두기 볶음밥</v>
      </c>
    </row>
    <row r="3483">
      <c r="A3483" s="2" t="str">
        <f>IFERROR(__xludf.DUMMYFUNCTION("""COMPUTED_VALUE"""),"버블버블버블밥!")</f>
        <v>버블버블버블밥!</v>
      </c>
      <c r="B3483" s="2" t="str">
        <f>IFERROR(__xludf.DUMMYFUNCTION("""COMPUTED_VALUE"""),"달걀")</f>
        <v>달걀</v>
      </c>
    </row>
    <row r="3484">
      <c r="A3484" s="2" t="str">
        <f>IFERROR(__xludf.DUMMYFUNCTION("""COMPUTED_VALUE"""),"버블버블버블밥!")</f>
        <v>버블버블버블밥!</v>
      </c>
      <c r="B3484" s="2" t="str">
        <f>IFERROR(__xludf.DUMMYFUNCTION("""COMPUTED_VALUE"""),"방울토마토")</f>
        <v>방울토마토</v>
      </c>
    </row>
    <row r="3485">
      <c r="A3485" s="2" t="str">
        <f>IFERROR(__xludf.DUMMYFUNCTION("""COMPUTED_VALUE"""),"버블버블버블밥!")</f>
        <v>버블버블버블밥!</v>
      </c>
      <c r="B3485" s="2" t="str">
        <f>IFERROR(__xludf.DUMMYFUNCTION("""COMPUTED_VALUE"""),"파르메산 치즈")</f>
        <v>파르메산 치즈</v>
      </c>
    </row>
    <row r="3486">
      <c r="A3486" s="2" t="str">
        <f>IFERROR(__xludf.DUMMYFUNCTION("""COMPUTED_VALUE"""),"버블버블버블밥!")</f>
        <v>버블버블버블밥!</v>
      </c>
      <c r="B3486" s="2" t="str">
        <f>IFERROR(__xludf.DUMMYFUNCTION("""COMPUTED_VALUE"""),"양파")</f>
        <v>양파</v>
      </c>
    </row>
    <row r="3487">
      <c r="A3487" s="2" t="str">
        <f>IFERROR(__xludf.DUMMYFUNCTION("""COMPUTED_VALUE"""),"버블버블버블밥!")</f>
        <v>버블버블버블밥!</v>
      </c>
      <c r="B3487" s="2" t="str">
        <f>IFERROR(__xludf.DUMMYFUNCTION("""COMPUTED_VALUE"""),"청양고추")</f>
        <v>청양고추</v>
      </c>
    </row>
    <row r="3488">
      <c r="A3488" s="2" t="str">
        <f>IFERROR(__xludf.DUMMYFUNCTION("""COMPUTED_VALUE"""),"버블버블버블밥!")</f>
        <v>버블버블버블밥!</v>
      </c>
      <c r="B3488" s="2" t="str">
        <f>IFERROR(__xludf.DUMMYFUNCTION("""COMPUTED_VALUE"""),"케첩")</f>
        <v>케첩</v>
      </c>
    </row>
    <row r="3489">
      <c r="A3489" s="2" t="str">
        <f>IFERROR(__xludf.DUMMYFUNCTION("""COMPUTED_VALUE"""),"버블버블버블밥!")</f>
        <v>버블버블버블밥!</v>
      </c>
      <c r="B3489" s="2" t="str">
        <f>IFERROR(__xludf.DUMMYFUNCTION("""COMPUTED_VALUE"""),"설탕")</f>
        <v>설탕</v>
      </c>
    </row>
    <row r="3490">
      <c r="A3490" s="2" t="str">
        <f>IFERROR(__xludf.DUMMYFUNCTION("""COMPUTED_VALUE"""),"버블버블버블밥!")</f>
        <v>버블버블버블밥!</v>
      </c>
      <c r="B3490" s="2" t="str">
        <f>IFERROR(__xludf.DUMMYFUNCTION("""COMPUTED_VALUE"""),"밀가루")</f>
        <v>밀가루</v>
      </c>
    </row>
    <row r="3491">
      <c r="A3491" s="2" t="str">
        <f>IFERROR(__xludf.DUMMYFUNCTION("""COMPUTED_VALUE"""),"버블버블버블밥!")</f>
        <v>버블버블버블밥!</v>
      </c>
      <c r="B3491" s="2" t="str">
        <f>IFERROR(__xludf.DUMMYFUNCTION("""COMPUTED_VALUE"""),"버터")</f>
        <v>버터</v>
      </c>
    </row>
    <row r="3492">
      <c r="A3492" s="2" t="str">
        <f>IFERROR(__xludf.DUMMYFUNCTION("""COMPUTED_VALUE"""),"어머님이 샘이니")</f>
        <v>어머님이 샘이니</v>
      </c>
      <c r="B3492" s="2" t="str">
        <f>IFERROR(__xludf.DUMMYFUNCTION("""COMPUTED_VALUE"""),"감자")</f>
        <v>감자</v>
      </c>
    </row>
    <row r="3493">
      <c r="A3493" s="2" t="str">
        <f>IFERROR(__xludf.DUMMYFUNCTION("""COMPUTED_VALUE"""),"어머님이 샘이니")</f>
        <v>어머님이 샘이니</v>
      </c>
      <c r="B3493" s="2" t="str">
        <f>IFERROR(__xludf.DUMMYFUNCTION("""COMPUTED_VALUE"""),"양송이버섯")</f>
        <v>양송이버섯</v>
      </c>
    </row>
    <row r="3494">
      <c r="A3494" s="2" t="str">
        <f>IFERROR(__xludf.DUMMYFUNCTION("""COMPUTED_VALUE"""),"어머님이 샘이니")</f>
        <v>어머님이 샘이니</v>
      </c>
      <c r="B3494" s="2" t="str">
        <f>IFERROR(__xludf.DUMMYFUNCTION("""COMPUTED_VALUE"""),"대하")</f>
        <v>대하</v>
      </c>
    </row>
    <row r="3495">
      <c r="A3495" s="2" t="str">
        <f>IFERROR(__xludf.DUMMYFUNCTION("""COMPUTED_VALUE"""),"어머님이 샘이니")</f>
        <v>어머님이 샘이니</v>
      </c>
      <c r="B3495" s="2" t="str">
        <f>IFERROR(__xludf.DUMMYFUNCTION("""COMPUTED_VALUE"""),"크림치즈")</f>
        <v>크림치즈</v>
      </c>
    </row>
    <row r="3496">
      <c r="A3496" s="2" t="str">
        <f>IFERROR(__xludf.DUMMYFUNCTION("""COMPUTED_VALUE"""),"어머님이 샘이니")</f>
        <v>어머님이 샘이니</v>
      </c>
      <c r="B3496" s="2" t="str">
        <f>IFERROR(__xludf.DUMMYFUNCTION("""COMPUTED_VALUE"""),"달걀")</f>
        <v>달걀</v>
      </c>
    </row>
    <row r="3497">
      <c r="A3497" s="2" t="str">
        <f>IFERROR(__xludf.DUMMYFUNCTION("""COMPUTED_VALUE"""),"어머님이 샘이니")</f>
        <v>어머님이 샘이니</v>
      </c>
      <c r="B3497" s="2" t="str">
        <f>IFERROR(__xludf.DUMMYFUNCTION("""COMPUTED_VALUE"""),"샐러드 채소")</f>
        <v>샐러드 채소</v>
      </c>
    </row>
    <row r="3498">
      <c r="A3498" s="2" t="str">
        <f>IFERROR(__xludf.DUMMYFUNCTION("""COMPUTED_VALUE"""),"어머님이 샘이니")</f>
        <v>어머님이 샘이니</v>
      </c>
      <c r="B3498" s="2" t="str">
        <f>IFERROR(__xludf.DUMMYFUNCTION("""COMPUTED_VALUE"""),"발사믹 드레싱")</f>
        <v>발사믹 드레싱</v>
      </c>
    </row>
    <row r="3499">
      <c r="A3499" s="2" t="str">
        <f>IFERROR(__xludf.DUMMYFUNCTION("""COMPUTED_VALUE"""),"어머님이 샘이니")</f>
        <v>어머님이 샘이니</v>
      </c>
      <c r="B3499" s="2" t="str">
        <f>IFERROR(__xludf.DUMMYFUNCTION("""COMPUTED_VALUE"""),"청포도")</f>
        <v>청포도</v>
      </c>
    </row>
    <row r="3500">
      <c r="A3500" s="2" t="str">
        <f>IFERROR(__xludf.DUMMYFUNCTION("""COMPUTED_VALUE"""),"어머님이 샘이니")</f>
        <v>어머님이 샘이니</v>
      </c>
      <c r="B3500" s="2" t="str">
        <f>IFERROR(__xludf.DUMMYFUNCTION("""COMPUTED_VALUE"""),"소금")</f>
        <v>소금</v>
      </c>
    </row>
    <row r="3501">
      <c r="A3501" s="2" t="str">
        <f>IFERROR(__xludf.DUMMYFUNCTION("""COMPUTED_VALUE"""),"어머님이 샘이니")</f>
        <v>어머님이 샘이니</v>
      </c>
      <c r="B3501" s="2" t="str">
        <f>IFERROR(__xludf.DUMMYFUNCTION("""COMPUTED_VALUE"""),"레몬")</f>
        <v>레몬</v>
      </c>
    </row>
    <row r="3502">
      <c r="A3502" s="2" t="str">
        <f>IFERROR(__xludf.DUMMYFUNCTION("""COMPUTED_VALUE"""),"어머님이 샘이니")</f>
        <v>어머님이 샘이니</v>
      </c>
      <c r="B3502" s="2" t="str">
        <f>IFERROR(__xludf.DUMMYFUNCTION("""COMPUTED_VALUE"""),"후추")</f>
        <v>후추</v>
      </c>
    </row>
    <row r="3503">
      <c r="A3503" s="2" t="str">
        <f>IFERROR(__xludf.DUMMYFUNCTION("""COMPUTED_VALUE"""),"어머님이 샘이니")</f>
        <v>어머님이 샘이니</v>
      </c>
      <c r="B3503" s="2" t="str">
        <f>IFERROR(__xludf.DUMMYFUNCTION("""COMPUTED_VALUE"""),"버터")</f>
        <v>버터</v>
      </c>
    </row>
    <row r="3504">
      <c r="A3504" s="2" t="str">
        <f>IFERROR(__xludf.DUMMYFUNCTION("""COMPUTED_VALUE"""),"어머님이 샘이니")</f>
        <v>어머님이 샘이니</v>
      </c>
      <c r="B3504" s="2" t="str">
        <f>IFERROR(__xludf.DUMMYFUNCTION("""COMPUTED_VALUE"""),"올리브오일")</f>
        <v>올리브오일</v>
      </c>
    </row>
    <row r="3505">
      <c r="A3505" s="2" t="str">
        <f>IFERROR(__xludf.DUMMYFUNCTION("""COMPUTED_VALUE"""),"버섯닭")</f>
        <v>버섯닭</v>
      </c>
      <c r="B3505" s="2" t="str">
        <f>IFERROR(__xludf.DUMMYFUNCTION("""COMPUTED_VALUE"""),"파프리카")</f>
        <v>파프리카</v>
      </c>
    </row>
    <row r="3506">
      <c r="A3506" s="2" t="str">
        <f>IFERROR(__xludf.DUMMYFUNCTION("""COMPUTED_VALUE"""),"버섯닭")</f>
        <v>버섯닭</v>
      </c>
      <c r="B3506" s="2" t="str">
        <f>IFERROR(__xludf.DUMMYFUNCTION("""COMPUTED_VALUE"""),"새송이버섯")</f>
        <v>새송이버섯</v>
      </c>
    </row>
    <row r="3507">
      <c r="A3507" s="2" t="str">
        <f>IFERROR(__xludf.DUMMYFUNCTION("""COMPUTED_VALUE"""),"버섯닭")</f>
        <v>버섯닭</v>
      </c>
      <c r="B3507" s="2" t="str">
        <f>IFERROR(__xludf.DUMMYFUNCTION("""COMPUTED_VALUE"""),"데친 콩나물")</f>
        <v>데친 콩나물</v>
      </c>
    </row>
    <row r="3508">
      <c r="A3508" s="2" t="str">
        <f>IFERROR(__xludf.DUMMYFUNCTION("""COMPUTED_VALUE"""),"버섯닭")</f>
        <v>버섯닭</v>
      </c>
      <c r="B3508" s="2" t="str">
        <f>IFERROR(__xludf.DUMMYFUNCTION("""COMPUTED_VALUE"""),"닭가슴살 치킨")</f>
        <v>닭가슴살 치킨</v>
      </c>
    </row>
    <row r="3509">
      <c r="A3509" s="2" t="str">
        <f>IFERROR(__xludf.DUMMYFUNCTION("""COMPUTED_VALUE"""),"버섯닭")</f>
        <v>버섯닭</v>
      </c>
      <c r="B3509" s="2" t="str">
        <f>IFERROR(__xludf.DUMMYFUNCTION("""COMPUTED_VALUE"""),"굴소스")</f>
        <v>굴소스</v>
      </c>
    </row>
    <row r="3510">
      <c r="A3510" s="2" t="str">
        <f>IFERROR(__xludf.DUMMYFUNCTION("""COMPUTED_VALUE"""),"버섯닭")</f>
        <v>버섯닭</v>
      </c>
      <c r="B3510" s="2" t="str">
        <f>IFERROR(__xludf.DUMMYFUNCTION("""COMPUTED_VALUE"""),"조미료")</f>
        <v>조미료</v>
      </c>
    </row>
    <row r="3511">
      <c r="A3511" s="2" t="str">
        <f>IFERROR(__xludf.DUMMYFUNCTION("""COMPUTED_VALUE"""),"버섯닭")</f>
        <v>버섯닭</v>
      </c>
      <c r="B3511" s="2" t="str">
        <f>IFERROR(__xludf.DUMMYFUNCTION("""COMPUTED_VALUE"""),"양파")</f>
        <v>양파</v>
      </c>
    </row>
    <row r="3512">
      <c r="A3512" s="2" t="str">
        <f>IFERROR(__xludf.DUMMYFUNCTION("""COMPUTED_VALUE"""),"버섯닭")</f>
        <v>버섯닭</v>
      </c>
      <c r="B3512" s="2" t="str">
        <f>IFERROR(__xludf.DUMMYFUNCTION("""COMPUTED_VALUE"""),"대파")</f>
        <v>대파</v>
      </c>
    </row>
    <row r="3513">
      <c r="A3513" s="2" t="str">
        <f>IFERROR(__xludf.DUMMYFUNCTION("""COMPUTED_VALUE"""),"버섯닭")</f>
        <v>버섯닭</v>
      </c>
      <c r="B3513" s="2" t="str">
        <f>IFERROR(__xludf.DUMMYFUNCTION("""COMPUTED_VALUE"""),"청양고추")</f>
        <v>청양고추</v>
      </c>
    </row>
    <row r="3514">
      <c r="A3514" s="2" t="str">
        <f>IFERROR(__xludf.DUMMYFUNCTION("""COMPUTED_VALUE"""),"버섯닭")</f>
        <v>버섯닭</v>
      </c>
      <c r="B3514" s="2" t="str">
        <f>IFERROR(__xludf.DUMMYFUNCTION("""COMPUTED_VALUE"""),"고춧가루")</f>
        <v>고춧가루</v>
      </c>
    </row>
    <row r="3515">
      <c r="A3515" s="2" t="str">
        <f>IFERROR(__xludf.DUMMYFUNCTION("""COMPUTED_VALUE"""),"버섯닭")</f>
        <v>버섯닭</v>
      </c>
      <c r="B3515" s="2" t="str">
        <f>IFERROR(__xludf.DUMMYFUNCTION("""COMPUTED_VALUE"""),"다진 마늘")</f>
        <v>다진 마늘</v>
      </c>
    </row>
    <row r="3516">
      <c r="A3516" s="2" t="str">
        <f>IFERROR(__xludf.DUMMYFUNCTION("""COMPUTED_VALUE"""),"버섯닭")</f>
        <v>버섯닭</v>
      </c>
      <c r="B3516" s="2" t="str">
        <f>IFERROR(__xludf.DUMMYFUNCTION("""COMPUTED_VALUE"""),"즉석밥")</f>
        <v>즉석밥</v>
      </c>
    </row>
    <row r="3517">
      <c r="A3517" s="2" t="str">
        <f>IFERROR(__xludf.DUMMYFUNCTION("""COMPUTED_VALUE"""),"버섯닭")</f>
        <v>버섯닭</v>
      </c>
      <c r="B3517" s="2" t="str">
        <f>IFERROR(__xludf.DUMMYFUNCTION("""COMPUTED_VALUE"""),"간장")</f>
        <v>간장</v>
      </c>
    </row>
    <row r="3518">
      <c r="A3518" s="2" t="str">
        <f>IFERROR(__xludf.DUMMYFUNCTION("""COMPUTED_VALUE"""),"버섯닭")</f>
        <v>버섯닭</v>
      </c>
      <c r="B3518" s="2" t="str">
        <f>IFERROR(__xludf.DUMMYFUNCTION("""COMPUTED_VALUE"""),"소금")</f>
        <v>소금</v>
      </c>
    </row>
    <row r="3519">
      <c r="A3519" s="2" t="str">
        <f>IFERROR(__xludf.DUMMYFUNCTION("""COMPUTED_VALUE"""),"버섯닭")</f>
        <v>버섯닭</v>
      </c>
      <c r="B3519" s="2" t="str">
        <f>IFERROR(__xludf.DUMMYFUNCTION("""COMPUTED_VALUE"""),"후추")</f>
        <v>후추</v>
      </c>
    </row>
    <row r="3520">
      <c r="A3520" s="2" t="str">
        <f>IFERROR(__xludf.DUMMYFUNCTION("""COMPUTED_VALUE"""),"버섯닭")</f>
        <v>버섯닭</v>
      </c>
      <c r="B3520" s="2" t="str">
        <f>IFERROR(__xludf.DUMMYFUNCTION("""COMPUTED_VALUE"""),"참기름")</f>
        <v>참기름</v>
      </c>
    </row>
    <row r="3521">
      <c r="A3521" s="2" t="str">
        <f>IFERROR(__xludf.DUMMYFUNCTION("""COMPUTED_VALUE"""),"버섯닭")</f>
        <v>버섯닭</v>
      </c>
      <c r="B3521" s="2" t="str">
        <f>IFERROR(__xludf.DUMMYFUNCTION("""COMPUTED_VALUE"""),"깨")</f>
        <v>깨</v>
      </c>
    </row>
    <row r="3522">
      <c r="A3522" s="2" t="str">
        <f>IFERROR(__xludf.DUMMYFUNCTION("""COMPUTED_VALUE"""),"기절초(코)풍")</f>
        <v>기절초(코)풍</v>
      </c>
      <c r="B3522" s="2" t="str">
        <f>IFERROR(__xludf.DUMMYFUNCTION("""COMPUTED_VALUE"""),"우유")</f>
        <v>우유</v>
      </c>
    </row>
    <row r="3523">
      <c r="A3523" s="2" t="str">
        <f>IFERROR(__xludf.DUMMYFUNCTION("""COMPUTED_VALUE"""),"기절초(코)풍")</f>
        <v>기절초(코)풍</v>
      </c>
      <c r="B3523" s="2" t="str">
        <f>IFERROR(__xludf.DUMMYFUNCTION("""COMPUTED_VALUE"""),"달걀")</f>
        <v>달걀</v>
      </c>
    </row>
    <row r="3524">
      <c r="A3524" s="2" t="str">
        <f>IFERROR(__xludf.DUMMYFUNCTION("""COMPUTED_VALUE"""),"기절초(코)풍")</f>
        <v>기절초(코)풍</v>
      </c>
      <c r="B3524" s="2" t="str">
        <f>IFERROR(__xludf.DUMMYFUNCTION("""COMPUTED_VALUE"""),"크림치즈")</f>
        <v>크림치즈</v>
      </c>
    </row>
    <row r="3525">
      <c r="A3525" s="2" t="str">
        <f>IFERROR(__xludf.DUMMYFUNCTION("""COMPUTED_VALUE"""),"기절초(코)풍")</f>
        <v>기절초(코)풍</v>
      </c>
      <c r="B3525" s="2" t="str">
        <f>IFERROR(__xludf.DUMMYFUNCTION("""COMPUTED_VALUE"""),"핫초코 분말")</f>
        <v>핫초코 분말</v>
      </c>
    </row>
    <row r="3526">
      <c r="A3526" s="2" t="str">
        <f>IFERROR(__xludf.DUMMYFUNCTION("""COMPUTED_VALUE"""),"기절초(코)풍")</f>
        <v>기절초(코)풍</v>
      </c>
      <c r="B3526" s="2" t="str">
        <f>IFERROR(__xludf.DUMMYFUNCTION("""COMPUTED_VALUE"""),"슬라이스 치즈")</f>
        <v>슬라이스 치즈</v>
      </c>
    </row>
    <row r="3527">
      <c r="A3527" s="2" t="str">
        <f>IFERROR(__xludf.DUMMYFUNCTION("""COMPUTED_VALUE"""),"기절초(코)풍")</f>
        <v>기절초(코)풍</v>
      </c>
      <c r="B3527" s="2" t="str">
        <f>IFERROR(__xludf.DUMMYFUNCTION("""COMPUTED_VALUE"""),"딸기")</f>
        <v>딸기</v>
      </c>
    </row>
    <row r="3528">
      <c r="A3528" s="2" t="str">
        <f>IFERROR(__xludf.DUMMYFUNCTION("""COMPUTED_VALUE"""),"기절초(코)풍")</f>
        <v>기절초(코)풍</v>
      </c>
      <c r="B3528" s="2" t="str">
        <f>IFERROR(__xludf.DUMMYFUNCTION("""COMPUTED_VALUE"""),"청포도")</f>
        <v>청포도</v>
      </c>
    </row>
    <row r="3529">
      <c r="A3529" s="2" t="str">
        <f>IFERROR(__xludf.DUMMYFUNCTION("""COMPUTED_VALUE"""),"기절초(코)풍")</f>
        <v>기절초(코)풍</v>
      </c>
      <c r="B3529" s="2" t="str">
        <f>IFERROR(__xludf.DUMMYFUNCTION("""COMPUTED_VALUE"""),"설탕")</f>
        <v>설탕</v>
      </c>
    </row>
    <row r="3530">
      <c r="A3530" s="2" t="str">
        <f>IFERROR(__xludf.DUMMYFUNCTION("""COMPUTED_VALUE"""),"기절초(코)풍")</f>
        <v>기절초(코)풍</v>
      </c>
      <c r="B3530" s="2" t="str">
        <f>IFERROR(__xludf.DUMMYFUNCTION("""COMPUTED_VALUE"""),"버터")</f>
        <v>버터</v>
      </c>
    </row>
    <row r="3531">
      <c r="A3531" s="2" t="str">
        <f>IFERROR(__xludf.DUMMYFUNCTION("""COMPUTED_VALUE"""),"기절초(코)풍")</f>
        <v>기절초(코)풍</v>
      </c>
      <c r="B3531" s="2" t="str">
        <f>IFERROR(__xludf.DUMMYFUNCTION("""COMPUTED_VALUE"""),"밀가루")</f>
        <v>밀가루</v>
      </c>
    </row>
    <row r="3532">
      <c r="A3532" s="2" t="str">
        <f>IFERROR(__xludf.DUMMYFUNCTION("""COMPUTED_VALUE"""),"부티 귀티 싼티")</f>
        <v>부티 귀티 싼티</v>
      </c>
      <c r="B3532" s="2" t="str">
        <f>IFERROR(__xludf.DUMMYFUNCTION("""COMPUTED_VALUE"""),"미트볼")</f>
        <v>미트볼</v>
      </c>
    </row>
    <row r="3533">
      <c r="A3533" s="2" t="str">
        <f>IFERROR(__xludf.DUMMYFUNCTION("""COMPUTED_VALUE"""),"부티 귀티 싼티")</f>
        <v>부티 귀티 싼티</v>
      </c>
      <c r="B3533" s="2" t="str">
        <f>IFERROR(__xludf.DUMMYFUNCTION("""COMPUTED_VALUE"""),"토마토소스")</f>
        <v>토마토소스</v>
      </c>
    </row>
    <row r="3534">
      <c r="A3534" s="2" t="str">
        <f>IFERROR(__xludf.DUMMYFUNCTION("""COMPUTED_VALUE"""),"부티 귀티 싼티")</f>
        <v>부티 귀티 싼티</v>
      </c>
      <c r="B3534" s="2" t="str">
        <f>IFERROR(__xludf.DUMMYFUNCTION("""COMPUTED_VALUE"""),"감자")</f>
        <v>감자</v>
      </c>
    </row>
    <row r="3535">
      <c r="A3535" s="2" t="str">
        <f>IFERROR(__xludf.DUMMYFUNCTION("""COMPUTED_VALUE"""),"부티 귀티 싼티")</f>
        <v>부티 귀티 싼티</v>
      </c>
      <c r="B3535" s="2" t="str">
        <f>IFERROR(__xludf.DUMMYFUNCTION("""COMPUTED_VALUE"""),"애호박")</f>
        <v>애호박</v>
      </c>
    </row>
    <row r="3536">
      <c r="A3536" s="2" t="str">
        <f>IFERROR(__xludf.DUMMYFUNCTION("""COMPUTED_VALUE"""),"부티 귀티 싼티")</f>
        <v>부티 귀티 싼티</v>
      </c>
      <c r="B3536" s="2" t="str">
        <f>IFERROR(__xludf.DUMMYFUNCTION("""COMPUTED_VALUE"""),"달걀")</f>
        <v>달걀</v>
      </c>
    </row>
    <row r="3537">
      <c r="A3537" s="2" t="str">
        <f>IFERROR(__xludf.DUMMYFUNCTION("""COMPUTED_VALUE"""),"부티 귀티 싼티")</f>
        <v>부티 귀티 싼티</v>
      </c>
      <c r="B3537" s="2" t="str">
        <f>IFERROR(__xludf.DUMMYFUNCTION("""COMPUTED_VALUE"""),"피망")</f>
        <v>피망</v>
      </c>
    </row>
    <row r="3538">
      <c r="A3538" s="2" t="str">
        <f>IFERROR(__xludf.DUMMYFUNCTION("""COMPUTED_VALUE"""),"부티 귀티 싼티")</f>
        <v>부티 귀티 싼티</v>
      </c>
      <c r="B3538" s="2" t="str">
        <f>IFERROR(__xludf.DUMMYFUNCTION("""COMPUTED_VALUE"""),"슬라이스 치즈")</f>
        <v>슬라이스 치즈</v>
      </c>
    </row>
    <row r="3539">
      <c r="A3539" s="2" t="str">
        <f>IFERROR(__xludf.DUMMYFUNCTION("""COMPUTED_VALUE"""),"부티 귀티 싼티")</f>
        <v>부티 귀티 싼티</v>
      </c>
      <c r="B3539" s="2" t="str">
        <f>IFERROR(__xludf.DUMMYFUNCTION("""COMPUTED_VALUE"""),"당근")</f>
        <v>당근</v>
      </c>
    </row>
    <row r="3540">
      <c r="A3540" s="2" t="str">
        <f>IFERROR(__xludf.DUMMYFUNCTION("""COMPUTED_VALUE"""),"부티 귀티 싼티")</f>
        <v>부티 귀티 싼티</v>
      </c>
      <c r="B3540" s="2" t="str">
        <f>IFERROR(__xludf.DUMMYFUNCTION("""COMPUTED_VALUE"""),"양파")</f>
        <v>양파</v>
      </c>
    </row>
    <row r="3541">
      <c r="A3541" s="2" t="str">
        <f>IFERROR(__xludf.DUMMYFUNCTION("""COMPUTED_VALUE"""),"부티 귀티 싼티")</f>
        <v>부티 귀티 싼티</v>
      </c>
      <c r="B3541" s="2" t="str">
        <f>IFERROR(__xludf.DUMMYFUNCTION("""COMPUTED_VALUE"""),"설탕")</f>
        <v>설탕</v>
      </c>
    </row>
    <row r="3542">
      <c r="A3542" s="2" t="str">
        <f>IFERROR(__xludf.DUMMYFUNCTION("""COMPUTED_VALUE"""),"부티 귀티 싼티")</f>
        <v>부티 귀티 싼티</v>
      </c>
      <c r="B3542" s="2" t="str">
        <f>IFERROR(__xludf.DUMMYFUNCTION("""COMPUTED_VALUE"""),"후추")</f>
        <v>후추</v>
      </c>
    </row>
    <row r="3543">
      <c r="A3543" s="2" t="str">
        <f>IFERROR(__xludf.DUMMYFUNCTION("""COMPUTED_VALUE"""),"부티 귀티 싼티")</f>
        <v>부티 귀티 싼티</v>
      </c>
      <c r="B3543" s="2" t="str">
        <f>IFERROR(__xludf.DUMMYFUNCTION("""COMPUTED_VALUE"""),"소금")</f>
        <v>소금</v>
      </c>
    </row>
    <row r="3544">
      <c r="A3544" s="2" t="str">
        <f>IFERROR(__xludf.DUMMYFUNCTION("""COMPUTED_VALUE"""),"부티 귀티 싼티")</f>
        <v>부티 귀티 싼티</v>
      </c>
      <c r="B3544" s="2" t="str">
        <f>IFERROR(__xludf.DUMMYFUNCTION("""COMPUTED_VALUE"""),"전분")</f>
        <v>전분</v>
      </c>
    </row>
    <row r="3545">
      <c r="A3545" s="2" t="str">
        <f>IFERROR(__xludf.DUMMYFUNCTION("""COMPUTED_VALUE"""),"부티 귀티 싼티")</f>
        <v>부티 귀티 싼티</v>
      </c>
      <c r="B3545" s="2" t="str">
        <f>IFERROR(__xludf.DUMMYFUNCTION("""COMPUTED_VALUE"""),"밀가루")</f>
        <v>밀가루</v>
      </c>
    </row>
    <row r="3546">
      <c r="A3546" s="2" t="str">
        <f>IFERROR(__xludf.DUMMYFUNCTION("""COMPUTED_VALUE"""),"만두가 머랭?")</f>
        <v>만두가 머랭?</v>
      </c>
      <c r="B3546" s="2" t="str">
        <f>IFERROR(__xludf.DUMMYFUNCTION("""COMPUTED_VALUE"""),"달걀")</f>
        <v>달걀</v>
      </c>
    </row>
    <row r="3547">
      <c r="A3547" s="2" t="str">
        <f>IFERROR(__xludf.DUMMYFUNCTION("""COMPUTED_VALUE"""),"만두가 머랭?")</f>
        <v>만두가 머랭?</v>
      </c>
      <c r="B3547" s="2" t="str">
        <f>IFERROR(__xludf.DUMMYFUNCTION("""COMPUTED_VALUE"""),"게맛살")</f>
        <v>게맛살</v>
      </c>
    </row>
    <row r="3548">
      <c r="A3548" s="2" t="str">
        <f>IFERROR(__xludf.DUMMYFUNCTION("""COMPUTED_VALUE"""),"만두가 머랭?")</f>
        <v>만두가 머랭?</v>
      </c>
      <c r="B3548" s="2" t="str">
        <f>IFERROR(__xludf.DUMMYFUNCTION("""COMPUTED_VALUE"""),"인스턴트 소고기무국")</f>
        <v>인스턴트 소고기무국</v>
      </c>
    </row>
    <row r="3549">
      <c r="A3549" s="2" t="str">
        <f>IFERROR(__xludf.DUMMYFUNCTION("""COMPUTED_VALUE"""),"만두가 머랭?")</f>
        <v>만두가 머랭?</v>
      </c>
      <c r="B3549" s="2" t="str">
        <f>IFERROR(__xludf.DUMMYFUNCTION("""COMPUTED_VALUE"""),"대파")</f>
        <v>대파</v>
      </c>
    </row>
    <row r="3550">
      <c r="A3550" s="2" t="str">
        <f>IFERROR(__xludf.DUMMYFUNCTION("""COMPUTED_VALUE"""),"만두가 머랭?")</f>
        <v>만두가 머랭?</v>
      </c>
      <c r="B3550" s="2" t="str">
        <f>IFERROR(__xludf.DUMMYFUNCTION("""COMPUTED_VALUE"""),"후추")</f>
        <v>후추</v>
      </c>
    </row>
    <row r="3551">
      <c r="A3551" s="2" t="str">
        <f>IFERROR(__xludf.DUMMYFUNCTION("""COMPUTED_VALUE"""),"만두가 머랭?")</f>
        <v>만두가 머랭?</v>
      </c>
      <c r="B3551" s="2" t="str">
        <f>IFERROR(__xludf.DUMMYFUNCTION("""COMPUTED_VALUE"""),"전분")</f>
        <v>전분</v>
      </c>
    </row>
    <row r="3552">
      <c r="A3552" s="2" t="str">
        <f>IFERROR(__xludf.DUMMYFUNCTION("""COMPUTED_VALUE"""),"계이득")</f>
        <v>계이득</v>
      </c>
      <c r="B3552" s="2" t="str">
        <f>IFERROR(__xludf.DUMMYFUNCTION("""COMPUTED_VALUE"""),"달걀")</f>
        <v>달걀</v>
      </c>
    </row>
    <row r="3553">
      <c r="A3553" s="2" t="str">
        <f>IFERROR(__xludf.DUMMYFUNCTION("""COMPUTED_VALUE"""),"계이득")</f>
        <v>계이득</v>
      </c>
      <c r="B3553" s="2" t="str">
        <f>IFERROR(__xludf.DUMMYFUNCTION("""COMPUTED_VALUE"""),"찜갈비용 소고기")</f>
        <v>찜갈비용 소고기</v>
      </c>
    </row>
    <row r="3554">
      <c r="A3554" s="2" t="str">
        <f>IFERROR(__xludf.DUMMYFUNCTION("""COMPUTED_VALUE"""),"계이득")</f>
        <v>계이득</v>
      </c>
      <c r="B3554" s="2" t="str">
        <f>IFERROR(__xludf.DUMMYFUNCTION("""COMPUTED_VALUE"""),"알배추")</f>
        <v>알배추</v>
      </c>
    </row>
    <row r="3555">
      <c r="A3555" s="2" t="str">
        <f>IFERROR(__xludf.DUMMYFUNCTION("""COMPUTED_VALUE"""),"계이득")</f>
        <v>계이득</v>
      </c>
      <c r="B3555" s="2" t="str">
        <f>IFERROR(__xludf.DUMMYFUNCTION("""COMPUTED_VALUE"""),"인스턴트 사골곰탕")</f>
        <v>인스턴트 사골곰탕</v>
      </c>
    </row>
    <row r="3556">
      <c r="A3556" s="2" t="str">
        <f>IFERROR(__xludf.DUMMYFUNCTION("""COMPUTED_VALUE"""),"계이득")</f>
        <v>계이득</v>
      </c>
      <c r="B3556" s="2" t="str">
        <f>IFERROR(__xludf.DUMMYFUNCTION("""COMPUTED_VALUE"""),"마늘")</f>
        <v>마늘</v>
      </c>
    </row>
    <row r="3557">
      <c r="A3557" s="2" t="str">
        <f>IFERROR(__xludf.DUMMYFUNCTION("""COMPUTED_VALUE"""),"계이득")</f>
        <v>계이득</v>
      </c>
      <c r="B3557" s="2" t="str">
        <f>IFERROR(__xludf.DUMMYFUNCTION("""COMPUTED_VALUE"""),"대파")</f>
        <v>대파</v>
      </c>
    </row>
    <row r="3558">
      <c r="A3558" s="2" t="str">
        <f>IFERROR(__xludf.DUMMYFUNCTION("""COMPUTED_VALUE"""),"계이득")</f>
        <v>계이득</v>
      </c>
      <c r="B3558" s="2" t="str">
        <f>IFERROR(__xludf.DUMMYFUNCTION("""COMPUTED_VALUE"""),"소금")</f>
        <v>소금</v>
      </c>
    </row>
    <row r="3559">
      <c r="A3559" s="2" t="str">
        <f>IFERROR(__xludf.DUMMYFUNCTION("""COMPUTED_VALUE"""),"계이득")</f>
        <v>계이득</v>
      </c>
      <c r="B3559" s="2" t="str">
        <f>IFERROR(__xludf.DUMMYFUNCTION("""COMPUTED_VALUE"""),"간장")</f>
        <v>간장</v>
      </c>
    </row>
    <row r="3560">
      <c r="A3560" s="2" t="str">
        <f>IFERROR(__xludf.DUMMYFUNCTION("""COMPUTED_VALUE"""),"계이득")</f>
        <v>계이득</v>
      </c>
      <c r="B3560" s="2" t="str">
        <f>IFERROR(__xludf.DUMMYFUNCTION("""COMPUTED_VALUE"""),"설탕")</f>
        <v>설탕</v>
      </c>
    </row>
    <row r="3561">
      <c r="A3561" s="2" t="str">
        <f>IFERROR(__xludf.DUMMYFUNCTION("""COMPUTED_VALUE"""),"계이득")</f>
        <v>계이득</v>
      </c>
      <c r="B3561" s="2" t="str">
        <f>IFERROR(__xludf.DUMMYFUNCTION("""COMPUTED_VALUE"""),"밀가루")</f>
        <v>밀가루</v>
      </c>
    </row>
    <row r="3562">
      <c r="A3562" s="2" t="str">
        <f>IFERROR(__xludf.DUMMYFUNCTION("""COMPUTED_VALUE"""),"계이득")</f>
        <v>계이득</v>
      </c>
      <c r="B3562" s="2" t="str">
        <f>IFERROR(__xludf.DUMMYFUNCTION("""COMPUTED_VALUE"""),"참기름")</f>
        <v>참기름</v>
      </c>
    </row>
    <row r="3563">
      <c r="A3563" s="2" t="str">
        <f>IFERROR(__xludf.DUMMYFUNCTION("""COMPUTED_VALUE"""),"계이득")</f>
        <v>계이득</v>
      </c>
      <c r="B3563" s="2" t="str">
        <f>IFERROR(__xludf.DUMMYFUNCTION("""COMPUTED_VALUE"""),"전분")</f>
        <v>전분</v>
      </c>
    </row>
    <row r="3564">
      <c r="A3564" s="2" t="str">
        <f>IFERROR(__xludf.DUMMYFUNCTION("""COMPUTED_VALUE"""),"계이득")</f>
        <v>계이득</v>
      </c>
      <c r="B3564" s="2" t="str">
        <f>IFERROR(__xludf.DUMMYFUNCTION("""COMPUTED_VALUE"""),"후추")</f>
        <v>후추</v>
      </c>
    </row>
    <row r="3565">
      <c r="A3565" s="2" t="str">
        <f>IFERROR(__xludf.DUMMYFUNCTION("""COMPUTED_VALUE"""),"김흥국")</f>
        <v>김흥국</v>
      </c>
      <c r="B3565" s="2" t="str">
        <f>IFERROR(__xludf.DUMMYFUNCTION("""COMPUTED_VALUE"""),"인스턴트 사골곰탕")</f>
        <v>인스턴트 사골곰탕</v>
      </c>
    </row>
    <row r="3566">
      <c r="A3566" s="2" t="str">
        <f>IFERROR(__xludf.DUMMYFUNCTION("""COMPUTED_VALUE"""),"김흥국")</f>
        <v>김흥국</v>
      </c>
      <c r="B3566" s="2" t="str">
        <f>IFERROR(__xludf.DUMMYFUNCTION("""COMPUTED_VALUE"""),"인스턴트 설렁탕")</f>
        <v>인스턴트 설렁탕</v>
      </c>
    </row>
    <row r="3567">
      <c r="A3567" s="2" t="str">
        <f>IFERROR(__xludf.DUMMYFUNCTION("""COMPUTED_VALUE"""),"김흥국")</f>
        <v>김흥국</v>
      </c>
      <c r="B3567" s="2" t="str">
        <f>IFERROR(__xludf.DUMMYFUNCTION("""COMPUTED_VALUE"""),"찜갈비용 소고기")</f>
        <v>찜갈비용 소고기</v>
      </c>
    </row>
    <row r="3568">
      <c r="A3568" s="2" t="str">
        <f>IFERROR(__xludf.DUMMYFUNCTION("""COMPUTED_VALUE"""),"김흥국")</f>
        <v>김흥국</v>
      </c>
      <c r="B3568" s="2" t="str">
        <f>IFERROR(__xludf.DUMMYFUNCTION("""COMPUTED_VALUE"""),"대하")</f>
        <v>대하</v>
      </c>
    </row>
    <row r="3569">
      <c r="A3569" s="2" t="str">
        <f>IFERROR(__xludf.DUMMYFUNCTION("""COMPUTED_VALUE"""),"김흥국")</f>
        <v>김흥국</v>
      </c>
      <c r="B3569" s="2" t="str">
        <f>IFERROR(__xludf.DUMMYFUNCTION("""COMPUTED_VALUE"""),"달걀")</f>
        <v>달걀</v>
      </c>
    </row>
    <row r="3570">
      <c r="A3570" s="2" t="str">
        <f>IFERROR(__xludf.DUMMYFUNCTION("""COMPUTED_VALUE"""),"김흥국")</f>
        <v>김흥국</v>
      </c>
      <c r="B3570" s="2" t="str">
        <f>IFERROR(__xludf.DUMMYFUNCTION("""COMPUTED_VALUE"""),"알배추")</f>
        <v>알배추</v>
      </c>
    </row>
    <row r="3571">
      <c r="A3571" s="2" t="str">
        <f>IFERROR(__xludf.DUMMYFUNCTION("""COMPUTED_VALUE"""),"김흥국")</f>
        <v>김흥국</v>
      </c>
      <c r="B3571" s="2" t="str">
        <f>IFERROR(__xludf.DUMMYFUNCTION("""COMPUTED_VALUE"""),"굴소스")</f>
        <v>굴소스</v>
      </c>
    </row>
    <row r="3572">
      <c r="A3572" s="2" t="str">
        <f>IFERROR(__xludf.DUMMYFUNCTION("""COMPUTED_VALUE"""),"김흥국")</f>
        <v>김흥국</v>
      </c>
      <c r="B3572" s="2" t="str">
        <f>IFERROR(__xludf.DUMMYFUNCTION("""COMPUTED_VALUE"""),"우동면")</f>
        <v>우동면</v>
      </c>
    </row>
    <row r="3573">
      <c r="A3573" s="2" t="str">
        <f>IFERROR(__xludf.DUMMYFUNCTION("""COMPUTED_VALUE"""),"김흥국")</f>
        <v>김흥국</v>
      </c>
      <c r="B3573" s="2" t="str">
        <f>IFERROR(__xludf.DUMMYFUNCTION("""COMPUTED_VALUE"""),"대파")</f>
        <v>대파</v>
      </c>
    </row>
    <row r="3574">
      <c r="A3574" s="2" t="str">
        <f>IFERROR(__xludf.DUMMYFUNCTION("""COMPUTED_VALUE"""),"김흥국")</f>
        <v>김흥국</v>
      </c>
      <c r="B3574" s="2" t="str">
        <f>IFERROR(__xludf.DUMMYFUNCTION("""COMPUTED_VALUE"""),"마늘")</f>
        <v>마늘</v>
      </c>
    </row>
    <row r="3575">
      <c r="A3575" s="2" t="str">
        <f>IFERROR(__xludf.DUMMYFUNCTION("""COMPUTED_VALUE"""),"김흥국")</f>
        <v>김흥국</v>
      </c>
      <c r="B3575" s="2" t="str">
        <f>IFERROR(__xludf.DUMMYFUNCTION("""COMPUTED_VALUE"""),"양파")</f>
        <v>양파</v>
      </c>
    </row>
    <row r="3576">
      <c r="A3576" s="2" t="str">
        <f>IFERROR(__xludf.DUMMYFUNCTION("""COMPUTED_VALUE"""),"김흥국")</f>
        <v>김흥국</v>
      </c>
      <c r="B3576" s="2" t="str">
        <f>IFERROR(__xludf.DUMMYFUNCTION("""COMPUTED_VALUE"""),"청양고추")</f>
        <v>청양고추</v>
      </c>
    </row>
    <row r="3577">
      <c r="A3577" s="2" t="str">
        <f>IFERROR(__xludf.DUMMYFUNCTION("""COMPUTED_VALUE"""),"김흥국")</f>
        <v>김흥국</v>
      </c>
      <c r="B3577" s="2" t="str">
        <f>IFERROR(__xludf.DUMMYFUNCTION("""COMPUTED_VALUE"""),"간장")</f>
        <v>간장</v>
      </c>
    </row>
    <row r="3578">
      <c r="A3578" s="2" t="str">
        <f>IFERROR(__xludf.DUMMYFUNCTION("""COMPUTED_VALUE"""),"김흥국")</f>
        <v>김흥국</v>
      </c>
      <c r="B3578" s="2" t="str">
        <f>IFERROR(__xludf.DUMMYFUNCTION("""COMPUTED_VALUE"""),"청주")</f>
        <v>청주</v>
      </c>
    </row>
    <row r="3579">
      <c r="A3579" s="2" t="str">
        <f>IFERROR(__xludf.DUMMYFUNCTION("""COMPUTED_VALUE"""),"김흥국")</f>
        <v>김흥국</v>
      </c>
      <c r="B3579" s="2" t="str">
        <f>IFERROR(__xludf.DUMMYFUNCTION("""COMPUTED_VALUE"""),"굴소스")</f>
        <v>굴소스</v>
      </c>
    </row>
    <row r="3580">
      <c r="A3580" s="2" t="str">
        <f>IFERROR(__xludf.DUMMYFUNCTION("""COMPUTED_VALUE"""),"김흥국")</f>
        <v>김흥국</v>
      </c>
      <c r="B3580" s="2" t="str">
        <f>IFERROR(__xludf.DUMMYFUNCTION("""COMPUTED_VALUE"""),"전분")</f>
        <v>전분</v>
      </c>
    </row>
    <row r="3581">
      <c r="A3581" s="2" t="str">
        <f>IFERROR(__xludf.DUMMYFUNCTION("""COMPUTED_VALUE"""),"앗싸~ 호랑나베!")</f>
        <v>앗싸~ 호랑나베!</v>
      </c>
      <c r="B3581" s="2" t="str">
        <f>IFERROR(__xludf.DUMMYFUNCTION("""COMPUTED_VALUE"""),"찜갈비용 소고기")</f>
        <v>찜갈비용 소고기</v>
      </c>
    </row>
    <row r="3582">
      <c r="A3582" s="2" t="str">
        <f>IFERROR(__xludf.DUMMYFUNCTION("""COMPUTED_VALUE"""),"앗싸~ 호랑나베!")</f>
        <v>앗싸~ 호랑나베!</v>
      </c>
      <c r="B3582" s="2" t="str">
        <f>IFERROR(__xludf.DUMMYFUNCTION("""COMPUTED_VALUE"""),"무")</f>
        <v>무</v>
      </c>
    </row>
    <row r="3583">
      <c r="A3583" s="2" t="str">
        <f>IFERROR(__xludf.DUMMYFUNCTION("""COMPUTED_VALUE"""),"앗싸~ 호랑나베!")</f>
        <v>앗싸~ 호랑나베!</v>
      </c>
      <c r="B3583" s="2" t="str">
        <f>IFERROR(__xludf.DUMMYFUNCTION("""COMPUTED_VALUE"""),"알배추")</f>
        <v>알배추</v>
      </c>
    </row>
    <row r="3584">
      <c r="A3584" s="2" t="str">
        <f>IFERROR(__xludf.DUMMYFUNCTION("""COMPUTED_VALUE"""),"앗싸~ 호랑나베!")</f>
        <v>앗싸~ 호랑나베!</v>
      </c>
      <c r="B3584" s="2" t="str">
        <f>IFERROR(__xludf.DUMMYFUNCTION("""COMPUTED_VALUE"""),"대하")</f>
        <v>대하</v>
      </c>
    </row>
    <row r="3585">
      <c r="A3585" s="2" t="str">
        <f>IFERROR(__xludf.DUMMYFUNCTION("""COMPUTED_VALUE"""),"앗싸~ 호랑나베!")</f>
        <v>앗싸~ 호랑나베!</v>
      </c>
      <c r="B3585" s="2" t="str">
        <f>IFERROR(__xludf.DUMMYFUNCTION("""COMPUTED_VALUE"""),"달걀")</f>
        <v>달걀</v>
      </c>
    </row>
    <row r="3586">
      <c r="A3586" s="2" t="str">
        <f>IFERROR(__xludf.DUMMYFUNCTION("""COMPUTED_VALUE"""),"앗싸~ 호랑나베!")</f>
        <v>앗싸~ 호랑나베!</v>
      </c>
      <c r="B3586" s="2" t="str">
        <f>IFERROR(__xludf.DUMMYFUNCTION("""COMPUTED_VALUE"""),"마른 멸치")</f>
        <v>마른 멸치</v>
      </c>
    </row>
    <row r="3587">
      <c r="A3587" s="2" t="str">
        <f>IFERROR(__xludf.DUMMYFUNCTION("""COMPUTED_VALUE"""),"앗싸~ 호랑나베!")</f>
        <v>앗싸~ 호랑나베!</v>
      </c>
      <c r="B3587" s="2" t="str">
        <f>IFERROR(__xludf.DUMMYFUNCTION("""COMPUTED_VALUE"""),"대파")</f>
        <v>대파</v>
      </c>
    </row>
    <row r="3588">
      <c r="A3588" s="2" t="str">
        <f>IFERROR(__xludf.DUMMYFUNCTION("""COMPUTED_VALUE"""),"앗싸~ 호랑나베!")</f>
        <v>앗싸~ 호랑나베!</v>
      </c>
      <c r="B3588" s="2" t="str">
        <f>IFERROR(__xludf.DUMMYFUNCTION("""COMPUTED_VALUE"""),"마늘")</f>
        <v>마늘</v>
      </c>
    </row>
    <row r="3589">
      <c r="A3589" s="2" t="str">
        <f>IFERROR(__xludf.DUMMYFUNCTION("""COMPUTED_VALUE"""),"앗싸~ 호랑나베!")</f>
        <v>앗싸~ 호랑나베!</v>
      </c>
      <c r="B3589" s="2" t="str">
        <f>IFERROR(__xludf.DUMMYFUNCTION("""COMPUTED_VALUE"""),"양파")</f>
        <v>양파</v>
      </c>
    </row>
    <row r="3590">
      <c r="A3590" s="2" t="str">
        <f>IFERROR(__xludf.DUMMYFUNCTION("""COMPUTED_VALUE"""),"앗싸~ 호랑나베!")</f>
        <v>앗싸~ 호랑나베!</v>
      </c>
      <c r="B3590" s="2" t="str">
        <f>IFERROR(__xludf.DUMMYFUNCTION("""COMPUTED_VALUE"""),"전분")</f>
        <v>전분</v>
      </c>
    </row>
    <row r="3591">
      <c r="A3591" s="2" t="str">
        <f>IFERROR(__xludf.DUMMYFUNCTION("""COMPUTED_VALUE"""),"앗싸~ 호랑나베!")</f>
        <v>앗싸~ 호랑나베!</v>
      </c>
      <c r="B3591" s="2" t="str">
        <f>IFERROR(__xludf.DUMMYFUNCTION("""COMPUTED_VALUE"""),"맛술")</f>
        <v>맛술</v>
      </c>
    </row>
    <row r="3592">
      <c r="A3592" s="2" t="str">
        <f>IFERROR(__xludf.DUMMYFUNCTION("""COMPUTED_VALUE"""),"앗싸~ 호랑나베!")</f>
        <v>앗싸~ 호랑나베!</v>
      </c>
      <c r="B3592" s="2" t="str">
        <f>IFERROR(__xludf.DUMMYFUNCTION("""COMPUTED_VALUE"""),"간장")</f>
        <v>간장</v>
      </c>
    </row>
    <row r="3593">
      <c r="A3593" s="2" t="str">
        <f>IFERROR(__xludf.DUMMYFUNCTION("""COMPUTED_VALUE"""),"앗싸~ 호랑나베!")</f>
        <v>앗싸~ 호랑나베!</v>
      </c>
      <c r="B3593" s="2" t="str">
        <f>IFERROR(__xludf.DUMMYFUNCTION("""COMPUTED_VALUE"""),"다진 마늘")</f>
        <v>다진 마늘</v>
      </c>
    </row>
    <row r="3594">
      <c r="A3594" s="2" t="str">
        <f>IFERROR(__xludf.DUMMYFUNCTION("""COMPUTED_VALUE"""),"앗싸~ 호랑나베!")</f>
        <v>앗싸~ 호랑나베!</v>
      </c>
      <c r="B3594" s="2" t="str">
        <f>IFERROR(__xludf.DUMMYFUNCTION("""COMPUTED_VALUE"""),"소금")</f>
        <v>소금</v>
      </c>
    </row>
    <row r="3595">
      <c r="A3595" s="2" t="str">
        <f>IFERROR(__xludf.DUMMYFUNCTION("""COMPUTED_VALUE"""),"오필승 파에야")</f>
        <v>오필승 파에야</v>
      </c>
      <c r="B3595" s="2" t="str">
        <f>IFERROR(__xludf.DUMMYFUNCTION("""COMPUTED_VALUE"""),"바지락")</f>
        <v>바지락</v>
      </c>
    </row>
    <row r="3596">
      <c r="A3596" s="2" t="str">
        <f>IFERROR(__xludf.DUMMYFUNCTION("""COMPUTED_VALUE"""),"오필승 파에야")</f>
        <v>오필승 파에야</v>
      </c>
      <c r="B3596" s="2" t="str">
        <f>IFERROR(__xludf.DUMMYFUNCTION("""COMPUTED_VALUE"""),"모시조개")</f>
        <v>모시조개</v>
      </c>
    </row>
    <row r="3597">
      <c r="A3597" s="2" t="str">
        <f>IFERROR(__xludf.DUMMYFUNCTION("""COMPUTED_VALUE"""),"오필승 파에야")</f>
        <v>오필승 파에야</v>
      </c>
      <c r="B3597" s="2" t="str">
        <f>IFERROR(__xludf.DUMMYFUNCTION("""COMPUTED_VALUE"""),"굴")</f>
        <v>굴</v>
      </c>
    </row>
    <row r="3598">
      <c r="A3598" s="2" t="str">
        <f>IFERROR(__xludf.DUMMYFUNCTION("""COMPUTED_VALUE"""),"오필승 파에야")</f>
        <v>오필승 파에야</v>
      </c>
      <c r="B3598" s="2" t="str">
        <f>IFERROR(__xludf.DUMMYFUNCTION("""COMPUTED_VALUE"""),"낙지")</f>
        <v>낙지</v>
      </c>
    </row>
    <row r="3599">
      <c r="A3599" s="2" t="str">
        <f>IFERROR(__xludf.DUMMYFUNCTION("""COMPUTED_VALUE"""),"오필승 파에야")</f>
        <v>오필승 파에야</v>
      </c>
      <c r="B3599" s="2" t="str">
        <f>IFERROR(__xludf.DUMMYFUNCTION("""COMPUTED_VALUE"""),"대하")</f>
        <v>대하</v>
      </c>
    </row>
    <row r="3600">
      <c r="A3600" s="2" t="str">
        <f>IFERROR(__xludf.DUMMYFUNCTION("""COMPUTED_VALUE"""),"오필승 파에야")</f>
        <v>오필승 파에야</v>
      </c>
      <c r="B3600" s="2" t="str">
        <f>IFERROR(__xludf.DUMMYFUNCTION("""COMPUTED_VALUE"""),"새우살")</f>
        <v>새우살</v>
      </c>
    </row>
    <row r="3601">
      <c r="A3601" s="2" t="str">
        <f>IFERROR(__xludf.DUMMYFUNCTION("""COMPUTED_VALUE"""),"오필승 파에야")</f>
        <v>오필승 파에야</v>
      </c>
      <c r="B3601" s="2" t="str">
        <f>IFERROR(__xludf.DUMMYFUNCTION("""COMPUTED_VALUE"""),"문어")</f>
        <v>문어</v>
      </c>
    </row>
    <row r="3602">
      <c r="A3602" s="2" t="str">
        <f>IFERROR(__xludf.DUMMYFUNCTION("""COMPUTED_VALUE"""),"오필승 파에야")</f>
        <v>오필승 파에야</v>
      </c>
      <c r="B3602" s="2" t="str">
        <f>IFERROR(__xludf.DUMMYFUNCTION("""COMPUTED_VALUE"""),"전복")</f>
        <v>전복</v>
      </c>
    </row>
    <row r="3603">
      <c r="A3603" s="2" t="str">
        <f>IFERROR(__xludf.DUMMYFUNCTION("""COMPUTED_VALUE"""),"오필승 파에야")</f>
        <v>오필승 파에야</v>
      </c>
      <c r="B3603" s="2" t="str">
        <f>IFERROR(__xludf.DUMMYFUNCTION("""COMPUTED_VALUE"""),"강황가루")</f>
        <v>강황가루</v>
      </c>
    </row>
    <row r="3604">
      <c r="A3604" s="2" t="str">
        <f>IFERROR(__xludf.DUMMYFUNCTION("""COMPUTED_VALUE"""),"오필승 파에야")</f>
        <v>오필승 파에야</v>
      </c>
      <c r="B3604" s="2" t="str">
        <f>IFERROR(__xludf.DUMMYFUNCTION("""COMPUTED_VALUE"""),"토마토주스")</f>
        <v>토마토주스</v>
      </c>
    </row>
    <row r="3605">
      <c r="A3605" s="2" t="str">
        <f>IFERROR(__xludf.DUMMYFUNCTION("""COMPUTED_VALUE"""),"오필승 파에야")</f>
        <v>오필승 파에야</v>
      </c>
      <c r="B3605" s="2" t="str">
        <f>IFERROR(__xludf.DUMMYFUNCTION("""COMPUTED_VALUE"""),"그린올리브")</f>
        <v>그린올리브</v>
      </c>
    </row>
    <row r="3606">
      <c r="A3606" s="2" t="str">
        <f>IFERROR(__xludf.DUMMYFUNCTION("""COMPUTED_VALUE"""),"오필승 파에야")</f>
        <v>오필승 파에야</v>
      </c>
      <c r="B3606" s="2" t="str">
        <f>IFERROR(__xludf.DUMMYFUNCTION("""COMPUTED_VALUE"""),"블랙올리브")</f>
        <v>블랙올리브</v>
      </c>
    </row>
    <row r="3607">
      <c r="A3607" s="2" t="str">
        <f>IFERROR(__xludf.DUMMYFUNCTION("""COMPUTED_VALUE"""),"오필승 파에야")</f>
        <v>오필승 파에야</v>
      </c>
      <c r="B3607" s="2" t="str">
        <f>IFERROR(__xludf.DUMMYFUNCTION("""COMPUTED_VALUE"""),"마늘")</f>
        <v>마늘</v>
      </c>
    </row>
    <row r="3608">
      <c r="A3608" s="2" t="str">
        <f>IFERROR(__xludf.DUMMYFUNCTION("""COMPUTED_VALUE"""),"오필승 파에야")</f>
        <v>오필승 파에야</v>
      </c>
      <c r="B3608" s="2" t="str">
        <f>IFERROR(__xludf.DUMMYFUNCTION("""COMPUTED_VALUE"""),"소금")</f>
        <v>소금</v>
      </c>
    </row>
    <row r="3609">
      <c r="A3609" s="2" t="str">
        <f>IFERROR(__xludf.DUMMYFUNCTION("""COMPUTED_VALUE"""),"오필승 파에야")</f>
        <v>오필승 파에야</v>
      </c>
      <c r="B3609" s="2" t="str">
        <f>IFERROR(__xludf.DUMMYFUNCTION("""COMPUTED_VALUE"""),"후추")</f>
        <v>후추</v>
      </c>
    </row>
    <row r="3610">
      <c r="A3610" s="2" t="str">
        <f>IFERROR(__xludf.DUMMYFUNCTION("""COMPUTED_VALUE"""),"오필승 파에야")</f>
        <v>오필승 파에야</v>
      </c>
      <c r="B3610" s="2" t="str">
        <f>IFERROR(__xludf.DUMMYFUNCTION("""COMPUTED_VALUE"""),"화이트와인")</f>
        <v>화이트와인</v>
      </c>
    </row>
    <row r="3611">
      <c r="A3611" s="2" t="str">
        <f>IFERROR(__xludf.DUMMYFUNCTION("""COMPUTED_VALUE"""),"오필승 파에야")</f>
        <v>오필승 파에야</v>
      </c>
      <c r="B3611" s="2" t="str">
        <f>IFERROR(__xludf.DUMMYFUNCTION("""COMPUTED_VALUE"""),"즉석밥")</f>
        <v>즉석밥</v>
      </c>
    </row>
    <row r="3612">
      <c r="A3612" s="2" t="str">
        <f>IFERROR(__xludf.DUMMYFUNCTION("""COMPUTED_VALUE"""),"오필승 파에야")</f>
        <v>오필승 파에야</v>
      </c>
      <c r="B3612" s="2" t="str">
        <f>IFERROR(__xludf.DUMMYFUNCTION("""COMPUTED_VALUE"""),"올리브오일")</f>
        <v>올리브오일</v>
      </c>
    </row>
    <row r="3613">
      <c r="A3613" s="2" t="str">
        <f>IFERROR(__xludf.DUMMYFUNCTION("""COMPUTED_VALUE"""),"레알 만두리드")</f>
        <v>레알 만두리드</v>
      </c>
      <c r="B3613" s="2" t="str">
        <f>IFERROR(__xludf.DUMMYFUNCTION("""COMPUTED_VALUE"""),"살치살")</f>
        <v>살치살</v>
      </c>
    </row>
    <row r="3614">
      <c r="A3614" s="2" t="str">
        <f>IFERROR(__xludf.DUMMYFUNCTION("""COMPUTED_VALUE"""),"레알 만두리드")</f>
        <v>레알 만두리드</v>
      </c>
      <c r="B3614" s="2" t="str">
        <f>IFERROR(__xludf.DUMMYFUNCTION("""COMPUTED_VALUE"""),"돼지고기")</f>
        <v>돼지고기</v>
      </c>
    </row>
    <row r="3615">
      <c r="A3615" s="2" t="str">
        <f>IFERROR(__xludf.DUMMYFUNCTION("""COMPUTED_VALUE"""),"레알 만두리드")</f>
        <v>레알 만두리드</v>
      </c>
      <c r="B3615" s="2" t="str">
        <f>IFERROR(__xludf.DUMMYFUNCTION("""COMPUTED_VALUE"""),"달걀")</f>
        <v>달걀</v>
      </c>
    </row>
    <row r="3616">
      <c r="A3616" s="2" t="str">
        <f>IFERROR(__xludf.DUMMYFUNCTION("""COMPUTED_VALUE"""),"레알 만두리드")</f>
        <v>레알 만두리드</v>
      </c>
      <c r="B3616" s="2" t="str">
        <f>IFERROR(__xludf.DUMMYFUNCTION("""COMPUTED_VALUE"""),"파프리카")</f>
        <v>파프리카</v>
      </c>
    </row>
    <row r="3617">
      <c r="A3617" s="2" t="str">
        <f>IFERROR(__xludf.DUMMYFUNCTION("""COMPUTED_VALUE"""),"레알 만두리드")</f>
        <v>레알 만두리드</v>
      </c>
      <c r="B3617" s="2" t="str">
        <f>IFERROR(__xludf.DUMMYFUNCTION("""COMPUTED_VALUE"""),"그린올리브")</f>
        <v>그린올리브</v>
      </c>
    </row>
    <row r="3618">
      <c r="A3618" s="2" t="str">
        <f>IFERROR(__xludf.DUMMYFUNCTION("""COMPUTED_VALUE"""),"레알 만두리드")</f>
        <v>레알 만두리드</v>
      </c>
      <c r="B3618" s="2" t="str">
        <f>IFERROR(__xludf.DUMMYFUNCTION("""COMPUTED_VALUE"""),"블랙올리브")</f>
        <v>블랙올리브</v>
      </c>
    </row>
    <row r="3619">
      <c r="A3619" s="2" t="str">
        <f>IFERROR(__xludf.DUMMYFUNCTION("""COMPUTED_VALUE"""),"레알 만두리드")</f>
        <v>레알 만두리드</v>
      </c>
      <c r="B3619" s="2" t="str">
        <f>IFERROR(__xludf.DUMMYFUNCTION("""COMPUTED_VALUE"""),"우유")</f>
        <v>우유</v>
      </c>
    </row>
    <row r="3620">
      <c r="A3620" s="2" t="str">
        <f>IFERROR(__xludf.DUMMYFUNCTION("""COMPUTED_VALUE"""),"레알 만두리드")</f>
        <v>레알 만두리드</v>
      </c>
      <c r="B3620" s="2" t="str">
        <f>IFERROR(__xludf.DUMMYFUNCTION("""COMPUTED_VALUE"""),"토마토주스")</f>
        <v>토마토주스</v>
      </c>
    </row>
    <row r="3621">
      <c r="A3621" s="2" t="str">
        <f>IFERROR(__xludf.DUMMYFUNCTION("""COMPUTED_VALUE"""),"레알 만두리드")</f>
        <v>레알 만두리드</v>
      </c>
      <c r="B3621" s="2" t="str">
        <f>IFERROR(__xludf.DUMMYFUNCTION("""COMPUTED_VALUE"""),"달래")</f>
        <v>달래</v>
      </c>
    </row>
    <row r="3622">
      <c r="A3622" s="2" t="str">
        <f>IFERROR(__xludf.DUMMYFUNCTION("""COMPUTED_VALUE"""),"레알 만두리드")</f>
        <v>레알 만두리드</v>
      </c>
      <c r="B3622" s="2" t="str">
        <f>IFERROR(__xludf.DUMMYFUNCTION("""COMPUTED_VALUE"""),"플레인요거트")</f>
        <v>플레인요거트</v>
      </c>
    </row>
    <row r="3623">
      <c r="A3623" s="2" t="str">
        <f>IFERROR(__xludf.DUMMYFUNCTION("""COMPUTED_VALUE"""),"레알 만두리드")</f>
        <v>레알 만두리드</v>
      </c>
      <c r="B3623" s="2" t="str">
        <f>IFERROR(__xludf.DUMMYFUNCTION("""COMPUTED_VALUE"""),"양파")</f>
        <v>양파</v>
      </c>
    </row>
    <row r="3624">
      <c r="A3624" s="2" t="str">
        <f>IFERROR(__xludf.DUMMYFUNCTION("""COMPUTED_VALUE"""),"레알 만두리드")</f>
        <v>레알 만두리드</v>
      </c>
      <c r="B3624" s="2" t="str">
        <f>IFERROR(__xludf.DUMMYFUNCTION("""COMPUTED_VALUE"""),"마늘")</f>
        <v>마늘</v>
      </c>
    </row>
    <row r="3625">
      <c r="A3625" s="2" t="str">
        <f>IFERROR(__xludf.DUMMYFUNCTION("""COMPUTED_VALUE"""),"레알 만두리드")</f>
        <v>레알 만두리드</v>
      </c>
      <c r="B3625" s="2" t="str">
        <f>IFERROR(__xludf.DUMMYFUNCTION("""COMPUTED_VALUE"""),"소금")</f>
        <v>소금</v>
      </c>
    </row>
    <row r="3626">
      <c r="A3626" s="2" t="str">
        <f>IFERROR(__xludf.DUMMYFUNCTION("""COMPUTED_VALUE"""),"레알 만두리드")</f>
        <v>레알 만두리드</v>
      </c>
      <c r="B3626" s="2" t="str">
        <f>IFERROR(__xludf.DUMMYFUNCTION("""COMPUTED_VALUE"""),"후추")</f>
        <v>후추</v>
      </c>
    </row>
    <row r="3627">
      <c r="A3627" s="2" t="str">
        <f>IFERROR(__xludf.DUMMYFUNCTION("""COMPUTED_VALUE"""),"레알 만두리드")</f>
        <v>레알 만두리드</v>
      </c>
      <c r="B3627" s="2" t="str">
        <f>IFERROR(__xludf.DUMMYFUNCTION("""COMPUTED_VALUE"""),"밀가루")</f>
        <v>밀가루</v>
      </c>
    </row>
    <row r="3628">
      <c r="A3628" s="2" t="str">
        <f>IFERROR(__xludf.DUMMYFUNCTION("""COMPUTED_VALUE"""),"레알 만두리드")</f>
        <v>레알 만두리드</v>
      </c>
      <c r="B3628" s="2" t="str">
        <f>IFERROR(__xludf.DUMMYFUNCTION("""COMPUTED_VALUE"""),"올리브오일")</f>
        <v>올리브오일</v>
      </c>
    </row>
    <row r="3629">
      <c r="A3629" s="2" t="str">
        <f>IFERROR(__xludf.DUMMYFUNCTION("""COMPUTED_VALUE"""),"아따~ 조기찜 맛있다잉!")</f>
        <v>아따~ 조기찜 맛있다잉!</v>
      </c>
      <c r="B3629" s="2" t="str">
        <f>IFERROR(__xludf.DUMMYFUNCTION("""COMPUTED_VALUE"""),"조기")</f>
        <v>조기</v>
      </c>
    </row>
    <row r="3630">
      <c r="A3630" s="2" t="str">
        <f>IFERROR(__xludf.DUMMYFUNCTION("""COMPUTED_VALUE"""),"아따~ 조기찜 맛있다잉!")</f>
        <v>아따~ 조기찜 맛있다잉!</v>
      </c>
      <c r="B3630" s="2" t="str">
        <f>IFERROR(__xludf.DUMMYFUNCTION("""COMPUTED_VALUE"""),"설탕에 잰 마늘")</f>
        <v>설탕에 잰 마늘</v>
      </c>
    </row>
    <row r="3631">
      <c r="A3631" s="2" t="str">
        <f>IFERROR(__xludf.DUMMYFUNCTION("""COMPUTED_VALUE"""),"아따~ 조기찜 맛있다잉!")</f>
        <v>아따~ 조기찜 맛있다잉!</v>
      </c>
      <c r="B3631" s="2" t="str">
        <f>IFERROR(__xludf.DUMMYFUNCTION("""COMPUTED_VALUE"""),"달래무침")</f>
        <v>달래무침</v>
      </c>
    </row>
    <row r="3632">
      <c r="A3632" s="2" t="str">
        <f>IFERROR(__xludf.DUMMYFUNCTION("""COMPUTED_VALUE"""),"아따~ 조기찜 맛있다잉!")</f>
        <v>아따~ 조기찜 맛있다잉!</v>
      </c>
      <c r="B3632" s="2" t="str">
        <f>IFERROR(__xludf.DUMMYFUNCTION("""COMPUTED_VALUE"""),"매실액")</f>
        <v>매실액</v>
      </c>
    </row>
    <row r="3633">
      <c r="A3633" s="2" t="str">
        <f>IFERROR(__xludf.DUMMYFUNCTION("""COMPUTED_VALUE"""),"아따~ 조기찜 맛있다잉!")</f>
        <v>아따~ 조기찜 맛있다잉!</v>
      </c>
      <c r="B3633" s="2" t="str">
        <f>IFERROR(__xludf.DUMMYFUNCTION("""COMPUTED_VALUE"""),"청고추")</f>
        <v>청고추</v>
      </c>
    </row>
    <row r="3634">
      <c r="A3634" s="2" t="str">
        <f>IFERROR(__xludf.DUMMYFUNCTION("""COMPUTED_VALUE"""),"아따~ 조기찜 맛있다잉!")</f>
        <v>아따~ 조기찜 맛있다잉!</v>
      </c>
      <c r="B3634" s="2" t="str">
        <f>IFERROR(__xludf.DUMMYFUNCTION("""COMPUTED_VALUE"""),"홍고추")</f>
        <v>홍고추</v>
      </c>
    </row>
    <row r="3635">
      <c r="A3635" s="2" t="str">
        <f>IFERROR(__xludf.DUMMYFUNCTION("""COMPUTED_VALUE"""),"아따~ 조기찜 맛있다잉!")</f>
        <v>아따~ 조기찜 맛있다잉!</v>
      </c>
      <c r="B3635" s="2" t="str">
        <f>IFERROR(__xludf.DUMMYFUNCTION("""COMPUTED_VALUE"""),"콜리플라워")</f>
        <v>콜리플라워</v>
      </c>
    </row>
    <row r="3636">
      <c r="A3636" s="2" t="str">
        <f>IFERROR(__xludf.DUMMYFUNCTION("""COMPUTED_VALUE"""),"아따~ 조기찜 맛있다잉!")</f>
        <v>아따~ 조기찜 맛있다잉!</v>
      </c>
      <c r="B3636" s="2" t="str">
        <f>IFERROR(__xludf.DUMMYFUNCTION("""COMPUTED_VALUE"""),"방울양배추")</f>
        <v>방울양배추</v>
      </c>
    </row>
    <row r="3637">
      <c r="A3637" s="2" t="str">
        <f>IFERROR(__xludf.DUMMYFUNCTION("""COMPUTED_VALUE"""),"아따~ 조기찜 맛있다잉!")</f>
        <v>아따~ 조기찜 맛있다잉!</v>
      </c>
      <c r="B3637" s="2" t="str">
        <f>IFERROR(__xludf.DUMMYFUNCTION("""COMPUTED_VALUE"""),"파프리카")</f>
        <v>파프리카</v>
      </c>
    </row>
    <row r="3638">
      <c r="A3638" s="2" t="str">
        <f>IFERROR(__xludf.DUMMYFUNCTION("""COMPUTED_VALUE"""),"아따~ 조기찜 맛있다잉!")</f>
        <v>아따~ 조기찜 맛있다잉!</v>
      </c>
      <c r="B3638" s="2" t="str">
        <f>IFERROR(__xludf.DUMMYFUNCTION("""COMPUTED_VALUE"""),"아스파라거스")</f>
        <v>아스파라거스</v>
      </c>
    </row>
    <row r="3639">
      <c r="A3639" s="2" t="str">
        <f>IFERROR(__xludf.DUMMYFUNCTION("""COMPUTED_VALUE"""),"아따~ 조기찜 맛있다잉!")</f>
        <v>아따~ 조기찜 맛있다잉!</v>
      </c>
      <c r="B3639" s="2" t="str">
        <f>IFERROR(__xludf.DUMMYFUNCTION("""COMPUTED_VALUE"""),"달래")</f>
        <v>달래</v>
      </c>
    </row>
    <row r="3640">
      <c r="A3640" s="2" t="str">
        <f>IFERROR(__xludf.DUMMYFUNCTION("""COMPUTED_VALUE"""),"아따~ 조기찜 맛있다잉!")</f>
        <v>아따~ 조기찜 맛있다잉!</v>
      </c>
      <c r="B3640" s="2" t="str">
        <f>IFERROR(__xludf.DUMMYFUNCTION("""COMPUTED_VALUE"""),"태국간장")</f>
        <v>태국간장</v>
      </c>
    </row>
    <row r="3641">
      <c r="A3641" s="2" t="str">
        <f>IFERROR(__xludf.DUMMYFUNCTION("""COMPUTED_VALUE"""),"아따~ 조기찜 맛있다잉!")</f>
        <v>아따~ 조기찜 맛있다잉!</v>
      </c>
      <c r="B3641" s="2" t="str">
        <f>IFERROR(__xludf.DUMMYFUNCTION("""COMPUTED_VALUE"""),"간장")</f>
        <v>간장</v>
      </c>
    </row>
    <row r="3642">
      <c r="A3642" s="2" t="str">
        <f>IFERROR(__xludf.DUMMYFUNCTION("""COMPUTED_VALUE"""),"아따~ 조기찜 맛있다잉!")</f>
        <v>아따~ 조기찜 맛있다잉!</v>
      </c>
      <c r="B3642" s="2" t="str">
        <f>IFERROR(__xludf.DUMMYFUNCTION("""COMPUTED_VALUE"""),"참기름")</f>
        <v>참기름</v>
      </c>
    </row>
    <row r="3643">
      <c r="A3643" s="2" t="str">
        <f>IFERROR(__xludf.DUMMYFUNCTION("""COMPUTED_VALUE"""),"아따~ 조기찜 맛있다잉!")</f>
        <v>아따~ 조기찜 맛있다잉!</v>
      </c>
      <c r="B3643" s="2" t="str">
        <f>IFERROR(__xludf.DUMMYFUNCTION("""COMPUTED_VALUE"""),"깨")</f>
        <v>깨</v>
      </c>
    </row>
    <row r="3644">
      <c r="A3644" s="2" t="str">
        <f>IFERROR(__xludf.DUMMYFUNCTION("""COMPUTED_VALUE"""),"아따~ 조기찜 맛있다잉!")</f>
        <v>아따~ 조기찜 맛있다잉!</v>
      </c>
      <c r="B3644" s="2" t="str">
        <f>IFERROR(__xludf.DUMMYFUNCTION("""COMPUTED_VALUE"""),"대파")</f>
        <v>대파</v>
      </c>
    </row>
    <row r="3645">
      <c r="A3645" s="2" t="str">
        <f>IFERROR(__xludf.DUMMYFUNCTION("""COMPUTED_VALUE"""),"아따~ 조기찜 맛있다잉!")</f>
        <v>아따~ 조기찜 맛있다잉!</v>
      </c>
      <c r="B3645" s="2" t="str">
        <f>IFERROR(__xludf.DUMMYFUNCTION("""COMPUTED_VALUE"""),"즉석밥")</f>
        <v>즉석밥</v>
      </c>
    </row>
    <row r="3646">
      <c r="A3646" s="2" t="str">
        <f>IFERROR(__xludf.DUMMYFUNCTION("""COMPUTED_VALUE"""),"아따~ 조기찜 맛있다잉!")</f>
        <v>아따~ 조기찜 맛있다잉!</v>
      </c>
      <c r="B3646" s="2" t="str">
        <f>IFERROR(__xludf.DUMMYFUNCTION("""COMPUTED_VALUE"""),"청주")</f>
        <v>청주</v>
      </c>
    </row>
    <row r="3647">
      <c r="A3647" s="2" t="str">
        <f>IFERROR(__xludf.DUMMYFUNCTION("""COMPUTED_VALUE"""),"아따~ 조기찜 맛있다잉!")</f>
        <v>아따~ 조기찜 맛있다잉!</v>
      </c>
      <c r="B3647" s="2" t="str">
        <f>IFERROR(__xludf.DUMMYFUNCTION("""COMPUTED_VALUE"""),"소금")</f>
        <v>소금</v>
      </c>
    </row>
    <row r="3648">
      <c r="A3648" s="2" t="str">
        <f>IFERROR(__xludf.DUMMYFUNCTION("""COMPUTED_VALUE"""),"아따~ 조기찜 맛있다잉!")</f>
        <v>아따~ 조기찜 맛있다잉!</v>
      </c>
      <c r="B3648" s="2" t="str">
        <f>IFERROR(__xludf.DUMMYFUNCTION("""COMPUTED_VALUE"""),"후추")</f>
        <v>후추</v>
      </c>
    </row>
    <row r="3649">
      <c r="A3649" s="2" t="str">
        <f>IFERROR(__xludf.DUMMYFUNCTION("""COMPUTED_VALUE"""),"아따~ 조기찜 맛있다잉!")</f>
        <v>아따~ 조기찜 맛있다잉!</v>
      </c>
      <c r="B3649" s="2" t="str">
        <f>IFERROR(__xludf.DUMMYFUNCTION("""COMPUTED_VALUE"""),"레몬")</f>
        <v>레몬</v>
      </c>
    </row>
    <row r="3650">
      <c r="A3650" s="2" t="str">
        <f>IFERROR(__xludf.DUMMYFUNCTION("""COMPUTED_VALUE"""),"아따~ 조기찜 맛있다잉!")</f>
        <v>아따~ 조기찜 맛있다잉!</v>
      </c>
      <c r="B3650" s="2" t="str">
        <f>IFERROR(__xludf.DUMMYFUNCTION("""COMPUTED_VALUE"""),"마늘")</f>
        <v>마늘</v>
      </c>
    </row>
    <row r="3651">
      <c r="A3651" s="2" t="str">
        <f>IFERROR(__xludf.DUMMYFUNCTION("""COMPUTED_VALUE"""),"아따~ 조기찜 맛있다잉!")</f>
        <v>아따~ 조기찜 맛있다잉!</v>
      </c>
      <c r="B3651" s="2" t="str">
        <f>IFERROR(__xludf.DUMMYFUNCTION("""COMPUTED_VALUE"""),"올리브오일")</f>
        <v>올리브오일</v>
      </c>
    </row>
    <row r="3652">
      <c r="A3652" s="2" t="str">
        <f>IFERROR(__xludf.DUMMYFUNCTION("""COMPUTED_VALUE"""),"아따~ 조기찜 맛있다잉!")</f>
        <v>아따~ 조기찜 맛있다잉!</v>
      </c>
      <c r="B3652" s="2" t="str">
        <f>IFERROR(__xludf.DUMMYFUNCTION("""COMPUTED_VALUE"""),"식초")</f>
        <v>식초</v>
      </c>
    </row>
    <row r="3653">
      <c r="A3653" s="2" t="str">
        <f>IFERROR(__xludf.DUMMYFUNCTION("""COMPUTED_VALUE"""),"민어는 축구선수를 좋아해")</f>
        <v>민어는 축구선수를 좋아해</v>
      </c>
      <c r="B3653" s="2" t="str">
        <f>IFERROR(__xludf.DUMMYFUNCTION("""COMPUTED_VALUE"""),"반건조민어")</f>
        <v>반건조민어</v>
      </c>
    </row>
    <row r="3654">
      <c r="A3654" s="2" t="str">
        <f>IFERROR(__xludf.DUMMYFUNCTION("""COMPUTED_VALUE"""),"민어는 축구선수를 좋아해")</f>
        <v>민어는 축구선수를 좋아해</v>
      </c>
      <c r="B3654" s="2" t="str">
        <f>IFERROR(__xludf.DUMMYFUNCTION("""COMPUTED_VALUE"""),"낙지")</f>
        <v>낙지</v>
      </c>
    </row>
    <row r="3655">
      <c r="A3655" s="2" t="str">
        <f>IFERROR(__xludf.DUMMYFUNCTION("""COMPUTED_VALUE"""),"민어는 축구선수를 좋아해")</f>
        <v>민어는 축구선수를 좋아해</v>
      </c>
      <c r="B3655" s="2" t="str">
        <f>IFERROR(__xludf.DUMMYFUNCTION("""COMPUTED_VALUE"""),"묵은지")</f>
        <v>묵은지</v>
      </c>
    </row>
    <row r="3656">
      <c r="A3656" s="2" t="str">
        <f>IFERROR(__xludf.DUMMYFUNCTION("""COMPUTED_VALUE"""),"민어는 축구선수를 좋아해")</f>
        <v>민어는 축구선수를 좋아해</v>
      </c>
      <c r="B3656" s="2" t="str">
        <f>IFERROR(__xludf.DUMMYFUNCTION("""COMPUTED_VALUE"""),"사골국")</f>
        <v>사골국</v>
      </c>
    </row>
    <row r="3657">
      <c r="A3657" s="2" t="str">
        <f>IFERROR(__xludf.DUMMYFUNCTION("""COMPUTED_VALUE"""),"민어는 축구선수를 좋아해")</f>
        <v>민어는 축구선수를 좋아해</v>
      </c>
      <c r="B3657" s="2" t="str">
        <f>IFERROR(__xludf.DUMMYFUNCTION("""COMPUTED_VALUE"""),"파래무침")</f>
        <v>파래무침</v>
      </c>
    </row>
    <row r="3658">
      <c r="A3658" s="2" t="str">
        <f>IFERROR(__xludf.DUMMYFUNCTION("""COMPUTED_VALUE"""),"민어는 축구선수를 좋아해")</f>
        <v>민어는 축구선수를 좋아해</v>
      </c>
      <c r="B3658" s="2" t="str">
        <f>IFERROR(__xludf.DUMMYFUNCTION("""COMPUTED_VALUE"""),"새우젓")</f>
        <v>새우젓</v>
      </c>
    </row>
    <row r="3659">
      <c r="A3659" s="2" t="str">
        <f>IFERROR(__xludf.DUMMYFUNCTION("""COMPUTED_VALUE"""),"민어는 축구선수를 좋아해")</f>
        <v>민어는 축구선수를 좋아해</v>
      </c>
      <c r="B3659" s="2" t="str">
        <f>IFERROR(__xludf.DUMMYFUNCTION("""COMPUTED_VALUE"""),"인스턴트 곤드레나물밥")</f>
        <v>인스턴트 곤드레나물밥</v>
      </c>
    </row>
    <row r="3660">
      <c r="A3660" s="2" t="str">
        <f>IFERROR(__xludf.DUMMYFUNCTION("""COMPUTED_VALUE"""),"민어는 축구선수를 좋아해")</f>
        <v>민어는 축구선수를 좋아해</v>
      </c>
      <c r="B3660" s="2" t="str">
        <f>IFERROR(__xludf.DUMMYFUNCTION("""COMPUTED_VALUE"""),"냉이")</f>
        <v>냉이</v>
      </c>
    </row>
    <row r="3661">
      <c r="A3661" s="2" t="str">
        <f>IFERROR(__xludf.DUMMYFUNCTION("""COMPUTED_VALUE"""),"민어는 축구선수를 좋아해")</f>
        <v>민어는 축구선수를 좋아해</v>
      </c>
      <c r="B3661" s="2" t="str">
        <f>IFERROR(__xludf.DUMMYFUNCTION("""COMPUTED_VALUE"""),"달래무침")</f>
        <v>달래무침</v>
      </c>
    </row>
    <row r="3662">
      <c r="A3662" s="2" t="str">
        <f>IFERROR(__xludf.DUMMYFUNCTION("""COMPUTED_VALUE"""),"민어는 축구선수를 좋아해")</f>
        <v>민어는 축구선수를 좋아해</v>
      </c>
      <c r="B3662" s="2" t="str">
        <f>IFERROR(__xludf.DUMMYFUNCTION("""COMPUTED_VALUE"""),"설탕에 잰 마늘")</f>
        <v>설탕에 잰 마늘</v>
      </c>
    </row>
    <row r="3663">
      <c r="A3663" s="2" t="str">
        <f>IFERROR(__xludf.DUMMYFUNCTION("""COMPUTED_VALUE"""),"민어는 축구선수를 좋아해")</f>
        <v>민어는 축구선수를 좋아해</v>
      </c>
      <c r="B3663" s="2" t="str">
        <f>IFERROR(__xludf.DUMMYFUNCTION("""COMPUTED_VALUE"""),"대파")</f>
        <v>대파</v>
      </c>
    </row>
    <row r="3664">
      <c r="A3664" s="2" t="str">
        <f>IFERROR(__xludf.DUMMYFUNCTION("""COMPUTED_VALUE"""),"민어는 축구선수를 좋아해")</f>
        <v>민어는 축구선수를 좋아해</v>
      </c>
      <c r="B3664" s="2" t="str">
        <f>IFERROR(__xludf.DUMMYFUNCTION("""COMPUTED_VALUE"""),"고춧가루")</f>
        <v>고춧가루</v>
      </c>
    </row>
    <row r="3665">
      <c r="A3665" s="2" t="str">
        <f>IFERROR(__xludf.DUMMYFUNCTION("""COMPUTED_VALUE"""),"민어는 축구선수를 좋아해")</f>
        <v>민어는 축구선수를 좋아해</v>
      </c>
      <c r="B3665" s="2" t="str">
        <f>IFERROR(__xludf.DUMMYFUNCTION("""COMPUTED_VALUE"""),"설탕")</f>
        <v>설탕</v>
      </c>
    </row>
    <row r="3666">
      <c r="A3666" s="2" t="str">
        <f>IFERROR(__xludf.DUMMYFUNCTION("""COMPUTED_VALUE"""),"민어는 축구선수를 좋아해")</f>
        <v>민어는 축구선수를 좋아해</v>
      </c>
      <c r="B3666" s="2" t="str">
        <f>IFERROR(__xludf.DUMMYFUNCTION("""COMPUTED_VALUE"""),"버터")</f>
        <v>버터</v>
      </c>
    </row>
    <row r="3667">
      <c r="A3667" s="2" t="str">
        <f>IFERROR(__xludf.DUMMYFUNCTION("""COMPUTED_VALUE"""),"민어는 축구선수를 좋아해")</f>
        <v>민어는 축구선수를 좋아해</v>
      </c>
      <c r="B3667" s="2" t="str">
        <f>IFERROR(__xludf.DUMMYFUNCTION("""COMPUTED_VALUE"""),"올리브오일")</f>
        <v>올리브오일</v>
      </c>
    </row>
    <row r="3668">
      <c r="A3668" s="2" t="str">
        <f>IFERROR(__xludf.DUMMYFUNCTION("""COMPUTED_VALUE"""),"민어는 축구선수를 좋아해")</f>
        <v>민어는 축구선수를 좋아해</v>
      </c>
      <c r="B3668" s="2" t="str">
        <f>IFERROR(__xludf.DUMMYFUNCTION("""COMPUTED_VALUE"""),"참기름")</f>
        <v>참기름</v>
      </c>
    </row>
    <row r="3669">
      <c r="A3669" s="2" t="str">
        <f>IFERROR(__xludf.DUMMYFUNCTION("""COMPUTED_VALUE"""),"다 털었Show!")</f>
        <v>다 털었Show!</v>
      </c>
      <c r="B3669" s="2" t="str">
        <f>IFERROR(__xludf.DUMMYFUNCTION("""COMPUTED_VALUE"""),"참치 통조림")</f>
        <v>참치 통조림</v>
      </c>
    </row>
    <row r="3670">
      <c r="A3670" s="2" t="str">
        <f>IFERROR(__xludf.DUMMYFUNCTION("""COMPUTED_VALUE"""),"다 털었Show!")</f>
        <v>다 털었Show!</v>
      </c>
      <c r="B3670" s="2" t="str">
        <f>IFERROR(__xludf.DUMMYFUNCTION("""COMPUTED_VALUE"""),"달걀")</f>
        <v>달걀</v>
      </c>
    </row>
    <row r="3671">
      <c r="A3671" s="2" t="str">
        <f>IFERROR(__xludf.DUMMYFUNCTION("""COMPUTED_VALUE"""),"다 털었Show!")</f>
        <v>다 털었Show!</v>
      </c>
      <c r="B3671" s="2" t="str">
        <f>IFERROR(__xludf.DUMMYFUNCTION("""COMPUTED_VALUE"""),"식빵")</f>
        <v>식빵</v>
      </c>
    </row>
    <row r="3672">
      <c r="A3672" s="2" t="str">
        <f>IFERROR(__xludf.DUMMYFUNCTION("""COMPUTED_VALUE"""),"다 털었Show!")</f>
        <v>다 털었Show!</v>
      </c>
      <c r="B3672" s="2" t="str">
        <f>IFERROR(__xludf.DUMMYFUNCTION("""COMPUTED_VALUE"""),"양상추")</f>
        <v>양상추</v>
      </c>
    </row>
    <row r="3673">
      <c r="A3673" s="2" t="str">
        <f>IFERROR(__xludf.DUMMYFUNCTION("""COMPUTED_VALUE"""),"다 털었Show!")</f>
        <v>다 털었Show!</v>
      </c>
      <c r="B3673" s="2" t="str">
        <f>IFERROR(__xludf.DUMMYFUNCTION("""COMPUTED_VALUE"""),"채 썬 양파")</f>
        <v>채 썬 양파</v>
      </c>
    </row>
    <row r="3674">
      <c r="A3674" s="2" t="str">
        <f>IFERROR(__xludf.DUMMYFUNCTION("""COMPUTED_VALUE"""),"다 털었Show!")</f>
        <v>다 털었Show!</v>
      </c>
      <c r="B3674" s="2" t="str">
        <f>IFERROR(__xludf.DUMMYFUNCTION("""COMPUTED_VALUE"""),"파프리카")</f>
        <v>파프리카</v>
      </c>
    </row>
    <row r="3675">
      <c r="A3675" s="2" t="str">
        <f>IFERROR(__xludf.DUMMYFUNCTION("""COMPUTED_VALUE"""),"다 털었Show!")</f>
        <v>다 털었Show!</v>
      </c>
      <c r="B3675" s="2" t="str">
        <f>IFERROR(__xludf.DUMMYFUNCTION("""COMPUTED_VALUE"""),"호두 드레싱")</f>
        <v>호두 드레싱</v>
      </c>
    </row>
    <row r="3676">
      <c r="A3676" s="2" t="str">
        <f>IFERROR(__xludf.DUMMYFUNCTION("""COMPUTED_VALUE"""),"다 털었Show!")</f>
        <v>다 털었Show!</v>
      </c>
      <c r="B3676" s="2" t="str">
        <f>IFERROR(__xludf.DUMMYFUNCTION("""COMPUTED_VALUE"""),"멸치볶음")</f>
        <v>멸치볶음</v>
      </c>
    </row>
    <row r="3677">
      <c r="A3677" s="2" t="str">
        <f>IFERROR(__xludf.DUMMYFUNCTION("""COMPUTED_VALUE"""),"다 털었Show!")</f>
        <v>다 털었Show!</v>
      </c>
      <c r="B3677" s="2" t="str">
        <f>IFERROR(__xludf.DUMMYFUNCTION("""COMPUTED_VALUE"""),"마카다미아")</f>
        <v>마카다미아</v>
      </c>
    </row>
    <row r="3678">
      <c r="A3678" s="2" t="str">
        <f>IFERROR(__xludf.DUMMYFUNCTION("""COMPUTED_VALUE"""),"다 털었Show!")</f>
        <v>다 털었Show!</v>
      </c>
      <c r="B3678" s="2" t="str">
        <f>IFERROR(__xludf.DUMMYFUNCTION("""COMPUTED_VALUE"""),"금귤")</f>
        <v>금귤</v>
      </c>
    </row>
    <row r="3679">
      <c r="A3679" s="2" t="str">
        <f>IFERROR(__xludf.DUMMYFUNCTION("""COMPUTED_VALUE"""),"다 털었Show!")</f>
        <v>다 털었Show!</v>
      </c>
      <c r="B3679" s="2" t="str">
        <f>IFERROR(__xludf.DUMMYFUNCTION("""COMPUTED_VALUE"""),"딸기")</f>
        <v>딸기</v>
      </c>
    </row>
    <row r="3680">
      <c r="A3680" s="2" t="str">
        <f>IFERROR(__xludf.DUMMYFUNCTION("""COMPUTED_VALUE"""),"다 털었Show!")</f>
        <v>다 털었Show!</v>
      </c>
      <c r="B3680" s="2" t="str">
        <f>IFERROR(__xludf.DUMMYFUNCTION("""COMPUTED_VALUE"""),"바나나맛 우유")</f>
        <v>바나나맛 우유</v>
      </c>
    </row>
    <row r="3681">
      <c r="A3681" s="2" t="str">
        <f>IFERROR(__xludf.DUMMYFUNCTION("""COMPUTED_VALUE"""),"다 털었Show!")</f>
        <v>다 털었Show!</v>
      </c>
      <c r="B3681" s="2" t="str">
        <f>IFERROR(__xludf.DUMMYFUNCTION("""COMPUTED_VALUE"""),"마누카 꿀")</f>
        <v>마누카 꿀</v>
      </c>
    </row>
    <row r="3682">
      <c r="A3682" s="2" t="str">
        <f>IFERROR(__xludf.DUMMYFUNCTION("""COMPUTED_VALUE"""),"다 털었Show!")</f>
        <v>다 털었Show!</v>
      </c>
      <c r="B3682" s="2" t="str">
        <f>IFERROR(__xludf.DUMMYFUNCTION("""COMPUTED_VALUE"""),"양파")</f>
        <v>양파</v>
      </c>
    </row>
    <row r="3683">
      <c r="A3683" s="2" t="str">
        <f>IFERROR(__xludf.DUMMYFUNCTION("""COMPUTED_VALUE"""),"다 털었Show!")</f>
        <v>다 털었Show!</v>
      </c>
      <c r="B3683" s="2" t="str">
        <f>IFERROR(__xludf.DUMMYFUNCTION("""COMPUTED_VALUE"""),"소금")</f>
        <v>소금</v>
      </c>
    </row>
    <row r="3684">
      <c r="A3684" s="2" t="str">
        <f>IFERROR(__xludf.DUMMYFUNCTION("""COMPUTED_VALUE"""),"다 털었Show!")</f>
        <v>다 털었Show!</v>
      </c>
      <c r="B3684" s="2" t="str">
        <f>IFERROR(__xludf.DUMMYFUNCTION("""COMPUTED_VALUE"""),"전분")</f>
        <v>전분</v>
      </c>
    </row>
    <row r="3685">
      <c r="A3685" s="2" t="str">
        <f>IFERROR(__xludf.DUMMYFUNCTION("""COMPUTED_VALUE"""),"다 털었Show!")</f>
        <v>다 털었Show!</v>
      </c>
      <c r="B3685" s="2" t="str">
        <f>IFERROR(__xludf.DUMMYFUNCTION("""COMPUTED_VALUE"""),"후추")</f>
        <v>후추</v>
      </c>
    </row>
    <row r="3686">
      <c r="A3686" s="2" t="str">
        <f>IFERROR(__xludf.DUMMYFUNCTION("""COMPUTED_VALUE"""),"다 털었Show!")</f>
        <v>다 털었Show!</v>
      </c>
      <c r="B3686" s="2" t="str">
        <f>IFERROR(__xludf.DUMMYFUNCTION("""COMPUTED_VALUE"""),"버터")</f>
        <v>버터</v>
      </c>
    </row>
    <row r="3687">
      <c r="A3687" s="2" t="str">
        <f>IFERROR(__xludf.DUMMYFUNCTION("""COMPUTED_VALUE"""),"다 털었Show!")</f>
        <v>다 털었Show!</v>
      </c>
      <c r="B3687" s="2" t="str">
        <f>IFERROR(__xludf.DUMMYFUNCTION("""COMPUTED_VALUE"""),"올리브오일")</f>
        <v>올리브오일</v>
      </c>
    </row>
    <row r="3688">
      <c r="A3688" s="2" t="str">
        <f>IFERROR(__xludf.DUMMYFUNCTION("""COMPUTED_VALUE"""),"다 털었Show!")</f>
        <v>다 털었Show!</v>
      </c>
      <c r="B3688" s="2" t="str">
        <f>IFERROR(__xludf.DUMMYFUNCTION("""COMPUTED_VALUE"""),"레몬즙")</f>
        <v>레몬즙</v>
      </c>
    </row>
    <row r="3689">
      <c r="A3689" s="2" t="str">
        <f>IFERROR(__xludf.DUMMYFUNCTION("""COMPUTED_VALUE"""),"떡.고.치")</f>
        <v>떡.고.치</v>
      </c>
      <c r="B3689" s="2" t="str">
        <f>IFERROR(__xludf.DUMMYFUNCTION("""COMPUTED_VALUE"""),"참치 통조림")</f>
        <v>참치 통조림</v>
      </c>
    </row>
    <row r="3690">
      <c r="A3690" s="2" t="str">
        <f>IFERROR(__xludf.DUMMYFUNCTION("""COMPUTED_VALUE"""),"떡.고.치")</f>
        <v>떡.고.치</v>
      </c>
      <c r="B3690" s="2" t="str">
        <f>IFERROR(__xludf.DUMMYFUNCTION("""COMPUTED_VALUE"""),"야채참치 통조림")</f>
        <v>야채참치 통조림</v>
      </c>
    </row>
    <row r="3691">
      <c r="A3691" s="2" t="str">
        <f>IFERROR(__xludf.DUMMYFUNCTION("""COMPUTED_VALUE"""),"떡.고.치")</f>
        <v>떡.고.치</v>
      </c>
      <c r="B3691" s="2" t="str">
        <f>IFERROR(__xludf.DUMMYFUNCTION("""COMPUTED_VALUE"""),"떡볶이 떡")</f>
        <v>떡볶이 떡</v>
      </c>
    </row>
    <row r="3692">
      <c r="A3692" s="2" t="str">
        <f>IFERROR(__xludf.DUMMYFUNCTION("""COMPUTED_VALUE"""),"떡.고.치")</f>
        <v>떡.고.치</v>
      </c>
      <c r="B3692" s="2" t="str">
        <f>IFERROR(__xludf.DUMMYFUNCTION("""COMPUTED_VALUE"""),"식빵")</f>
        <v>식빵</v>
      </c>
    </row>
    <row r="3693">
      <c r="A3693" s="2" t="str">
        <f>IFERROR(__xludf.DUMMYFUNCTION("""COMPUTED_VALUE"""),"떡.고.치")</f>
        <v>떡.고.치</v>
      </c>
      <c r="B3693" s="2" t="str">
        <f>IFERROR(__xludf.DUMMYFUNCTION("""COMPUTED_VALUE"""),"달걀")</f>
        <v>달걀</v>
      </c>
    </row>
    <row r="3694">
      <c r="A3694" s="2" t="str">
        <f>IFERROR(__xludf.DUMMYFUNCTION("""COMPUTED_VALUE"""),"떡.고.치")</f>
        <v>떡.고.치</v>
      </c>
      <c r="B3694" s="2" t="str">
        <f>IFERROR(__xludf.DUMMYFUNCTION("""COMPUTED_VALUE"""),"파프리카")</f>
        <v>파프리카</v>
      </c>
    </row>
    <row r="3695">
      <c r="A3695" s="2" t="str">
        <f>IFERROR(__xludf.DUMMYFUNCTION("""COMPUTED_VALUE"""),"떡.고.치")</f>
        <v>떡.고.치</v>
      </c>
      <c r="B3695" s="2" t="str">
        <f>IFERROR(__xludf.DUMMYFUNCTION("""COMPUTED_VALUE"""),"마늘")</f>
        <v>마늘</v>
      </c>
    </row>
    <row r="3696">
      <c r="A3696" s="2" t="str">
        <f>IFERROR(__xludf.DUMMYFUNCTION("""COMPUTED_VALUE"""),"떡.고.치")</f>
        <v>떡.고.치</v>
      </c>
      <c r="B3696" s="2" t="str">
        <f>IFERROR(__xludf.DUMMYFUNCTION("""COMPUTED_VALUE"""),"대파")</f>
        <v>대파</v>
      </c>
    </row>
    <row r="3697">
      <c r="A3697" s="2" t="str">
        <f>IFERROR(__xludf.DUMMYFUNCTION("""COMPUTED_VALUE"""),"떡.고.치")</f>
        <v>떡.고.치</v>
      </c>
      <c r="B3697" s="2" t="str">
        <f>IFERROR(__xludf.DUMMYFUNCTION("""COMPUTED_VALUE"""),"소금")</f>
        <v>소금</v>
      </c>
    </row>
    <row r="3698">
      <c r="A3698" s="2" t="str">
        <f>IFERROR(__xludf.DUMMYFUNCTION("""COMPUTED_VALUE"""),"떡.고.치")</f>
        <v>떡.고.치</v>
      </c>
      <c r="B3698" s="2" t="str">
        <f>IFERROR(__xludf.DUMMYFUNCTION("""COMPUTED_VALUE"""),"후추")</f>
        <v>후추</v>
      </c>
    </row>
    <row r="3699">
      <c r="A3699" s="2" t="str">
        <f>IFERROR(__xludf.DUMMYFUNCTION("""COMPUTED_VALUE"""),"떡.고.치")</f>
        <v>떡.고.치</v>
      </c>
      <c r="B3699" s="2" t="str">
        <f>IFERROR(__xludf.DUMMYFUNCTION("""COMPUTED_VALUE"""),"마요네즈")</f>
        <v>마요네즈</v>
      </c>
    </row>
    <row r="3700">
      <c r="A3700" s="2" t="str">
        <f>IFERROR(__xludf.DUMMYFUNCTION("""COMPUTED_VALUE"""),"떡.고.치")</f>
        <v>떡.고.치</v>
      </c>
      <c r="B3700" s="2" t="str">
        <f>IFERROR(__xludf.DUMMYFUNCTION("""COMPUTED_VALUE"""),"고추장")</f>
        <v>고추장</v>
      </c>
    </row>
    <row r="3701">
      <c r="A3701" s="2" t="str">
        <f>IFERROR(__xludf.DUMMYFUNCTION("""COMPUTED_VALUE"""),"떡.고.치")</f>
        <v>떡.고.치</v>
      </c>
      <c r="B3701" s="2" t="str">
        <f>IFERROR(__xludf.DUMMYFUNCTION("""COMPUTED_VALUE"""),"물엿")</f>
        <v>물엿</v>
      </c>
    </row>
    <row r="3702">
      <c r="A3702" s="2" t="str">
        <f>IFERROR(__xludf.DUMMYFUNCTION("""COMPUTED_VALUE"""),"떡.고.치")</f>
        <v>떡.고.치</v>
      </c>
      <c r="B3702" s="2" t="str">
        <f>IFERROR(__xludf.DUMMYFUNCTION("""COMPUTED_VALUE"""),"맛술")</f>
        <v>맛술</v>
      </c>
    </row>
    <row r="3703">
      <c r="A3703" s="2" t="str">
        <f>IFERROR(__xludf.DUMMYFUNCTION("""COMPUTED_VALUE"""),"떡.고.치")</f>
        <v>떡.고.치</v>
      </c>
      <c r="B3703" s="2" t="str">
        <f>IFERROR(__xludf.DUMMYFUNCTION("""COMPUTED_VALUE"""),"고춧가루")</f>
        <v>고춧가루</v>
      </c>
    </row>
    <row r="3704">
      <c r="A3704" s="2" t="str">
        <f>IFERROR(__xludf.DUMMYFUNCTION("""COMPUTED_VALUE"""),"떡.고.치")</f>
        <v>떡.고.치</v>
      </c>
      <c r="B3704" s="2" t="str">
        <f>IFERROR(__xludf.DUMMYFUNCTION("""COMPUTED_VALUE"""),"간장")</f>
        <v>간장</v>
      </c>
    </row>
    <row r="3705">
      <c r="A3705" s="2" t="str">
        <f>IFERROR(__xludf.DUMMYFUNCTION("""COMPUTED_VALUE"""),"떡.고.치")</f>
        <v>떡.고.치</v>
      </c>
      <c r="B3705" s="2" t="str">
        <f>IFERROR(__xludf.DUMMYFUNCTION("""COMPUTED_VALUE"""),"청주")</f>
        <v>청주</v>
      </c>
    </row>
    <row r="3706">
      <c r="A3706" s="2" t="str">
        <f>IFERROR(__xludf.DUMMYFUNCTION("""COMPUTED_VALUE"""),"떡.고.치")</f>
        <v>떡.고.치</v>
      </c>
      <c r="B3706" s="2" t="str">
        <f>IFERROR(__xludf.DUMMYFUNCTION("""COMPUTED_VALUE"""),"참기름")</f>
        <v>참기름</v>
      </c>
    </row>
    <row r="3707">
      <c r="A3707" s="2" t="str">
        <f>IFERROR(__xludf.DUMMYFUNCTION("""COMPUTED_VALUE"""),"떡.고.치")</f>
        <v>떡.고.치</v>
      </c>
      <c r="B3707" s="2" t="str">
        <f>IFERROR(__xludf.DUMMYFUNCTION("""COMPUTED_VALUE"""),"깨")</f>
        <v>깨</v>
      </c>
    </row>
    <row r="3708">
      <c r="A3708" s="2" t="str">
        <f>IFERROR(__xludf.DUMMYFUNCTION("""COMPUTED_VALUE"""),"파니니 안파니")</f>
        <v>파니니 안파니</v>
      </c>
      <c r="B3708" s="2" t="str">
        <f>IFERROR(__xludf.DUMMYFUNCTION("""COMPUTED_VALUE"""),"뜯어먹는 식빵")</f>
        <v>뜯어먹는 식빵</v>
      </c>
    </row>
    <row r="3709">
      <c r="A3709" s="2" t="str">
        <f>IFERROR(__xludf.DUMMYFUNCTION("""COMPUTED_VALUE"""),"파니니 안파니")</f>
        <v>파니니 안파니</v>
      </c>
      <c r="B3709" s="2" t="str">
        <f>IFERROR(__xludf.DUMMYFUNCTION("""COMPUTED_VALUE"""),"장조림 통조림")</f>
        <v>장조림 통조림</v>
      </c>
    </row>
    <row r="3710">
      <c r="A3710" s="2" t="str">
        <f>IFERROR(__xludf.DUMMYFUNCTION("""COMPUTED_VALUE"""),"파니니 안파니")</f>
        <v>파니니 안파니</v>
      </c>
      <c r="B3710" s="2" t="str">
        <f>IFERROR(__xludf.DUMMYFUNCTION("""COMPUTED_VALUE"""),"맛밤")</f>
        <v>맛밤</v>
      </c>
    </row>
    <row r="3711">
      <c r="A3711" s="2" t="str">
        <f>IFERROR(__xludf.DUMMYFUNCTION("""COMPUTED_VALUE"""),"파니니 안파니")</f>
        <v>파니니 안파니</v>
      </c>
      <c r="B3711" s="2" t="str">
        <f>IFERROR(__xludf.DUMMYFUNCTION("""COMPUTED_VALUE"""),"금귤")</f>
        <v>금귤</v>
      </c>
    </row>
    <row r="3712">
      <c r="A3712" s="2" t="str">
        <f>IFERROR(__xludf.DUMMYFUNCTION("""COMPUTED_VALUE"""),"파니니 안파니")</f>
        <v>파니니 안파니</v>
      </c>
      <c r="B3712" s="2" t="str">
        <f>IFERROR(__xludf.DUMMYFUNCTION("""COMPUTED_VALUE"""),"참치 통조림")</f>
        <v>참치 통조림</v>
      </c>
    </row>
    <row r="3713">
      <c r="A3713" s="2" t="str">
        <f>IFERROR(__xludf.DUMMYFUNCTION("""COMPUTED_VALUE"""),"파니니 안파니")</f>
        <v>파니니 안파니</v>
      </c>
      <c r="B3713" s="2" t="str">
        <f>IFERROR(__xludf.DUMMYFUNCTION("""COMPUTED_VALUE"""),"양상추")</f>
        <v>양상추</v>
      </c>
    </row>
    <row r="3714">
      <c r="A3714" s="2" t="str">
        <f>IFERROR(__xludf.DUMMYFUNCTION("""COMPUTED_VALUE"""),"파니니 안파니")</f>
        <v>파니니 안파니</v>
      </c>
      <c r="B3714" s="2" t="str">
        <f>IFERROR(__xludf.DUMMYFUNCTION("""COMPUTED_VALUE"""),"당근")</f>
        <v>당근</v>
      </c>
    </row>
    <row r="3715">
      <c r="A3715" s="2" t="str">
        <f>IFERROR(__xludf.DUMMYFUNCTION("""COMPUTED_VALUE"""),"파니니 안파니")</f>
        <v>파니니 안파니</v>
      </c>
      <c r="B3715" s="2" t="str">
        <f>IFERROR(__xludf.DUMMYFUNCTION("""COMPUTED_VALUE"""),"양파")</f>
        <v>양파</v>
      </c>
    </row>
    <row r="3716">
      <c r="A3716" s="2" t="str">
        <f>IFERROR(__xludf.DUMMYFUNCTION("""COMPUTED_VALUE"""),"파니니 안파니")</f>
        <v>파니니 안파니</v>
      </c>
      <c r="B3716" s="2" t="str">
        <f>IFERROR(__xludf.DUMMYFUNCTION("""COMPUTED_VALUE"""),"밀가루")</f>
        <v>밀가루</v>
      </c>
    </row>
    <row r="3717">
      <c r="A3717" s="2" t="str">
        <f>IFERROR(__xludf.DUMMYFUNCTION("""COMPUTED_VALUE"""),"파니니 안파니")</f>
        <v>파니니 안파니</v>
      </c>
      <c r="B3717" s="2" t="str">
        <f>IFERROR(__xludf.DUMMYFUNCTION("""COMPUTED_VALUE"""),"소금")</f>
        <v>소금</v>
      </c>
    </row>
    <row r="3718">
      <c r="A3718" s="2" t="str">
        <f>IFERROR(__xludf.DUMMYFUNCTION("""COMPUTED_VALUE"""),"파니니 안파니")</f>
        <v>파니니 안파니</v>
      </c>
      <c r="B3718" s="2" t="str">
        <f>IFERROR(__xludf.DUMMYFUNCTION("""COMPUTED_VALUE"""),"후추")</f>
        <v>후추</v>
      </c>
    </row>
    <row r="3719">
      <c r="A3719" s="2" t="str">
        <f>IFERROR(__xludf.DUMMYFUNCTION("""COMPUTED_VALUE"""),"파니니 안파니")</f>
        <v>파니니 안파니</v>
      </c>
      <c r="B3719" s="2" t="str">
        <f>IFERROR(__xludf.DUMMYFUNCTION("""COMPUTED_VALUE"""),"마요네즈")</f>
        <v>마요네즈</v>
      </c>
    </row>
    <row r="3720">
      <c r="A3720" s="2" t="str">
        <f>IFERROR(__xludf.DUMMYFUNCTION("""COMPUTED_VALUE"""),"검사외조")</f>
        <v>검사외조</v>
      </c>
      <c r="B3720" s="2" t="str">
        <f>IFERROR(__xludf.DUMMYFUNCTION("""COMPUTED_VALUE"""),"달걀")</f>
        <v>달걀</v>
      </c>
    </row>
    <row r="3721">
      <c r="A3721" s="2" t="str">
        <f>IFERROR(__xludf.DUMMYFUNCTION("""COMPUTED_VALUE"""),"검사외조")</f>
        <v>검사외조</v>
      </c>
      <c r="B3721" s="2" t="str">
        <f>IFERROR(__xludf.DUMMYFUNCTION("""COMPUTED_VALUE"""),"식빵")</f>
        <v>식빵</v>
      </c>
    </row>
    <row r="3722">
      <c r="A3722" s="2" t="str">
        <f>IFERROR(__xludf.DUMMYFUNCTION("""COMPUTED_VALUE"""),"검사외조")</f>
        <v>검사외조</v>
      </c>
      <c r="B3722" s="2" t="str">
        <f>IFERROR(__xludf.DUMMYFUNCTION("""COMPUTED_VALUE"""),"슈크림빵")</f>
        <v>슈크림빵</v>
      </c>
    </row>
    <row r="3723">
      <c r="A3723" s="2" t="str">
        <f>IFERROR(__xludf.DUMMYFUNCTION("""COMPUTED_VALUE"""),"검사외조")</f>
        <v>검사외조</v>
      </c>
      <c r="B3723" s="2" t="str">
        <f>IFERROR(__xludf.DUMMYFUNCTION("""COMPUTED_VALUE"""),"장조림 통조림")</f>
        <v>장조림 통조림</v>
      </c>
    </row>
    <row r="3724">
      <c r="A3724" s="2" t="str">
        <f>IFERROR(__xludf.DUMMYFUNCTION("""COMPUTED_VALUE"""),"검사외조")</f>
        <v>검사외조</v>
      </c>
      <c r="B3724" s="2" t="str">
        <f>IFERROR(__xludf.DUMMYFUNCTION("""COMPUTED_VALUE"""),"멸치볶음")</f>
        <v>멸치볶음</v>
      </c>
    </row>
    <row r="3725">
      <c r="A3725" s="2" t="str">
        <f>IFERROR(__xludf.DUMMYFUNCTION("""COMPUTED_VALUE"""),"검사외조")</f>
        <v>검사외조</v>
      </c>
      <c r="B3725" s="2" t="str">
        <f>IFERROR(__xludf.DUMMYFUNCTION("""COMPUTED_VALUE"""),"딸기")</f>
        <v>딸기</v>
      </c>
    </row>
    <row r="3726">
      <c r="A3726" s="2" t="str">
        <f>IFERROR(__xludf.DUMMYFUNCTION("""COMPUTED_VALUE"""),"검사외조")</f>
        <v>검사외조</v>
      </c>
      <c r="B3726" s="2" t="str">
        <f>IFERROR(__xludf.DUMMYFUNCTION("""COMPUTED_VALUE"""),"마카롱")</f>
        <v>마카롱</v>
      </c>
    </row>
    <row r="3727">
      <c r="A3727" s="2" t="str">
        <f>IFERROR(__xludf.DUMMYFUNCTION("""COMPUTED_VALUE"""),"검사외조")</f>
        <v>검사외조</v>
      </c>
      <c r="B3727" s="2" t="str">
        <f>IFERROR(__xludf.DUMMYFUNCTION("""COMPUTED_VALUE"""),"마카다미아")</f>
        <v>마카다미아</v>
      </c>
    </row>
    <row r="3728">
      <c r="A3728" s="2" t="str">
        <f>IFERROR(__xludf.DUMMYFUNCTION("""COMPUTED_VALUE"""),"검사외조")</f>
        <v>검사외조</v>
      </c>
      <c r="B3728" s="2" t="str">
        <f>IFERROR(__xludf.DUMMYFUNCTION("""COMPUTED_VALUE"""),"핫소스")</f>
        <v>핫소스</v>
      </c>
    </row>
    <row r="3729">
      <c r="A3729" s="2" t="str">
        <f>IFERROR(__xludf.DUMMYFUNCTION("""COMPUTED_VALUE"""),"검사외조")</f>
        <v>검사외조</v>
      </c>
      <c r="B3729" s="2" t="str">
        <f>IFERROR(__xludf.DUMMYFUNCTION("""COMPUTED_VALUE"""),"바나나맛 우유")</f>
        <v>바나나맛 우유</v>
      </c>
    </row>
    <row r="3730">
      <c r="A3730" s="2" t="str">
        <f>IFERROR(__xludf.DUMMYFUNCTION("""COMPUTED_VALUE"""),"검사외조")</f>
        <v>검사외조</v>
      </c>
      <c r="B3730" s="2" t="str">
        <f>IFERROR(__xludf.DUMMYFUNCTION("""COMPUTED_VALUE"""),"버터")</f>
        <v>버터</v>
      </c>
    </row>
    <row r="3731">
      <c r="A3731" s="2" t="str">
        <f>IFERROR(__xludf.DUMMYFUNCTION("""COMPUTED_VALUE"""),"검사외조")</f>
        <v>검사외조</v>
      </c>
      <c r="B3731" s="2" t="str">
        <f>IFERROR(__xludf.DUMMYFUNCTION("""COMPUTED_VALUE"""),"케첩")</f>
        <v>케첩</v>
      </c>
    </row>
    <row r="3732">
      <c r="A3732" s="2" t="str">
        <f>IFERROR(__xludf.DUMMYFUNCTION("""COMPUTED_VALUE"""),"샤부의 샐러드")</f>
        <v>샤부의 샐러드</v>
      </c>
      <c r="B3732" s="2" t="str">
        <f>IFERROR(__xludf.DUMMYFUNCTION("""COMPUTED_VALUE"""),"솜땀 파우더")</f>
        <v>솜땀 파우더</v>
      </c>
    </row>
    <row r="3733">
      <c r="A3733" s="2" t="str">
        <f>IFERROR(__xludf.DUMMYFUNCTION("""COMPUTED_VALUE"""),"샤부의 샐러드")</f>
        <v>샤부의 샐러드</v>
      </c>
      <c r="B3733" s="2" t="str">
        <f>IFERROR(__xludf.DUMMYFUNCTION("""COMPUTED_VALUE"""),"가쓰오간장")</f>
        <v>가쓰오간장</v>
      </c>
    </row>
    <row r="3734">
      <c r="A3734" s="2" t="str">
        <f>IFERROR(__xludf.DUMMYFUNCTION("""COMPUTED_VALUE"""),"샤부의 샐러드")</f>
        <v>샤부의 샐러드</v>
      </c>
      <c r="B3734" s="2" t="str">
        <f>IFERROR(__xludf.DUMMYFUNCTION("""COMPUTED_VALUE"""),"매운 참깨소스")</f>
        <v>매운 참깨소스</v>
      </c>
    </row>
    <row r="3735">
      <c r="A3735" s="2" t="str">
        <f>IFERROR(__xludf.DUMMYFUNCTION("""COMPUTED_VALUE"""),"샤부의 샐러드")</f>
        <v>샤부의 샐러드</v>
      </c>
      <c r="B3735" s="2" t="str">
        <f>IFERROR(__xludf.DUMMYFUNCTION("""COMPUTED_VALUE"""),"명란젓")</f>
        <v>명란젓</v>
      </c>
    </row>
    <row r="3736">
      <c r="A3736" s="2" t="str">
        <f>IFERROR(__xludf.DUMMYFUNCTION("""COMPUTED_VALUE"""),"샤부의 샐러드")</f>
        <v>샤부의 샐러드</v>
      </c>
      <c r="B3736" s="2" t="str">
        <f>IFERROR(__xludf.DUMMYFUNCTION("""COMPUTED_VALUE"""),"샤부샤부용 소고기")</f>
        <v>샤부샤부용 소고기</v>
      </c>
    </row>
    <row r="3737">
      <c r="A3737" s="2" t="str">
        <f>IFERROR(__xludf.DUMMYFUNCTION("""COMPUTED_VALUE"""),"샤부의 샐러드")</f>
        <v>샤부의 샐러드</v>
      </c>
      <c r="B3737" s="2" t="str">
        <f>IFERROR(__xludf.DUMMYFUNCTION("""COMPUTED_VALUE"""),"애호박")</f>
        <v>애호박</v>
      </c>
    </row>
    <row r="3738">
      <c r="A3738" s="2" t="str">
        <f>IFERROR(__xludf.DUMMYFUNCTION("""COMPUTED_VALUE"""),"샤부의 샐러드")</f>
        <v>샤부의 샐러드</v>
      </c>
      <c r="B3738" s="2" t="str">
        <f>IFERROR(__xludf.DUMMYFUNCTION("""COMPUTED_VALUE"""),"스노우크랩")</f>
        <v>스노우크랩</v>
      </c>
    </row>
    <row r="3739">
      <c r="A3739" s="2" t="str">
        <f>IFERROR(__xludf.DUMMYFUNCTION("""COMPUTED_VALUE"""),"샤부의 샐러드")</f>
        <v>샤부의 샐러드</v>
      </c>
      <c r="B3739" s="2" t="str">
        <f>IFERROR(__xludf.DUMMYFUNCTION("""COMPUTED_VALUE"""),"상추")</f>
        <v>상추</v>
      </c>
    </row>
    <row r="3740">
      <c r="A3740" s="2" t="str">
        <f>IFERROR(__xludf.DUMMYFUNCTION("""COMPUTED_VALUE"""),"샤부의 샐러드")</f>
        <v>샤부의 샐러드</v>
      </c>
      <c r="B3740" s="2" t="str">
        <f>IFERROR(__xludf.DUMMYFUNCTION("""COMPUTED_VALUE"""),"삶은 죽순")</f>
        <v>삶은 죽순</v>
      </c>
    </row>
    <row r="3741">
      <c r="A3741" s="2" t="str">
        <f>IFERROR(__xludf.DUMMYFUNCTION("""COMPUTED_VALUE"""),"샤부의 샐러드")</f>
        <v>샤부의 샐러드</v>
      </c>
      <c r="B3741" s="2" t="str">
        <f>IFERROR(__xludf.DUMMYFUNCTION("""COMPUTED_VALUE"""),"성게알 통조림")</f>
        <v>성게알 통조림</v>
      </c>
    </row>
    <row r="3742">
      <c r="A3742" s="2" t="str">
        <f>IFERROR(__xludf.DUMMYFUNCTION("""COMPUTED_VALUE"""),"샤부의 샐러드")</f>
        <v>샤부의 샐러드</v>
      </c>
      <c r="B3742" s="2" t="str">
        <f>IFERROR(__xludf.DUMMYFUNCTION("""COMPUTED_VALUE"""),"달걀")</f>
        <v>달걀</v>
      </c>
    </row>
    <row r="3743">
      <c r="A3743" s="2" t="str">
        <f>IFERROR(__xludf.DUMMYFUNCTION("""COMPUTED_VALUE"""),"샤부의 샐러드")</f>
        <v>샤부의 샐러드</v>
      </c>
      <c r="B3743" s="2" t="str">
        <f>IFERROR(__xludf.DUMMYFUNCTION("""COMPUTED_VALUE"""),"레몬")</f>
        <v>레몬</v>
      </c>
    </row>
    <row r="3744">
      <c r="A3744" s="2" t="str">
        <f>IFERROR(__xludf.DUMMYFUNCTION("""COMPUTED_VALUE"""),"샤부의 샐러드")</f>
        <v>샤부의 샐러드</v>
      </c>
      <c r="B3744" s="2" t="str">
        <f>IFERROR(__xludf.DUMMYFUNCTION("""COMPUTED_VALUE"""),"양파")</f>
        <v>양파</v>
      </c>
    </row>
    <row r="3745">
      <c r="A3745" s="2" t="str">
        <f>IFERROR(__xludf.DUMMYFUNCTION("""COMPUTED_VALUE"""),"샤부의 샐러드")</f>
        <v>샤부의 샐러드</v>
      </c>
      <c r="B3745" s="2" t="str">
        <f>IFERROR(__xludf.DUMMYFUNCTION("""COMPUTED_VALUE"""),"고추")</f>
        <v>고추</v>
      </c>
    </row>
    <row r="3746">
      <c r="A3746" s="2" t="str">
        <f>IFERROR(__xludf.DUMMYFUNCTION("""COMPUTED_VALUE"""),"샤부의 샐러드")</f>
        <v>샤부의 샐러드</v>
      </c>
      <c r="B3746" s="2" t="str">
        <f>IFERROR(__xludf.DUMMYFUNCTION("""COMPUTED_VALUE"""),"전분")</f>
        <v>전분</v>
      </c>
    </row>
    <row r="3747">
      <c r="A3747" s="2" t="str">
        <f>IFERROR(__xludf.DUMMYFUNCTION("""COMPUTED_VALUE"""),"연어를 찾아~ 사바")</f>
        <v>연어를 찾아~ 사바</v>
      </c>
      <c r="B3747" s="2" t="str">
        <f>IFERROR(__xludf.DUMMYFUNCTION("""COMPUTED_VALUE"""),"애호박")</f>
        <v>애호박</v>
      </c>
    </row>
    <row r="3748">
      <c r="A3748" s="2" t="str">
        <f>IFERROR(__xludf.DUMMYFUNCTION("""COMPUTED_VALUE"""),"연어를 찾아~ 사바")</f>
        <v>연어를 찾아~ 사바</v>
      </c>
      <c r="B3748" s="2" t="str">
        <f>IFERROR(__xludf.DUMMYFUNCTION("""COMPUTED_VALUE"""),"연어머리")</f>
        <v>연어머리</v>
      </c>
    </row>
    <row r="3749">
      <c r="A3749" s="2" t="str">
        <f>IFERROR(__xludf.DUMMYFUNCTION("""COMPUTED_VALUE"""),"연어를 찾아~ 사바")</f>
        <v>연어를 찾아~ 사바</v>
      </c>
      <c r="B3749" s="2" t="str">
        <f>IFERROR(__xludf.DUMMYFUNCTION("""COMPUTED_VALUE"""),"팟타이소스")</f>
        <v>팟타이소스</v>
      </c>
    </row>
    <row r="3750">
      <c r="A3750" s="2" t="str">
        <f>IFERROR(__xludf.DUMMYFUNCTION("""COMPUTED_VALUE"""),"연어를 찾아~ 사바")</f>
        <v>연어를 찾아~ 사바</v>
      </c>
      <c r="B3750" s="2" t="str">
        <f>IFERROR(__xludf.DUMMYFUNCTION("""COMPUTED_VALUE"""),"건새우")</f>
        <v>건새우</v>
      </c>
    </row>
    <row r="3751">
      <c r="A3751" s="2" t="str">
        <f>IFERROR(__xludf.DUMMYFUNCTION("""COMPUTED_VALUE"""),"연어를 찾아~ 사바")</f>
        <v>연어를 찾아~ 사바</v>
      </c>
      <c r="B3751" s="2" t="str">
        <f>IFERROR(__xludf.DUMMYFUNCTION("""COMPUTED_VALUE"""),"달걀")</f>
        <v>달걀</v>
      </c>
    </row>
    <row r="3752">
      <c r="A3752" s="2" t="str">
        <f>IFERROR(__xludf.DUMMYFUNCTION("""COMPUTED_VALUE"""),"연어를 찾아~ 사바")</f>
        <v>연어를 찾아~ 사바</v>
      </c>
      <c r="B3752" s="2" t="str">
        <f>IFERROR(__xludf.DUMMYFUNCTION("""COMPUTED_VALUE"""),"양파")</f>
        <v>양파</v>
      </c>
    </row>
    <row r="3753">
      <c r="A3753" s="2" t="str">
        <f>IFERROR(__xludf.DUMMYFUNCTION("""COMPUTED_VALUE"""),"연어를 찾아~ 사바")</f>
        <v>연어를 찾아~ 사바</v>
      </c>
      <c r="B3753" s="2" t="str">
        <f>IFERROR(__xludf.DUMMYFUNCTION("""COMPUTED_VALUE"""),"대파")</f>
        <v>대파</v>
      </c>
    </row>
    <row r="3754">
      <c r="A3754" s="2" t="str">
        <f>IFERROR(__xludf.DUMMYFUNCTION("""COMPUTED_VALUE"""),"연어를 찾아~ 사바")</f>
        <v>연어를 찾아~ 사바</v>
      </c>
      <c r="B3754" s="2" t="str">
        <f>IFERROR(__xludf.DUMMYFUNCTION("""COMPUTED_VALUE"""),"마늘")</f>
        <v>마늘</v>
      </c>
    </row>
    <row r="3755">
      <c r="A3755" s="2" t="str">
        <f>IFERROR(__xludf.DUMMYFUNCTION("""COMPUTED_VALUE"""),"연어를 찾아~ 사바")</f>
        <v>연어를 찾아~ 사바</v>
      </c>
      <c r="B3755" s="2" t="str">
        <f>IFERROR(__xludf.DUMMYFUNCTION("""COMPUTED_VALUE"""),"레몬")</f>
        <v>레몬</v>
      </c>
    </row>
    <row r="3756">
      <c r="A3756" s="2" t="str">
        <f>IFERROR(__xludf.DUMMYFUNCTION("""COMPUTED_VALUE"""),"연어를 찾아~ 사바")</f>
        <v>연어를 찾아~ 사바</v>
      </c>
      <c r="B3756" s="2" t="str">
        <f>IFERROR(__xludf.DUMMYFUNCTION("""COMPUTED_VALUE"""),"소금")</f>
        <v>소금</v>
      </c>
    </row>
    <row r="3757">
      <c r="A3757" s="2" t="str">
        <f>IFERROR(__xludf.DUMMYFUNCTION("""COMPUTED_VALUE"""),"연어를 찾아~ 사바")</f>
        <v>연어를 찾아~ 사바</v>
      </c>
      <c r="B3757" s="2" t="str">
        <f>IFERROR(__xludf.DUMMYFUNCTION("""COMPUTED_VALUE"""),"후추")</f>
        <v>후추</v>
      </c>
    </row>
    <row r="3758">
      <c r="A3758" s="2" t="str">
        <f>IFERROR(__xludf.DUMMYFUNCTION("""COMPUTED_VALUE"""),"연어를 찾아~ 사바")</f>
        <v>연어를 찾아~ 사바</v>
      </c>
      <c r="B3758" s="2" t="str">
        <f>IFERROR(__xludf.DUMMYFUNCTION("""COMPUTED_VALUE"""),"밀가루")</f>
        <v>밀가루</v>
      </c>
    </row>
    <row r="3759">
      <c r="A3759" s="2" t="str">
        <f>IFERROR(__xludf.DUMMYFUNCTION("""COMPUTED_VALUE"""),"사와디캡 누들")</f>
        <v>사와디캡 누들</v>
      </c>
      <c r="B3759" s="2" t="str">
        <f>IFERROR(__xludf.DUMMYFUNCTION("""COMPUTED_VALUE"""),"솜땀 파우더")</f>
        <v>솜땀 파우더</v>
      </c>
    </row>
    <row r="3760">
      <c r="A3760" s="2" t="str">
        <f>IFERROR(__xludf.DUMMYFUNCTION("""COMPUTED_VALUE"""),"사와디캡 누들")</f>
        <v>사와디캡 누들</v>
      </c>
      <c r="B3760" s="2" t="str">
        <f>IFERROR(__xludf.DUMMYFUNCTION("""COMPUTED_VALUE"""),"매실액")</f>
        <v>매실액</v>
      </c>
    </row>
    <row r="3761">
      <c r="A3761" s="2" t="str">
        <f>IFERROR(__xludf.DUMMYFUNCTION("""COMPUTED_VALUE"""),"사와디캡 누들")</f>
        <v>사와디캡 누들</v>
      </c>
      <c r="B3761" s="2" t="str">
        <f>IFERROR(__xludf.DUMMYFUNCTION("""COMPUTED_VALUE"""),"건새우")</f>
        <v>건새우</v>
      </c>
    </row>
    <row r="3762">
      <c r="A3762" s="2" t="str">
        <f>IFERROR(__xludf.DUMMYFUNCTION("""COMPUTED_VALUE"""),"사와디캡 누들")</f>
        <v>사와디캡 누들</v>
      </c>
      <c r="B3762" s="2" t="str">
        <f>IFERROR(__xludf.DUMMYFUNCTION("""COMPUTED_VALUE"""),"페페론치노")</f>
        <v>페페론치노</v>
      </c>
    </row>
    <row r="3763">
      <c r="A3763" s="2" t="str">
        <f>IFERROR(__xludf.DUMMYFUNCTION("""COMPUTED_VALUE"""),"사와디캡 누들")</f>
        <v>사와디캡 누들</v>
      </c>
      <c r="B3763" s="2" t="str">
        <f>IFERROR(__xludf.DUMMYFUNCTION("""COMPUTED_VALUE"""),"우메보시")</f>
        <v>우메보시</v>
      </c>
    </row>
    <row r="3764">
      <c r="A3764" s="2" t="str">
        <f>IFERROR(__xludf.DUMMYFUNCTION("""COMPUTED_VALUE"""),"사와디캡 누들")</f>
        <v>사와디캡 누들</v>
      </c>
      <c r="B3764" s="2" t="str">
        <f>IFERROR(__xludf.DUMMYFUNCTION("""COMPUTED_VALUE"""),"바나나")</f>
        <v>바나나</v>
      </c>
    </row>
    <row r="3765">
      <c r="A3765" s="2" t="str">
        <f>IFERROR(__xludf.DUMMYFUNCTION("""COMPUTED_VALUE"""),"사와디캡 누들")</f>
        <v>사와디캡 누들</v>
      </c>
      <c r="B3765" s="2" t="str">
        <f>IFERROR(__xludf.DUMMYFUNCTION("""COMPUTED_VALUE"""),"꾸지뽕")</f>
        <v>꾸지뽕</v>
      </c>
    </row>
    <row r="3766">
      <c r="A3766" s="2" t="str">
        <f>IFERROR(__xludf.DUMMYFUNCTION("""COMPUTED_VALUE"""),"사와디캡 누들")</f>
        <v>사와디캡 누들</v>
      </c>
      <c r="B3766" s="2" t="str">
        <f>IFERROR(__xludf.DUMMYFUNCTION("""COMPUTED_VALUE"""),"흑설탕")</f>
        <v>흑설탕</v>
      </c>
    </row>
    <row r="3767">
      <c r="A3767" s="2" t="str">
        <f>IFERROR(__xludf.DUMMYFUNCTION("""COMPUTED_VALUE"""),"사와디캡 누들")</f>
        <v>사와디캡 누들</v>
      </c>
      <c r="B3767" s="2" t="str">
        <f>IFERROR(__xludf.DUMMYFUNCTION("""COMPUTED_VALUE"""),"토마토소스")</f>
        <v>토마토소스</v>
      </c>
    </row>
    <row r="3768">
      <c r="A3768" s="2" t="str">
        <f>IFERROR(__xludf.DUMMYFUNCTION("""COMPUTED_VALUE"""),"사와디캡 누들")</f>
        <v>사와디캡 누들</v>
      </c>
      <c r="B3768" s="2" t="str">
        <f>IFERROR(__xludf.DUMMYFUNCTION("""COMPUTED_VALUE"""),"삼겹살")</f>
        <v>삼겹살</v>
      </c>
    </row>
    <row r="3769">
      <c r="A3769" s="2" t="str">
        <f>IFERROR(__xludf.DUMMYFUNCTION("""COMPUTED_VALUE"""),"사와디캡 누들")</f>
        <v>사와디캡 누들</v>
      </c>
      <c r="B3769" s="2" t="str">
        <f>IFERROR(__xludf.DUMMYFUNCTION("""COMPUTED_VALUE"""),"커피가루")</f>
        <v>커피가루</v>
      </c>
    </row>
    <row r="3770">
      <c r="A3770" s="2" t="str">
        <f>IFERROR(__xludf.DUMMYFUNCTION("""COMPUTED_VALUE"""),"사와디캡 누들")</f>
        <v>사와디캡 누들</v>
      </c>
      <c r="B3770" s="2" t="str">
        <f>IFERROR(__xludf.DUMMYFUNCTION("""COMPUTED_VALUE"""),"비빔라면")</f>
        <v>비빔라면</v>
      </c>
    </row>
    <row r="3771">
      <c r="A3771" s="2" t="str">
        <f>IFERROR(__xludf.DUMMYFUNCTION("""COMPUTED_VALUE"""),"사와디캡 누들")</f>
        <v>사와디캡 누들</v>
      </c>
      <c r="B3771" s="2" t="str">
        <f>IFERROR(__xludf.DUMMYFUNCTION("""COMPUTED_VALUE"""),"상추")</f>
        <v>상추</v>
      </c>
    </row>
    <row r="3772">
      <c r="A3772" s="2" t="str">
        <f>IFERROR(__xludf.DUMMYFUNCTION("""COMPUTED_VALUE"""),"사와디캡 누들")</f>
        <v>사와디캡 누들</v>
      </c>
      <c r="B3772" s="2" t="str">
        <f>IFERROR(__xludf.DUMMYFUNCTION("""COMPUTED_VALUE"""),"오렌지")</f>
        <v>오렌지</v>
      </c>
    </row>
    <row r="3773">
      <c r="A3773" s="2" t="str">
        <f>IFERROR(__xludf.DUMMYFUNCTION("""COMPUTED_VALUE"""),"사와디캡 누들")</f>
        <v>사와디캡 누들</v>
      </c>
      <c r="B3773" s="2" t="str">
        <f>IFERROR(__xludf.DUMMYFUNCTION("""COMPUTED_VALUE"""),"블루베리")</f>
        <v>블루베리</v>
      </c>
    </row>
    <row r="3774">
      <c r="A3774" s="2" t="str">
        <f>IFERROR(__xludf.DUMMYFUNCTION("""COMPUTED_VALUE"""),"사와디캡 누들")</f>
        <v>사와디캡 누들</v>
      </c>
      <c r="B3774" s="2" t="str">
        <f>IFERROR(__xludf.DUMMYFUNCTION("""COMPUTED_VALUE"""),"해바라기씨")</f>
        <v>해바라기씨</v>
      </c>
    </row>
    <row r="3775">
      <c r="A3775" s="2" t="str">
        <f>IFERROR(__xludf.DUMMYFUNCTION("""COMPUTED_VALUE"""),"사와디캡 누들")</f>
        <v>사와디캡 누들</v>
      </c>
      <c r="B3775" s="2" t="str">
        <f>IFERROR(__xludf.DUMMYFUNCTION("""COMPUTED_VALUE"""),"레몬")</f>
        <v>레몬</v>
      </c>
    </row>
    <row r="3776">
      <c r="A3776" s="2" t="str">
        <f>IFERROR(__xludf.DUMMYFUNCTION("""COMPUTED_VALUE"""),"사와디캡 누들")</f>
        <v>사와디캡 누들</v>
      </c>
      <c r="B3776" s="2" t="str">
        <f>IFERROR(__xludf.DUMMYFUNCTION("""COMPUTED_VALUE"""),"대파")</f>
        <v>대파</v>
      </c>
    </row>
    <row r="3777">
      <c r="A3777" s="2" t="str">
        <f>IFERROR(__xludf.DUMMYFUNCTION("""COMPUTED_VALUE"""),"사와디캡 누들")</f>
        <v>사와디캡 누들</v>
      </c>
      <c r="B3777" s="2" t="str">
        <f>IFERROR(__xludf.DUMMYFUNCTION("""COMPUTED_VALUE"""),"고추")</f>
        <v>고추</v>
      </c>
    </row>
    <row r="3778">
      <c r="A3778" s="2" t="str">
        <f>IFERROR(__xludf.DUMMYFUNCTION("""COMPUTED_VALUE"""),"사와디캡 누들")</f>
        <v>사와디캡 누들</v>
      </c>
      <c r="B3778" s="2" t="str">
        <f>IFERROR(__xludf.DUMMYFUNCTION("""COMPUTED_VALUE"""),"양파")</f>
        <v>양파</v>
      </c>
    </row>
    <row r="3779">
      <c r="A3779" s="2" t="str">
        <f>IFERROR(__xludf.DUMMYFUNCTION("""COMPUTED_VALUE"""),"사와디캡 누들")</f>
        <v>사와디캡 누들</v>
      </c>
      <c r="B3779" s="2" t="str">
        <f>IFERROR(__xludf.DUMMYFUNCTION("""COMPUTED_VALUE"""),"마늘")</f>
        <v>마늘</v>
      </c>
    </row>
    <row r="3780">
      <c r="A3780" s="2" t="str">
        <f>IFERROR(__xludf.DUMMYFUNCTION("""COMPUTED_VALUE"""),"사와디캡 누들")</f>
        <v>사와디캡 누들</v>
      </c>
      <c r="B3780" s="2" t="str">
        <f>IFERROR(__xludf.DUMMYFUNCTION("""COMPUTED_VALUE"""),"된장")</f>
        <v>된장</v>
      </c>
    </row>
    <row r="3781">
      <c r="A3781" s="2" t="str">
        <f>IFERROR(__xludf.DUMMYFUNCTION("""COMPUTED_VALUE"""),"두부딥두부딥")</f>
        <v>두부딥두부딥</v>
      </c>
      <c r="B3781" s="2" t="str">
        <f>IFERROR(__xludf.DUMMYFUNCTION("""COMPUTED_VALUE"""),"연두부")</f>
        <v>연두부</v>
      </c>
    </row>
    <row r="3782">
      <c r="A3782" s="2" t="str">
        <f>IFERROR(__xludf.DUMMYFUNCTION("""COMPUTED_VALUE"""),"두부딥두부딥")</f>
        <v>두부딥두부딥</v>
      </c>
      <c r="B3782" s="2" t="str">
        <f>IFERROR(__xludf.DUMMYFUNCTION("""COMPUTED_VALUE"""),"삼겹살")</f>
        <v>삼겹살</v>
      </c>
    </row>
    <row r="3783">
      <c r="A3783" s="2" t="str">
        <f>IFERROR(__xludf.DUMMYFUNCTION("""COMPUTED_VALUE"""),"두부딥두부딥")</f>
        <v>두부딥두부딥</v>
      </c>
      <c r="B3783" s="2" t="str">
        <f>IFERROR(__xludf.DUMMYFUNCTION("""COMPUTED_VALUE"""),"가쓰오간장")</f>
        <v>가쓰오간장</v>
      </c>
    </row>
    <row r="3784">
      <c r="A3784" s="2" t="str">
        <f>IFERROR(__xludf.DUMMYFUNCTION("""COMPUTED_VALUE"""),"두부딥두부딥")</f>
        <v>두부딥두부딥</v>
      </c>
      <c r="B3784" s="2" t="str">
        <f>IFERROR(__xludf.DUMMYFUNCTION("""COMPUTED_VALUE"""),"건새우")</f>
        <v>건새우</v>
      </c>
    </row>
    <row r="3785">
      <c r="A3785" s="2" t="str">
        <f>IFERROR(__xludf.DUMMYFUNCTION("""COMPUTED_VALUE"""),"두부딥두부딥")</f>
        <v>두부딥두부딥</v>
      </c>
      <c r="B3785" s="2" t="str">
        <f>IFERROR(__xludf.DUMMYFUNCTION("""COMPUTED_VALUE"""),"대파")</f>
        <v>대파</v>
      </c>
    </row>
    <row r="3786">
      <c r="A3786" s="2" t="str">
        <f>IFERROR(__xludf.DUMMYFUNCTION("""COMPUTED_VALUE"""),"두부딥두부딥")</f>
        <v>두부딥두부딥</v>
      </c>
      <c r="B3786" s="2" t="str">
        <f>IFERROR(__xludf.DUMMYFUNCTION("""COMPUTED_VALUE"""),"마늘")</f>
        <v>마늘</v>
      </c>
    </row>
    <row r="3787">
      <c r="A3787" s="2" t="str">
        <f>IFERROR(__xludf.DUMMYFUNCTION("""COMPUTED_VALUE"""),"두부딥두부딥")</f>
        <v>두부딥두부딥</v>
      </c>
      <c r="B3787" s="2" t="str">
        <f>IFERROR(__xludf.DUMMYFUNCTION("""COMPUTED_VALUE"""),"고추")</f>
        <v>고추</v>
      </c>
    </row>
    <row r="3788">
      <c r="A3788" s="2" t="str">
        <f>IFERROR(__xludf.DUMMYFUNCTION("""COMPUTED_VALUE"""),"두부딥두부딥")</f>
        <v>두부딥두부딥</v>
      </c>
      <c r="B3788" s="2" t="str">
        <f>IFERROR(__xludf.DUMMYFUNCTION("""COMPUTED_VALUE"""),"소금")</f>
        <v>소금</v>
      </c>
    </row>
    <row r="3789">
      <c r="A3789" s="2" t="str">
        <f>IFERROR(__xludf.DUMMYFUNCTION("""COMPUTED_VALUE"""),"두부딥두부딥")</f>
        <v>두부딥두부딥</v>
      </c>
      <c r="B3789" s="2" t="str">
        <f>IFERROR(__xludf.DUMMYFUNCTION("""COMPUTED_VALUE"""),"식초")</f>
        <v>식초</v>
      </c>
    </row>
    <row r="3790">
      <c r="A3790" s="2" t="str">
        <f>IFERROR(__xludf.DUMMYFUNCTION("""COMPUTED_VALUE"""),"두부딥두부딥")</f>
        <v>두부딥두부딥</v>
      </c>
      <c r="B3790" s="2" t="str">
        <f>IFERROR(__xludf.DUMMYFUNCTION("""COMPUTED_VALUE"""),"고춧가루")</f>
        <v>고춧가루</v>
      </c>
    </row>
    <row r="3791">
      <c r="A3791" s="2" t="str">
        <f>IFERROR(__xludf.DUMMYFUNCTION("""COMPUTED_VALUE"""),"두부딥두부딥")</f>
        <v>두부딥두부딥</v>
      </c>
      <c r="B3791" s="2" t="str">
        <f>IFERROR(__xludf.DUMMYFUNCTION("""COMPUTED_VALUE"""),"전분")</f>
        <v>전분</v>
      </c>
    </row>
    <row r="3792">
      <c r="A3792" s="2" t="str">
        <f>IFERROR(__xludf.DUMMYFUNCTION("""COMPUTED_VALUE"""),"효도르")</f>
        <v>효도르</v>
      </c>
      <c r="B3792" s="2" t="str">
        <f>IFERROR(__xludf.DUMMYFUNCTION("""COMPUTED_VALUE"""),"동태")</f>
        <v>동태</v>
      </c>
    </row>
    <row r="3793">
      <c r="A3793" s="2" t="str">
        <f>IFERROR(__xludf.DUMMYFUNCTION("""COMPUTED_VALUE"""),"효도르")</f>
        <v>효도르</v>
      </c>
      <c r="B3793" s="2" t="str">
        <f>IFERROR(__xludf.DUMMYFUNCTION("""COMPUTED_VALUE"""),"대합살")</f>
        <v>대합살</v>
      </c>
    </row>
    <row r="3794">
      <c r="A3794" s="2" t="str">
        <f>IFERROR(__xludf.DUMMYFUNCTION("""COMPUTED_VALUE"""),"효도르")</f>
        <v>효도르</v>
      </c>
      <c r="B3794" s="2" t="str">
        <f>IFERROR(__xludf.DUMMYFUNCTION("""COMPUTED_VALUE"""),"두부")</f>
        <v>두부</v>
      </c>
    </row>
    <row r="3795">
      <c r="A3795" s="2" t="str">
        <f>IFERROR(__xludf.DUMMYFUNCTION("""COMPUTED_VALUE"""),"효도르")</f>
        <v>효도르</v>
      </c>
      <c r="B3795" s="2" t="str">
        <f>IFERROR(__xludf.DUMMYFUNCTION("""COMPUTED_VALUE"""),"애호박")</f>
        <v>애호박</v>
      </c>
    </row>
    <row r="3796">
      <c r="A3796" s="2" t="str">
        <f>IFERROR(__xludf.DUMMYFUNCTION("""COMPUTED_VALUE"""),"효도르")</f>
        <v>효도르</v>
      </c>
      <c r="B3796" s="2" t="str">
        <f>IFERROR(__xludf.DUMMYFUNCTION("""COMPUTED_VALUE"""),"무")</f>
        <v>무</v>
      </c>
    </row>
    <row r="3797">
      <c r="A3797" s="2" t="str">
        <f>IFERROR(__xludf.DUMMYFUNCTION("""COMPUTED_VALUE"""),"효도르")</f>
        <v>효도르</v>
      </c>
      <c r="B3797" s="2" t="str">
        <f>IFERROR(__xludf.DUMMYFUNCTION("""COMPUTED_VALUE"""),"표고버섯")</f>
        <v>표고버섯</v>
      </c>
    </row>
    <row r="3798">
      <c r="A3798" s="2" t="str">
        <f>IFERROR(__xludf.DUMMYFUNCTION("""COMPUTED_VALUE"""),"효도르")</f>
        <v>효도르</v>
      </c>
      <c r="B3798" s="2" t="str">
        <f>IFERROR(__xludf.DUMMYFUNCTION("""COMPUTED_VALUE"""),"홍고추")</f>
        <v>홍고추</v>
      </c>
    </row>
    <row r="3799">
      <c r="A3799" s="2" t="str">
        <f>IFERROR(__xludf.DUMMYFUNCTION("""COMPUTED_VALUE"""),"효도르")</f>
        <v>효도르</v>
      </c>
      <c r="B3799" s="2" t="str">
        <f>IFERROR(__xludf.DUMMYFUNCTION("""COMPUTED_VALUE"""),"달걀")</f>
        <v>달걀</v>
      </c>
    </row>
    <row r="3800">
      <c r="A3800" s="2" t="str">
        <f>IFERROR(__xludf.DUMMYFUNCTION("""COMPUTED_VALUE"""),"효도르")</f>
        <v>효도르</v>
      </c>
      <c r="B3800" s="2" t="str">
        <f>IFERROR(__xludf.DUMMYFUNCTION("""COMPUTED_VALUE"""),"오코노미야키소스")</f>
        <v>오코노미야키소스</v>
      </c>
    </row>
    <row r="3801">
      <c r="A3801" s="2" t="str">
        <f>IFERROR(__xludf.DUMMYFUNCTION("""COMPUTED_VALUE"""),"효도르")</f>
        <v>효도르</v>
      </c>
      <c r="B3801" s="2" t="str">
        <f>IFERROR(__xludf.DUMMYFUNCTION("""COMPUTED_VALUE"""),"삼발소스")</f>
        <v>삼발소스</v>
      </c>
    </row>
    <row r="3802">
      <c r="A3802" s="2" t="str">
        <f>IFERROR(__xludf.DUMMYFUNCTION("""COMPUTED_VALUE"""),"효도르")</f>
        <v>효도르</v>
      </c>
      <c r="B3802" s="2" t="str">
        <f>IFERROR(__xludf.DUMMYFUNCTION("""COMPUTED_VALUE"""),"당근")</f>
        <v>당근</v>
      </c>
    </row>
    <row r="3803">
      <c r="A3803" s="2" t="str">
        <f>IFERROR(__xludf.DUMMYFUNCTION("""COMPUTED_VALUE"""),"효도르")</f>
        <v>효도르</v>
      </c>
      <c r="B3803" s="2" t="str">
        <f>IFERROR(__xludf.DUMMYFUNCTION("""COMPUTED_VALUE"""),"소금")</f>
        <v>소금</v>
      </c>
    </row>
    <row r="3804">
      <c r="A3804" s="2" t="str">
        <f>IFERROR(__xludf.DUMMYFUNCTION("""COMPUTED_VALUE"""),"효도르")</f>
        <v>효도르</v>
      </c>
      <c r="B3804" s="2" t="str">
        <f>IFERROR(__xludf.DUMMYFUNCTION("""COMPUTED_VALUE"""),"다진 생강")</f>
        <v>다진 생강</v>
      </c>
    </row>
    <row r="3805">
      <c r="A3805" s="2" t="str">
        <f>IFERROR(__xludf.DUMMYFUNCTION("""COMPUTED_VALUE"""),"효도르")</f>
        <v>효도르</v>
      </c>
      <c r="B3805" s="2" t="str">
        <f>IFERROR(__xludf.DUMMYFUNCTION("""COMPUTED_VALUE"""),"식초")</f>
        <v>식초</v>
      </c>
    </row>
    <row r="3806">
      <c r="A3806" s="2" t="str">
        <f>IFERROR(__xludf.DUMMYFUNCTION("""COMPUTED_VALUE"""),"효도르")</f>
        <v>효도르</v>
      </c>
      <c r="B3806" s="2" t="str">
        <f>IFERROR(__xludf.DUMMYFUNCTION("""COMPUTED_VALUE"""),"청양고추")</f>
        <v>청양고추</v>
      </c>
    </row>
    <row r="3807">
      <c r="A3807" s="2" t="str">
        <f>IFERROR(__xludf.DUMMYFUNCTION("""COMPUTED_VALUE"""),"아브라카부라무시")</f>
        <v>아브라카부라무시</v>
      </c>
      <c r="B3807" s="2" t="str">
        <f>IFERROR(__xludf.DUMMYFUNCTION("""COMPUTED_VALUE"""),"대구살")</f>
        <v>대구살</v>
      </c>
    </row>
    <row r="3808">
      <c r="A3808" s="2" t="str">
        <f>IFERROR(__xludf.DUMMYFUNCTION("""COMPUTED_VALUE"""),"아브라카부라무시")</f>
        <v>아브라카부라무시</v>
      </c>
      <c r="B3808" s="2" t="str">
        <f>IFERROR(__xludf.DUMMYFUNCTION("""COMPUTED_VALUE"""),"무")</f>
        <v>무</v>
      </c>
    </row>
    <row r="3809">
      <c r="A3809" s="2" t="str">
        <f>IFERROR(__xludf.DUMMYFUNCTION("""COMPUTED_VALUE"""),"아브라카부라무시")</f>
        <v>아브라카부라무시</v>
      </c>
      <c r="B3809" s="2" t="str">
        <f>IFERROR(__xludf.DUMMYFUNCTION("""COMPUTED_VALUE"""),"목이버섯")</f>
        <v>목이버섯</v>
      </c>
    </row>
    <row r="3810">
      <c r="A3810" s="2" t="str">
        <f>IFERROR(__xludf.DUMMYFUNCTION("""COMPUTED_VALUE"""),"아브라카부라무시")</f>
        <v>아브라카부라무시</v>
      </c>
      <c r="B3810" s="2" t="str">
        <f>IFERROR(__xludf.DUMMYFUNCTION("""COMPUTED_VALUE"""),"달걀")</f>
        <v>달걀</v>
      </c>
    </row>
    <row r="3811">
      <c r="A3811" s="2" t="str">
        <f>IFERROR(__xludf.DUMMYFUNCTION("""COMPUTED_VALUE"""),"아브라카부라무시")</f>
        <v>아브라카부라무시</v>
      </c>
      <c r="B3811" s="2" t="str">
        <f>IFERROR(__xludf.DUMMYFUNCTION("""COMPUTED_VALUE"""),"표고버섯")</f>
        <v>표고버섯</v>
      </c>
    </row>
    <row r="3812">
      <c r="A3812" s="2" t="str">
        <f>IFERROR(__xludf.DUMMYFUNCTION("""COMPUTED_VALUE"""),"아브라카부라무시")</f>
        <v>아브라카부라무시</v>
      </c>
      <c r="B3812" s="2" t="str">
        <f>IFERROR(__xludf.DUMMYFUNCTION("""COMPUTED_VALUE"""),"피망")</f>
        <v>피망</v>
      </c>
    </row>
    <row r="3813">
      <c r="A3813" s="2" t="str">
        <f>IFERROR(__xludf.DUMMYFUNCTION("""COMPUTED_VALUE"""),"아브라카부라무시")</f>
        <v>아브라카부라무시</v>
      </c>
      <c r="B3813" s="2" t="str">
        <f>IFERROR(__xludf.DUMMYFUNCTION("""COMPUTED_VALUE"""),"북어포")</f>
        <v>북어포</v>
      </c>
    </row>
    <row r="3814">
      <c r="A3814" s="2" t="str">
        <f>IFERROR(__xludf.DUMMYFUNCTION("""COMPUTED_VALUE"""),"아브라카부라무시")</f>
        <v>아브라카부라무시</v>
      </c>
      <c r="B3814" s="2" t="str">
        <f>IFERROR(__xludf.DUMMYFUNCTION("""COMPUTED_VALUE"""),"청주")</f>
        <v>청주</v>
      </c>
    </row>
    <row r="3815">
      <c r="A3815" s="2" t="str">
        <f>IFERROR(__xludf.DUMMYFUNCTION("""COMPUTED_VALUE"""),"아브라카부라무시")</f>
        <v>아브라카부라무시</v>
      </c>
      <c r="B3815" s="2" t="str">
        <f>IFERROR(__xludf.DUMMYFUNCTION("""COMPUTED_VALUE"""),"소금")</f>
        <v>소금</v>
      </c>
    </row>
    <row r="3816">
      <c r="A3816" s="2" t="str">
        <f>IFERROR(__xludf.DUMMYFUNCTION("""COMPUTED_VALUE"""),"아브라카부라무시")</f>
        <v>아브라카부라무시</v>
      </c>
      <c r="B3816" s="2" t="str">
        <f>IFERROR(__xludf.DUMMYFUNCTION("""COMPUTED_VALUE"""),"대파")</f>
        <v>대파</v>
      </c>
    </row>
    <row r="3817">
      <c r="A3817" s="2" t="str">
        <f>IFERROR(__xludf.DUMMYFUNCTION("""COMPUTED_VALUE"""),"아브라카부라무시")</f>
        <v>아브라카부라무시</v>
      </c>
      <c r="B3817" s="2" t="str">
        <f>IFERROR(__xludf.DUMMYFUNCTION("""COMPUTED_VALUE"""),"소금")</f>
        <v>소금</v>
      </c>
    </row>
    <row r="3818">
      <c r="A3818" s="2" t="str">
        <f>IFERROR(__xludf.DUMMYFUNCTION("""COMPUTED_VALUE"""),"아브라카부라무시")</f>
        <v>아브라카부라무시</v>
      </c>
      <c r="B3818" s="2" t="str">
        <f>IFERROR(__xludf.DUMMYFUNCTION("""COMPUTED_VALUE"""),"맛술")</f>
        <v>맛술</v>
      </c>
    </row>
    <row r="3819">
      <c r="A3819" s="2" t="str">
        <f>IFERROR(__xludf.DUMMYFUNCTION("""COMPUTED_VALUE"""),"아브라카부라무시")</f>
        <v>아브라카부라무시</v>
      </c>
      <c r="B3819" s="2" t="str">
        <f>IFERROR(__xludf.DUMMYFUNCTION("""COMPUTED_VALUE"""),"간장")</f>
        <v>간장</v>
      </c>
    </row>
    <row r="3820">
      <c r="A3820" s="2" t="str">
        <f>IFERROR(__xludf.DUMMYFUNCTION("""COMPUTED_VALUE"""),"아브라카부라무시")</f>
        <v>아브라카부라무시</v>
      </c>
      <c r="B3820" s="2" t="str">
        <f>IFERROR(__xludf.DUMMYFUNCTION("""COMPUTED_VALUE"""),"전분")</f>
        <v>전분</v>
      </c>
    </row>
    <row r="3821">
      <c r="A3821" s="2" t="str">
        <f>IFERROR(__xludf.DUMMYFUNCTION("""COMPUTED_VALUE"""),"아브라카부라무시")</f>
        <v>아브라카부라무시</v>
      </c>
      <c r="B3821" s="2" t="str">
        <f>IFERROR(__xludf.DUMMYFUNCTION("""COMPUTED_VALUE"""),"레몬")</f>
        <v>레몬</v>
      </c>
    </row>
    <row r="3822">
      <c r="A3822" s="2" t="str">
        <f>IFERROR(__xludf.DUMMYFUNCTION("""COMPUTED_VALUE"""),"이 만두는 모닝?")</f>
        <v>이 만두는 모닝?</v>
      </c>
      <c r="B3822" s="2" t="str">
        <f>IFERROR(__xludf.DUMMYFUNCTION("""COMPUTED_VALUE"""),"농어")</f>
        <v>농어</v>
      </c>
    </row>
    <row r="3823">
      <c r="A3823" s="2" t="str">
        <f>IFERROR(__xludf.DUMMYFUNCTION("""COMPUTED_VALUE"""),"이 만두는 모닝?")</f>
        <v>이 만두는 모닝?</v>
      </c>
      <c r="B3823" s="2" t="str">
        <f>IFERROR(__xludf.DUMMYFUNCTION("""COMPUTED_VALUE"""),"샐러리")</f>
        <v>샐러리</v>
      </c>
    </row>
    <row r="3824">
      <c r="A3824" s="2" t="str">
        <f>IFERROR(__xludf.DUMMYFUNCTION("""COMPUTED_VALUE"""),"이 만두는 모닝?")</f>
        <v>이 만두는 모닝?</v>
      </c>
      <c r="B3824" s="2" t="str">
        <f>IFERROR(__xludf.DUMMYFUNCTION("""COMPUTED_VALUE"""),"표고버섯")</f>
        <v>표고버섯</v>
      </c>
    </row>
    <row r="3825">
      <c r="A3825" s="2" t="str">
        <f>IFERROR(__xludf.DUMMYFUNCTION("""COMPUTED_VALUE"""),"이 만두는 모닝?")</f>
        <v>이 만두는 모닝?</v>
      </c>
      <c r="B3825" s="2" t="str">
        <f>IFERROR(__xludf.DUMMYFUNCTION("""COMPUTED_VALUE"""),"크림치즈")</f>
        <v>크림치즈</v>
      </c>
    </row>
    <row r="3826">
      <c r="A3826" s="2" t="str">
        <f>IFERROR(__xludf.DUMMYFUNCTION("""COMPUTED_VALUE"""),"이 만두는 모닝?")</f>
        <v>이 만두는 모닝?</v>
      </c>
      <c r="B3826" s="2" t="str">
        <f>IFERROR(__xludf.DUMMYFUNCTION("""COMPUTED_VALUE"""),"달걀")</f>
        <v>달걀</v>
      </c>
    </row>
    <row r="3827">
      <c r="A3827" s="2" t="str">
        <f>IFERROR(__xludf.DUMMYFUNCTION("""COMPUTED_VALUE"""),"이 만두는 모닝?")</f>
        <v>이 만두는 모닝?</v>
      </c>
      <c r="B3827" s="2" t="str">
        <f>IFERROR(__xludf.DUMMYFUNCTION("""COMPUTED_VALUE"""),"파프리카")</f>
        <v>파프리카</v>
      </c>
    </row>
    <row r="3828">
      <c r="A3828" s="2" t="str">
        <f>IFERROR(__xludf.DUMMYFUNCTION("""COMPUTED_VALUE"""),"이 만두는 모닝?")</f>
        <v>이 만두는 모닝?</v>
      </c>
      <c r="B3828" s="2" t="str">
        <f>IFERROR(__xludf.DUMMYFUNCTION("""COMPUTED_VALUE"""),"양파")</f>
        <v>양파</v>
      </c>
    </row>
    <row r="3829">
      <c r="A3829" s="2" t="str">
        <f>IFERROR(__xludf.DUMMYFUNCTION("""COMPUTED_VALUE"""),"이 만두는 모닝?")</f>
        <v>이 만두는 모닝?</v>
      </c>
      <c r="B3829" s="2" t="str">
        <f>IFERROR(__xludf.DUMMYFUNCTION("""COMPUTED_VALUE"""),"당근")</f>
        <v>당근</v>
      </c>
    </row>
    <row r="3830">
      <c r="A3830" s="2" t="str">
        <f>IFERROR(__xludf.DUMMYFUNCTION("""COMPUTED_VALUE"""),"이 만두는 모닝?")</f>
        <v>이 만두는 모닝?</v>
      </c>
      <c r="B3830" s="2" t="str">
        <f>IFERROR(__xludf.DUMMYFUNCTION("""COMPUTED_VALUE"""),"대파")</f>
        <v>대파</v>
      </c>
    </row>
    <row r="3831">
      <c r="A3831" s="2" t="str">
        <f>IFERROR(__xludf.DUMMYFUNCTION("""COMPUTED_VALUE"""),"이 만두는 모닝?")</f>
        <v>이 만두는 모닝?</v>
      </c>
      <c r="B3831" s="2" t="str">
        <f>IFERROR(__xludf.DUMMYFUNCTION("""COMPUTED_VALUE"""),"마늘")</f>
        <v>마늘</v>
      </c>
    </row>
    <row r="3832">
      <c r="A3832" s="2" t="str">
        <f>IFERROR(__xludf.DUMMYFUNCTION("""COMPUTED_VALUE"""),"이 만두는 모닝?")</f>
        <v>이 만두는 모닝?</v>
      </c>
      <c r="B3832" s="2" t="str">
        <f>IFERROR(__xludf.DUMMYFUNCTION("""COMPUTED_VALUE"""),"화이트와인")</f>
        <v>화이트와인</v>
      </c>
    </row>
    <row r="3833">
      <c r="A3833" s="2" t="str">
        <f>IFERROR(__xludf.DUMMYFUNCTION("""COMPUTED_VALUE"""),"이 만두는 모닝?")</f>
        <v>이 만두는 모닝?</v>
      </c>
      <c r="B3833" s="2" t="str">
        <f>IFERROR(__xludf.DUMMYFUNCTION("""COMPUTED_VALUE"""),"밀가루")</f>
        <v>밀가루</v>
      </c>
    </row>
    <row r="3834">
      <c r="A3834" s="2" t="str">
        <f>IFERROR(__xludf.DUMMYFUNCTION("""COMPUTED_VALUE"""),"이 만두는 모닝?")</f>
        <v>이 만두는 모닝?</v>
      </c>
      <c r="B3834" s="2" t="str">
        <f>IFERROR(__xludf.DUMMYFUNCTION("""COMPUTED_VALUE"""),"소금")</f>
        <v>소금</v>
      </c>
    </row>
    <row r="3835">
      <c r="A3835" s="2" t="str">
        <f>IFERROR(__xludf.DUMMYFUNCTION("""COMPUTED_VALUE"""),"사랑하지롤♡")</f>
        <v>사랑하지롤♡</v>
      </c>
      <c r="B3835" s="2" t="str">
        <f>IFERROR(__xludf.DUMMYFUNCTION("""COMPUTED_VALUE"""),"훈제연어")</f>
        <v>훈제연어</v>
      </c>
    </row>
    <row r="3836">
      <c r="A3836" s="2" t="str">
        <f>IFERROR(__xludf.DUMMYFUNCTION("""COMPUTED_VALUE"""),"사랑하지롤♡")</f>
        <v>사랑하지롤♡</v>
      </c>
      <c r="B3836" s="2" t="str">
        <f>IFERROR(__xludf.DUMMYFUNCTION("""COMPUTED_VALUE"""),"애호박")</f>
        <v>애호박</v>
      </c>
    </row>
    <row r="3837">
      <c r="A3837" s="2" t="str">
        <f>IFERROR(__xludf.DUMMYFUNCTION("""COMPUTED_VALUE"""),"사랑하지롤♡")</f>
        <v>사랑하지롤♡</v>
      </c>
      <c r="B3837" s="2" t="str">
        <f>IFERROR(__xludf.DUMMYFUNCTION("""COMPUTED_VALUE"""),"브로콜리")</f>
        <v>브로콜리</v>
      </c>
    </row>
    <row r="3838">
      <c r="A3838" s="2" t="str">
        <f>IFERROR(__xludf.DUMMYFUNCTION("""COMPUTED_VALUE"""),"사랑하지롤♡")</f>
        <v>사랑하지롤♡</v>
      </c>
      <c r="B3838" s="2" t="str">
        <f>IFERROR(__xludf.DUMMYFUNCTION("""COMPUTED_VALUE"""),"크림치즈")</f>
        <v>크림치즈</v>
      </c>
    </row>
    <row r="3839">
      <c r="A3839" s="2" t="str">
        <f>IFERROR(__xludf.DUMMYFUNCTION("""COMPUTED_VALUE"""),"사랑하지롤♡")</f>
        <v>사랑하지롤♡</v>
      </c>
      <c r="B3839" s="2" t="str">
        <f>IFERROR(__xludf.DUMMYFUNCTION("""COMPUTED_VALUE"""),"달걀")</f>
        <v>달걀</v>
      </c>
    </row>
    <row r="3840">
      <c r="A3840" s="2" t="str">
        <f>IFERROR(__xludf.DUMMYFUNCTION("""COMPUTED_VALUE"""),"사랑하지롤♡")</f>
        <v>사랑하지롤♡</v>
      </c>
      <c r="B3840" s="2" t="str">
        <f>IFERROR(__xludf.DUMMYFUNCTION("""COMPUTED_VALUE"""),"케이퍼")</f>
        <v>케이퍼</v>
      </c>
    </row>
    <row r="3841">
      <c r="A3841" s="2" t="str">
        <f>IFERROR(__xludf.DUMMYFUNCTION("""COMPUTED_VALUE"""),"사랑하지롤♡")</f>
        <v>사랑하지롤♡</v>
      </c>
      <c r="B3841" s="2" t="str">
        <f>IFERROR(__xludf.DUMMYFUNCTION("""COMPUTED_VALUE"""),"머스터드")</f>
        <v>머스터드</v>
      </c>
    </row>
    <row r="3842">
      <c r="A3842" s="2" t="str">
        <f>IFERROR(__xludf.DUMMYFUNCTION("""COMPUTED_VALUE"""),"사랑하지롤♡")</f>
        <v>사랑하지롤♡</v>
      </c>
      <c r="B3842" s="2" t="str">
        <f>IFERROR(__xludf.DUMMYFUNCTION("""COMPUTED_VALUE"""),"소금")</f>
        <v>소금</v>
      </c>
    </row>
    <row r="3843">
      <c r="A3843" s="2" t="str">
        <f>IFERROR(__xludf.DUMMYFUNCTION("""COMPUTED_VALUE"""),"사랑하지롤♡")</f>
        <v>사랑하지롤♡</v>
      </c>
      <c r="B3843" s="2" t="str">
        <f>IFERROR(__xludf.DUMMYFUNCTION("""COMPUTED_VALUE"""),"후추")</f>
        <v>후추</v>
      </c>
    </row>
    <row r="3844">
      <c r="A3844" s="2" t="str">
        <f>IFERROR(__xludf.DUMMYFUNCTION("""COMPUTED_VALUE"""),"사랑하지롤♡")</f>
        <v>사랑하지롤♡</v>
      </c>
      <c r="B3844" s="2" t="str">
        <f>IFERROR(__xludf.DUMMYFUNCTION("""COMPUTED_VALUE"""),"식초")</f>
        <v>식초</v>
      </c>
    </row>
    <row r="3845">
      <c r="A3845" s="2" t="str">
        <f>IFERROR(__xludf.DUMMYFUNCTION("""COMPUTED_VALUE"""),"사랑하지롤♡")</f>
        <v>사랑하지롤♡</v>
      </c>
      <c r="B3845" s="2" t="str">
        <f>IFERROR(__xludf.DUMMYFUNCTION("""COMPUTED_VALUE"""),"올리브오일")</f>
        <v>올리브오일</v>
      </c>
    </row>
    <row r="3846">
      <c r="A3846" s="2" t="str">
        <f>IFERROR(__xludf.DUMMYFUNCTION("""COMPUTED_VALUE"""),"사랑하지롤♡")</f>
        <v>사랑하지롤♡</v>
      </c>
      <c r="B3846" s="2" t="str">
        <f>IFERROR(__xludf.DUMMYFUNCTION("""COMPUTED_VALUE"""),"밀가루")</f>
        <v>밀가루</v>
      </c>
    </row>
    <row r="3847">
      <c r="A3847" s="2" t="str">
        <f>IFERROR(__xludf.DUMMYFUNCTION("""COMPUTED_VALUE"""),"샐러드 바이블")</f>
        <v>샐러드 바이블</v>
      </c>
      <c r="B3847" s="2" t="str">
        <f>IFERROR(__xludf.DUMMYFUNCTION("""COMPUTED_VALUE"""),"아랍염소치즈")</f>
        <v>아랍염소치즈</v>
      </c>
    </row>
    <row r="3848">
      <c r="A3848" s="2" t="str">
        <f>IFERROR(__xludf.DUMMYFUNCTION("""COMPUTED_VALUE"""),"샐러드 바이블")</f>
        <v>샐러드 바이블</v>
      </c>
      <c r="B3848" s="2" t="str">
        <f>IFERROR(__xludf.DUMMYFUNCTION("""COMPUTED_VALUE"""),"생모차렐라치즈")</f>
        <v>생모차렐라치즈</v>
      </c>
    </row>
    <row r="3849">
      <c r="A3849" s="2" t="str">
        <f>IFERROR(__xludf.DUMMYFUNCTION("""COMPUTED_VALUE"""),"샐러드 바이블")</f>
        <v>샐러드 바이블</v>
      </c>
      <c r="B3849" s="2" t="str">
        <f>IFERROR(__xludf.DUMMYFUNCTION("""COMPUTED_VALUE"""),"딸기")</f>
        <v>딸기</v>
      </c>
    </row>
    <row r="3850">
      <c r="A3850" s="2" t="str">
        <f>IFERROR(__xludf.DUMMYFUNCTION("""COMPUTED_VALUE"""),"샐러드 바이블")</f>
        <v>샐러드 바이블</v>
      </c>
      <c r="B3850" s="2" t="str">
        <f>IFERROR(__xludf.DUMMYFUNCTION("""COMPUTED_VALUE"""),"청포도")</f>
        <v>청포도</v>
      </c>
    </row>
    <row r="3851">
      <c r="A3851" s="2" t="str">
        <f>IFERROR(__xludf.DUMMYFUNCTION("""COMPUTED_VALUE"""),"샐러드 바이블")</f>
        <v>샐러드 바이블</v>
      </c>
      <c r="B3851" s="2" t="str">
        <f>IFERROR(__xludf.DUMMYFUNCTION("""COMPUTED_VALUE"""),"방울토마토")</f>
        <v>방울토마토</v>
      </c>
    </row>
    <row r="3852">
      <c r="A3852" s="2" t="str">
        <f>IFERROR(__xludf.DUMMYFUNCTION("""COMPUTED_VALUE"""),"샐러드 바이블")</f>
        <v>샐러드 바이블</v>
      </c>
      <c r="B3852" s="2" t="str">
        <f>IFERROR(__xludf.DUMMYFUNCTION("""COMPUTED_VALUE"""),"레몬")</f>
        <v>레몬</v>
      </c>
    </row>
    <row r="3853">
      <c r="A3853" s="2" t="str">
        <f>IFERROR(__xludf.DUMMYFUNCTION("""COMPUTED_VALUE"""),"샐러드 바이블")</f>
        <v>샐러드 바이블</v>
      </c>
      <c r="B3853" s="2" t="str">
        <f>IFERROR(__xludf.DUMMYFUNCTION("""COMPUTED_VALUE"""),"이탈리안 파슬리")</f>
        <v>이탈리안 파슬리</v>
      </c>
    </row>
    <row r="3854">
      <c r="A3854" s="2" t="str">
        <f>IFERROR(__xludf.DUMMYFUNCTION("""COMPUTED_VALUE"""),"샐러드 바이블")</f>
        <v>샐러드 바이블</v>
      </c>
      <c r="B3854" s="2" t="str">
        <f>IFERROR(__xludf.DUMMYFUNCTION("""COMPUTED_VALUE"""),"루콜라")</f>
        <v>루콜라</v>
      </c>
    </row>
    <row r="3855">
      <c r="A3855" s="2" t="str">
        <f>IFERROR(__xludf.DUMMYFUNCTION("""COMPUTED_VALUE"""),"샐러드 바이블")</f>
        <v>샐러드 바이블</v>
      </c>
      <c r="B3855" s="2" t="str">
        <f>IFERROR(__xludf.DUMMYFUNCTION("""COMPUTED_VALUE"""),"바질")</f>
        <v>바질</v>
      </c>
    </row>
    <row r="3856">
      <c r="A3856" s="2" t="str">
        <f>IFERROR(__xludf.DUMMYFUNCTION("""COMPUTED_VALUE"""),"샐러드 바이블")</f>
        <v>샐러드 바이블</v>
      </c>
      <c r="B3856" s="2" t="str">
        <f>IFERROR(__xludf.DUMMYFUNCTION("""COMPUTED_VALUE"""),"휘핑크림")</f>
        <v>휘핑크림</v>
      </c>
    </row>
    <row r="3857">
      <c r="A3857" s="2" t="str">
        <f>IFERROR(__xludf.DUMMYFUNCTION("""COMPUTED_VALUE"""),"샐러드 바이블")</f>
        <v>샐러드 바이블</v>
      </c>
      <c r="B3857" s="2" t="str">
        <f>IFERROR(__xludf.DUMMYFUNCTION("""COMPUTED_VALUE"""),"마누카 꿀")</f>
        <v>마누카 꿀</v>
      </c>
    </row>
    <row r="3858">
      <c r="A3858" s="2" t="str">
        <f>IFERROR(__xludf.DUMMYFUNCTION("""COMPUTED_VALUE"""),"샐러드 바이블")</f>
        <v>샐러드 바이블</v>
      </c>
      <c r="B3858" s="2" t="str">
        <f>IFERROR(__xludf.DUMMYFUNCTION("""COMPUTED_VALUE"""),"트러플 페스토")</f>
        <v>트러플 페스토</v>
      </c>
    </row>
    <row r="3859">
      <c r="A3859" s="2" t="str">
        <f>IFERROR(__xludf.DUMMYFUNCTION("""COMPUTED_VALUE"""),"샐러드 바이블")</f>
        <v>샐러드 바이블</v>
      </c>
      <c r="B3859" s="2" t="str">
        <f>IFERROR(__xludf.DUMMYFUNCTION("""COMPUTED_VALUE"""),"발사믹크림")</f>
        <v>발사믹크림</v>
      </c>
    </row>
    <row r="3860">
      <c r="A3860" s="2" t="str">
        <f>IFERROR(__xludf.DUMMYFUNCTION("""COMPUTED_VALUE"""),"샐러드 바이블")</f>
        <v>샐러드 바이블</v>
      </c>
      <c r="B3860" s="2" t="str">
        <f>IFERROR(__xludf.DUMMYFUNCTION("""COMPUTED_VALUE"""),"올리브오일")</f>
        <v>올리브오일</v>
      </c>
    </row>
    <row r="3861">
      <c r="A3861" s="2" t="str">
        <f>IFERROR(__xludf.DUMMYFUNCTION("""COMPUTED_VALUE"""),"샐러드 바이블")</f>
        <v>샐러드 바이블</v>
      </c>
      <c r="B3861" s="2" t="str">
        <f>IFERROR(__xludf.DUMMYFUNCTION("""COMPUTED_VALUE"""),"홍차잼")</f>
        <v>홍차잼</v>
      </c>
    </row>
    <row r="3862">
      <c r="A3862" s="2" t="str">
        <f>IFERROR(__xludf.DUMMYFUNCTION("""COMPUTED_VALUE"""),"샐러드 바이블")</f>
        <v>샐러드 바이블</v>
      </c>
      <c r="B3862" s="2" t="str">
        <f>IFERROR(__xludf.DUMMYFUNCTION("""COMPUTED_VALUE"""),"전분")</f>
        <v>전분</v>
      </c>
    </row>
    <row r="3863">
      <c r="A3863" s="2" t="str">
        <f>IFERROR(__xludf.DUMMYFUNCTION("""COMPUTED_VALUE"""),"샐러드 바이블")</f>
        <v>샐러드 바이블</v>
      </c>
      <c r="B3863" s="2" t="str">
        <f>IFERROR(__xludf.DUMMYFUNCTION("""COMPUTED_VALUE"""),"퓨어 올리브오일")</f>
        <v>퓨어 올리브오일</v>
      </c>
    </row>
    <row r="3864">
      <c r="A3864" s="2" t="str">
        <f>IFERROR(__xludf.DUMMYFUNCTION("""COMPUTED_VALUE"""),"샐러드 바이블")</f>
        <v>샐러드 바이블</v>
      </c>
      <c r="B3864" s="2" t="str">
        <f>IFERROR(__xludf.DUMMYFUNCTION("""COMPUTED_VALUE"""),"양파")</f>
        <v>양파</v>
      </c>
    </row>
    <row r="3865">
      <c r="A3865" s="2" t="str">
        <f>IFERROR(__xludf.DUMMYFUNCTION("""COMPUTED_VALUE"""),"샐러드 바이블")</f>
        <v>샐러드 바이블</v>
      </c>
      <c r="B3865" s="2" t="str">
        <f>IFERROR(__xludf.DUMMYFUNCTION("""COMPUTED_VALUE"""),"마늘")</f>
        <v>마늘</v>
      </c>
    </row>
    <row r="3866">
      <c r="A3866" s="2" t="str">
        <f>IFERROR(__xludf.DUMMYFUNCTION("""COMPUTED_VALUE"""),"샐러드 바이블")</f>
        <v>샐러드 바이블</v>
      </c>
      <c r="B3866" s="2" t="str">
        <f>IFERROR(__xludf.DUMMYFUNCTION("""COMPUTED_VALUE"""),"소금")</f>
        <v>소금</v>
      </c>
    </row>
    <row r="3867">
      <c r="A3867" s="2" t="str">
        <f>IFERROR(__xludf.DUMMYFUNCTION("""COMPUTED_VALUE"""),"풍미풍미풍미 업")</f>
        <v>풍미풍미풍미 업</v>
      </c>
      <c r="B3867" s="2" t="str">
        <f>IFERROR(__xludf.DUMMYFUNCTION("""COMPUTED_VALUE"""),"글루텐프리 파스타면")</f>
        <v>글루텐프리 파스타면</v>
      </c>
    </row>
    <row r="3868">
      <c r="A3868" s="2" t="str">
        <f>IFERROR(__xludf.DUMMYFUNCTION("""COMPUTED_VALUE"""),"풍미풍미풍미 업")</f>
        <v>풍미풍미풍미 업</v>
      </c>
      <c r="B3868" s="2" t="str">
        <f>IFERROR(__xludf.DUMMYFUNCTION("""COMPUTED_VALUE"""),"인스턴트 카레가루")</f>
        <v>인스턴트 카레가루</v>
      </c>
    </row>
    <row r="3869">
      <c r="A3869" s="2" t="str">
        <f>IFERROR(__xludf.DUMMYFUNCTION("""COMPUTED_VALUE"""),"풍미풍미풍미 업")</f>
        <v>풍미풍미풍미 업</v>
      </c>
      <c r="B3869" s="2" t="str">
        <f>IFERROR(__xludf.DUMMYFUNCTION("""COMPUTED_VALUE"""),"삼겹살")</f>
        <v>삼겹살</v>
      </c>
    </row>
    <row r="3870">
      <c r="A3870" s="2" t="str">
        <f>IFERROR(__xludf.DUMMYFUNCTION("""COMPUTED_VALUE"""),"풍미풍미풍미 업")</f>
        <v>풍미풍미풍미 업</v>
      </c>
      <c r="B3870" s="2" t="str">
        <f>IFERROR(__xludf.DUMMYFUNCTION("""COMPUTED_VALUE"""),"등심 햄")</f>
        <v>등심 햄</v>
      </c>
    </row>
    <row r="3871">
      <c r="A3871" s="2" t="str">
        <f>IFERROR(__xludf.DUMMYFUNCTION("""COMPUTED_VALUE"""),"풍미풍미풍미 업")</f>
        <v>풍미풍미풍미 업</v>
      </c>
      <c r="B3871" s="2" t="str">
        <f>IFERROR(__xludf.DUMMYFUNCTION("""COMPUTED_VALUE"""),"스위트콘 통조림")</f>
        <v>스위트콘 통조림</v>
      </c>
    </row>
    <row r="3872">
      <c r="A3872" s="2" t="str">
        <f>IFERROR(__xludf.DUMMYFUNCTION("""COMPUTED_VALUE"""),"풍미풍미풍미 업")</f>
        <v>풍미풍미풍미 업</v>
      </c>
      <c r="B3872" s="2" t="str">
        <f>IFERROR(__xludf.DUMMYFUNCTION("""COMPUTED_VALUE"""),"휘핑크림")</f>
        <v>휘핑크림</v>
      </c>
    </row>
    <row r="3873">
      <c r="A3873" s="2" t="str">
        <f>IFERROR(__xludf.DUMMYFUNCTION("""COMPUTED_VALUE"""),"풍미풍미풍미 업")</f>
        <v>풍미풍미풍미 업</v>
      </c>
      <c r="B3873" s="2" t="str">
        <f>IFERROR(__xludf.DUMMYFUNCTION("""COMPUTED_VALUE"""),"바질")</f>
        <v>바질</v>
      </c>
    </row>
    <row r="3874">
      <c r="A3874" s="2" t="str">
        <f>IFERROR(__xludf.DUMMYFUNCTION("""COMPUTED_VALUE"""),"풍미풍미풍미 업")</f>
        <v>풍미풍미풍미 업</v>
      </c>
      <c r="B3874" s="2" t="str">
        <f>IFERROR(__xludf.DUMMYFUNCTION("""COMPUTED_VALUE"""),"통후추")</f>
        <v>통후추</v>
      </c>
    </row>
    <row r="3875">
      <c r="A3875" s="2" t="str">
        <f>IFERROR(__xludf.DUMMYFUNCTION("""COMPUTED_VALUE"""),"풍미풍미풍미 업")</f>
        <v>풍미풍미풍미 업</v>
      </c>
      <c r="B3875" s="2" t="str">
        <f>IFERROR(__xludf.DUMMYFUNCTION("""COMPUTED_VALUE"""),"치킨스톡")</f>
        <v>치킨스톡</v>
      </c>
    </row>
    <row r="3876">
      <c r="A3876" s="2" t="str">
        <f>IFERROR(__xludf.DUMMYFUNCTION("""COMPUTED_VALUE"""),"풍미풍미풍미 업")</f>
        <v>풍미풍미풍미 업</v>
      </c>
      <c r="B3876" s="2" t="str">
        <f>IFERROR(__xludf.DUMMYFUNCTION("""COMPUTED_VALUE"""),"마늘")</f>
        <v>마늘</v>
      </c>
    </row>
    <row r="3877">
      <c r="A3877" s="2" t="str">
        <f>IFERROR(__xludf.DUMMYFUNCTION("""COMPUTED_VALUE"""),"풍미풍미풍미 업")</f>
        <v>풍미풍미풍미 업</v>
      </c>
      <c r="B3877" s="2" t="str">
        <f>IFERROR(__xludf.DUMMYFUNCTION("""COMPUTED_VALUE"""),"다진 마늘")</f>
        <v>다진 마늘</v>
      </c>
    </row>
    <row r="3878">
      <c r="A3878" s="2" t="str">
        <f>IFERROR(__xludf.DUMMYFUNCTION("""COMPUTED_VALUE"""),"풍미풍미풍미 업")</f>
        <v>풍미풍미풍미 업</v>
      </c>
      <c r="B3878" s="2" t="str">
        <f>IFERROR(__xludf.DUMMYFUNCTION("""COMPUTED_VALUE"""),"양파")</f>
        <v>양파</v>
      </c>
    </row>
    <row r="3879">
      <c r="A3879" s="2" t="str">
        <f>IFERROR(__xludf.DUMMYFUNCTION("""COMPUTED_VALUE"""),"풍미풍미풍미 업")</f>
        <v>풍미풍미풍미 업</v>
      </c>
      <c r="B3879" s="2" t="str">
        <f>IFERROR(__xludf.DUMMYFUNCTION("""COMPUTED_VALUE"""),"버터")</f>
        <v>버터</v>
      </c>
    </row>
    <row r="3880">
      <c r="A3880" s="2" t="str">
        <f>IFERROR(__xludf.DUMMYFUNCTION("""COMPUTED_VALUE"""),"풍미풍미풍미 업")</f>
        <v>풍미풍미풍미 업</v>
      </c>
      <c r="B3880" s="2" t="str">
        <f>IFERROR(__xludf.DUMMYFUNCTION("""COMPUTED_VALUE"""),"후추")</f>
        <v>후추</v>
      </c>
    </row>
    <row r="3881">
      <c r="A3881" s="2" t="str">
        <f>IFERROR(__xludf.DUMMYFUNCTION("""COMPUTED_VALUE"""),"풍미풍미풍미 업")</f>
        <v>풍미풍미풍미 업</v>
      </c>
      <c r="B3881" s="2" t="str">
        <f>IFERROR(__xludf.DUMMYFUNCTION("""COMPUTED_VALUE"""),"고춧가루")</f>
        <v>고춧가루</v>
      </c>
    </row>
    <row r="3882">
      <c r="A3882" s="2" t="str">
        <f>IFERROR(__xludf.DUMMYFUNCTION("""COMPUTED_VALUE"""),"풍미풍미풍미 업")</f>
        <v>풍미풍미풍미 업</v>
      </c>
      <c r="B3882" s="2" t="str">
        <f>IFERROR(__xludf.DUMMYFUNCTION("""COMPUTED_VALUE"""),"간장")</f>
        <v>간장</v>
      </c>
    </row>
    <row r="3883">
      <c r="A3883" s="2" t="str">
        <f>IFERROR(__xludf.DUMMYFUNCTION("""COMPUTED_VALUE"""),"채끝 인 더 대파")</f>
        <v>채끝 인 더 대파</v>
      </c>
      <c r="B3883" s="2" t="str">
        <f>IFERROR(__xludf.DUMMYFUNCTION("""COMPUTED_VALUE"""),"채끝등심")</f>
        <v>채끝등심</v>
      </c>
    </row>
    <row r="3884">
      <c r="A3884" s="2" t="str">
        <f>IFERROR(__xludf.DUMMYFUNCTION("""COMPUTED_VALUE"""),"채끝 인 더 대파")</f>
        <v>채끝 인 더 대파</v>
      </c>
      <c r="B3884" s="2" t="str">
        <f>IFERROR(__xludf.DUMMYFUNCTION("""COMPUTED_VALUE"""),"이탈리안 파슬리")</f>
        <v>이탈리안 파슬리</v>
      </c>
    </row>
    <row r="3885">
      <c r="A3885" s="2" t="str">
        <f>IFERROR(__xludf.DUMMYFUNCTION("""COMPUTED_VALUE"""),"채끝 인 더 대파")</f>
        <v>채끝 인 더 대파</v>
      </c>
      <c r="B3885" s="2" t="str">
        <f>IFERROR(__xludf.DUMMYFUNCTION("""COMPUTED_VALUE"""),"트러플 페스토")</f>
        <v>트러플 페스토</v>
      </c>
    </row>
    <row r="3886">
      <c r="A3886" s="2" t="str">
        <f>IFERROR(__xludf.DUMMYFUNCTION("""COMPUTED_VALUE"""),"채끝 인 더 대파")</f>
        <v>채끝 인 더 대파</v>
      </c>
      <c r="B3886" s="2" t="str">
        <f>IFERROR(__xludf.DUMMYFUNCTION("""COMPUTED_VALUE"""),"발사믹크림")</f>
        <v>발사믹크림</v>
      </c>
    </row>
    <row r="3887">
      <c r="A3887" s="2" t="str">
        <f>IFERROR(__xludf.DUMMYFUNCTION("""COMPUTED_VALUE"""),"채끝 인 더 대파")</f>
        <v>채끝 인 더 대파</v>
      </c>
      <c r="B3887" s="2" t="str">
        <f>IFERROR(__xludf.DUMMYFUNCTION("""COMPUTED_VALUE"""),"휘핑크림")</f>
        <v>휘핑크림</v>
      </c>
    </row>
    <row r="3888">
      <c r="A3888" s="2" t="str">
        <f>IFERROR(__xludf.DUMMYFUNCTION("""COMPUTED_VALUE"""),"채끝 인 더 대파")</f>
        <v>채끝 인 더 대파</v>
      </c>
      <c r="B3888" s="2" t="str">
        <f>IFERROR(__xludf.DUMMYFUNCTION("""COMPUTED_VALUE"""),"우유")</f>
        <v>우유</v>
      </c>
    </row>
    <row r="3889">
      <c r="A3889" s="2" t="str">
        <f>IFERROR(__xludf.DUMMYFUNCTION("""COMPUTED_VALUE"""),"채끝 인 더 대파")</f>
        <v>채끝 인 더 대파</v>
      </c>
      <c r="B3889" s="2" t="str">
        <f>IFERROR(__xludf.DUMMYFUNCTION("""COMPUTED_VALUE"""),"올리브오일")</f>
        <v>올리브오일</v>
      </c>
    </row>
    <row r="3890">
      <c r="A3890" s="2" t="str">
        <f>IFERROR(__xludf.DUMMYFUNCTION("""COMPUTED_VALUE"""),"채끝 인 더 대파")</f>
        <v>채끝 인 더 대파</v>
      </c>
      <c r="B3890" s="2" t="str">
        <f>IFERROR(__xludf.DUMMYFUNCTION("""COMPUTED_VALUE"""),"마누카 꿀")</f>
        <v>마누카 꿀</v>
      </c>
    </row>
    <row r="3891">
      <c r="A3891" s="2" t="str">
        <f>IFERROR(__xludf.DUMMYFUNCTION("""COMPUTED_VALUE"""),"채끝 인 더 대파")</f>
        <v>채끝 인 더 대파</v>
      </c>
      <c r="B3891" s="2" t="str">
        <f>IFERROR(__xludf.DUMMYFUNCTION("""COMPUTED_VALUE"""),"양파")</f>
        <v>양파</v>
      </c>
    </row>
    <row r="3892">
      <c r="A3892" s="2" t="str">
        <f>IFERROR(__xludf.DUMMYFUNCTION("""COMPUTED_VALUE"""),"채끝 인 더 대파")</f>
        <v>채끝 인 더 대파</v>
      </c>
      <c r="B3892" s="2" t="str">
        <f>IFERROR(__xludf.DUMMYFUNCTION("""COMPUTED_VALUE"""),"대파")</f>
        <v>대파</v>
      </c>
    </row>
    <row r="3893">
      <c r="A3893" s="2" t="str">
        <f>IFERROR(__xludf.DUMMYFUNCTION("""COMPUTED_VALUE"""),"채끝 인 더 대파")</f>
        <v>채끝 인 더 대파</v>
      </c>
      <c r="B3893" s="2" t="str">
        <f>IFERROR(__xludf.DUMMYFUNCTION("""COMPUTED_VALUE"""),"버터")</f>
        <v>버터</v>
      </c>
    </row>
    <row r="3894">
      <c r="A3894" s="2" t="str">
        <f>IFERROR(__xludf.DUMMYFUNCTION("""COMPUTED_VALUE"""),"채끝 인 더 대파")</f>
        <v>채끝 인 더 대파</v>
      </c>
      <c r="B3894" s="2" t="str">
        <f>IFERROR(__xludf.DUMMYFUNCTION("""COMPUTED_VALUE"""),"즉석밥")</f>
        <v>즉석밥</v>
      </c>
    </row>
    <row r="3895">
      <c r="A3895" s="2" t="str">
        <f>IFERROR(__xludf.DUMMYFUNCTION("""COMPUTED_VALUE"""),"채끝 인 더 대파")</f>
        <v>채끝 인 더 대파</v>
      </c>
      <c r="B3895" s="2" t="str">
        <f>IFERROR(__xludf.DUMMYFUNCTION("""COMPUTED_VALUE"""),"통후추")</f>
        <v>통후추</v>
      </c>
    </row>
    <row r="3896">
      <c r="A3896" s="2" t="str">
        <f>IFERROR(__xludf.DUMMYFUNCTION("""COMPUTED_VALUE"""),"채끝 인 더 대파")</f>
        <v>채끝 인 더 대파</v>
      </c>
      <c r="B3896" s="2" t="str">
        <f>IFERROR(__xludf.DUMMYFUNCTION("""COMPUTED_VALUE"""),"소금")</f>
        <v>소금</v>
      </c>
    </row>
    <row r="3897">
      <c r="A3897" s="2" t="str">
        <f>IFERROR(__xludf.DUMMYFUNCTION("""COMPUTED_VALUE"""),"채끝 인 더 대파")</f>
        <v>채끝 인 더 대파</v>
      </c>
      <c r="B3897" s="2" t="str">
        <f>IFERROR(__xludf.DUMMYFUNCTION("""COMPUTED_VALUE"""),"후추")</f>
        <v>후추</v>
      </c>
    </row>
    <row r="3898">
      <c r="A3898" s="2" t="str">
        <f>IFERROR(__xludf.DUMMYFUNCTION("""COMPUTED_VALUE"""),"채끝 인 더 대파")</f>
        <v>채끝 인 더 대파</v>
      </c>
      <c r="B3898" s="2" t="str">
        <f>IFERROR(__xludf.DUMMYFUNCTION("""COMPUTED_VALUE"""),"마늘")</f>
        <v>마늘</v>
      </c>
    </row>
    <row r="3899">
      <c r="A3899" s="2" t="str">
        <f>IFERROR(__xludf.DUMMYFUNCTION("""COMPUTED_VALUE"""),"퐁네프의 연어들")</f>
        <v>퐁네프의 연어들</v>
      </c>
      <c r="B3899" s="2" t="str">
        <f>IFERROR(__xludf.DUMMYFUNCTION("""COMPUTED_VALUE"""),"연어")</f>
        <v>연어</v>
      </c>
    </row>
    <row r="3900">
      <c r="A3900" s="2" t="str">
        <f>IFERROR(__xludf.DUMMYFUNCTION("""COMPUTED_VALUE"""),"퐁네프의 연어들")</f>
        <v>퐁네프의 연어들</v>
      </c>
      <c r="B3900" s="2" t="str">
        <f>IFERROR(__xludf.DUMMYFUNCTION("""COMPUTED_VALUE"""),"새우")</f>
        <v>새우</v>
      </c>
    </row>
    <row r="3901">
      <c r="A3901" s="2" t="str">
        <f>IFERROR(__xludf.DUMMYFUNCTION("""COMPUTED_VALUE"""),"퐁네프의 연어들")</f>
        <v>퐁네프의 연어들</v>
      </c>
      <c r="B3901" s="2" t="str">
        <f>IFERROR(__xludf.DUMMYFUNCTION("""COMPUTED_VALUE"""),"레드향")</f>
        <v>레드향</v>
      </c>
    </row>
    <row r="3902">
      <c r="A3902" s="2" t="str">
        <f>IFERROR(__xludf.DUMMYFUNCTION("""COMPUTED_VALUE"""),"퐁네프의 연어들")</f>
        <v>퐁네프의 연어들</v>
      </c>
      <c r="B3902" s="2" t="str">
        <f>IFERROR(__xludf.DUMMYFUNCTION("""COMPUTED_VALUE"""),"석류알")</f>
        <v>석류알</v>
      </c>
    </row>
    <row r="3903">
      <c r="A3903" s="2" t="str">
        <f>IFERROR(__xludf.DUMMYFUNCTION("""COMPUTED_VALUE"""),"퐁네프의 연어들")</f>
        <v>퐁네프의 연어들</v>
      </c>
      <c r="B3903" s="2" t="str">
        <f>IFERROR(__xludf.DUMMYFUNCTION("""COMPUTED_VALUE"""),"손질한 딸기")</f>
        <v>손질한 딸기</v>
      </c>
    </row>
    <row r="3904">
      <c r="A3904" s="2" t="str">
        <f>IFERROR(__xludf.DUMMYFUNCTION("""COMPUTED_VALUE"""),"퐁네프의 연어들")</f>
        <v>퐁네프의 연어들</v>
      </c>
      <c r="B3904" s="2" t="str">
        <f>IFERROR(__xludf.DUMMYFUNCTION("""COMPUTED_VALUE"""),"아랍염소치즈")</f>
        <v>아랍염소치즈</v>
      </c>
    </row>
    <row r="3905">
      <c r="A3905" s="2" t="str">
        <f>IFERROR(__xludf.DUMMYFUNCTION("""COMPUTED_VALUE"""),"퐁네프의 연어들")</f>
        <v>퐁네프의 연어들</v>
      </c>
      <c r="B3905" s="2" t="str">
        <f>IFERROR(__xludf.DUMMYFUNCTION("""COMPUTED_VALUE"""),"루콜라")</f>
        <v>루콜라</v>
      </c>
    </row>
    <row r="3906">
      <c r="A3906" s="2" t="str">
        <f>IFERROR(__xludf.DUMMYFUNCTION("""COMPUTED_VALUE"""),"퐁네프의 연어들")</f>
        <v>퐁네프의 연어들</v>
      </c>
      <c r="B3906" s="2" t="str">
        <f>IFERROR(__xludf.DUMMYFUNCTION("""COMPUTED_VALUE"""),"이탈리안 파슬리")</f>
        <v>이탈리안 파슬리</v>
      </c>
    </row>
    <row r="3907">
      <c r="A3907" s="2" t="str">
        <f>IFERROR(__xludf.DUMMYFUNCTION("""COMPUTED_VALUE"""),"퐁네프의 연어들")</f>
        <v>퐁네프의 연어들</v>
      </c>
      <c r="B3907" s="2" t="str">
        <f>IFERROR(__xludf.DUMMYFUNCTION("""COMPUTED_VALUE"""),"올리브오일")</f>
        <v>올리브오일</v>
      </c>
    </row>
    <row r="3908">
      <c r="A3908" s="2" t="str">
        <f>IFERROR(__xludf.DUMMYFUNCTION("""COMPUTED_VALUE"""),"퐁네프의 연어들")</f>
        <v>퐁네프의 연어들</v>
      </c>
      <c r="B3908" s="2" t="str">
        <f>IFERROR(__xludf.DUMMYFUNCTION("""COMPUTED_VALUE"""),"휘핑크림")</f>
        <v>휘핑크림</v>
      </c>
    </row>
    <row r="3909">
      <c r="A3909" s="2" t="str">
        <f>IFERROR(__xludf.DUMMYFUNCTION("""COMPUTED_VALUE"""),"퐁네프의 연어들")</f>
        <v>퐁네프의 연어들</v>
      </c>
      <c r="B3909" s="2" t="str">
        <f>IFERROR(__xludf.DUMMYFUNCTION("""COMPUTED_VALUE"""),"우유")</f>
        <v>우유</v>
      </c>
    </row>
    <row r="3910">
      <c r="A3910" s="2" t="str">
        <f>IFERROR(__xludf.DUMMYFUNCTION("""COMPUTED_VALUE"""),"퐁네프의 연어들")</f>
        <v>퐁네프의 연어들</v>
      </c>
      <c r="B3910" s="2" t="str">
        <f>IFERROR(__xludf.DUMMYFUNCTION("""COMPUTED_VALUE"""),"레몬")</f>
        <v>레몬</v>
      </c>
    </row>
    <row r="3911">
      <c r="A3911" s="2" t="str">
        <f>IFERROR(__xludf.DUMMYFUNCTION("""COMPUTED_VALUE"""),"퐁네프의 연어들")</f>
        <v>퐁네프의 연어들</v>
      </c>
      <c r="B3911" s="2" t="str">
        <f>IFERROR(__xludf.DUMMYFUNCTION("""COMPUTED_VALUE"""),"소금")</f>
        <v>소금</v>
      </c>
    </row>
    <row r="3912">
      <c r="A3912" s="2" t="str">
        <f>IFERROR(__xludf.DUMMYFUNCTION("""COMPUTED_VALUE"""),"퐁네프의 연어들")</f>
        <v>퐁네프의 연어들</v>
      </c>
      <c r="B3912" s="2" t="str">
        <f>IFERROR(__xludf.DUMMYFUNCTION("""COMPUTED_VALUE"""),"후추")</f>
        <v>후추</v>
      </c>
    </row>
    <row r="3913">
      <c r="A3913" s="2" t="str">
        <f>IFERROR(__xludf.DUMMYFUNCTION("""COMPUTED_VALUE"""),"퐁네프의 연어들")</f>
        <v>퐁네프의 연어들</v>
      </c>
      <c r="B3913" s="2" t="str">
        <f>IFERROR(__xludf.DUMMYFUNCTION("""COMPUTED_VALUE"""),"설탕")</f>
        <v>설탕</v>
      </c>
    </row>
    <row r="3914">
      <c r="A3914" s="2" t="str">
        <f>IFERROR(__xludf.DUMMYFUNCTION("""COMPUTED_VALUE"""),"퐁네프의 연어들")</f>
        <v>퐁네프의 연어들</v>
      </c>
      <c r="B3914" s="2" t="str">
        <f>IFERROR(__xludf.DUMMYFUNCTION("""COMPUTED_VALUE"""),"다진 마늘")</f>
        <v>다진 마늘</v>
      </c>
    </row>
    <row r="3915">
      <c r="A3915" s="2" t="str">
        <f>IFERROR(__xludf.DUMMYFUNCTION("""COMPUTED_VALUE"""),"퐁네프의 연어들")</f>
        <v>퐁네프의 연어들</v>
      </c>
      <c r="B3915" s="2" t="str">
        <f>IFERROR(__xludf.DUMMYFUNCTION("""COMPUTED_VALUE"""),"대파")</f>
        <v>대파</v>
      </c>
    </row>
    <row r="3916">
      <c r="A3916" s="2" t="str">
        <f>IFERROR(__xludf.DUMMYFUNCTION("""COMPUTED_VALUE"""),"아뵤~카도")</f>
        <v>아뵤~카도</v>
      </c>
      <c r="B3916" s="2" t="str">
        <f>IFERROR(__xludf.DUMMYFUNCTION("""COMPUTED_VALUE"""),"연어")</f>
        <v>연어</v>
      </c>
    </row>
    <row r="3917">
      <c r="A3917" s="2" t="str">
        <f>IFERROR(__xludf.DUMMYFUNCTION("""COMPUTED_VALUE"""),"아뵤~카도")</f>
        <v>아뵤~카도</v>
      </c>
      <c r="B3917" s="2" t="str">
        <f>IFERROR(__xludf.DUMMYFUNCTION("""COMPUTED_VALUE"""),"토마토")</f>
        <v>토마토</v>
      </c>
    </row>
    <row r="3918">
      <c r="A3918" s="2" t="str">
        <f>IFERROR(__xludf.DUMMYFUNCTION("""COMPUTED_VALUE"""),"아뵤~카도")</f>
        <v>아뵤~카도</v>
      </c>
      <c r="B3918" s="2" t="str">
        <f>IFERROR(__xludf.DUMMYFUNCTION("""COMPUTED_VALUE"""),"블루베리")</f>
        <v>블루베리</v>
      </c>
    </row>
    <row r="3919">
      <c r="A3919" s="2" t="str">
        <f>IFERROR(__xludf.DUMMYFUNCTION("""COMPUTED_VALUE"""),"아뵤~카도")</f>
        <v>아뵤~카도</v>
      </c>
      <c r="B3919" s="2" t="str">
        <f>IFERROR(__xludf.DUMMYFUNCTION("""COMPUTED_VALUE"""),"케이퍼")</f>
        <v>케이퍼</v>
      </c>
    </row>
    <row r="3920">
      <c r="A3920" s="2" t="str">
        <f>IFERROR(__xludf.DUMMYFUNCTION("""COMPUTED_VALUE"""),"아뵤~카도")</f>
        <v>아뵤~카도</v>
      </c>
      <c r="B3920" s="2" t="str">
        <f>IFERROR(__xludf.DUMMYFUNCTION("""COMPUTED_VALUE"""),"홀그레인 머스터드")</f>
        <v>홀그레인 머스터드</v>
      </c>
    </row>
    <row r="3921">
      <c r="A3921" s="2" t="str">
        <f>IFERROR(__xludf.DUMMYFUNCTION("""COMPUTED_VALUE"""),"아뵤~카도")</f>
        <v>아뵤~카도</v>
      </c>
      <c r="B3921" s="2" t="str">
        <f>IFERROR(__xludf.DUMMYFUNCTION("""COMPUTED_VALUE"""),"랠리시 소스")</f>
        <v>랠리시 소스</v>
      </c>
    </row>
    <row r="3922">
      <c r="A3922" s="2" t="str">
        <f>IFERROR(__xludf.DUMMYFUNCTION("""COMPUTED_VALUE"""),"아뵤~카도")</f>
        <v>아뵤~카도</v>
      </c>
      <c r="B3922" s="2" t="str">
        <f>IFERROR(__xludf.DUMMYFUNCTION("""COMPUTED_VALUE"""),"아보카도")</f>
        <v>아보카도</v>
      </c>
    </row>
    <row r="3923">
      <c r="A3923" s="2" t="str">
        <f>IFERROR(__xludf.DUMMYFUNCTION("""COMPUTED_VALUE"""),"아뵤~카도")</f>
        <v>아뵤~카도</v>
      </c>
      <c r="B3923" s="2" t="str">
        <f>IFERROR(__xludf.DUMMYFUNCTION("""COMPUTED_VALUE"""),"마늘")</f>
        <v>마늘</v>
      </c>
    </row>
    <row r="3924">
      <c r="A3924" s="2" t="str">
        <f>IFERROR(__xludf.DUMMYFUNCTION("""COMPUTED_VALUE"""),"아뵤~카도")</f>
        <v>아뵤~카도</v>
      </c>
      <c r="B3924" s="2" t="str">
        <f>IFERROR(__xludf.DUMMYFUNCTION("""COMPUTED_VALUE"""),"당근")</f>
        <v>당근</v>
      </c>
    </row>
    <row r="3925">
      <c r="A3925" s="2" t="str">
        <f>IFERROR(__xludf.DUMMYFUNCTION("""COMPUTED_VALUE"""),"아뵤~카도")</f>
        <v>아뵤~카도</v>
      </c>
      <c r="B3925" s="2" t="str">
        <f>IFERROR(__xludf.DUMMYFUNCTION("""COMPUTED_VALUE"""),"양파")</f>
        <v>양파</v>
      </c>
    </row>
    <row r="3926">
      <c r="A3926" s="2" t="str">
        <f>IFERROR(__xludf.DUMMYFUNCTION("""COMPUTED_VALUE"""),"아뵤~카도")</f>
        <v>아뵤~카도</v>
      </c>
      <c r="B3926" s="2" t="str">
        <f>IFERROR(__xludf.DUMMYFUNCTION("""COMPUTED_VALUE"""),"대파")</f>
        <v>대파</v>
      </c>
    </row>
    <row r="3927">
      <c r="A3927" s="2" t="str">
        <f>IFERROR(__xludf.DUMMYFUNCTION("""COMPUTED_VALUE"""),"아뵤~카도")</f>
        <v>아뵤~카도</v>
      </c>
      <c r="B3927" s="2" t="str">
        <f>IFERROR(__xludf.DUMMYFUNCTION("""COMPUTED_VALUE"""),"통후추")</f>
        <v>통후추</v>
      </c>
    </row>
    <row r="3928">
      <c r="A3928" s="2" t="str">
        <f>IFERROR(__xludf.DUMMYFUNCTION("""COMPUTED_VALUE"""),"아뵤~카도")</f>
        <v>아뵤~카도</v>
      </c>
      <c r="B3928" s="2" t="str">
        <f>IFERROR(__xludf.DUMMYFUNCTION("""COMPUTED_VALUE"""),"후추")</f>
        <v>후추</v>
      </c>
    </row>
    <row r="3929">
      <c r="A3929" s="2" t="str">
        <f>IFERROR(__xludf.DUMMYFUNCTION("""COMPUTED_VALUE"""),"아뵤~카도")</f>
        <v>아뵤~카도</v>
      </c>
      <c r="B3929" s="2" t="str">
        <f>IFERROR(__xludf.DUMMYFUNCTION("""COMPUTED_VALUE"""),"레몬")</f>
        <v>레몬</v>
      </c>
    </row>
    <row r="3930">
      <c r="A3930" s="2" t="str">
        <f>IFERROR(__xludf.DUMMYFUNCTION("""COMPUTED_VALUE"""),"아뵤~카도")</f>
        <v>아뵤~카도</v>
      </c>
      <c r="B3930" s="2" t="str">
        <f>IFERROR(__xludf.DUMMYFUNCTION("""COMPUTED_VALUE"""),"소금")</f>
        <v>소금</v>
      </c>
    </row>
    <row r="3931">
      <c r="A3931" s="2" t="str">
        <f>IFERROR(__xludf.DUMMYFUNCTION("""COMPUTED_VALUE"""),"아뵤~카도")</f>
        <v>아뵤~카도</v>
      </c>
      <c r="B3931" s="2" t="str">
        <f>IFERROR(__xludf.DUMMYFUNCTION("""COMPUTED_VALUE"""),"설탕")</f>
        <v>설탕</v>
      </c>
    </row>
    <row r="3932">
      <c r="A3932" s="2" t="str">
        <f>IFERROR(__xludf.DUMMYFUNCTION("""COMPUTED_VALUE"""),"아뵤~카도")</f>
        <v>아뵤~카도</v>
      </c>
      <c r="B3932" s="2" t="str">
        <f>IFERROR(__xludf.DUMMYFUNCTION("""COMPUTED_VALUE"""),"올리브오일")</f>
        <v>올리브오일</v>
      </c>
    </row>
    <row r="3933">
      <c r="A3933" s="2" t="str">
        <f>IFERROR(__xludf.DUMMYFUNCTION("""COMPUTED_VALUE"""),"아뵤~카도")</f>
        <v>아뵤~카도</v>
      </c>
      <c r="B3933" s="2" t="str">
        <f>IFERROR(__xludf.DUMMYFUNCTION("""COMPUTED_VALUE"""),"밀가루")</f>
        <v>밀가루</v>
      </c>
    </row>
    <row r="3934">
      <c r="A3934" s="2" t="str">
        <f>IFERROR(__xludf.DUMMYFUNCTION("""COMPUTED_VALUE"""),"불량만쥬")</f>
        <v>불량만쥬</v>
      </c>
      <c r="B3934" s="2" t="str">
        <f>IFERROR(__xludf.DUMMYFUNCTION("""COMPUTED_VALUE"""),"바나나")</f>
        <v>바나나</v>
      </c>
    </row>
    <row r="3935">
      <c r="A3935" s="2" t="str">
        <f>IFERROR(__xludf.DUMMYFUNCTION("""COMPUTED_VALUE"""),"불량만쥬")</f>
        <v>불량만쥬</v>
      </c>
      <c r="B3935" s="2" t="str">
        <f>IFERROR(__xludf.DUMMYFUNCTION("""COMPUTED_VALUE"""),"테프")</f>
        <v>테프</v>
      </c>
    </row>
    <row r="3936">
      <c r="A3936" s="2" t="str">
        <f>IFERROR(__xludf.DUMMYFUNCTION("""COMPUTED_VALUE"""),"불량만쥬")</f>
        <v>불량만쥬</v>
      </c>
      <c r="B3936" s="2" t="str">
        <f>IFERROR(__xludf.DUMMYFUNCTION("""COMPUTED_VALUE"""),"찹쌀가루")</f>
        <v>찹쌀가루</v>
      </c>
    </row>
    <row r="3937">
      <c r="A3937" s="2" t="str">
        <f>IFERROR(__xludf.DUMMYFUNCTION("""COMPUTED_VALUE"""),"불량만쥬")</f>
        <v>불량만쥬</v>
      </c>
      <c r="B3937" s="2" t="str">
        <f>IFERROR(__xludf.DUMMYFUNCTION("""COMPUTED_VALUE"""),"베이킹파우더")</f>
        <v>베이킹파우더</v>
      </c>
    </row>
    <row r="3938">
      <c r="A3938" s="2" t="str">
        <f>IFERROR(__xludf.DUMMYFUNCTION("""COMPUTED_VALUE"""),"불량만쥬")</f>
        <v>불량만쥬</v>
      </c>
      <c r="B3938" s="2" t="str">
        <f>IFERROR(__xludf.DUMMYFUNCTION("""COMPUTED_VALUE"""),"우유")</f>
        <v>우유</v>
      </c>
    </row>
    <row r="3939">
      <c r="A3939" s="2" t="str">
        <f>IFERROR(__xludf.DUMMYFUNCTION("""COMPUTED_VALUE"""),"불량만쥬")</f>
        <v>불량만쥬</v>
      </c>
      <c r="B3939" s="2" t="str">
        <f>IFERROR(__xludf.DUMMYFUNCTION("""COMPUTED_VALUE"""),"베이컨")</f>
        <v>베이컨</v>
      </c>
    </row>
    <row r="3940">
      <c r="A3940" s="2" t="str">
        <f>IFERROR(__xludf.DUMMYFUNCTION("""COMPUTED_VALUE"""),"불량만쥬")</f>
        <v>불량만쥬</v>
      </c>
      <c r="B3940" s="2" t="str">
        <f>IFERROR(__xludf.DUMMYFUNCTION("""COMPUTED_VALUE"""),"땅콩버터")</f>
        <v>땅콩버터</v>
      </c>
    </row>
    <row r="3941">
      <c r="A3941" s="2" t="str">
        <f>IFERROR(__xludf.DUMMYFUNCTION("""COMPUTED_VALUE"""),"불량만쥬")</f>
        <v>불량만쥬</v>
      </c>
      <c r="B3941" s="2" t="str">
        <f>IFERROR(__xludf.DUMMYFUNCTION("""COMPUTED_VALUE"""),"휘핑크림")</f>
        <v>휘핑크림</v>
      </c>
    </row>
    <row r="3942">
      <c r="A3942" s="2" t="str">
        <f>IFERROR(__xludf.DUMMYFUNCTION("""COMPUTED_VALUE"""),"불량만쥬")</f>
        <v>불량만쥬</v>
      </c>
      <c r="B3942" s="2" t="str">
        <f>IFERROR(__xludf.DUMMYFUNCTION("""COMPUTED_VALUE"""),"부추")</f>
        <v>부추</v>
      </c>
    </row>
    <row r="3943">
      <c r="A3943" s="2" t="str">
        <f>IFERROR(__xludf.DUMMYFUNCTION("""COMPUTED_VALUE"""),"불량만쥬")</f>
        <v>불량만쥬</v>
      </c>
      <c r="B3943" s="2" t="str">
        <f>IFERROR(__xludf.DUMMYFUNCTION("""COMPUTED_VALUE"""),"달걀")</f>
        <v>달걀</v>
      </c>
    </row>
    <row r="3944">
      <c r="A3944" s="2" t="str">
        <f>IFERROR(__xludf.DUMMYFUNCTION("""COMPUTED_VALUE"""),"불량만쥬")</f>
        <v>불량만쥬</v>
      </c>
      <c r="B3944" s="2" t="str">
        <f>IFERROR(__xludf.DUMMYFUNCTION("""COMPUTED_VALUE"""),"양파")</f>
        <v>양파</v>
      </c>
    </row>
    <row r="3945">
      <c r="A3945" s="2" t="str">
        <f>IFERROR(__xludf.DUMMYFUNCTION("""COMPUTED_VALUE"""),"불량만쥬")</f>
        <v>불량만쥬</v>
      </c>
      <c r="B3945" s="2" t="str">
        <f>IFERROR(__xludf.DUMMYFUNCTION("""COMPUTED_VALUE"""),"밀가루")</f>
        <v>밀가루</v>
      </c>
    </row>
    <row r="3946">
      <c r="A3946" s="2" t="str">
        <f>IFERROR(__xludf.DUMMYFUNCTION("""COMPUTED_VALUE"""),"불량만쥬")</f>
        <v>불량만쥬</v>
      </c>
      <c r="B3946" s="2" t="str">
        <f>IFERROR(__xludf.DUMMYFUNCTION("""COMPUTED_VALUE"""),"소금")</f>
        <v>소금</v>
      </c>
    </row>
    <row r="3947">
      <c r="A3947" s="2" t="str">
        <f>IFERROR(__xludf.DUMMYFUNCTION("""COMPUTED_VALUE"""),"불량만쥬")</f>
        <v>불량만쥬</v>
      </c>
      <c r="B3947" s="2" t="str">
        <f>IFERROR(__xludf.DUMMYFUNCTION("""COMPUTED_VALUE"""),"설탕")</f>
        <v>설탕</v>
      </c>
    </row>
    <row r="3948">
      <c r="A3948" s="2" t="str">
        <f>IFERROR(__xludf.DUMMYFUNCTION("""COMPUTED_VALUE"""),"불량만쥬")</f>
        <v>불량만쥬</v>
      </c>
      <c r="B3948" s="2" t="str">
        <f>IFERROR(__xludf.DUMMYFUNCTION("""COMPUTED_VALUE"""),"버터")</f>
        <v>버터</v>
      </c>
    </row>
    <row r="3949">
      <c r="A3949" s="2" t="str">
        <f>IFERROR(__xludf.DUMMYFUNCTION("""COMPUTED_VALUE"""),"불량만쥬")</f>
        <v>불량만쥬</v>
      </c>
      <c r="B3949" s="2" t="str">
        <f>IFERROR(__xludf.DUMMYFUNCTION("""COMPUTED_VALUE"""),"후추")</f>
        <v>후추</v>
      </c>
    </row>
    <row r="3950">
      <c r="A3950" s="2" t="str">
        <f>IFERROR(__xludf.DUMMYFUNCTION("""COMPUTED_VALUE"""),"불량만쥬")</f>
        <v>불량만쥬</v>
      </c>
      <c r="B3950" s="2" t="str">
        <f>IFERROR(__xludf.DUMMYFUNCTION("""COMPUTED_VALUE"""),"식초")</f>
        <v>식초</v>
      </c>
    </row>
    <row r="3951">
      <c r="A3951" s="2" t="str">
        <f>IFERROR(__xludf.DUMMYFUNCTION("""COMPUTED_VALUE"""),"탄복면")</f>
        <v>탄복면</v>
      </c>
      <c r="B3951" s="2" t="str">
        <f>IFERROR(__xludf.DUMMYFUNCTION("""COMPUTED_VALUE"""),"새우")</f>
        <v>새우</v>
      </c>
    </row>
    <row r="3952">
      <c r="A3952" s="2" t="str">
        <f>IFERROR(__xludf.DUMMYFUNCTION("""COMPUTED_VALUE"""),"탄복면")</f>
        <v>탄복면</v>
      </c>
      <c r="B3952" s="2" t="str">
        <f>IFERROR(__xludf.DUMMYFUNCTION("""COMPUTED_VALUE"""),"오징어")</f>
        <v>오징어</v>
      </c>
    </row>
    <row r="3953">
      <c r="A3953" s="2" t="str">
        <f>IFERROR(__xludf.DUMMYFUNCTION("""COMPUTED_VALUE"""),"탄복면")</f>
        <v>탄복면</v>
      </c>
      <c r="B3953" s="2" t="str">
        <f>IFERROR(__xludf.DUMMYFUNCTION("""COMPUTED_VALUE"""),"땅콩버터")</f>
        <v>땅콩버터</v>
      </c>
    </row>
    <row r="3954">
      <c r="A3954" s="2" t="str">
        <f>IFERROR(__xludf.DUMMYFUNCTION("""COMPUTED_VALUE"""),"탄복면")</f>
        <v>탄복면</v>
      </c>
      <c r="B3954" s="2" t="str">
        <f>IFERROR(__xludf.DUMMYFUNCTION("""COMPUTED_VALUE"""),"두반장")</f>
        <v>두반장</v>
      </c>
    </row>
    <row r="3955">
      <c r="A3955" s="2" t="str">
        <f>IFERROR(__xludf.DUMMYFUNCTION("""COMPUTED_VALUE"""),"탄복면")</f>
        <v>탄복면</v>
      </c>
      <c r="B3955" s="2" t="str">
        <f>IFERROR(__xludf.DUMMYFUNCTION("""COMPUTED_VALUE"""),"참깨드레싱")</f>
        <v>참깨드레싱</v>
      </c>
    </row>
    <row r="3956">
      <c r="A3956" s="2" t="str">
        <f>IFERROR(__xludf.DUMMYFUNCTION("""COMPUTED_VALUE"""),"탄복면")</f>
        <v>탄복면</v>
      </c>
      <c r="B3956" s="2" t="str">
        <f>IFERROR(__xludf.DUMMYFUNCTION("""COMPUTED_VALUE"""),"굴소스")</f>
        <v>굴소스</v>
      </c>
    </row>
    <row r="3957">
      <c r="A3957" s="2" t="str">
        <f>IFERROR(__xludf.DUMMYFUNCTION("""COMPUTED_VALUE"""),"탄복면")</f>
        <v>탄복면</v>
      </c>
      <c r="B3957" s="2" t="str">
        <f>IFERROR(__xludf.DUMMYFUNCTION("""COMPUTED_VALUE"""),"오이")</f>
        <v>오이</v>
      </c>
    </row>
    <row r="3958">
      <c r="A3958" s="2" t="str">
        <f>IFERROR(__xludf.DUMMYFUNCTION("""COMPUTED_VALUE"""),"탄복면")</f>
        <v>탄복면</v>
      </c>
      <c r="B3958" s="2" t="str">
        <f>IFERROR(__xludf.DUMMYFUNCTION("""COMPUTED_VALUE"""),"대파")</f>
        <v>대파</v>
      </c>
    </row>
    <row r="3959">
      <c r="A3959" s="2" t="str">
        <f>IFERROR(__xludf.DUMMYFUNCTION("""COMPUTED_VALUE"""),"탄복면")</f>
        <v>탄복면</v>
      </c>
      <c r="B3959" s="2" t="str">
        <f>IFERROR(__xludf.DUMMYFUNCTION("""COMPUTED_VALUE"""),"밀가루")</f>
        <v>밀가루</v>
      </c>
    </row>
    <row r="3960">
      <c r="A3960" s="2" t="str">
        <f>IFERROR(__xludf.DUMMYFUNCTION("""COMPUTED_VALUE"""),"탄복면")</f>
        <v>탄복면</v>
      </c>
      <c r="B3960" s="2" t="str">
        <f>IFERROR(__xludf.DUMMYFUNCTION("""COMPUTED_VALUE"""),"소금")</f>
        <v>소금</v>
      </c>
    </row>
    <row r="3961">
      <c r="A3961" s="2" t="str">
        <f>IFERROR(__xludf.DUMMYFUNCTION("""COMPUTED_VALUE"""),"탄복면")</f>
        <v>탄복면</v>
      </c>
      <c r="B3961" s="2" t="str">
        <f>IFERROR(__xludf.DUMMYFUNCTION("""COMPUTED_VALUE"""),"고춧가루")</f>
        <v>고춧가루</v>
      </c>
    </row>
    <row r="3962">
      <c r="A3962" s="2" t="str">
        <f>IFERROR(__xludf.DUMMYFUNCTION("""COMPUTED_VALUE"""),"녹아내리면")</f>
        <v>녹아내리면</v>
      </c>
      <c r="B3962" s="2" t="str">
        <f>IFERROR(__xludf.DUMMYFUNCTION("""COMPUTED_VALUE"""),"녹차맛 생초콜릿")</f>
        <v>녹차맛 생초콜릿</v>
      </c>
    </row>
    <row r="3963">
      <c r="A3963" s="2" t="str">
        <f>IFERROR(__xludf.DUMMYFUNCTION("""COMPUTED_VALUE"""),"녹아내리면")</f>
        <v>녹아내리면</v>
      </c>
      <c r="B3963" s="2" t="str">
        <f>IFERROR(__xludf.DUMMYFUNCTION("""COMPUTED_VALUE"""),"달걀")</f>
        <v>달걀</v>
      </c>
    </row>
    <row r="3964">
      <c r="A3964" s="2" t="str">
        <f>IFERROR(__xludf.DUMMYFUNCTION("""COMPUTED_VALUE"""),"녹아내리면")</f>
        <v>녹아내리면</v>
      </c>
      <c r="B3964" s="2" t="str">
        <f>IFERROR(__xludf.DUMMYFUNCTION("""COMPUTED_VALUE"""),"파프리카")</f>
        <v>파프리카</v>
      </c>
    </row>
    <row r="3965">
      <c r="A3965" s="2" t="str">
        <f>IFERROR(__xludf.DUMMYFUNCTION("""COMPUTED_VALUE"""),"녹아내리면")</f>
        <v>녹아내리면</v>
      </c>
      <c r="B3965" s="2" t="str">
        <f>IFERROR(__xludf.DUMMYFUNCTION("""COMPUTED_VALUE"""),"토마토소스")</f>
        <v>토마토소스</v>
      </c>
    </row>
    <row r="3966">
      <c r="A3966" s="2" t="str">
        <f>IFERROR(__xludf.DUMMYFUNCTION("""COMPUTED_VALUE"""),"녹아내리면")</f>
        <v>녹아내리면</v>
      </c>
      <c r="B3966" s="2" t="str">
        <f>IFERROR(__xludf.DUMMYFUNCTION("""COMPUTED_VALUE"""),"바질페스토")</f>
        <v>바질페스토</v>
      </c>
    </row>
    <row r="3967">
      <c r="A3967" s="2" t="str">
        <f>IFERROR(__xludf.DUMMYFUNCTION("""COMPUTED_VALUE"""),"녹아내리면")</f>
        <v>녹아내리면</v>
      </c>
      <c r="B3967" s="2" t="str">
        <f>IFERROR(__xludf.DUMMYFUNCTION("""COMPUTED_VALUE"""),"잣")</f>
        <v>잣</v>
      </c>
    </row>
    <row r="3968">
      <c r="A3968" s="2" t="str">
        <f>IFERROR(__xludf.DUMMYFUNCTION("""COMPUTED_VALUE"""),"녹아내리면")</f>
        <v>녹아내리면</v>
      </c>
      <c r="B3968" s="2" t="str">
        <f>IFERROR(__xludf.DUMMYFUNCTION("""COMPUTED_VALUE"""),"낫토")</f>
        <v>낫토</v>
      </c>
    </row>
    <row r="3969">
      <c r="A3969" s="2" t="str">
        <f>IFERROR(__xludf.DUMMYFUNCTION("""COMPUTED_VALUE"""),"녹아내리면")</f>
        <v>녹아내리면</v>
      </c>
      <c r="B3969" s="2" t="str">
        <f>IFERROR(__xludf.DUMMYFUNCTION("""COMPUTED_VALUE"""),"모차렐라 치즈")</f>
        <v>모차렐라 치즈</v>
      </c>
    </row>
    <row r="3970">
      <c r="A3970" s="2" t="str">
        <f>IFERROR(__xludf.DUMMYFUNCTION("""COMPUTED_VALUE"""),"녹아내리면")</f>
        <v>녹아내리면</v>
      </c>
      <c r="B3970" s="2" t="str">
        <f>IFERROR(__xludf.DUMMYFUNCTION("""COMPUTED_VALUE"""),"청양고추")</f>
        <v>청양고추</v>
      </c>
    </row>
    <row r="3971">
      <c r="A3971" s="2" t="str">
        <f>IFERROR(__xludf.DUMMYFUNCTION("""COMPUTED_VALUE"""),"녹아내리면")</f>
        <v>녹아내리면</v>
      </c>
      <c r="B3971" s="2" t="str">
        <f>IFERROR(__xludf.DUMMYFUNCTION("""COMPUTED_VALUE"""),"밀가루")</f>
        <v>밀가루</v>
      </c>
    </row>
    <row r="3972">
      <c r="A3972" s="2" t="str">
        <f>IFERROR(__xludf.DUMMYFUNCTION("""COMPUTED_VALUE"""),"녹아내리면")</f>
        <v>녹아내리면</v>
      </c>
      <c r="B3972" s="2" t="str">
        <f>IFERROR(__xludf.DUMMYFUNCTION("""COMPUTED_VALUE"""),"소금")</f>
        <v>소금</v>
      </c>
    </row>
    <row r="3973">
      <c r="A3973" s="2" t="str">
        <f>IFERROR(__xludf.DUMMYFUNCTION("""COMPUTED_VALUE"""),"포켓몽")</f>
        <v>포켓몽</v>
      </c>
      <c r="B3973" s="2" t="str">
        <f>IFERROR(__xludf.DUMMYFUNCTION("""COMPUTED_VALUE"""),"닭가슴살")</f>
        <v>닭가슴살</v>
      </c>
    </row>
    <row r="3974">
      <c r="A3974" s="2" t="str">
        <f>IFERROR(__xludf.DUMMYFUNCTION("""COMPUTED_VALUE"""),"포켓몽")</f>
        <v>포켓몽</v>
      </c>
      <c r="B3974" s="2" t="str">
        <f>IFERROR(__xludf.DUMMYFUNCTION("""COMPUTED_VALUE"""),"자몽청")</f>
        <v>자몽청</v>
      </c>
    </row>
    <row r="3975">
      <c r="A3975" s="2" t="str">
        <f>IFERROR(__xludf.DUMMYFUNCTION("""COMPUTED_VALUE"""),"포켓몽")</f>
        <v>포켓몽</v>
      </c>
      <c r="B3975" s="2" t="str">
        <f>IFERROR(__xludf.DUMMYFUNCTION("""COMPUTED_VALUE"""),"애호박")</f>
        <v>애호박</v>
      </c>
    </row>
    <row r="3976">
      <c r="A3976" s="2" t="str">
        <f>IFERROR(__xludf.DUMMYFUNCTION("""COMPUTED_VALUE"""),"포켓몽")</f>
        <v>포켓몽</v>
      </c>
      <c r="B3976" s="2" t="str">
        <f>IFERROR(__xludf.DUMMYFUNCTION("""COMPUTED_VALUE"""),"슬라이스치즈")</f>
        <v>슬라이스치즈</v>
      </c>
    </row>
    <row r="3977">
      <c r="A3977" s="2" t="str">
        <f>IFERROR(__xludf.DUMMYFUNCTION("""COMPUTED_VALUE"""),"포켓몽")</f>
        <v>포켓몽</v>
      </c>
      <c r="B3977" s="2" t="str">
        <f>IFERROR(__xludf.DUMMYFUNCTION("""COMPUTED_VALUE"""),"모차렐라치즈")</f>
        <v>모차렐라치즈</v>
      </c>
    </row>
    <row r="3978">
      <c r="A3978" s="2" t="str">
        <f>IFERROR(__xludf.DUMMYFUNCTION("""COMPUTED_VALUE"""),"포켓몽")</f>
        <v>포켓몽</v>
      </c>
      <c r="B3978" s="2" t="str">
        <f>IFERROR(__xludf.DUMMYFUNCTION("""COMPUTED_VALUE"""),"크림파스타소스")</f>
        <v>크림파스타소스</v>
      </c>
    </row>
    <row r="3979">
      <c r="A3979" s="2" t="str">
        <f>IFERROR(__xludf.DUMMYFUNCTION("""COMPUTED_VALUE"""),"포켓몽")</f>
        <v>포켓몽</v>
      </c>
      <c r="B3979" s="2" t="str">
        <f>IFERROR(__xludf.DUMMYFUNCTION("""COMPUTED_VALUE"""),"오렌지주스")</f>
        <v>오렌지주스</v>
      </c>
    </row>
    <row r="3980">
      <c r="A3980" s="2" t="str">
        <f>IFERROR(__xludf.DUMMYFUNCTION("""COMPUTED_VALUE"""),"포켓몽")</f>
        <v>포켓몽</v>
      </c>
      <c r="B3980" s="2" t="str">
        <f>IFERROR(__xludf.DUMMYFUNCTION("""COMPUTED_VALUE"""),"우유")</f>
        <v>우유</v>
      </c>
    </row>
    <row r="3981">
      <c r="A3981" s="2" t="str">
        <f>IFERROR(__xludf.DUMMYFUNCTION("""COMPUTED_VALUE"""),"포켓몽")</f>
        <v>포켓몽</v>
      </c>
      <c r="B3981" s="2" t="str">
        <f>IFERROR(__xludf.DUMMYFUNCTION("""COMPUTED_VALUE"""),"당근")</f>
        <v>당근</v>
      </c>
    </row>
    <row r="3982">
      <c r="A3982" s="2" t="str">
        <f>IFERROR(__xludf.DUMMYFUNCTION("""COMPUTED_VALUE"""),"포켓몽")</f>
        <v>포켓몽</v>
      </c>
      <c r="B3982" s="2" t="str">
        <f>IFERROR(__xludf.DUMMYFUNCTION("""COMPUTED_VALUE"""),"레몬")</f>
        <v>레몬</v>
      </c>
    </row>
    <row r="3983">
      <c r="A3983" s="2" t="str">
        <f>IFERROR(__xludf.DUMMYFUNCTION("""COMPUTED_VALUE"""),"포켓몽")</f>
        <v>포켓몽</v>
      </c>
      <c r="B3983" s="2" t="str">
        <f>IFERROR(__xludf.DUMMYFUNCTION("""COMPUTED_VALUE"""),"소금")</f>
        <v>소금</v>
      </c>
    </row>
    <row r="3984">
      <c r="A3984" s="2" t="str">
        <f>IFERROR(__xludf.DUMMYFUNCTION("""COMPUTED_VALUE"""),"포켓몽")</f>
        <v>포켓몽</v>
      </c>
      <c r="B3984" s="2" t="str">
        <f>IFERROR(__xludf.DUMMYFUNCTION("""COMPUTED_VALUE"""),"버터")</f>
        <v>버터</v>
      </c>
    </row>
    <row r="3985">
      <c r="A3985" s="2" t="str">
        <f>IFERROR(__xludf.DUMMYFUNCTION("""COMPUTED_VALUE"""),"포켓몽")</f>
        <v>포켓몽</v>
      </c>
      <c r="B3985" s="2" t="str">
        <f>IFERROR(__xludf.DUMMYFUNCTION("""COMPUTED_VALUE"""),"후추")</f>
        <v>후추</v>
      </c>
    </row>
    <row r="3986">
      <c r="A3986" s="2" t="str">
        <f>IFERROR(__xludf.DUMMYFUNCTION("""COMPUTED_VALUE"""),"포켓몽")</f>
        <v>포켓몽</v>
      </c>
      <c r="B3986" s="2" t="str">
        <f>IFERROR(__xludf.DUMMYFUNCTION("""COMPUTED_VALUE"""),"레드와인")</f>
        <v>레드와인</v>
      </c>
    </row>
    <row r="3987">
      <c r="A3987" s="2" t="str">
        <f>IFERROR(__xludf.DUMMYFUNCTION("""COMPUTED_VALUE"""),"무적 카레레인저")</f>
        <v>무적 카레레인저</v>
      </c>
      <c r="B3987" s="2" t="str">
        <f>IFERROR(__xludf.DUMMYFUNCTION("""COMPUTED_VALUE"""),"인스턴트 카레")</f>
        <v>인스턴트 카레</v>
      </c>
    </row>
    <row r="3988">
      <c r="A3988" s="2" t="str">
        <f>IFERROR(__xludf.DUMMYFUNCTION("""COMPUTED_VALUE"""),"무적 카레레인저")</f>
        <v>무적 카레레인저</v>
      </c>
      <c r="B3988" s="2" t="str">
        <f>IFERROR(__xludf.DUMMYFUNCTION("""COMPUTED_VALUE"""),"연어")</f>
        <v>연어</v>
      </c>
    </row>
    <row r="3989">
      <c r="A3989" s="2" t="str">
        <f>IFERROR(__xludf.DUMMYFUNCTION("""COMPUTED_VALUE"""),"무적 카레레인저")</f>
        <v>무적 카레레인저</v>
      </c>
      <c r="B3989" s="2" t="str">
        <f>IFERROR(__xludf.DUMMYFUNCTION("""COMPUTED_VALUE"""),"망고")</f>
        <v>망고</v>
      </c>
    </row>
    <row r="3990">
      <c r="A3990" s="2" t="str">
        <f>IFERROR(__xludf.DUMMYFUNCTION("""COMPUTED_VALUE"""),"무적 카레레인저")</f>
        <v>무적 카레레인저</v>
      </c>
      <c r="B3990" s="2" t="str">
        <f>IFERROR(__xludf.DUMMYFUNCTION("""COMPUTED_VALUE"""),"브로콜리")</f>
        <v>브로콜리</v>
      </c>
    </row>
    <row r="3991">
      <c r="A3991" s="2" t="str">
        <f>IFERROR(__xludf.DUMMYFUNCTION("""COMPUTED_VALUE"""),"무적 카레레인저")</f>
        <v>무적 카레레인저</v>
      </c>
      <c r="B3991" s="2" t="str">
        <f>IFERROR(__xludf.DUMMYFUNCTION("""COMPUTED_VALUE"""),"사과맛 음용식초")</f>
        <v>사과맛 음용식초</v>
      </c>
    </row>
    <row r="3992">
      <c r="A3992" s="2" t="str">
        <f>IFERROR(__xludf.DUMMYFUNCTION("""COMPUTED_VALUE"""),"무적 카레레인저")</f>
        <v>무적 카레레인저</v>
      </c>
      <c r="B3992" s="2" t="str">
        <f>IFERROR(__xludf.DUMMYFUNCTION("""COMPUTED_VALUE"""),"우유")</f>
        <v>우유</v>
      </c>
    </row>
    <row r="3993">
      <c r="A3993" s="2" t="str">
        <f>IFERROR(__xludf.DUMMYFUNCTION("""COMPUTED_VALUE"""),"무적 카레레인저")</f>
        <v>무적 카레레인저</v>
      </c>
      <c r="B3993" s="2" t="str">
        <f>IFERROR(__xludf.DUMMYFUNCTION("""COMPUTED_VALUE"""),"크림파스타소스")</f>
        <v>크림파스타소스</v>
      </c>
    </row>
    <row r="3994">
      <c r="A3994" s="2" t="str">
        <f>IFERROR(__xludf.DUMMYFUNCTION("""COMPUTED_VALUE"""),"무적 카레레인저")</f>
        <v>무적 카레레인저</v>
      </c>
      <c r="B3994" s="2" t="str">
        <f>IFERROR(__xludf.DUMMYFUNCTION("""COMPUTED_VALUE"""),"미역")</f>
        <v>미역</v>
      </c>
    </row>
    <row r="3995">
      <c r="A3995" s="2" t="str">
        <f>IFERROR(__xludf.DUMMYFUNCTION("""COMPUTED_VALUE"""),"무적 카레레인저")</f>
        <v>무적 카레레인저</v>
      </c>
      <c r="B3995" s="2" t="str">
        <f>IFERROR(__xludf.DUMMYFUNCTION("""COMPUTED_VALUE"""),"대파")</f>
        <v>대파</v>
      </c>
    </row>
    <row r="3996">
      <c r="A3996" s="2" t="str">
        <f>IFERROR(__xludf.DUMMYFUNCTION("""COMPUTED_VALUE"""),"무적 카레레인저")</f>
        <v>무적 카레레인저</v>
      </c>
      <c r="B3996" s="2" t="str">
        <f>IFERROR(__xludf.DUMMYFUNCTION("""COMPUTED_VALUE"""),"양파")</f>
        <v>양파</v>
      </c>
    </row>
    <row r="3997">
      <c r="A3997" s="2" t="str">
        <f>IFERROR(__xludf.DUMMYFUNCTION("""COMPUTED_VALUE"""),"무적 카레레인저")</f>
        <v>무적 카레레인저</v>
      </c>
      <c r="B3997" s="2" t="str">
        <f>IFERROR(__xludf.DUMMYFUNCTION("""COMPUTED_VALUE"""),"다진 생강")</f>
        <v>다진 생강</v>
      </c>
    </row>
    <row r="3998">
      <c r="A3998" s="2" t="str">
        <f>IFERROR(__xludf.DUMMYFUNCTION("""COMPUTED_VALUE"""),"무적 카레레인저")</f>
        <v>무적 카레레인저</v>
      </c>
      <c r="B3998" s="2" t="str">
        <f>IFERROR(__xludf.DUMMYFUNCTION("""COMPUTED_VALUE"""),"즉석밥")</f>
        <v>즉석밥</v>
      </c>
    </row>
    <row r="3999">
      <c r="A3999" s="2" t="str">
        <f>IFERROR(__xludf.DUMMYFUNCTION("""COMPUTED_VALUE"""),"무적 카레레인저")</f>
        <v>무적 카레레인저</v>
      </c>
      <c r="B3999" s="2" t="str">
        <f>IFERROR(__xludf.DUMMYFUNCTION("""COMPUTED_VALUE"""),"후추")</f>
        <v>후추</v>
      </c>
    </row>
    <row r="4000">
      <c r="A4000" s="2" t="str">
        <f>IFERROR(__xludf.DUMMYFUNCTION("""COMPUTED_VALUE"""),"무적 카레레인저")</f>
        <v>무적 카레레인저</v>
      </c>
      <c r="B4000" s="2" t="str">
        <f>IFERROR(__xludf.DUMMYFUNCTION("""COMPUTED_VALUE"""),"소금")</f>
        <v>소금</v>
      </c>
    </row>
    <row r="4001">
      <c r="A4001" s="2" t="str">
        <f>IFERROR(__xludf.DUMMYFUNCTION("""COMPUTED_VALUE"""),"무적 카레레인저")</f>
        <v>무적 카레레인저</v>
      </c>
      <c r="B4001" s="2" t="str">
        <f>IFERROR(__xludf.DUMMYFUNCTION("""COMPUTED_VALUE"""),"참기름")</f>
        <v>참기름</v>
      </c>
    </row>
    <row r="4002">
      <c r="A4002" s="2" t="str">
        <f>IFERROR(__xludf.DUMMYFUNCTION("""COMPUTED_VALUE"""),"무적 카레레인저")</f>
        <v>무적 카레레인저</v>
      </c>
      <c r="B4002" s="2" t="str">
        <f>IFERROR(__xludf.DUMMYFUNCTION("""COMPUTED_VALUE"""),"간장")</f>
        <v>간장</v>
      </c>
    </row>
    <row r="4003">
      <c r="A4003" s="2" t="str">
        <f>IFERROR(__xludf.DUMMYFUNCTION("""COMPUTED_VALUE"""),"무적 카레레인저")</f>
        <v>무적 카레레인저</v>
      </c>
      <c r="B4003" s="2" t="str">
        <f>IFERROR(__xludf.DUMMYFUNCTION("""COMPUTED_VALUE"""),"버터")</f>
        <v>버터</v>
      </c>
    </row>
    <row r="4004">
      <c r="A4004" s="2" t="str">
        <f>IFERROR(__xludf.DUMMYFUNCTION("""COMPUTED_VALUE"""),"무적 카레레인저")</f>
        <v>무적 카레레인저</v>
      </c>
      <c r="B4004" s="2" t="str">
        <f>IFERROR(__xludf.DUMMYFUNCTION("""COMPUTED_VALUE"""),"고춧가루")</f>
        <v>고춧가루</v>
      </c>
    </row>
    <row r="4005">
      <c r="A4005" s="2" t="str">
        <f>IFERROR(__xludf.DUMMYFUNCTION("""COMPUTED_VALUE"""),"민들레 만들래")</f>
        <v>민들레 만들래</v>
      </c>
      <c r="B4005" s="2" t="str">
        <f>IFERROR(__xludf.DUMMYFUNCTION("""COMPUTED_VALUE"""),"민들레")</f>
        <v>민들레</v>
      </c>
    </row>
    <row r="4006">
      <c r="A4006" s="2" t="str">
        <f>IFERROR(__xludf.DUMMYFUNCTION("""COMPUTED_VALUE"""),"민들레 만들래")</f>
        <v>민들레 만들래</v>
      </c>
      <c r="B4006" s="2" t="str">
        <f>IFERROR(__xludf.DUMMYFUNCTION("""COMPUTED_VALUE"""),"닭가슴살")</f>
        <v>닭가슴살</v>
      </c>
    </row>
    <row r="4007">
      <c r="A4007" s="2" t="str">
        <f>IFERROR(__xludf.DUMMYFUNCTION("""COMPUTED_VALUE"""),"민들레 만들래")</f>
        <v>민들레 만들래</v>
      </c>
      <c r="B4007" s="2" t="str">
        <f>IFERROR(__xludf.DUMMYFUNCTION("""COMPUTED_VALUE"""),"달걀")</f>
        <v>달걀</v>
      </c>
    </row>
    <row r="4008">
      <c r="A4008" s="2" t="str">
        <f>IFERROR(__xludf.DUMMYFUNCTION("""COMPUTED_VALUE"""),"민들레 만들래")</f>
        <v>민들레 만들래</v>
      </c>
      <c r="B4008" s="2" t="str">
        <f>IFERROR(__xludf.DUMMYFUNCTION("""COMPUTED_VALUE"""),"모차렐라 치즈")</f>
        <v>모차렐라 치즈</v>
      </c>
    </row>
    <row r="4009">
      <c r="A4009" s="2" t="str">
        <f>IFERROR(__xludf.DUMMYFUNCTION("""COMPUTED_VALUE"""),"민들레 만들래")</f>
        <v>민들레 만들래</v>
      </c>
      <c r="B4009" s="2" t="str">
        <f>IFERROR(__xludf.DUMMYFUNCTION("""COMPUTED_VALUE"""),"애호박")</f>
        <v>애호박</v>
      </c>
    </row>
    <row r="4010">
      <c r="A4010" s="2" t="str">
        <f>IFERROR(__xludf.DUMMYFUNCTION("""COMPUTED_VALUE"""),"민들레 만들래")</f>
        <v>민들레 만들래</v>
      </c>
      <c r="B4010" s="2" t="str">
        <f>IFERROR(__xludf.DUMMYFUNCTION("""COMPUTED_VALUE"""),"오이")</f>
        <v>오이</v>
      </c>
    </row>
    <row r="4011">
      <c r="A4011" s="2" t="str">
        <f>IFERROR(__xludf.DUMMYFUNCTION("""COMPUTED_VALUE"""),"민들레 만들래")</f>
        <v>민들레 만들래</v>
      </c>
      <c r="B4011" s="2" t="str">
        <f>IFERROR(__xludf.DUMMYFUNCTION("""COMPUTED_VALUE"""),"토마토")</f>
        <v>토마토</v>
      </c>
    </row>
    <row r="4012">
      <c r="A4012" s="2" t="str">
        <f>IFERROR(__xludf.DUMMYFUNCTION("""COMPUTED_VALUE"""),"민들레 만들래")</f>
        <v>민들레 만들래</v>
      </c>
      <c r="B4012" s="2" t="str">
        <f>IFERROR(__xludf.DUMMYFUNCTION("""COMPUTED_VALUE"""),"레몬")</f>
        <v>레몬</v>
      </c>
    </row>
    <row r="4013">
      <c r="A4013" s="2" t="str">
        <f>IFERROR(__xludf.DUMMYFUNCTION("""COMPUTED_VALUE"""),"민들레 만들래")</f>
        <v>민들레 만들래</v>
      </c>
      <c r="B4013" s="2" t="str">
        <f>IFERROR(__xludf.DUMMYFUNCTION("""COMPUTED_VALUE"""),"후추")</f>
        <v>후추</v>
      </c>
    </row>
    <row r="4014">
      <c r="A4014" s="2" t="str">
        <f>IFERROR(__xludf.DUMMYFUNCTION("""COMPUTED_VALUE"""),"민들레 만들래")</f>
        <v>민들레 만들래</v>
      </c>
      <c r="B4014" s="2" t="str">
        <f>IFERROR(__xludf.DUMMYFUNCTION("""COMPUTED_VALUE"""),"소금")</f>
        <v>소금</v>
      </c>
    </row>
    <row r="4015">
      <c r="A4015" s="2" t="str">
        <f>IFERROR(__xludf.DUMMYFUNCTION("""COMPUTED_VALUE"""),"민들레 만들래")</f>
        <v>민들레 만들래</v>
      </c>
      <c r="B4015" s="2" t="str">
        <f>IFERROR(__xludf.DUMMYFUNCTION("""COMPUTED_VALUE"""),"밀가루")</f>
        <v>밀가루</v>
      </c>
    </row>
    <row r="4016">
      <c r="A4016" s="2" t="str">
        <f>IFERROR(__xludf.DUMMYFUNCTION("""COMPUTED_VALUE"""),"민들레 만들래")</f>
        <v>민들레 만들래</v>
      </c>
      <c r="B4016" s="2" t="str">
        <f>IFERROR(__xludf.DUMMYFUNCTION("""COMPUTED_VALUE"""),"올리브오일")</f>
        <v>올리브오일</v>
      </c>
    </row>
    <row r="4017">
      <c r="A4017" s="2" t="str">
        <f>IFERROR(__xludf.DUMMYFUNCTION("""COMPUTED_VALUE"""),"자반 방아를 돌려라")</f>
        <v>자반 방아를 돌려라</v>
      </c>
      <c r="B4017" s="2" t="str">
        <f>IFERROR(__xludf.DUMMYFUNCTION("""COMPUTED_VALUE"""),"자반고등어")</f>
        <v>자반고등어</v>
      </c>
    </row>
    <row r="4018">
      <c r="A4018" s="2" t="str">
        <f>IFERROR(__xludf.DUMMYFUNCTION("""COMPUTED_VALUE"""),"자반 방아를 돌려라")</f>
        <v>자반 방아를 돌려라</v>
      </c>
      <c r="B4018" s="2" t="str">
        <f>IFERROR(__xludf.DUMMYFUNCTION("""COMPUTED_VALUE"""),"방아잎")</f>
        <v>방아잎</v>
      </c>
    </row>
    <row r="4019">
      <c r="A4019" s="2" t="str">
        <f>IFERROR(__xludf.DUMMYFUNCTION("""COMPUTED_VALUE"""),"자반 방아를 돌려라")</f>
        <v>자반 방아를 돌려라</v>
      </c>
      <c r="B4019" s="2" t="str">
        <f>IFERROR(__xludf.DUMMYFUNCTION("""COMPUTED_VALUE"""),"애호박")</f>
        <v>애호박</v>
      </c>
    </row>
    <row r="4020">
      <c r="A4020" s="2" t="str">
        <f>IFERROR(__xludf.DUMMYFUNCTION("""COMPUTED_VALUE"""),"자반 방아를 돌려라")</f>
        <v>자반 방아를 돌려라</v>
      </c>
      <c r="B4020" s="2" t="str">
        <f>IFERROR(__xludf.DUMMYFUNCTION("""COMPUTED_VALUE"""),"파인애플")</f>
        <v>파인애플</v>
      </c>
    </row>
    <row r="4021">
      <c r="A4021" s="2" t="str">
        <f>IFERROR(__xludf.DUMMYFUNCTION("""COMPUTED_VALUE"""),"자반 방아를 돌려라")</f>
        <v>자반 방아를 돌려라</v>
      </c>
      <c r="B4021" s="2" t="str">
        <f>IFERROR(__xludf.DUMMYFUNCTION("""COMPUTED_VALUE"""),"오징어")</f>
        <v>오징어</v>
      </c>
    </row>
    <row r="4022">
      <c r="A4022" s="2" t="str">
        <f>IFERROR(__xludf.DUMMYFUNCTION("""COMPUTED_VALUE"""),"자반 방아를 돌려라")</f>
        <v>자반 방아를 돌려라</v>
      </c>
      <c r="B4022" s="2" t="str">
        <f>IFERROR(__xludf.DUMMYFUNCTION("""COMPUTED_VALUE"""),"톰얌페이스트")</f>
        <v>톰얌페이스트</v>
      </c>
    </row>
    <row r="4023">
      <c r="A4023" s="2" t="str">
        <f>IFERROR(__xludf.DUMMYFUNCTION("""COMPUTED_VALUE"""),"자반 방아를 돌려라")</f>
        <v>자반 방아를 돌려라</v>
      </c>
      <c r="B4023" s="2" t="str">
        <f>IFERROR(__xludf.DUMMYFUNCTION("""COMPUTED_VALUE"""),"오이")</f>
        <v>오이</v>
      </c>
    </row>
    <row r="4024">
      <c r="A4024" s="2" t="str">
        <f>IFERROR(__xludf.DUMMYFUNCTION("""COMPUTED_VALUE"""),"자반 방아를 돌려라")</f>
        <v>자반 방아를 돌려라</v>
      </c>
      <c r="B4024" s="2" t="str">
        <f>IFERROR(__xludf.DUMMYFUNCTION("""COMPUTED_VALUE"""),"대게육수")</f>
        <v>대게육수</v>
      </c>
    </row>
    <row r="4025">
      <c r="A4025" s="2" t="str">
        <f>IFERROR(__xludf.DUMMYFUNCTION("""COMPUTED_VALUE"""),"자반 방아를 돌려라")</f>
        <v>자반 방아를 돌려라</v>
      </c>
      <c r="B4025" s="2" t="str">
        <f>IFERROR(__xludf.DUMMYFUNCTION("""COMPUTED_VALUE"""),"레몬")</f>
        <v>레몬</v>
      </c>
    </row>
    <row r="4026">
      <c r="A4026" s="2" t="str">
        <f>IFERROR(__xludf.DUMMYFUNCTION("""COMPUTED_VALUE"""),"자반 방아를 돌려라")</f>
        <v>자반 방아를 돌려라</v>
      </c>
      <c r="B4026" s="2" t="str">
        <f>IFERROR(__xludf.DUMMYFUNCTION("""COMPUTED_VALUE"""),"고추")</f>
        <v>고추</v>
      </c>
    </row>
    <row r="4027">
      <c r="A4027" s="2" t="str">
        <f>IFERROR(__xludf.DUMMYFUNCTION("""COMPUTED_VALUE"""),"자반 방아를 돌려라")</f>
        <v>자반 방아를 돌려라</v>
      </c>
      <c r="B4027" s="2" t="str">
        <f>IFERROR(__xludf.DUMMYFUNCTION("""COMPUTED_VALUE"""),"양파")</f>
        <v>양파</v>
      </c>
    </row>
    <row r="4028">
      <c r="A4028" s="2" t="str">
        <f>IFERROR(__xludf.DUMMYFUNCTION("""COMPUTED_VALUE"""),"자반 방아를 돌려라")</f>
        <v>자반 방아를 돌려라</v>
      </c>
      <c r="B4028" s="2" t="str">
        <f>IFERROR(__xludf.DUMMYFUNCTION("""COMPUTED_VALUE"""),"다진 마늘")</f>
        <v>다진 마늘</v>
      </c>
    </row>
    <row r="4029">
      <c r="A4029" s="2" t="str">
        <f>IFERROR(__xludf.DUMMYFUNCTION("""COMPUTED_VALUE"""),"자반 방아를 돌려라")</f>
        <v>자반 방아를 돌려라</v>
      </c>
      <c r="B4029" s="2" t="str">
        <f>IFERROR(__xludf.DUMMYFUNCTION("""COMPUTED_VALUE"""),"올리브오일")</f>
        <v>올리브오일</v>
      </c>
    </row>
    <row r="4030">
      <c r="A4030" s="2" t="str">
        <f>IFERROR(__xludf.DUMMYFUNCTION("""COMPUTED_VALUE"""),"자반 방아를 돌려라")</f>
        <v>자반 방아를 돌려라</v>
      </c>
      <c r="B4030" s="2" t="str">
        <f>IFERROR(__xludf.DUMMYFUNCTION("""COMPUTED_VALUE"""),"후추")</f>
        <v>후추</v>
      </c>
    </row>
    <row r="4031">
      <c r="A4031" s="2" t="str">
        <f>IFERROR(__xludf.DUMMYFUNCTION("""COMPUTED_VALUE"""),"다말았씨유")</f>
        <v>다말았씨유</v>
      </c>
      <c r="B4031" s="2" t="str">
        <f>IFERROR(__xludf.DUMMYFUNCTION("""COMPUTED_VALUE"""),"핫바")</f>
        <v>핫바</v>
      </c>
    </row>
    <row r="4032">
      <c r="A4032" s="2" t="str">
        <f>IFERROR(__xludf.DUMMYFUNCTION("""COMPUTED_VALUE"""),"다말았씨유")</f>
        <v>다말았씨유</v>
      </c>
      <c r="B4032" s="2" t="str">
        <f>IFERROR(__xludf.DUMMYFUNCTION("""COMPUTED_VALUE"""),"인스턴트 불닭 볶음밥")</f>
        <v>인스턴트 불닭 볶음밥</v>
      </c>
    </row>
    <row r="4033">
      <c r="A4033" s="2" t="str">
        <f>IFERROR(__xludf.DUMMYFUNCTION("""COMPUTED_VALUE"""),"다말았씨유")</f>
        <v>다말았씨유</v>
      </c>
      <c r="B4033" s="2" t="str">
        <f>IFERROR(__xludf.DUMMYFUNCTION("""COMPUTED_VALUE"""),"스트링 치즈")</f>
        <v>스트링 치즈</v>
      </c>
    </row>
    <row r="4034">
      <c r="A4034" s="2" t="str">
        <f>IFERROR(__xludf.DUMMYFUNCTION("""COMPUTED_VALUE"""),"다말았씨유")</f>
        <v>다말았씨유</v>
      </c>
      <c r="B4034" s="2" t="str">
        <f>IFERROR(__xludf.DUMMYFUNCTION("""COMPUTED_VALUE"""),"사과")</f>
        <v>사과</v>
      </c>
    </row>
    <row r="4035">
      <c r="A4035" s="2" t="str">
        <f>IFERROR(__xludf.DUMMYFUNCTION("""COMPUTED_VALUE"""),"다말았씨유")</f>
        <v>다말았씨유</v>
      </c>
      <c r="B4035" s="2" t="str">
        <f>IFERROR(__xludf.DUMMYFUNCTION("""COMPUTED_VALUE"""),"명이나물 장아찌")</f>
        <v>명이나물 장아찌</v>
      </c>
    </row>
    <row r="4036">
      <c r="A4036" s="2" t="str">
        <f>IFERROR(__xludf.DUMMYFUNCTION("""COMPUTED_VALUE"""),"다말았씨유")</f>
        <v>다말았씨유</v>
      </c>
      <c r="B4036" s="2" t="str">
        <f>IFERROR(__xludf.DUMMYFUNCTION("""COMPUTED_VALUE"""),"참깨&amp;흑임자 드레싱")</f>
        <v>참깨&amp;흑임자 드레싱</v>
      </c>
    </row>
    <row r="4037">
      <c r="A4037" s="2" t="str">
        <f>IFERROR(__xludf.DUMMYFUNCTION("""COMPUTED_VALUE"""),"다말았씨유")</f>
        <v>다말았씨유</v>
      </c>
      <c r="B4037" s="2" t="str">
        <f>IFERROR(__xludf.DUMMYFUNCTION("""COMPUTED_VALUE"""),"스위트칠리소스")</f>
        <v>스위트칠리소스</v>
      </c>
    </row>
    <row r="4038">
      <c r="A4038" s="2" t="str">
        <f>IFERROR(__xludf.DUMMYFUNCTION("""COMPUTED_VALUE"""),"다말았씨유")</f>
        <v>다말았씨유</v>
      </c>
      <c r="B4038" s="2" t="str">
        <f>IFERROR(__xludf.DUMMYFUNCTION("""COMPUTED_VALUE"""),"밀가루")</f>
        <v>밀가루</v>
      </c>
    </row>
    <row r="4039">
      <c r="A4039" s="2" t="str">
        <f>IFERROR(__xludf.DUMMYFUNCTION("""COMPUTED_VALUE"""),"다말았씨유")</f>
        <v>다말았씨유</v>
      </c>
      <c r="B4039" s="2" t="str">
        <f>IFERROR(__xludf.DUMMYFUNCTION("""COMPUTED_VALUE"""),"소금")</f>
        <v>소금</v>
      </c>
    </row>
    <row r="4040">
      <c r="A4040" s="2" t="str">
        <f>IFERROR(__xludf.DUMMYFUNCTION("""COMPUTED_VALUE"""),"다말았씨유")</f>
        <v>다말았씨유</v>
      </c>
      <c r="B4040" s="2" t="str">
        <f>IFERROR(__xludf.DUMMYFUNCTION("""COMPUTED_VALUE"""),"대파")</f>
        <v>대파</v>
      </c>
    </row>
    <row r="4041">
      <c r="A4041" s="2" t="str">
        <f>IFERROR(__xludf.DUMMYFUNCTION("""COMPUTED_VALUE"""),"다말았씨유")</f>
        <v>다말았씨유</v>
      </c>
      <c r="B4041" s="2" t="str">
        <f>IFERROR(__xludf.DUMMYFUNCTION("""COMPUTED_VALUE"""),"양파")</f>
        <v>양파</v>
      </c>
    </row>
    <row r="4042">
      <c r="A4042" s="2" t="str">
        <f>IFERROR(__xludf.DUMMYFUNCTION("""COMPUTED_VALUE"""),"다말았씨유")</f>
        <v>다말았씨유</v>
      </c>
      <c r="B4042" s="2" t="str">
        <f>IFERROR(__xludf.DUMMYFUNCTION("""COMPUTED_VALUE"""),"달걀")</f>
        <v>달걀</v>
      </c>
    </row>
    <row r="4043">
      <c r="A4043" s="2" t="str">
        <f>IFERROR(__xludf.DUMMYFUNCTION("""COMPUTED_VALUE"""),"다말았씨유")</f>
        <v>다말았씨유</v>
      </c>
      <c r="B4043" s="2" t="str">
        <f>IFERROR(__xludf.DUMMYFUNCTION("""COMPUTED_VALUE"""),"케첩")</f>
        <v>케첩</v>
      </c>
    </row>
    <row r="4044">
      <c r="A4044" s="2" t="str">
        <f>IFERROR(__xludf.DUMMYFUNCTION("""COMPUTED_VALUE"""),"다말았씨유")</f>
        <v>다말았씨유</v>
      </c>
      <c r="B4044" s="2" t="str">
        <f>IFERROR(__xludf.DUMMYFUNCTION("""COMPUTED_VALUE"""),"참기름")</f>
        <v>참기름</v>
      </c>
    </row>
    <row r="4045">
      <c r="A4045" s="2" t="str">
        <f>IFERROR(__xludf.DUMMYFUNCTION("""COMPUTED_VALUE"""),"닭.된.겨")</f>
        <v>닭.된.겨</v>
      </c>
      <c r="B4045" s="2" t="str">
        <f>IFERROR(__xludf.DUMMYFUNCTION("""COMPUTED_VALUE"""),"훈제닭가슴살")</f>
        <v>훈제닭가슴살</v>
      </c>
    </row>
    <row r="4046">
      <c r="A4046" s="2" t="str">
        <f>IFERROR(__xludf.DUMMYFUNCTION("""COMPUTED_VALUE"""),"닭.된.겨")</f>
        <v>닭.된.겨</v>
      </c>
      <c r="B4046" s="2" t="str">
        <f>IFERROR(__xludf.DUMMYFUNCTION("""COMPUTED_VALUE"""),"간장")</f>
        <v>간장</v>
      </c>
    </row>
    <row r="4047">
      <c r="A4047" s="2" t="str">
        <f>IFERROR(__xludf.DUMMYFUNCTION("""COMPUTED_VALUE"""),"닭.된.겨")</f>
        <v>닭.된.겨</v>
      </c>
      <c r="B4047" s="2" t="str">
        <f>IFERROR(__xludf.DUMMYFUNCTION("""COMPUTED_VALUE"""),"대파")</f>
        <v>대파</v>
      </c>
    </row>
    <row r="4048">
      <c r="A4048" s="2" t="str">
        <f>IFERROR(__xludf.DUMMYFUNCTION("""COMPUTED_VALUE"""),"닭.된.겨")</f>
        <v>닭.된.겨</v>
      </c>
      <c r="B4048" s="2" t="str">
        <f>IFERROR(__xludf.DUMMYFUNCTION("""COMPUTED_VALUE"""),"고추")</f>
        <v>고추</v>
      </c>
    </row>
    <row r="4049">
      <c r="A4049" s="2" t="str">
        <f>IFERROR(__xludf.DUMMYFUNCTION("""COMPUTED_VALUE"""),"닭.된.겨")</f>
        <v>닭.된.겨</v>
      </c>
      <c r="B4049" s="2" t="str">
        <f>IFERROR(__xludf.DUMMYFUNCTION("""COMPUTED_VALUE"""),"마늘")</f>
        <v>마늘</v>
      </c>
    </row>
    <row r="4050">
      <c r="A4050" s="2" t="str">
        <f>IFERROR(__xludf.DUMMYFUNCTION("""COMPUTED_VALUE"""),"닭.된.겨")</f>
        <v>닭.된.겨</v>
      </c>
      <c r="B4050" s="2" t="str">
        <f>IFERROR(__xludf.DUMMYFUNCTION("""COMPUTED_VALUE"""),"된장")</f>
        <v>된장</v>
      </c>
    </row>
    <row r="4051">
      <c r="A4051" s="2" t="str">
        <f>IFERROR(__xludf.DUMMYFUNCTION("""COMPUTED_VALUE"""),"닭.된.겨")</f>
        <v>닭.된.겨</v>
      </c>
      <c r="B4051" s="2" t="str">
        <f>IFERROR(__xludf.DUMMYFUNCTION("""COMPUTED_VALUE"""),"달걀")</f>
        <v>달걀</v>
      </c>
    </row>
    <row r="4052">
      <c r="A4052" s="2" t="str">
        <f>IFERROR(__xludf.DUMMYFUNCTION("""COMPUTED_VALUE"""),"닭.된.겨")</f>
        <v>닭.된.겨</v>
      </c>
      <c r="B4052" s="2" t="str">
        <f>IFERROR(__xludf.DUMMYFUNCTION("""COMPUTED_VALUE"""),"연겨자")</f>
        <v>연겨자</v>
      </c>
    </row>
    <row r="4053">
      <c r="A4053" s="2" t="str">
        <f>IFERROR(__xludf.DUMMYFUNCTION("""COMPUTED_VALUE"""),"닭.된.겨")</f>
        <v>닭.된.겨</v>
      </c>
      <c r="B4053" s="2" t="str">
        <f>IFERROR(__xludf.DUMMYFUNCTION("""COMPUTED_VALUE"""),"설탕")</f>
        <v>설탕</v>
      </c>
    </row>
    <row r="4054">
      <c r="A4054" s="2" t="str">
        <f>IFERROR(__xludf.DUMMYFUNCTION("""COMPUTED_VALUE"""),"닭.된.겨")</f>
        <v>닭.된.겨</v>
      </c>
      <c r="B4054" s="2" t="str">
        <f>IFERROR(__xludf.DUMMYFUNCTION("""COMPUTED_VALUE"""),"레몬")</f>
        <v>레몬</v>
      </c>
    </row>
    <row r="4055">
      <c r="A4055" s="2" t="str">
        <f>IFERROR(__xludf.DUMMYFUNCTION("""COMPUTED_VALUE"""),"닭.된.겨")</f>
        <v>닭.된.겨</v>
      </c>
      <c r="B4055" s="2" t="str">
        <f>IFERROR(__xludf.DUMMYFUNCTION("""COMPUTED_VALUE"""),"깨")</f>
        <v>깨</v>
      </c>
    </row>
    <row r="4056">
      <c r="A4056" s="2" t="str">
        <f>IFERROR(__xludf.DUMMYFUNCTION("""COMPUTED_VALUE"""),"애플리케이크")</f>
        <v>애플리케이크</v>
      </c>
      <c r="B4056" s="2" t="str">
        <f>IFERROR(__xludf.DUMMYFUNCTION("""COMPUTED_VALUE"""),"사과")</f>
        <v>사과</v>
      </c>
    </row>
    <row r="4057">
      <c r="A4057" s="2" t="str">
        <f>IFERROR(__xludf.DUMMYFUNCTION("""COMPUTED_VALUE"""),"애플리케이크")</f>
        <v>애플리케이크</v>
      </c>
      <c r="B4057" s="2" t="str">
        <f>IFERROR(__xludf.DUMMYFUNCTION("""COMPUTED_VALUE"""),"건빵")</f>
        <v>건빵</v>
      </c>
    </row>
    <row r="4058">
      <c r="A4058" s="2" t="str">
        <f>IFERROR(__xludf.DUMMYFUNCTION("""COMPUTED_VALUE"""),"애플리케이크")</f>
        <v>애플리케이크</v>
      </c>
      <c r="B4058" s="2" t="str">
        <f>IFERROR(__xludf.DUMMYFUNCTION("""COMPUTED_VALUE"""),"버터쿠키")</f>
        <v>버터쿠키</v>
      </c>
    </row>
    <row r="4059">
      <c r="A4059" s="2" t="str">
        <f>IFERROR(__xludf.DUMMYFUNCTION("""COMPUTED_VALUE"""),"애플리케이크")</f>
        <v>애플리케이크</v>
      </c>
      <c r="B4059" s="2" t="str">
        <f>IFERROR(__xludf.DUMMYFUNCTION("""COMPUTED_VALUE"""),"맛밤")</f>
        <v>맛밤</v>
      </c>
    </row>
    <row r="4060">
      <c r="A4060" s="2" t="str">
        <f>IFERROR(__xludf.DUMMYFUNCTION("""COMPUTED_VALUE"""),"애플리케이크")</f>
        <v>애플리케이크</v>
      </c>
      <c r="B4060" s="2" t="str">
        <f>IFERROR(__xludf.DUMMYFUNCTION("""COMPUTED_VALUE"""),"우유")</f>
        <v>우유</v>
      </c>
    </row>
    <row r="4061">
      <c r="A4061" s="2" t="str">
        <f>IFERROR(__xludf.DUMMYFUNCTION("""COMPUTED_VALUE"""),"애플리케이크")</f>
        <v>애플리케이크</v>
      </c>
      <c r="B4061" s="2" t="str">
        <f>IFERROR(__xludf.DUMMYFUNCTION("""COMPUTED_VALUE"""),"설탕")</f>
        <v>설탕</v>
      </c>
    </row>
    <row r="4062">
      <c r="A4062" s="2" t="str">
        <f>IFERROR(__xludf.DUMMYFUNCTION("""COMPUTED_VALUE"""),"애플리케이크")</f>
        <v>애플리케이크</v>
      </c>
      <c r="B4062" s="2" t="str">
        <f>IFERROR(__xludf.DUMMYFUNCTION("""COMPUTED_VALUE"""),"밀가루")</f>
        <v>밀가루</v>
      </c>
    </row>
    <row r="4063">
      <c r="A4063" s="2" t="str">
        <f>IFERROR(__xludf.DUMMYFUNCTION("""COMPUTED_VALUE"""),"애플리케이크")</f>
        <v>애플리케이크</v>
      </c>
      <c r="B4063" s="2" t="str">
        <f>IFERROR(__xludf.DUMMYFUNCTION("""COMPUTED_VALUE"""),"달걀")</f>
        <v>달걀</v>
      </c>
    </row>
    <row r="4064">
      <c r="A4064" s="2" t="str">
        <f>IFERROR(__xludf.DUMMYFUNCTION("""COMPUTED_VALUE"""),"본능족으로")</f>
        <v>본능족으로</v>
      </c>
      <c r="B4064" s="2" t="str">
        <f>IFERROR(__xludf.DUMMYFUNCTION("""COMPUTED_VALUE"""),"족발")</f>
        <v>족발</v>
      </c>
    </row>
    <row r="4065">
      <c r="A4065" s="2" t="str">
        <f>IFERROR(__xludf.DUMMYFUNCTION("""COMPUTED_VALUE"""),"본능족으로")</f>
        <v>본능족으로</v>
      </c>
      <c r="B4065" s="2" t="str">
        <f>IFERROR(__xludf.DUMMYFUNCTION("""COMPUTED_VALUE"""),"감자샐러드")</f>
        <v>감자샐러드</v>
      </c>
    </row>
    <row r="4066">
      <c r="A4066" s="2" t="str">
        <f>IFERROR(__xludf.DUMMYFUNCTION("""COMPUTED_VALUE"""),"본능족으로")</f>
        <v>본능족으로</v>
      </c>
      <c r="B4066" s="2" t="str">
        <f>IFERROR(__xludf.DUMMYFUNCTION("""COMPUTED_VALUE"""),"매운맛 감자칩")</f>
        <v>매운맛 감자칩</v>
      </c>
    </row>
    <row r="4067">
      <c r="A4067" s="2" t="str">
        <f>IFERROR(__xludf.DUMMYFUNCTION("""COMPUTED_VALUE"""),"본능족으로")</f>
        <v>본능족으로</v>
      </c>
      <c r="B4067" s="2" t="str">
        <f>IFERROR(__xludf.DUMMYFUNCTION("""COMPUTED_VALUE"""),"건빵")</f>
        <v>건빵</v>
      </c>
    </row>
    <row r="4068">
      <c r="A4068" s="2" t="str">
        <f>IFERROR(__xludf.DUMMYFUNCTION("""COMPUTED_VALUE"""),"본능족으로")</f>
        <v>본능족으로</v>
      </c>
      <c r="B4068" s="2" t="str">
        <f>IFERROR(__xludf.DUMMYFUNCTION("""COMPUTED_VALUE"""),"사과")</f>
        <v>사과</v>
      </c>
    </row>
    <row r="4069">
      <c r="A4069" s="2" t="str">
        <f>IFERROR(__xludf.DUMMYFUNCTION("""COMPUTED_VALUE"""),"본능족으로")</f>
        <v>본능족으로</v>
      </c>
      <c r="B4069" s="2" t="str">
        <f>IFERROR(__xludf.DUMMYFUNCTION("""COMPUTED_VALUE"""),"스트링 치즈")</f>
        <v>스트링 치즈</v>
      </c>
    </row>
    <row r="4070">
      <c r="A4070" s="2" t="str">
        <f>IFERROR(__xludf.DUMMYFUNCTION("""COMPUTED_VALUE"""),"본능족으로")</f>
        <v>본능족으로</v>
      </c>
      <c r="B4070" s="2" t="str">
        <f>IFERROR(__xludf.DUMMYFUNCTION("""COMPUTED_VALUE"""),"해바라기씨")</f>
        <v>해바라기씨</v>
      </c>
    </row>
    <row r="4071">
      <c r="A4071" s="2" t="str">
        <f>IFERROR(__xludf.DUMMYFUNCTION("""COMPUTED_VALUE"""),"본능족으로")</f>
        <v>본능족으로</v>
      </c>
      <c r="B4071" s="2" t="str">
        <f>IFERROR(__xludf.DUMMYFUNCTION("""COMPUTED_VALUE"""),"갈릭디핑소스")</f>
        <v>갈릭디핑소스</v>
      </c>
    </row>
    <row r="4072">
      <c r="A4072" s="2" t="str">
        <f>IFERROR(__xludf.DUMMYFUNCTION("""COMPUTED_VALUE"""),"본능족으로")</f>
        <v>본능족으로</v>
      </c>
      <c r="B4072" s="2" t="str">
        <f>IFERROR(__xludf.DUMMYFUNCTION("""COMPUTED_VALUE"""),"스위트칠리소스")</f>
        <v>스위트칠리소스</v>
      </c>
    </row>
    <row r="4073">
      <c r="A4073" s="2" t="str">
        <f>IFERROR(__xludf.DUMMYFUNCTION("""COMPUTED_VALUE"""),"본능족으로")</f>
        <v>본능족으로</v>
      </c>
      <c r="B4073" s="2" t="str">
        <f>IFERROR(__xludf.DUMMYFUNCTION("""COMPUTED_VALUE"""),"레몬")</f>
        <v>레몬</v>
      </c>
    </row>
    <row r="4074">
      <c r="A4074" s="2" t="str">
        <f>IFERROR(__xludf.DUMMYFUNCTION("""COMPUTED_VALUE"""),"본능족으로")</f>
        <v>본능족으로</v>
      </c>
      <c r="B4074" s="2" t="str">
        <f>IFERROR(__xludf.DUMMYFUNCTION("""COMPUTED_VALUE"""),"후추")</f>
        <v>후추</v>
      </c>
    </row>
    <row r="4075">
      <c r="A4075" s="2" t="str">
        <f>IFERROR(__xludf.DUMMYFUNCTION("""COMPUTED_VALUE"""),"본능족으로")</f>
        <v>본능족으로</v>
      </c>
      <c r="B4075" s="2" t="str">
        <f>IFERROR(__xludf.DUMMYFUNCTION("""COMPUTED_VALUE"""),"소금")</f>
        <v>소금</v>
      </c>
    </row>
    <row r="4076">
      <c r="A4076" s="2" t="str">
        <f>IFERROR(__xludf.DUMMYFUNCTION("""COMPUTED_VALUE"""),"본능족으로")</f>
        <v>본능족으로</v>
      </c>
      <c r="B4076" s="2" t="str">
        <f>IFERROR(__xludf.DUMMYFUNCTION("""COMPUTED_VALUE"""),"올리브오일")</f>
        <v>올리브오일</v>
      </c>
    </row>
    <row r="4077">
      <c r="A4077" s="2" t="str">
        <f>IFERROR(__xludf.DUMMYFUNCTION("""COMPUTED_VALUE"""),"오빤 채소스타일")</f>
        <v>오빤 채소스타일</v>
      </c>
      <c r="B4077" s="2" t="str">
        <f>IFERROR(__xludf.DUMMYFUNCTION("""COMPUTED_VALUE"""),"느타리버섯")</f>
        <v>느타리버섯</v>
      </c>
    </row>
    <row r="4078">
      <c r="A4078" s="2" t="str">
        <f>IFERROR(__xludf.DUMMYFUNCTION("""COMPUTED_VALUE"""),"오빤 채소스타일")</f>
        <v>오빤 채소스타일</v>
      </c>
      <c r="B4078" s="2" t="str">
        <f>IFERROR(__xludf.DUMMYFUNCTION("""COMPUTED_VALUE"""),"팽이버섯")</f>
        <v>팽이버섯</v>
      </c>
    </row>
    <row r="4079">
      <c r="A4079" s="2" t="str">
        <f>IFERROR(__xludf.DUMMYFUNCTION("""COMPUTED_VALUE"""),"오빤 채소스타일")</f>
        <v>오빤 채소스타일</v>
      </c>
      <c r="B4079" s="2" t="str">
        <f>IFERROR(__xludf.DUMMYFUNCTION("""COMPUTED_VALUE"""),"애호박")</f>
        <v>애호박</v>
      </c>
    </row>
    <row r="4080">
      <c r="A4080" s="2" t="str">
        <f>IFERROR(__xludf.DUMMYFUNCTION("""COMPUTED_VALUE"""),"오빤 채소스타일")</f>
        <v>오빤 채소스타일</v>
      </c>
      <c r="B4080" s="2" t="str">
        <f>IFERROR(__xludf.DUMMYFUNCTION("""COMPUTED_VALUE"""),"냉동 완두콩")</f>
        <v>냉동 완두콩</v>
      </c>
    </row>
    <row r="4081">
      <c r="A4081" s="2" t="str">
        <f>IFERROR(__xludf.DUMMYFUNCTION("""COMPUTED_VALUE"""),"오빤 채소스타일")</f>
        <v>오빤 채소스타일</v>
      </c>
      <c r="B4081" s="2" t="str">
        <f>IFERROR(__xludf.DUMMYFUNCTION("""COMPUTED_VALUE"""),"닭안심살")</f>
        <v>닭안심살</v>
      </c>
    </row>
    <row r="4082">
      <c r="A4082" s="2" t="str">
        <f>IFERROR(__xludf.DUMMYFUNCTION("""COMPUTED_VALUE"""),"오빤 채소스타일")</f>
        <v>오빤 채소스타일</v>
      </c>
      <c r="B4082" s="2" t="str">
        <f>IFERROR(__xludf.DUMMYFUNCTION("""COMPUTED_VALUE"""),"깻잎")</f>
        <v>깻잎</v>
      </c>
    </row>
    <row r="4083">
      <c r="A4083" s="2" t="str">
        <f>IFERROR(__xludf.DUMMYFUNCTION("""COMPUTED_VALUE"""),"오빤 채소스타일")</f>
        <v>오빤 채소스타일</v>
      </c>
      <c r="B4083" s="2" t="str">
        <f>IFERROR(__xludf.DUMMYFUNCTION("""COMPUTED_VALUE"""),"토마토")</f>
        <v>토마토</v>
      </c>
    </row>
    <row r="4084">
      <c r="A4084" s="2" t="str">
        <f>IFERROR(__xludf.DUMMYFUNCTION("""COMPUTED_VALUE"""),"오빤 채소스타일")</f>
        <v>오빤 채소스타일</v>
      </c>
      <c r="B4084" s="2" t="str">
        <f>IFERROR(__xludf.DUMMYFUNCTION("""COMPUTED_VALUE"""),"양상추")</f>
        <v>양상추</v>
      </c>
    </row>
    <row r="4085">
      <c r="A4085" s="2" t="str">
        <f>IFERROR(__xludf.DUMMYFUNCTION("""COMPUTED_VALUE"""),"오빤 채소스타일")</f>
        <v>오빤 채소스타일</v>
      </c>
      <c r="B4085" s="2" t="str">
        <f>IFERROR(__xludf.DUMMYFUNCTION("""COMPUTED_VALUE"""),"오렌지")</f>
        <v>오렌지</v>
      </c>
    </row>
    <row r="4086">
      <c r="A4086" s="2" t="str">
        <f>IFERROR(__xludf.DUMMYFUNCTION("""COMPUTED_VALUE"""),"오빤 채소스타일")</f>
        <v>오빤 채소스타일</v>
      </c>
      <c r="B4086" s="2" t="str">
        <f>IFERROR(__xludf.DUMMYFUNCTION("""COMPUTED_VALUE"""),"라이스페이퍼")</f>
        <v>라이스페이퍼</v>
      </c>
    </row>
    <row r="4087">
      <c r="A4087" s="2" t="str">
        <f>IFERROR(__xludf.DUMMYFUNCTION("""COMPUTED_VALUE"""),"오빤 채소스타일")</f>
        <v>오빤 채소스타일</v>
      </c>
      <c r="B4087" s="2" t="str">
        <f>IFERROR(__xludf.DUMMYFUNCTION("""COMPUTED_VALUE"""),"복분자 데리야키 소스")</f>
        <v>복분자 데리야키 소스</v>
      </c>
    </row>
    <row r="4088">
      <c r="A4088" s="2" t="str">
        <f>IFERROR(__xludf.DUMMYFUNCTION("""COMPUTED_VALUE"""),"오빤 채소스타일")</f>
        <v>오빤 채소스타일</v>
      </c>
      <c r="B4088" s="2" t="str">
        <f>IFERROR(__xludf.DUMMYFUNCTION("""COMPUTED_VALUE"""),"오리엔탈 드레싱")</f>
        <v>오리엔탈 드레싱</v>
      </c>
    </row>
    <row r="4089">
      <c r="A4089" s="2" t="str">
        <f>IFERROR(__xludf.DUMMYFUNCTION("""COMPUTED_VALUE"""),"오빤 채소스타일")</f>
        <v>오빤 채소스타일</v>
      </c>
      <c r="B4089" s="2" t="str">
        <f>IFERROR(__xludf.DUMMYFUNCTION("""COMPUTED_VALUE"""),"아몬드 슬라이스")</f>
        <v>아몬드 슬라이스</v>
      </c>
    </row>
    <row r="4090">
      <c r="A4090" s="2" t="str">
        <f>IFERROR(__xludf.DUMMYFUNCTION("""COMPUTED_VALUE"""),"오빤 채소스타일")</f>
        <v>오빤 채소스타일</v>
      </c>
      <c r="B4090" s="2" t="str">
        <f>IFERROR(__xludf.DUMMYFUNCTION("""COMPUTED_VALUE"""),"마늘")</f>
        <v>마늘</v>
      </c>
    </row>
    <row r="4091">
      <c r="A4091" s="2" t="str">
        <f>IFERROR(__xludf.DUMMYFUNCTION("""COMPUTED_VALUE"""),"오빤 채소스타일")</f>
        <v>오빤 채소스타일</v>
      </c>
      <c r="B4091" s="2" t="str">
        <f>IFERROR(__xludf.DUMMYFUNCTION("""COMPUTED_VALUE"""),"양파")</f>
        <v>양파</v>
      </c>
    </row>
    <row r="4092">
      <c r="A4092" s="2" t="str">
        <f>IFERROR(__xludf.DUMMYFUNCTION("""COMPUTED_VALUE"""),"오빤 채소스타일")</f>
        <v>오빤 채소스타일</v>
      </c>
      <c r="B4092" s="2" t="str">
        <f>IFERROR(__xludf.DUMMYFUNCTION("""COMPUTED_VALUE"""),"당근")</f>
        <v>당근</v>
      </c>
    </row>
    <row r="4093">
      <c r="A4093" s="2" t="str">
        <f>IFERROR(__xludf.DUMMYFUNCTION("""COMPUTED_VALUE"""),"오빤 채소스타일")</f>
        <v>오빤 채소스타일</v>
      </c>
      <c r="B4093" s="2" t="str">
        <f>IFERROR(__xludf.DUMMYFUNCTION("""COMPUTED_VALUE"""),"레몬")</f>
        <v>레몬</v>
      </c>
    </row>
    <row r="4094">
      <c r="A4094" s="2" t="str">
        <f>IFERROR(__xludf.DUMMYFUNCTION("""COMPUTED_VALUE"""),"오빤 채소스타일")</f>
        <v>오빤 채소스타일</v>
      </c>
      <c r="B4094" s="2" t="str">
        <f>IFERROR(__xludf.DUMMYFUNCTION("""COMPUTED_VALUE"""),"소금")</f>
        <v>소금</v>
      </c>
    </row>
    <row r="4095">
      <c r="A4095" s="2" t="str">
        <f>IFERROR(__xludf.DUMMYFUNCTION("""COMPUTED_VALUE"""),"오빤 채소스타일")</f>
        <v>오빤 채소스타일</v>
      </c>
      <c r="B4095" s="2" t="str">
        <f>IFERROR(__xludf.DUMMYFUNCTION("""COMPUTED_VALUE"""),"후추")</f>
        <v>후추</v>
      </c>
    </row>
    <row r="4096">
      <c r="A4096" s="2" t="str">
        <f>IFERROR(__xludf.DUMMYFUNCTION("""COMPUTED_VALUE"""),"오빤 채소스타일")</f>
        <v>오빤 채소스타일</v>
      </c>
      <c r="B4096" s="2" t="str">
        <f>IFERROR(__xludf.DUMMYFUNCTION("""COMPUTED_VALUE"""),"올리브오일")</f>
        <v>올리브오일</v>
      </c>
    </row>
    <row r="4097">
      <c r="A4097" s="2" t="str">
        <f>IFERROR(__xludf.DUMMYFUNCTION("""COMPUTED_VALUE"""),"오빤 채소스타일")</f>
        <v>오빤 채소스타일</v>
      </c>
      <c r="B4097" s="2" t="str">
        <f>IFERROR(__xludf.DUMMYFUNCTION("""COMPUTED_VALUE"""),"간장")</f>
        <v>간장</v>
      </c>
    </row>
    <row r="4098">
      <c r="A4098" s="2" t="str">
        <f>IFERROR(__xludf.DUMMYFUNCTION("""COMPUTED_VALUE"""),"오빤 채소스타일")</f>
        <v>오빤 채소스타일</v>
      </c>
      <c r="B4098" s="2" t="str">
        <f>IFERROR(__xludf.DUMMYFUNCTION("""COMPUTED_VALUE"""),"참기름")</f>
        <v>참기름</v>
      </c>
    </row>
    <row r="4099">
      <c r="A4099" s="2" t="str">
        <f>IFERROR(__xludf.DUMMYFUNCTION("""COMPUTED_VALUE"""),"오빤 채소스타일")</f>
        <v>오빤 채소스타일</v>
      </c>
      <c r="B4099" s="2" t="str">
        <f>IFERROR(__xludf.DUMMYFUNCTION("""COMPUTED_VALUE"""),"식초")</f>
        <v>식초</v>
      </c>
    </row>
    <row r="4100">
      <c r="A4100" s="2" t="str">
        <f>IFERROR(__xludf.DUMMYFUNCTION("""COMPUTED_VALUE"""),"오빤 채소스타일")</f>
        <v>오빤 채소스타일</v>
      </c>
      <c r="B4100" s="2" t="str">
        <f>IFERROR(__xludf.DUMMYFUNCTION("""COMPUTED_VALUE"""),"설탕")</f>
        <v>설탕</v>
      </c>
    </row>
    <row r="4101">
      <c r="A4101" s="2" t="str">
        <f>IFERROR(__xludf.DUMMYFUNCTION("""COMPUTED_VALUE"""),"아임 소바")</f>
        <v>아임 소바</v>
      </c>
      <c r="B4101" s="2" t="str">
        <f>IFERROR(__xludf.DUMMYFUNCTION("""COMPUTED_VALUE"""),"메밀생면")</f>
        <v>메밀생면</v>
      </c>
    </row>
    <row r="4102">
      <c r="A4102" s="2" t="str">
        <f>IFERROR(__xludf.DUMMYFUNCTION("""COMPUTED_VALUE"""),"아임 소바")</f>
        <v>아임 소바</v>
      </c>
      <c r="B4102" s="2" t="str">
        <f>IFERROR(__xludf.DUMMYFUNCTION("""COMPUTED_VALUE"""),"메밀소스")</f>
        <v>메밀소스</v>
      </c>
    </row>
    <row r="4103">
      <c r="A4103" s="2" t="str">
        <f>IFERROR(__xludf.DUMMYFUNCTION("""COMPUTED_VALUE"""),"아임 소바")</f>
        <v>아임 소바</v>
      </c>
      <c r="B4103" s="2" t="str">
        <f>IFERROR(__xludf.DUMMYFUNCTION("""COMPUTED_VALUE"""),"무")</f>
        <v>무</v>
      </c>
    </row>
    <row r="4104">
      <c r="A4104" s="2" t="str">
        <f>IFERROR(__xludf.DUMMYFUNCTION("""COMPUTED_VALUE"""),"아임 소바")</f>
        <v>아임 소바</v>
      </c>
      <c r="B4104" s="2" t="str">
        <f>IFERROR(__xludf.DUMMYFUNCTION("""COMPUTED_VALUE"""),"밴댕이")</f>
        <v>밴댕이</v>
      </c>
    </row>
    <row r="4105">
      <c r="A4105" s="2" t="str">
        <f>IFERROR(__xludf.DUMMYFUNCTION("""COMPUTED_VALUE"""),"아임 소바")</f>
        <v>아임 소바</v>
      </c>
      <c r="B4105" s="2" t="str">
        <f>IFERROR(__xludf.DUMMYFUNCTION("""COMPUTED_VALUE"""),"건새우")</f>
        <v>건새우</v>
      </c>
    </row>
    <row r="4106">
      <c r="A4106" s="2" t="str">
        <f>IFERROR(__xludf.DUMMYFUNCTION("""COMPUTED_VALUE"""),"아임 소바")</f>
        <v>아임 소바</v>
      </c>
      <c r="B4106" s="2" t="str">
        <f>IFERROR(__xludf.DUMMYFUNCTION("""COMPUTED_VALUE"""),"다시마")</f>
        <v>다시마</v>
      </c>
    </row>
    <row r="4107">
      <c r="A4107" s="2" t="str">
        <f>IFERROR(__xludf.DUMMYFUNCTION("""COMPUTED_VALUE"""),"아임 소바")</f>
        <v>아임 소바</v>
      </c>
      <c r="B4107" s="2" t="str">
        <f>IFERROR(__xludf.DUMMYFUNCTION("""COMPUTED_VALUE"""),"토마토")</f>
        <v>토마토</v>
      </c>
    </row>
    <row r="4108">
      <c r="A4108" s="2" t="str">
        <f>IFERROR(__xludf.DUMMYFUNCTION("""COMPUTED_VALUE"""),"아임 소바")</f>
        <v>아임 소바</v>
      </c>
      <c r="B4108" s="2" t="str">
        <f>IFERROR(__xludf.DUMMYFUNCTION("""COMPUTED_VALUE"""),"닭안심살")</f>
        <v>닭안심살</v>
      </c>
    </row>
    <row r="4109">
      <c r="A4109" s="2" t="str">
        <f>IFERROR(__xludf.DUMMYFUNCTION("""COMPUTED_VALUE"""),"아임 소바")</f>
        <v>아임 소바</v>
      </c>
      <c r="B4109" s="2" t="str">
        <f>IFERROR(__xludf.DUMMYFUNCTION("""COMPUTED_VALUE"""),"콜라비")</f>
        <v>콜라비</v>
      </c>
    </row>
    <row r="4110">
      <c r="A4110" s="2" t="str">
        <f>IFERROR(__xludf.DUMMYFUNCTION("""COMPUTED_VALUE"""),"아임 소바")</f>
        <v>아임 소바</v>
      </c>
      <c r="B4110" s="2" t="str">
        <f>IFERROR(__xludf.DUMMYFUNCTION("""COMPUTED_VALUE"""),"양상추")</f>
        <v>양상추</v>
      </c>
    </row>
    <row r="4111">
      <c r="A4111" s="2" t="str">
        <f>IFERROR(__xludf.DUMMYFUNCTION("""COMPUTED_VALUE"""),"아임 소바")</f>
        <v>아임 소바</v>
      </c>
      <c r="B4111" s="2" t="str">
        <f>IFERROR(__xludf.DUMMYFUNCTION("""COMPUTED_VALUE"""),"애호박")</f>
        <v>애호박</v>
      </c>
    </row>
    <row r="4112">
      <c r="A4112" s="2" t="str">
        <f>IFERROR(__xludf.DUMMYFUNCTION("""COMPUTED_VALUE"""),"아임 소바")</f>
        <v>아임 소바</v>
      </c>
      <c r="B4112" s="2" t="str">
        <f>IFERROR(__xludf.DUMMYFUNCTION("""COMPUTED_VALUE"""),"참깨&amp;흑임자소스")</f>
        <v>참깨&amp;흑임자소스</v>
      </c>
    </row>
    <row r="4113">
      <c r="A4113" s="2" t="str">
        <f>IFERROR(__xludf.DUMMYFUNCTION("""COMPUTED_VALUE"""),"아임 소바")</f>
        <v>아임 소바</v>
      </c>
      <c r="B4113" s="2" t="str">
        <f>IFERROR(__xludf.DUMMYFUNCTION("""COMPUTED_VALUE"""),"양파")</f>
        <v>양파</v>
      </c>
    </row>
    <row r="4114">
      <c r="A4114" s="2" t="str">
        <f>IFERROR(__xludf.DUMMYFUNCTION("""COMPUTED_VALUE"""),"아임 소바")</f>
        <v>아임 소바</v>
      </c>
      <c r="B4114" s="2" t="str">
        <f>IFERROR(__xludf.DUMMYFUNCTION("""COMPUTED_VALUE"""),"레몬")</f>
        <v>레몬</v>
      </c>
    </row>
    <row r="4115">
      <c r="A4115" s="2" t="str">
        <f>IFERROR(__xludf.DUMMYFUNCTION("""COMPUTED_VALUE"""),"아임 소바")</f>
        <v>아임 소바</v>
      </c>
      <c r="B4115" s="2" t="str">
        <f>IFERROR(__xludf.DUMMYFUNCTION("""COMPUTED_VALUE"""),"맛술")</f>
        <v>맛술</v>
      </c>
    </row>
    <row r="4116">
      <c r="A4116" s="2" t="str">
        <f>IFERROR(__xludf.DUMMYFUNCTION("""COMPUTED_VALUE"""),"아임 소바")</f>
        <v>아임 소바</v>
      </c>
      <c r="B4116" s="2" t="str">
        <f>IFERROR(__xludf.DUMMYFUNCTION("""COMPUTED_VALUE"""),"간장")</f>
        <v>간장</v>
      </c>
    </row>
    <row r="4117">
      <c r="A4117" s="2" t="str">
        <f>IFERROR(__xludf.DUMMYFUNCTION("""COMPUTED_VALUE"""),"아임 소바")</f>
        <v>아임 소바</v>
      </c>
      <c r="B4117" s="2" t="str">
        <f>IFERROR(__xludf.DUMMYFUNCTION("""COMPUTED_VALUE"""),"설탕")</f>
        <v>설탕</v>
      </c>
    </row>
    <row r="4118">
      <c r="A4118" s="2" t="str">
        <f>IFERROR(__xludf.DUMMYFUNCTION("""COMPUTED_VALUE"""),"아임 소바")</f>
        <v>아임 소바</v>
      </c>
      <c r="B4118" s="2" t="str">
        <f>IFERROR(__xludf.DUMMYFUNCTION("""COMPUTED_VALUE"""),"식초")</f>
        <v>식초</v>
      </c>
    </row>
    <row r="4119">
      <c r="A4119" s="2" t="str">
        <f>IFERROR(__xludf.DUMMYFUNCTION("""COMPUTED_VALUE"""),"아임 소바")</f>
        <v>아임 소바</v>
      </c>
      <c r="B4119" s="2" t="str">
        <f>IFERROR(__xludf.DUMMYFUNCTION("""COMPUTED_VALUE"""),"깨")</f>
        <v>깨</v>
      </c>
    </row>
    <row r="4120">
      <c r="A4120" s="2" t="str">
        <f>IFERROR(__xludf.DUMMYFUNCTION("""COMPUTED_VALUE"""),"아임 소바")</f>
        <v>아임 소바</v>
      </c>
      <c r="B4120" s="2" t="str">
        <f>IFERROR(__xludf.DUMMYFUNCTION("""COMPUTED_VALUE"""),"와사비")</f>
        <v>와사비</v>
      </c>
    </row>
    <row r="4121">
      <c r="A4121" s="2" t="str">
        <f>IFERROR(__xludf.DUMMYFUNCTION("""COMPUTED_VALUE"""),"바나나를 튀기면 반하나?")</f>
        <v>바나나를 튀기면 반하나?</v>
      </c>
      <c r="B4121" s="2" t="str">
        <f>IFERROR(__xludf.DUMMYFUNCTION("""COMPUTED_VALUE"""),"바나나")</f>
        <v>바나나</v>
      </c>
    </row>
    <row r="4122">
      <c r="A4122" s="2" t="str">
        <f>IFERROR(__xludf.DUMMYFUNCTION("""COMPUTED_VALUE"""),"바나나를 튀기면 반하나?")</f>
        <v>바나나를 튀기면 반하나?</v>
      </c>
      <c r="B4122" s="2" t="str">
        <f>IFERROR(__xludf.DUMMYFUNCTION("""COMPUTED_VALUE"""),"탄산수")</f>
        <v>탄산수</v>
      </c>
    </row>
    <row r="4123">
      <c r="A4123" s="2" t="str">
        <f>IFERROR(__xludf.DUMMYFUNCTION("""COMPUTED_VALUE"""),"바나나를 튀기면 반하나?")</f>
        <v>바나나를 튀기면 반하나?</v>
      </c>
      <c r="B4123" s="2" t="str">
        <f>IFERROR(__xludf.DUMMYFUNCTION("""COMPUTED_VALUE"""),"오리엔탈 드레싱")</f>
        <v>오리엔탈 드레싱</v>
      </c>
    </row>
    <row r="4124">
      <c r="A4124" s="2" t="str">
        <f>IFERROR(__xludf.DUMMYFUNCTION("""COMPUTED_VALUE"""),"바나나를 튀기면 반하나?")</f>
        <v>바나나를 튀기면 반하나?</v>
      </c>
      <c r="B4124" s="2" t="str">
        <f>IFERROR(__xludf.DUMMYFUNCTION("""COMPUTED_VALUE"""),"밀가루")</f>
        <v>밀가루</v>
      </c>
    </row>
    <row r="4125">
      <c r="A4125" s="2" t="str">
        <f>IFERROR(__xludf.DUMMYFUNCTION("""COMPUTED_VALUE"""),"바나나를 튀기면 반하나?")</f>
        <v>바나나를 튀기면 반하나?</v>
      </c>
      <c r="B4125" s="2" t="str">
        <f>IFERROR(__xludf.DUMMYFUNCTION("""COMPUTED_VALUE"""),"전분")</f>
        <v>전분</v>
      </c>
    </row>
    <row r="4126">
      <c r="A4126" s="2" t="str">
        <f>IFERROR(__xludf.DUMMYFUNCTION("""COMPUTED_VALUE"""),"바나나를 튀기면 반하나?")</f>
        <v>바나나를 튀기면 반하나?</v>
      </c>
      <c r="B4126" s="2" t="str">
        <f>IFERROR(__xludf.DUMMYFUNCTION("""COMPUTED_VALUE"""),"올리브오일")</f>
        <v>올리브오일</v>
      </c>
    </row>
    <row r="4127">
      <c r="A4127" s="2" t="str">
        <f>IFERROR(__xludf.DUMMYFUNCTION("""COMPUTED_VALUE"""),"바나나를 튀기면 반하나?")</f>
        <v>바나나를 튀기면 반하나?</v>
      </c>
      <c r="B4127" s="2" t="str">
        <f>IFERROR(__xludf.DUMMYFUNCTION("""COMPUTED_VALUE"""),"레몬")</f>
        <v>레몬</v>
      </c>
    </row>
    <row r="4128">
      <c r="A4128" s="2" t="str">
        <f>IFERROR(__xludf.DUMMYFUNCTION("""COMPUTED_VALUE"""),"렌틸콩그레츄레이션")</f>
        <v>렌틸콩그레츄레이션</v>
      </c>
      <c r="B4128" s="2" t="str">
        <f>IFERROR(__xludf.DUMMYFUNCTION("""COMPUTED_VALUE"""),"렌틸콩")</f>
        <v>렌틸콩</v>
      </c>
    </row>
    <row r="4129">
      <c r="A4129" s="2" t="str">
        <f>IFERROR(__xludf.DUMMYFUNCTION("""COMPUTED_VALUE"""),"렌틸콩그레츄레이션")</f>
        <v>렌틸콩그레츄레이션</v>
      </c>
      <c r="B4129" s="2" t="str">
        <f>IFERROR(__xludf.DUMMYFUNCTION("""COMPUTED_VALUE"""),"베이컨")</f>
        <v>베이컨</v>
      </c>
    </row>
    <row r="4130">
      <c r="A4130" s="2" t="str">
        <f>IFERROR(__xludf.DUMMYFUNCTION("""COMPUTED_VALUE"""),"렌틸콩그레츄레이션")</f>
        <v>렌틸콩그레츄레이션</v>
      </c>
      <c r="B4130" s="2" t="str">
        <f>IFERROR(__xludf.DUMMYFUNCTION("""COMPUTED_VALUE"""),"토마토")</f>
        <v>토마토</v>
      </c>
    </row>
    <row r="4131">
      <c r="A4131" s="2" t="str">
        <f>IFERROR(__xludf.DUMMYFUNCTION("""COMPUTED_VALUE"""),"렌틸콩그레츄레이션")</f>
        <v>렌틸콩그레츄레이션</v>
      </c>
      <c r="B4131" s="2" t="str">
        <f>IFERROR(__xludf.DUMMYFUNCTION("""COMPUTED_VALUE"""),"파프리카")</f>
        <v>파프리카</v>
      </c>
    </row>
    <row r="4132">
      <c r="A4132" s="2" t="str">
        <f>IFERROR(__xludf.DUMMYFUNCTION("""COMPUTED_VALUE"""),"렌틸콩그레츄레이션")</f>
        <v>렌틸콩그레츄레이션</v>
      </c>
      <c r="B4132" s="2" t="str">
        <f>IFERROR(__xludf.DUMMYFUNCTION("""COMPUTED_VALUE"""),"대파")</f>
        <v>대파</v>
      </c>
    </row>
    <row r="4133">
      <c r="A4133" s="2" t="str">
        <f>IFERROR(__xludf.DUMMYFUNCTION("""COMPUTED_VALUE"""),"렌틸콩그레츄레이션")</f>
        <v>렌틸콩그레츄레이션</v>
      </c>
      <c r="B4133" s="2" t="str">
        <f>IFERROR(__xludf.DUMMYFUNCTION("""COMPUTED_VALUE"""),"당근")</f>
        <v>당근</v>
      </c>
    </row>
    <row r="4134">
      <c r="A4134" s="2" t="str">
        <f>IFERROR(__xludf.DUMMYFUNCTION("""COMPUTED_VALUE"""),"렌틸콩그레츄레이션")</f>
        <v>렌틸콩그레츄레이션</v>
      </c>
      <c r="B4134" s="2" t="str">
        <f>IFERROR(__xludf.DUMMYFUNCTION("""COMPUTED_VALUE"""),"마늘")</f>
        <v>마늘</v>
      </c>
    </row>
    <row r="4135">
      <c r="A4135" s="2" t="str">
        <f>IFERROR(__xludf.DUMMYFUNCTION("""COMPUTED_VALUE"""),"렌틸콩그레츄레이션")</f>
        <v>렌틸콩그레츄레이션</v>
      </c>
      <c r="B4135" s="2" t="str">
        <f>IFERROR(__xludf.DUMMYFUNCTION("""COMPUTED_VALUE"""),"고추")</f>
        <v>고추</v>
      </c>
    </row>
    <row r="4136">
      <c r="A4136" s="2" t="str">
        <f>IFERROR(__xludf.DUMMYFUNCTION("""COMPUTED_VALUE"""),"렌틸콩그레츄레이션")</f>
        <v>렌틸콩그레츄레이션</v>
      </c>
      <c r="B4136" s="2" t="str">
        <f>IFERROR(__xludf.DUMMYFUNCTION("""COMPUTED_VALUE"""),"소금")</f>
        <v>소금</v>
      </c>
    </row>
    <row r="4137">
      <c r="A4137" s="2" t="str">
        <f>IFERROR(__xludf.DUMMYFUNCTION("""COMPUTED_VALUE"""),"렌틸콩그레츄레이션")</f>
        <v>렌틸콩그레츄레이션</v>
      </c>
      <c r="B4137" s="2" t="str">
        <f>IFERROR(__xludf.DUMMYFUNCTION("""COMPUTED_VALUE"""),"후추")</f>
        <v>후추</v>
      </c>
    </row>
    <row r="4138">
      <c r="A4138" s="2" t="str">
        <f>IFERROR(__xludf.DUMMYFUNCTION("""COMPUTED_VALUE"""),"렌틸콩그레츄레이션")</f>
        <v>렌틸콩그레츄레이션</v>
      </c>
      <c r="B4138" s="2" t="str">
        <f>IFERROR(__xludf.DUMMYFUNCTION("""COMPUTED_VALUE"""),"식초")</f>
        <v>식초</v>
      </c>
    </row>
    <row r="4139">
      <c r="A4139" s="2" t="str">
        <f>IFERROR(__xludf.DUMMYFUNCTION("""COMPUTED_VALUE"""),"오늘도전")</f>
        <v>오늘도전</v>
      </c>
      <c r="B4139" s="2" t="str">
        <f>IFERROR(__xludf.DUMMYFUNCTION("""COMPUTED_VALUE"""),"반건조오징어")</f>
        <v>반건조오징어</v>
      </c>
    </row>
    <row r="4140">
      <c r="A4140" s="2" t="str">
        <f>IFERROR(__xludf.DUMMYFUNCTION("""COMPUTED_VALUE"""),"오늘도전")</f>
        <v>오늘도전</v>
      </c>
      <c r="B4140" s="2" t="str">
        <f>IFERROR(__xludf.DUMMYFUNCTION("""COMPUTED_VALUE"""),"햄 통조림")</f>
        <v>햄 통조림</v>
      </c>
    </row>
    <row r="4141">
      <c r="A4141" s="2" t="str">
        <f>IFERROR(__xludf.DUMMYFUNCTION("""COMPUTED_VALUE"""),"오늘도전")</f>
        <v>오늘도전</v>
      </c>
      <c r="B4141" s="2" t="str">
        <f>IFERROR(__xludf.DUMMYFUNCTION("""COMPUTED_VALUE"""),"아스파라거스")</f>
        <v>아스파라거스</v>
      </c>
    </row>
    <row r="4142">
      <c r="A4142" s="2" t="str">
        <f>IFERROR(__xludf.DUMMYFUNCTION("""COMPUTED_VALUE"""),"오늘도전")</f>
        <v>오늘도전</v>
      </c>
      <c r="B4142" s="2" t="str">
        <f>IFERROR(__xludf.DUMMYFUNCTION("""COMPUTED_VALUE"""),"소면")</f>
        <v>소면</v>
      </c>
    </row>
    <row r="4143">
      <c r="A4143" s="2" t="str">
        <f>IFERROR(__xludf.DUMMYFUNCTION("""COMPUTED_VALUE"""),"오늘도전")</f>
        <v>오늘도전</v>
      </c>
      <c r="B4143" s="2" t="str">
        <f>IFERROR(__xludf.DUMMYFUNCTION("""COMPUTED_VALUE"""),"망고")</f>
        <v>망고</v>
      </c>
    </row>
    <row r="4144">
      <c r="A4144" s="2" t="str">
        <f>IFERROR(__xludf.DUMMYFUNCTION("""COMPUTED_VALUE"""),"오늘도전")</f>
        <v>오늘도전</v>
      </c>
      <c r="B4144" s="2" t="str">
        <f>IFERROR(__xludf.DUMMYFUNCTION("""COMPUTED_VALUE"""),"체리")</f>
        <v>체리</v>
      </c>
    </row>
    <row r="4145">
      <c r="A4145" s="2" t="str">
        <f>IFERROR(__xludf.DUMMYFUNCTION("""COMPUTED_VALUE"""),"오늘도전")</f>
        <v>오늘도전</v>
      </c>
      <c r="B4145" s="2" t="str">
        <f>IFERROR(__xludf.DUMMYFUNCTION("""COMPUTED_VALUE"""),"달걀")</f>
        <v>달걀</v>
      </c>
    </row>
    <row r="4146">
      <c r="A4146" s="2" t="str">
        <f>IFERROR(__xludf.DUMMYFUNCTION("""COMPUTED_VALUE"""),"오늘도전")</f>
        <v>오늘도전</v>
      </c>
      <c r="B4146" s="2" t="str">
        <f>IFERROR(__xludf.DUMMYFUNCTION("""COMPUTED_VALUE"""),"대파")</f>
        <v>대파</v>
      </c>
    </row>
    <row r="4147">
      <c r="A4147" s="2" t="str">
        <f>IFERROR(__xludf.DUMMYFUNCTION("""COMPUTED_VALUE"""),"오늘도전")</f>
        <v>오늘도전</v>
      </c>
      <c r="B4147" s="2" t="str">
        <f>IFERROR(__xludf.DUMMYFUNCTION("""COMPUTED_VALUE"""),"레몬")</f>
        <v>레몬</v>
      </c>
    </row>
    <row r="4148">
      <c r="A4148" s="2" t="str">
        <f>IFERROR(__xludf.DUMMYFUNCTION("""COMPUTED_VALUE"""),"오늘도전")</f>
        <v>오늘도전</v>
      </c>
      <c r="B4148" s="2" t="str">
        <f>IFERROR(__xludf.DUMMYFUNCTION("""COMPUTED_VALUE"""),"밀가루")</f>
        <v>밀가루</v>
      </c>
    </row>
    <row r="4149">
      <c r="A4149" s="2" t="str">
        <f>IFERROR(__xludf.DUMMYFUNCTION("""COMPUTED_VALUE"""),"오늘도전")</f>
        <v>오늘도전</v>
      </c>
      <c r="B4149" s="2" t="str">
        <f>IFERROR(__xludf.DUMMYFUNCTION("""COMPUTED_VALUE"""),"전분")</f>
        <v>전분</v>
      </c>
    </row>
    <row r="4150">
      <c r="A4150" s="2" t="str">
        <f>IFERROR(__xludf.DUMMYFUNCTION("""COMPUTED_VALUE"""),"오늘도전")</f>
        <v>오늘도전</v>
      </c>
      <c r="B4150" s="2" t="str">
        <f>IFERROR(__xludf.DUMMYFUNCTION("""COMPUTED_VALUE"""),"소금")</f>
        <v>소금</v>
      </c>
    </row>
    <row r="4151">
      <c r="A4151" s="2" t="str">
        <f>IFERROR(__xludf.DUMMYFUNCTION("""COMPUTED_VALUE"""),"오늘도전")</f>
        <v>오늘도전</v>
      </c>
      <c r="B4151" s="2" t="str">
        <f>IFERROR(__xludf.DUMMYFUNCTION("""COMPUTED_VALUE"""),"마요네즈")</f>
        <v>마요네즈</v>
      </c>
    </row>
    <row r="4152">
      <c r="A4152" s="2" t="str">
        <f>IFERROR(__xludf.DUMMYFUNCTION("""COMPUTED_VALUE"""),"풍볶이 말았소면")</f>
        <v>풍볶이 말았소면</v>
      </c>
      <c r="B4152" s="2" t="str">
        <f>IFERROR(__xludf.DUMMYFUNCTION("""COMPUTED_VALUE"""),"베이컨")</f>
        <v>베이컨</v>
      </c>
    </row>
    <row r="4153">
      <c r="A4153" s="2" t="str">
        <f>IFERROR(__xludf.DUMMYFUNCTION("""COMPUTED_VALUE"""),"풍볶이 말았소면")</f>
        <v>풍볶이 말았소면</v>
      </c>
      <c r="B4153" s="2" t="str">
        <f>IFERROR(__xludf.DUMMYFUNCTION("""COMPUTED_VALUE"""),"소면")</f>
        <v>소면</v>
      </c>
    </row>
    <row r="4154">
      <c r="A4154" s="2" t="str">
        <f>IFERROR(__xludf.DUMMYFUNCTION("""COMPUTED_VALUE"""),"풍볶이 말았소면")</f>
        <v>풍볶이 말았소면</v>
      </c>
      <c r="B4154" s="2" t="str">
        <f>IFERROR(__xludf.DUMMYFUNCTION("""COMPUTED_VALUE"""),"햄 통조림")</f>
        <v>햄 통조림</v>
      </c>
    </row>
    <row r="4155">
      <c r="A4155" s="2" t="str">
        <f>IFERROR(__xludf.DUMMYFUNCTION("""COMPUTED_VALUE"""),"풍볶이 말았소면")</f>
        <v>풍볶이 말았소면</v>
      </c>
      <c r="B4155" s="2" t="str">
        <f>IFERROR(__xludf.DUMMYFUNCTION("""COMPUTED_VALUE"""),"청경채")</f>
        <v>청경채</v>
      </c>
    </row>
    <row r="4156">
      <c r="A4156" s="2" t="str">
        <f>IFERROR(__xludf.DUMMYFUNCTION("""COMPUTED_VALUE"""),"풍볶이 말았소면")</f>
        <v>풍볶이 말았소면</v>
      </c>
      <c r="B4156" s="2" t="str">
        <f>IFERROR(__xludf.DUMMYFUNCTION("""COMPUTED_VALUE"""),"양파")</f>
        <v>양파</v>
      </c>
    </row>
    <row r="4157">
      <c r="A4157" s="2" t="str">
        <f>IFERROR(__xludf.DUMMYFUNCTION("""COMPUTED_VALUE"""),"풍볶이 말았소면")</f>
        <v>풍볶이 말았소면</v>
      </c>
      <c r="B4157" s="2" t="str">
        <f>IFERROR(__xludf.DUMMYFUNCTION("""COMPUTED_VALUE"""),"대파")</f>
        <v>대파</v>
      </c>
    </row>
    <row r="4158">
      <c r="A4158" s="2" t="str">
        <f>IFERROR(__xludf.DUMMYFUNCTION("""COMPUTED_VALUE"""),"풍볶이 말았소면")</f>
        <v>풍볶이 말았소면</v>
      </c>
      <c r="B4158" s="2" t="str">
        <f>IFERROR(__xludf.DUMMYFUNCTION("""COMPUTED_VALUE"""),"다진 마늘")</f>
        <v>다진 마늘</v>
      </c>
    </row>
    <row r="4159">
      <c r="A4159" s="2" t="str">
        <f>IFERROR(__xludf.DUMMYFUNCTION("""COMPUTED_VALUE"""),"풍볶이 말았소면")</f>
        <v>풍볶이 말았소면</v>
      </c>
      <c r="B4159" s="2" t="str">
        <f>IFERROR(__xludf.DUMMYFUNCTION("""COMPUTED_VALUE"""),"고추장")</f>
        <v>고추장</v>
      </c>
    </row>
    <row r="4160">
      <c r="A4160" s="2" t="str">
        <f>IFERROR(__xludf.DUMMYFUNCTION("""COMPUTED_VALUE"""),"풍볶이 말았소면")</f>
        <v>풍볶이 말았소면</v>
      </c>
      <c r="B4160" s="2" t="str">
        <f>IFERROR(__xludf.DUMMYFUNCTION("""COMPUTED_VALUE"""),"고춧가루")</f>
        <v>고춧가루</v>
      </c>
    </row>
    <row r="4161">
      <c r="A4161" s="2" t="str">
        <f>IFERROR(__xludf.DUMMYFUNCTION("""COMPUTED_VALUE"""),"풍볶이 말았소면")</f>
        <v>풍볶이 말았소면</v>
      </c>
      <c r="B4161" s="2" t="str">
        <f>IFERROR(__xludf.DUMMYFUNCTION("""COMPUTED_VALUE"""),"간장")</f>
        <v>간장</v>
      </c>
    </row>
    <row r="4162">
      <c r="A4162" s="2" t="str">
        <f>IFERROR(__xludf.DUMMYFUNCTION("""COMPUTED_VALUE"""),"풍볶이 말았소면")</f>
        <v>풍볶이 말았소면</v>
      </c>
      <c r="B4162" s="2" t="str">
        <f>IFERROR(__xludf.DUMMYFUNCTION("""COMPUTED_VALUE"""),"물엿")</f>
        <v>물엿</v>
      </c>
    </row>
    <row r="4163">
      <c r="A4163" s="2" t="str">
        <f>IFERROR(__xludf.DUMMYFUNCTION("""COMPUTED_VALUE"""),"풍볶이 말았소면")</f>
        <v>풍볶이 말았소면</v>
      </c>
      <c r="B4163" s="2" t="str">
        <f>IFERROR(__xludf.DUMMYFUNCTION("""COMPUTED_VALUE"""),"설탕")</f>
        <v>설탕</v>
      </c>
    </row>
    <row r="4164">
      <c r="A4164" s="2" t="str">
        <f>IFERROR(__xludf.DUMMYFUNCTION("""COMPUTED_VALUE"""),"풍볶이 말았소면")</f>
        <v>풍볶이 말았소면</v>
      </c>
      <c r="B4164" s="2" t="str">
        <f>IFERROR(__xludf.DUMMYFUNCTION("""COMPUTED_VALUE"""),"전분")</f>
        <v>전분</v>
      </c>
    </row>
    <row r="4165">
      <c r="A4165" s="2" t="str">
        <f>IFERROR(__xludf.DUMMYFUNCTION("""COMPUTED_VALUE"""),"오닭후면")</f>
        <v>오닭후면</v>
      </c>
      <c r="B4165" s="2" t="str">
        <f>IFERROR(__xludf.DUMMYFUNCTION("""COMPUTED_VALUE"""),"곰탕라면")</f>
        <v>곰탕라면</v>
      </c>
    </row>
    <row r="4166">
      <c r="A4166" s="2" t="str">
        <f>IFERROR(__xludf.DUMMYFUNCTION("""COMPUTED_VALUE"""),"오닭후면")</f>
        <v>오닭후면</v>
      </c>
      <c r="B4166" s="2" t="str">
        <f>IFERROR(__xludf.DUMMYFUNCTION("""COMPUTED_VALUE"""),"짬뽕라면")</f>
        <v>짬뽕라면</v>
      </c>
    </row>
    <row r="4167">
      <c r="A4167" s="2" t="str">
        <f>IFERROR(__xludf.DUMMYFUNCTION("""COMPUTED_VALUE"""),"오닭후면")</f>
        <v>오닭후면</v>
      </c>
      <c r="B4167" s="2" t="str">
        <f>IFERROR(__xludf.DUMMYFUNCTION("""COMPUTED_VALUE"""),"베이컨")</f>
        <v>베이컨</v>
      </c>
    </row>
    <row r="4168">
      <c r="A4168" s="2" t="str">
        <f>IFERROR(__xludf.DUMMYFUNCTION("""COMPUTED_VALUE"""),"오닭후면")</f>
        <v>오닭후면</v>
      </c>
      <c r="B4168" s="2" t="str">
        <f>IFERROR(__xludf.DUMMYFUNCTION("""COMPUTED_VALUE"""),"반건조오징어")</f>
        <v>반건조오징어</v>
      </c>
    </row>
    <row r="4169">
      <c r="A4169" s="2" t="str">
        <f>IFERROR(__xludf.DUMMYFUNCTION("""COMPUTED_VALUE"""),"오닭후면")</f>
        <v>오닭후면</v>
      </c>
      <c r="B4169" s="2" t="str">
        <f>IFERROR(__xludf.DUMMYFUNCTION("""COMPUTED_VALUE"""),"닭가슴살 통조림")</f>
        <v>닭가슴살 통조림</v>
      </c>
    </row>
    <row r="4170">
      <c r="A4170" s="2" t="str">
        <f>IFERROR(__xludf.DUMMYFUNCTION("""COMPUTED_VALUE"""),"오닭후면")</f>
        <v>오닭후면</v>
      </c>
      <c r="B4170" s="2" t="str">
        <f>IFERROR(__xludf.DUMMYFUNCTION("""COMPUTED_VALUE"""),"청경채")</f>
        <v>청경채</v>
      </c>
    </row>
    <row r="4171">
      <c r="A4171" s="2" t="str">
        <f>IFERROR(__xludf.DUMMYFUNCTION("""COMPUTED_VALUE"""),"오닭후면")</f>
        <v>오닭후면</v>
      </c>
      <c r="B4171" s="2" t="str">
        <f>IFERROR(__xludf.DUMMYFUNCTION("""COMPUTED_VALUE"""),"조미김")</f>
        <v>조미김</v>
      </c>
    </row>
    <row r="4172">
      <c r="A4172" s="2" t="str">
        <f>IFERROR(__xludf.DUMMYFUNCTION("""COMPUTED_VALUE"""),"오닭후면")</f>
        <v>오닭후면</v>
      </c>
      <c r="B4172" s="2" t="str">
        <f>IFERROR(__xludf.DUMMYFUNCTION("""COMPUTED_VALUE"""),"달걀")</f>
        <v>달걀</v>
      </c>
    </row>
    <row r="4173">
      <c r="A4173" s="2" t="str">
        <f>IFERROR(__xludf.DUMMYFUNCTION("""COMPUTED_VALUE"""),"오닭후면")</f>
        <v>오닭후면</v>
      </c>
      <c r="B4173" s="2" t="str">
        <f>IFERROR(__xludf.DUMMYFUNCTION("""COMPUTED_VALUE"""),"대파")</f>
        <v>대파</v>
      </c>
    </row>
    <row r="4174">
      <c r="A4174" s="2" t="str">
        <f>IFERROR(__xludf.DUMMYFUNCTION("""COMPUTED_VALUE"""),"오닭후면")</f>
        <v>오닭후면</v>
      </c>
      <c r="B4174" s="2" t="str">
        <f>IFERROR(__xludf.DUMMYFUNCTION("""COMPUTED_VALUE"""),"청양고추")</f>
        <v>청양고추</v>
      </c>
    </row>
    <row r="4175">
      <c r="A4175" s="2" t="str">
        <f>IFERROR(__xludf.DUMMYFUNCTION("""COMPUTED_VALUE"""),"오닭후면")</f>
        <v>오닭후면</v>
      </c>
      <c r="B4175" s="2" t="str">
        <f>IFERROR(__xludf.DUMMYFUNCTION("""COMPUTED_VALUE"""),"식초")</f>
        <v>식초</v>
      </c>
    </row>
    <row r="4176">
      <c r="A4176" s="2" t="str">
        <f>IFERROR(__xludf.DUMMYFUNCTION("""COMPUTED_VALUE"""),"오닭후면")</f>
        <v>오닭후면</v>
      </c>
      <c r="B4176" s="2" t="str">
        <f>IFERROR(__xludf.DUMMYFUNCTION("""COMPUTED_VALUE"""),"간장")</f>
        <v>간장</v>
      </c>
    </row>
    <row r="4177">
      <c r="A4177" s="2" t="str">
        <f>IFERROR(__xludf.DUMMYFUNCTION("""COMPUTED_VALUE"""),"오닭후면")</f>
        <v>오닭후면</v>
      </c>
      <c r="B4177" s="2" t="str">
        <f>IFERROR(__xludf.DUMMYFUNCTION("""COMPUTED_VALUE"""),"소금")</f>
        <v>소금</v>
      </c>
    </row>
    <row r="4178">
      <c r="A4178" s="2" t="str">
        <f>IFERROR(__xludf.DUMMYFUNCTION("""COMPUTED_VALUE"""),"짬뽕의 순정")</f>
        <v>짬뽕의 순정</v>
      </c>
      <c r="B4178" s="2" t="str">
        <f>IFERROR(__xludf.DUMMYFUNCTION("""COMPUTED_VALUE"""),"짬뽕라면")</f>
        <v>짬뽕라면</v>
      </c>
    </row>
    <row r="4179">
      <c r="A4179" s="2" t="str">
        <f>IFERROR(__xludf.DUMMYFUNCTION("""COMPUTED_VALUE"""),"짬뽕의 순정")</f>
        <v>짬뽕의 순정</v>
      </c>
      <c r="B4179" s="2" t="str">
        <f>IFERROR(__xludf.DUMMYFUNCTION("""COMPUTED_VALUE"""),"양배추")</f>
        <v>양배추</v>
      </c>
    </row>
    <row r="4180">
      <c r="A4180" s="2" t="str">
        <f>IFERROR(__xludf.DUMMYFUNCTION("""COMPUTED_VALUE"""),"짬뽕의 순정")</f>
        <v>짬뽕의 순정</v>
      </c>
      <c r="B4180" s="2" t="str">
        <f>IFERROR(__xludf.DUMMYFUNCTION("""COMPUTED_VALUE"""),"청경채")</f>
        <v>청경채</v>
      </c>
    </row>
    <row r="4181">
      <c r="A4181" s="2" t="str">
        <f>IFERROR(__xludf.DUMMYFUNCTION("""COMPUTED_VALUE"""),"짬뽕의 순정")</f>
        <v>짬뽕의 순정</v>
      </c>
      <c r="B4181" s="2" t="str">
        <f>IFERROR(__xludf.DUMMYFUNCTION("""COMPUTED_VALUE"""),"베이컨")</f>
        <v>베이컨</v>
      </c>
    </row>
    <row r="4182">
      <c r="A4182" s="2" t="str">
        <f>IFERROR(__xludf.DUMMYFUNCTION("""COMPUTED_VALUE"""),"짬뽕의 순정")</f>
        <v>짬뽕의 순정</v>
      </c>
      <c r="B4182" s="2" t="str">
        <f>IFERROR(__xludf.DUMMYFUNCTION("""COMPUTED_VALUE"""),"소시지")</f>
        <v>소시지</v>
      </c>
    </row>
    <row r="4183">
      <c r="A4183" s="2" t="str">
        <f>IFERROR(__xludf.DUMMYFUNCTION("""COMPUTED_VALUE"""),"짬뽕의 순정")</f>
        <v>짬뽕의 순정</v>
      </c>
      <c r="B4183" s="2" t="str">
        <f>IFERROR(__xludf.DUMMYFUNCTION("""COMPUTED_VALUE"""),"어묵")</f>
        <v>어묵</v>
      </c>
    </row>
    <row r="4184">
      <c r="A4184" s="2" t="str">
        <f>IFERROR(__xludf.DUMMYFUNCTION("""COMPUTED_VALUE"""),"짬뽕의 순정")</f>
        <v>짬뽕의 순정</v>
      </c>
      <c r="B4184" s="2" t="str">
        <f>IFERROR(__xludf.DUMMYFUNCTION("""COMPUTED_VALUE"""),"고다치즈")</f>
        <v>고다치즈</v>
      </c>
    </row>
    <row r="4185">
      <c r="A4185" s="2" t="str">
        <f>IFERROR(__xludf.DUMMYFUNCTION("""COMPUTED_VALUE"""),"짬뽕의 순정")</f>
        <v>짬뽕의 순정</v>
      </c>
      <c r="B4185" s="2" t="str">
        <f>IFERROR(__xludf.DUMMYFUNCTION("""COMPUTED_VALUE"""),"골뱅이 통조림")</f>
        <v>골뱅이 통조림</v>
      </c>
    </row>
    <row r="4186">
      <c r="A4186" s="2" t="str">
        <f>IFERROR(__xludf.DUMMYFUNCTION("""COMPUTED_VALUE"""),"짬뽕의 순정")</f>
        <v>짬뽕의 순정</v>
      </c>
      <c r="B4186" s="2" t="str">
        <f>IFERROR(__xludf.DUMMYFUNCTION("""COMPUTED_VALUE"""),"우유")</f>
        <v>우유</v>
      </c>
    </row>
    <row r="4187">
      <c r="A4187" s="2" t="str">
        <f>IFERROR(__xludf.DUMMYFUNCTION("""COMPUTED_VALUE"""),"짬뽕의 순정")</f>
        <v>짬뽕의 순정</v>
      </c>
      <c r="B4187" s="2" t="str">
        <f>IFERROR(__xludf.DUMMYFUNCTION("""COMPUTED_VALUE"""),"달걀")</f>
        <v>달걀</v>
      </c>
    </row>
    <row r="4188">
      <c r="A4188" s="2" t="str">
        <f>IFERROR(__xludf.DUMMYFUNCTION("""COMPUTED_VALUE"""),"짬뽕의 순정")</f>
        <v>짬뽕의 순정</v>
      </c>
      <c r="B4188" s="2" t="str">
        <f>IFERROR(__xludf.DUMMYFUNCTION("""COMPUTED_VALUE"""),"마늘")</f>
        <v>마늘</v>
      </c>
    </row>
    <row r="4189">
      <c r="A4189" s="2" t="str">
        <f>IFERROR(__xludf.DUMMYFUNCTION("""COMPUTED_VALUE"""),"짬뽕의 순정")</f>
        <v>짬뽕의 순정</v>
      </c>
      <c r="B4189" s="2" t="str">
        <f>IFERROR(__xludf.DUMMYFUNCTION("""COMPUTED_VALUE"""),"양파")</f>
        <v>양파</v>
      </c>
    </row>
    <row r="4190">
      <c r="A4190" s="2" t="str">
        <f>IFERROR(__xludf.DUMMYFUNCTION("""COMPUTED_VALUE"""),"짬뽕의 순정")</f>
        <v>짬뽕의 순정</v>
      </c>
      <c r="B4190" s="2" t="str">
        <f>IFERROR(__xludf.DUMMYFUNCTION("""COMPUTED_VALUE"""),"청양고추")</f>
        <v>청양고추</v>
      </c>
    </row>
    <row r="4191">
      <c r="A4191" s="2" t="str">
        <f>IFERROR(__xludf.DUMMYFUNCTION("""COMPUTED_VALUE"""),"짬뽕의 순정")</f>
        <v>짬뽕의 순정</v>
      </c>
      <c r="B4191" s="2" t="str">
        <f>IFERROR(__xludf.DUMMYFUNCTION("""COMPUTED_VALUE"""),"대파")</f>
        <v>대파</v>
      </c>
    </row>
    <row r="4192">
      <c r="A4192" s="2" t="str">
        <f>IFERROR(__xludf.DUMMYFUNCTION("""COMPUTED_VALUE"""),"짬뽕의 순정")</f>
        <v>짬뽕의 순정</v>
      </c>
      <c r="B4192" s="2" t="str">
        <f>IFERROR(__xludf.DUMMYFUNCTION("""COMPUTED_VALUE"""),"소금")</f>
        <v>소금</v>
      </c>
    </row>
    <row r="4193">
      <c r="A4193" s="2" t="str">
        <f>IFERROR(__xludf.DUMMYFUNCTION("""COMPUTED_VALUE"""),"짬뽕의 순정")</f>
        <v>짬뽕의 순정</v>
      </c>
      <c r="B4193" s="2" t="str">
        <f>IFERROR(__xludf.DUMMYFUNCTION("""COMPUTED_VALUE"""),"식초")</f>
        <v>식초</v>
      </c>
    </row>
    <row r="4194">
      <c r="A4194" s="2" t="str">
        <f>IFERROR(__xludf.DUMMYFUNCTION("""COMPUTED_VALUE"""),"짬뽕의 순정")</f>
        <v>짬뽕의 순정</v>
      </c>
      <c r="B4194" s="2" t="str">
        <f>IFERROR(__xludf.DUMMYFUNCTION("""COMPUTED_VALUE"""),"고춧가루")</f>
        <v>고춧가루</v>
      </c>
    </row>
    <row r="4195">
      <c r="A4195" s="2" t="str">
        <f>IFERROR(__xludf.DUMMYFUNCTION("""COMPUTED_VALUE"""),"짬뽕의 순정")</f>
        <v>짬뽕의 순정</v>
      </c>
      <c r="B4195" s="2" t="str">
        <f>IFERROR(__xludf.DUMMYFUNCTION("""COMPUTED_VALUE"""),"간장")</f>
        <v>간장</v>
      </c>
    </row>
    <row r="4196">
      <c r="A4196" s="2" t="str">
        <f>IFERROR(__xludf.DUMMYFUNCTION("""COMPUTED_VALUE"""),"짬뽕의 순정")</f>
        <v>짬뽕의 순정</v>
      </c>
      <c r="B4196" s="2" t="str">
        <f>IFERROR(__xludf.DUMMYFUNCTION("""COMPUTED_VALUE"""),"후추")</f>
        <v>후추</v>
      </c>
    </row>
    <row r="4197">
      <c r="A4197" s="2" t="str">
        <f>IFERROR(__xludf.DUMMYFUNCTION("""COMPUTED_VALUE"""),"터미네미트볼")</f>
        <v>터미네미트볼</v>
      </c>
      <c r="B4197" s="2" t="str">
        <f>IFERROR(__xludf.DUMMYFUNCTION("""COMPUTED_VALUE"""),"소고기 등심")</f>
        <v>소고기 등심</v>
      </c>
    </row>
    <row r="4198">
      <c r="A4198" s="2" t="str">
        <f>IFERROR(__xludf.DUMMYFUNCTION("""COMPUTED_VALUE"""),"터미네미트볼")</f>
        <v>터미네미트볼</v>
      </c>
      <c r="B4198" s="2" t="str">
        <f>IFERROR(__xludf.DUMMYFUNCTION("""COMPUTED_VALUE"""),"애호박")</f>
        <v>애호박</v>
      </c>
    </row>
    <row r="4199">
      <c r="A4199" s="2" t="str">
        <f>IFERROR(__xludf.DUMMYFUNCTION("""COMPUTED_VALUE"""),"터미네미트볼")</f>
        <v>터미네미트볼</v>
      </c>
      <c r="B4199" s="2" t="str">
        <f>IFERROR(__xludf.DUMMYFUNCTION("""COMPUTED_VALUE"""),"감자")</f>
        <v>감자</v>
      </c>
    </row>
    <row r="4200">
      <c r="A4200" s="2" t="str">
        <f>IFERROR(__xludf.DUMMYFUNCTION("""COMPUTED_VALUE"""),"터미네미트볼")</f>
        <v>터미네미트볼</v>
      </c>
      <c r="B4200" s="2" t="str">
        <f>IFERROR(__xludf.DUMMYFUNCTION("""COMPUTED_VALUE"""),"우유")</f>
        <v>우유</v>
      </c>
    </row>
    <row r="4201">
      <c r="A4201" s="2" t="str">
        <f>IFERROR(__xludf.DUMMYFUNCTION("""COMPUTED_VALUE"""),"터미네미트볼")</f>
        <v>터미네미트볼</v>
      </c>
      <c r="B4201" s="2" t="str">
        <f>IFERROR(__xludf.DUMMYFUNCTION("""COMPUTED_VALUE"""),"카망베르 치즈")</f>
        <v>카망베르 치즈</v>
      </c>
    </row>
    <row r="4202">
      <c r="A4202" s="2" t="str">
        <f>IFERROR(__xludf.DUMMYFUNCTION("""COMPUTED_VALUE"""),"터미네미트볼")</f>
        <v>터미네미트볼</v>
      </c>
      <c r="B4202" s="2" t="str">
        <f>IFERROR(__xludf.DUMMYFUNCTION("""COMPUTED_VALUE"""),"발사믹 드레싱")</f>
        <v>발사믹 드레싱</v>
      </c>
    </row>
    <row r="4203">
      <c r="A4203" s="2" t="str">
        <f>IFERROR(__xludf.DUMMYFUNCTION("""COMPUTED_VALUE"""),"터미네미트볼")</f>
        <v>터미네미트볼</v>
      </c>
      <c r="B4203" s="2" t="str">
        <f>IFERROR(__xludf.DUMMYFUNCTION("""COMPUTED_VALUE"""),"빵가루")</f>
        <v>빵가루</v>
      </c>
    </row>
    <row r="4204">
      <c r="A4204" s="2" t="str">
        <f>IFERROR(__xludf.DUMMYFUNCTION("""COMPUTED_VALUE"""),"터미네미트볼")</f>
        <v>터미네미트볼</v>
      </c>
      <c r="B4204" s="2" t="str">
        <f>IFERROR(__xludf.DUMMYFUNCTION("""COMPUTED_VALUE"""),"양파")</f>
        <v>양파</v>
      </c>
    </row>
    <row r="4205">
      <c r="A4205" s="2" t="str">
        <f>IFERROR(__xludf.DUMMYFUNCTION("""COMPUTED_VALUE"""),"터미네미트볼")</f>
        <v>터미네미트볼</v>
      </c>
      <c r="B4205" s="2" t="str">
        <f>IFERROR(__xludf.DUMMYFUNCTION("""COMPUTED_VALUE"""),"레몬")</f>
        <v>레몬</v>
      </c>
    </row>
    <row r="4206">
      <c r="A4206" s="2" t="str">
        <f>IFERROR(__xludf.DUMMYFUNCTION("""COMPUTED_VALUE"""),"터미네미트볼")</f>
        <v>터미네미트볼</v>
      </c>
      <c r="B4206" s="2" t="str">
        <f>IFERROR(__xludf.DUMMYFUNCTION("""COMPUTED_VALUE"""),"소금")</f>
        <v>소금</v>
      </c>
    </row>
    <row r="4207">
      <c r="A4207" s="2" t="str">
        <f>IFERROR(__xludf.DUMMYFUNCTION("""COMPUTED_VALUE"""),"터미네미트볼")</f>
        <v>터미네미트볼</v>
      </c>
      <c r="B4207" s="2" t="str">
        <f>IFERROR(__xludf.DUMMYFUNCTION("""COMPUTED_VALUE"""),"후추")</f>
        <v>후추</v>
      </c>
    </row>
    <row r="4208">
      <c r="A4208" s="2" t="str">
        <f>IFERROR(__xludf.DUMMYFUNCTION("""COMPUTED_VALUE"""),"터미네미트볼")</f>
        <v>터미네미트볼</v>
      </c>
      <c r="B4208" s="2" t="str">
        <f>IFERROR(__xludf.DUMMYFUNCTION("""COMPUTED_VALUE"""),"밀가루")</f>
        <v>밀가루</v>
      </c>
    </row>
    <row r="4209">
      <c r="A4209" s="2" t="str">
        <f>IFERROR(__xludf.DUMMYFUNCTION("""COMPUTED_VALUE"""),"터미네미트볼")</f>
        <v>터미네미트볼</v>
      </c>
      <c r="B4209" s="2" t="str">
        <f>IFERROR(__xludf.DUMMYFUNCTION("""COMPUTED_VALUE"""),"화이트와인")</f>
        <v>화이트와인</v>
      </c>
    </row>
    <row r="4210">
      <c r="A4210" s="2" t="str">
        <f>IFERROR(__xludf.DUMMYFUNCTION("""COMPUTED_VALUE"""),"터미네미트볼")</f>
        <v>터미네미트볼</v>
      </c>
      <c r="B4210" s="2" t="str">
        <f>IFERROR(__xludf.DUMMYFUNCTION("""COMPUTED_VALUE"""),"올리브오일")</f>
        <v>올리브오일</v>
      </c>
    </row>
    <row r="4211">
      <c r="A4211" s="2" t="str">
        <f>IFERROR(__xludf.DUMMYFUNCTION("""COMPUTED_VALUE"""),"터미네미트볼")</f>
        <v>터미네미트볼</v>
      </c>
      <c r="B4211" s="2" t="str">
        <f>IFERROR(__xludf.DUMMYFUNCTION("""COMPUTED_VALUE"""),"버터")</f>
        <v>버터</v>
      </c>
    </row>
    <row r="4212">
      <c r="A4212" s="2" t="str">
        <f>IFERROR(__xludf.DUMMYFUNCTION("""COMPUTED_VALUE"""),"트랜스두부")</f>
        <v>트랜스두부</v>
      </c>
      <c r="B4212" s="2" t="str">
        <f>IFERROR(__xludf.DUMMYFUNCTION("""COMPUTED_VALUE"""),"두부")</f>
        <v>두부</v>
      </c>
    </row>
    <row r="4213">
      <c r="A4213" s="2" t="str">
        <f>IFERROR(__xludf.DUMMYFUNCTION("""COMPUTED_VALUE"""),"트랜스두부")</f>
        <v>트랜스두부</v>
      </c>
      <c r="B4213" s="2" t="str">
        <f>IFERROR(__xludf.DUMMYFUNCTION("""COMPUTED_VALUE"""),"오이")</f>
        <v>오이</v>
      </c>
    </row>
    <row r="4214">
      <c r="A4214" s="2" t="str">
        <f>IFERROR(__xludf.DUMMYFUNCTION("""COMPUTED_VALUE"""),"트랜스두부")</f>
        <v>트랜스두부</v>
      </c>
      <c r="B4214" s="2" t="str">
        <f>IFERROR(__xludf.DUMMYFUNCTION("""COMPUTED_VALUE"""),"다진 소고기 등심")</f>
        <v>다진 소고기 등심</v>
      </c>
    </row>
    <row r="4215">
      <c r="A4215" s="2" t="str">
        <f>IFERROR(__xludf.DUMMYFUNCTION("""COMPUTED_VALUE"""),"트랜스두부")</f>
        <v>트랜스두부</v>
      </c>
      <c r="B4215" s="2" t="str">
        <f>IFERROR(__xludf.DUMMYFUNCTION("""COMPUTED_VALUE"""),"굴소스")</f>
        <v>굴소스</v>
      </c>
    </row>
    <row r="4216">
      <c r="A4216" s="2" t="str">
        <f>IFERROR(__xludf.DUMMYFUNCTION("""COMPUTED_VALUE"""),"트랜스두부")</f>
        <v>트랜스두부</v>
      </c>
      <c r="B4216" s="2" t="str">
        <f>IFERROR(__xludf.DUMMYFUNCTION("""COMPUTED_VALUE"""),"스위트 칠리소스")</f>
        <v>스위트 칠리소스</v>
      </c>
    </row>
    <row r="4217">
      <c r="A4217" s="2" t="str">
        <f>IFERROR(__xludf.DUMMYFUNCTION("""COMPUTED_VALUE"""),"트랜스두부")</f>
        <v>트랜스두부</v>
      </c>
      <c r="B4217" s="2" t="str">
        <f>IFERROR(__xludf.DUMMYFUNCTION("""COMPUTED_VALUE"""),"당근")</f>
        <v>당근</v>
      </c>
    </row>
    <row r="4218">
      <c r="A4218" s="2" t="str">
        <f>IFERROR(__xludf.DUMMYFUNCTION("""COMPUTED_VALUE"""),"트랜스두부")</f>
        <v>트랜스두부</v>
      </c>
      <c r="B4218" s="2" t="str">
        <f>IFERROR(__xludf.DUMMYFUNCTION("""COMPUTED_VALUE"""),"양파")</f>
        <v>양파</v>
      </c>
    </row>
    <row r="4219">
      <c r="A4219" s="2" t="str">
        <f>IFERROR(__xludf.DUMMYFUNCTION("""COMPUTED_VALUE"""),"트랜스두부")</f>
        <v>트랜스두부</v>
      </c>
      <c r="B4219" s="2" t="str">
        <f>IFERROR(__xludf.DUMMYFUNCTION("""COMPUTED_VALUE"""),"대파")</f>
        <v>대파</v>
      </c>
    </row>
    <row r="4220">
      <c r="A4220" s="2" t="str">
        <f>IFERROR(__xludf.DUMMYFUNCTION("""COMPUTED_VALUE"""),"트랜스두부")</f>
        <v>트랜스두부</v>
      </c>
      <c r="B4220" s="2" t="str">
        <f>IFERROR(__xludf.DUMMYFUNCTION("""COMPUTED_VALUE"""),"마늘")</f>
        <v>마늘</v>
      </c>
    </row>
    <row r="4221">
      <c r="A4221" s="2" t="str">
        <f>IFERROR(__xludf.DUMMYFUNCTION("""COMPUTED_VALUE"""),"트랜스두부")</f>
        <v>트랜스두부</v>
      </c>
      <c r="B4221" s="2" t="str">
        <f>IFERROR(__xludf.DUMMYFUNCTION("""COMPUTED_VALUE"""),"레몬")</f>
        <v>레몬</v>
      </c>
    </row>
    <row r="4222">
      <c r="A4222" s="2" t="str">
        <f>IFERROR(__xludf.DUMMYFUNCTION("""COMPUTED_VALUE"""),"트랜스두부")</f>
        <v>트랜스두부</v>
      </c>
      <c r="B4222" s="2" t="str">
        <f>IFERROR(__xludf.DUMMYFUNCTION("""COMPUTED_VALUE"""),"소금")</f>
        <v>소금</v>
      </c>
    </row>
    <row r="4223">
      <c r="A4223" s="2" t="str">
        <f>IFERROR(__xludf.DUMMYFUNCTION("""COMPUTED_VALUE"""),"트랜스두부")</f>
        <v>트랜스두부</v>
      </c>
      <c r="B4223" s="2" t="str">
        <f>IFERROR(__xludf.DUMMYFUNCTION("""COMPUTED_VALUE"""),"전분")</f>
        <v>전분</v>
      </c>
    </row>
    <row r="4224">
      <c r="A4224" s="2" t="str">
        <f>IFERROR(__xludf.DUMMYFUNCTION("""COMPUTED_VALUE"""),"오트밀 맛있삼")</f>
        <v>오트밀 맛있삼</v>
      </c>
      <c r="B4224" s="2" t="str">
        <f>IFERROR(__xludf.DUMMYFUNCTION("""COMPUTED_VALUE"""),"오트밀")</f>
        <v>오트밀</v>
      </c>
    </row>
    <row r="4225">
      <c r="A4225" s="2" t="str">
        <f>IFERROR(__xludf.DUMMYFUNCTION("""COMPUTED_VALUE"""),"오트밀 맛있삼")</f>
        <v>오트밀 맛있삼</v>
      </c>
      <c r="B4225" s="2" t="str">
        <f>IFERROR(__xludf.DUMMYFUNCTION("""COMPUTED_VALUE"""),"삼겹살")</f>
        <v>삼겹살</v>
      </c>
    </row>
    <row r="4226">
      <c r="A4226" s="2" t="str">
        <f>IFERROR(__xludf.DUMMYFUNCTION("""COMPUTED_VALUE"""),"오트밀 맛있삼")</f>
        <v>오트밀 맛있삼</v>
      </c>
      <c r="B4226" s="2" t="str">
        <f>IFERROR(__xludf.DUMMYFUNCTION("""COMPUTED_VALUE"""),"우유")</f>
        <v>우유</v>
      </c>
    </row>
    <row r="4227">
      <c r="A4227" s="2" t="str">
        <f>IFERROR(__xludf.DUMMYFUNCTION("""COMPUTED_VALUE"""),"오트밀 맛있삼")</f>
        <v>오트밀 맛있삼</v>
      </c>
      <c r="B4227" s="2" t="str">
        <f>IFERROR(__xludf.DUMMYFUNCTION("""COMPUTED_VALUE"""),"건포도")</f>
        <v>건포도</v>
      </c>
    </row>
    <row r="4228">
      <c r="A4228" s="2" t="str">
        <f>IFERROR(__xludf.DUMMYFUNCTION("""COMPUTED_VALUE"""),"오트밀 맛있삼")</f>
        <v>오트밀 맛있삼</v>
      </c>
      <c r="B4228" s="2" t="str">
        <f>IFERROR(__xludf.DUMMYFUNCTION("""COMPUTED_VALUE"""),"연유")</f>
        <v>연유</v>
      </c>
    </row>
    <row r="4229">
      <c r="A4229" s="2" t="str">
        <f>IFERROR(__xludf.DUMMYFUNCTION("""COMPUTED_VALUE"""),"오트밀 맛있삼")</f>
        <v>오트밀 맛있삼</v>
      </c>
      <c r="B4229" s="2" t="str">
        <f>IFERROR(__xludf.DUMMYFUNCTION("""COMPUTED_VALUE"""),"견과류")</f>
        <v>견과류</v>
      </c>
    </row>
    <row r="4230">
      <c r="A4230" s="2" t="str">
        <f>IFERROR(__xludf.DUMMYFUNCTION("""COMPUTED_VALUE"""),"오트밀 맛있삼")</f>
        <v>오트밀 맛있삼</v>
      </c>
      <c r="B4230" s="2" t="str">
        <f>IFERROR(__xludf.DUMMYFUNCTION("""COMPUTED_VALUE"""),"고추마늘장아찌")</f>
        <v>고추마늘장아찌</v>
      </c>
    </row>
    <row r="4231">
      <c r="A4231" s="2" t="str">
        <f>IFERROR(__xludf.DUMMYFUNCTION("""COMPUTED_VALUE"""),"오트밀 맛있삼")</f>
        <v>오트밀 맛있삼</v>
      </c>
      <c r="B4231" s="2" t="str">
        <f>IFERROR(__xludf.DUMMYFUNCTION("""COMPUTED_VALUE"""),"곶감")</f>
        <v>곶감</v>
      </c>
    </row>
    <row r="4232">
      <c r="A4232" s="2" t="str">
        <f>IFERROR(__xludf.DUMMYFUNCTION("""COMPUTED_VALUE"""),"오트밀 맛있삼")</f>
        <v>오트밀 맛있삼</v>
      </c>
      <c r="B4232" s="2" t="str">
        <f>IFERROR(__xludf.DUMMYFUNCTION("""COMPUTED_VALUE"""),"레몬")</f>
        <v>레몬</v>
      </c>
    </row>
    <row r="4233">
      <c r="A4233" s="2" t="str">
        <f>IFERROR(__xludf.DUMMYFUNCTION("""COMPUTED_VALUE"""),"오트밀 맛있삼")</f>
        <v>오트밀 맛있삼</v>
      </c>
      <c r="B4233" s="2" t="str">
        <f>IFERROR(__xludf.DUMMYFUNCTION("""COMPUTED_VALUE"""),"소금")</f>
        <v>소금</v>
      </c>
    </row>
    <row r="4234">
      <c r="A4234" s="2" t="str">
        <f>IFERROR(__xludf.DUMMYFUNCTION("""COMPUTED_VALUE"""),"오트밀 맛있삼")</f>
        <v>오트밀 맛있삼</v>
      </c>
      <c r="B4234" s="2" t="str">
        <f>IFERROR(__xludf.DUMMYFUNCTION("""COMPUTED_VALUE"""),"후추")</f>
        <v>후추</v>
      </c>
    </row>
    <row r="4235">
      <c r="A4235" s="2" t="str">
        <f>IFERROR(__xludf.DUMMYFUNCTION("""COMPUTED_VALUE"""),"오트밀 맛있삼")</f>
        <v>오트밀 맛있삼</v>
      </c>
      <c r="B4235" s="2" t="str">
        <f>IFERROR(__xludf.DUMMYFUNCTION("""COMPUTED_VALUE"""),"맛술")</f>
        <v>맛술</v>
      </c>
    </row>
    <row r="4236">
      <c r="A4236" s="2" t="str">
        <f>IFERROR(__xludf.DUMMYFUNCTION("""COMPUTED_VALUE"""),"오트밀 맛있삼")</f>
        <v>오트밀 맛있삼</v>
      </c>
      <c r="B4236" s="2" t="str">
        <f>IFERROR(__xludf.DUMMYFUNCTION("""COMPUTED_VALUE"""),"깨")</f>
        <v>깨</v>
      </c>
    </row>
    <row r="4237">
      <c r="A4237" s="2" t="str">
        <f>IFERROR(__xludf.DUMMYFUNCTION("""COMPUTED_VALUE"""),"미카옐로")</f>
        <v>미카옐로</v>
      </c>
      <c r="B4237" s="2" t="str">
        <f>IFERROR(__xludf.DUMMYFUNCTION("""COMPUTED_VALUE"""),"감자")</f>
        <v>감자</v>
      </c>
    </row>
    <row r="4238">
      <c r="A4238" s="2" t="str">
        <f>IFERROR(__xludf.DUMMYFUNCTION("""COMPUTED_VALUE"""),"미카옐로")</f>
        <v>미카옐로</v>
      </c>
      <c r="B4238" s="2" t="str">
        <f>IFERROR(__xludf.DUMMYFUNCTION("""COMPUTED_VALUE"""),"당근")</f>
        <v>당근</v>
      </c>
    </row>
    <row r="4239">
      <c r="A4239" s="2" t="str">
        <f>IFERROR(__xludf.DUMMYFUNCTION("""COMPUTED_VALUE"""),"미카옐로")</f>
        <v>미카옐로</v>
      </c>
      <c r="B4239" s="2" t="str">
        <f>IFERROR(__xludf.DUMMYFUNCTION("""COMPUTED_VALUE"""),"애호박")</f>
        <v>애호박</v>
      </c>
    </row>
    <row r="4240">
      <c r="A4240" s="2" t="str">
        <f>IFERROR(__xludf.DUMMYFUNCTION("""COMPUTED_VALUE"""),"미카옐로")</f>
        <v>미카옐로</v>
      </c>
      <c r="B4240" s="2" t="str">
        <f>IFERROR(__xludf.DUMMYFUNCTION("""COMPUTED_VALUE"""),"다진 돼지고기")</f>
        <v>다진 돼지고기</v>
      </c>
    </row>
    <row r="4241">
      <c r="A4241" s="2" t="str">
        <f>IFERROR(__xludf.DUMMYFUNCTION("""COMPUTED_VALUE"""),"미카옐로")</f>
        <v>미카옐로</v>
      </c>
      <c r="B4241" s="2" t="str">
        <f>IFERROR(__xludf.DUMMYFUNCTION("""COMPUTED_VALUE"""),"달걀")</f>
        <v>달걀</v>
      </c>
    </row>
    <row r="4242">
      <c r="A4242" s="2" t="str">
        <f>IFERROR(__xludf.DUMMYFUNCTION("""COMPUTED_VALUE"""),"미카옐로")</f>
        <v>미카옐로</v>
      </c>
      <c r="B4242" s="2" t="str">
        <f>IFERROR(__xludf.DUMMYFUNCTION("""COMPUTED_VALUE"""),"사골국")</f>
        <v>사골국</v>
      </c>
    </row>
    <row r="4243">
      <c r="A4243" s="2" t="str">
        <f>IFERROR(__xludf.DUMMYFUNCTION("""COMPUTED_VALUE"""),"미카옐로")</f>
        <v>미카옐로</v>
      </c>
      <c r="B4243" s="2" t="str">
        <f>IFERROR(__xludf.DUMMYFUNCTION("""COMPUTED_VALUE"""),"우유")</f>
        <v>우유</v>
      </c>
    </row>
    <row r="4244">
      <c r="A4244" s="2" t="str">
        <f>IFERROR(__xludf.DUMMYFUNCTION("""COMPUTED_VALUE"""),"미카옐로")</f>
        <v>미카옐로</v>
      </c>
      <c r="B4244" s="2" t="str">
        <f>IFERROR(__xludf.DUMMYFUNCTION("""COMPUTED_VALUE"""),"즉석밥")</f>
        <v>즉석밥</v>
      </c>
    </row>
    <row r="4245">
      <c r="A4245" s="2" t="str">
        <f>IFERROR(__xludf.DUMMYFUNCTION("""COMPUTED_VALUE"""),"미카옐로")</f>
        <v>미카옐로</v>
      </c>
      <c r="B4245" s="2" t="str">
        <f>IFERROR(__xludf.DUMMYFUNCTION("""COMPUTED_VALUE"""),"양파")</f>
        <v>양파</v>
      </c>
    </row>
    <row r="4246">
      <c r="A4246" s="2" t="str">
        <f>IFERROR(__xludf.DUMMYFUNCTION("""COMPUTED_VALUE"""),"미카옐로")</f>
        <v>미카옐로</v>
      </c>
      <c r="B4246" s="2" t="str">
        <f>IFERROR(__xludf.DUMMYFUNCTION("""COMPUTED_VALUE"""),"레몬")</f>
        <v>레몬</v>
      </c>
    </row>
    <row r="4247">
      <c r="A4247" s="2" t="str">
        <f>IFERROR(__xludf.DUMMYFUNCTION("""COMPUTED_VALUE"""),"미카옐로")</f>
        <v>미카옐로</v>
      </c>
      <c r="B4247" s="2" t="str">
        <f>IFERROR(__xludf.DUMMYFUNCTION("""COMPUTED_VALUE"""),"청양고추")</f>
        <v>청양고추</v>
      </c>
    </row>
    <row r="4248">
      <c r="A4248" s="2" t="str">
        <f>IFERROR(__xludf.DUMMYFUNCTION("""COMPUTED_VALUE"""),"미카옐로")</f>
        <v>미카옐로</v>
      </c>
      <c r="B4248" s="2" t="str">
        <f>IFERROR(__xludf.DUMMYFUNCTION("""COMPUTED_VALUE"""),"대파")</f>
        <v>대파</v>
      </c>
    </row>
    <row r="4249">
      <c r="A4249" s="2" t="str">
        <f>IFERROR(__xludf.DUMMYFUNCTION("""COMPUTED_VALUE"""),"미카옐로")</f>
        <v>미카옐로</v>
      </c>
      <c r="B4249" s="2" t="str">
        <f>IFERROR(__xludf.DUMMYFUNCTION("""COMPUTED_VALUE"""),"버터")</f>
        <v>버터</v>
      </c>
    </row>
    <row r="4250">
      <c r="A4250" s="2" t="str">
        <f>IFERROR(__xludf.DUMMYFUNCTION("""COMPUTED_VALUE"""),"미카옐로")</f>
        <v>미카옐로</v>
      </c>
      <c r="B4250" s="2" t="str">
        <f>IFERROR(__xludf.DUMMYFUNCTION("""COMPUTED_VALUE"""),"소금")</f>
        <v>소금</v>
      </c>
    </row>
    <row r="4251">
      <c r="A4251" s="2" t="str">
        <f>IFERROR(__xludf.DUMMYFUNCTION("""COMPUTED_VALUE"""),"미카옐로")</f>
        <v>미카옐로</v>
      </c>
      <c r="B4251" s="2" t="str">
        <f>IFERROR(__xludf.DUMMYFUNCTION("""COMPUTED_VALUE"""),"후추")</f>
        <v>후추</v>
      </c>
    </row>
    <row r="4252">
      <c r="A4252" s="2" t="str">
        <f>IFERROR(__xludf.DUMMYFUNCTION("""COMPUTED_VALUE"""),"미카옐로")</f>
        <v>미카옐로</v>
      </c>
      <c r="B4252" s="2" t="str">
        <f>IFERROR(__xludf.DUMMYFUNCTION("""COMPUTED_VALUE"""),"밀가루")</f>
        <v>밀가루</v>
      </c>
    </row>
    <row r="4253">
      <c r="A4253" s="2" t="str">
        <f>IFERROR(__xludf.DUMMYFUNCTION("""COMPUTED_VALUE"""),"하트비트")</f>
        <v>하트비트</v>
      </c>
      <c r="B4253" s="2" t="str">
        <f>IFERROR(__xludf.DUMMYFUNCTION("""COMPUTED_VALUE"""),"돼지염통")</f>
        <v>돼지염통</v>
      </c>
    </row>
    <row r="4254">
      <c r="A4254" s="2" t="str">
        <f>IFERROR(__xludf.DUMMYFUNCTION("""COMPUTED_VALUE"""),"하트비트")</f>
        <v>하트비트</v>
      </c>
      <c r="B4254" s="2" t="str">
        <f>IFERROR(__xludf.DUMMYFUNCTION("""COMPUTED_VALUE"""),"돼지간")</f>
        <v>돼지간</v>
      </c>
    </row>
    <row r="4255">
      <c r="A4255" s="2" t="str">
        <f>IFERROR(__xludf.DUMMYFUNCTION("""COMPUTED_VALUE"""),"하트비트")</f>
        <v>하트비트</v>
      </c>
      <c r="B4255" s="2" t="str">
        <f>IFERROR(__xludf.DUMMYFUNCTION("""COMPUTED_VALUE"""),"방울토마토")</f>
        <v>방울토마토</v>
      </c>
    </row>
    <row r="4256">
      <c r="A4256" s="2" t="str">
        <f>IFERROR(__xludf.DUMMYFUNCTION("""COMPUTED_VALUE"""),"하트비트")</f>
        <v>하트비트</v>
      </c>
      <c r="B4256" s="2" t="str">
        <f>IFERROR(__xludf.DUMMYFUNCTION("""COMPUTED_VALUE"""),"양파")</f>
        <v>양파</v>
      </c>
    </row>
    <row r="4257">
      <c r="A4257" s="2" t="str">
        <f>IFERROR(__xludf.DUMMYFUNCTION("""COMPUTED_VALUE"""),"하트비트")</f>
        <v>하트비트</v>
      </c>
      <c r="B4257" s="2" t="str">
        <f>IFERROR(__xludf.DUMMYFUNCTION("""COMPUTED_VALUE"""),"고추")</f>
        <v>고추</v>
      </c>
    </row>
    <row r="4258">
      <c r="A4258" s="2" t="str">
        <f>IFERROR(__xludf.DUMMYFUNCTION("""COMPUTED_VALUE"""),"하트비트")</f>
        <v>하트비트</v>
      </c>
      <c r="B4258" s="2" t="str">
        <f>IFERROR(__xludf.DUMMYFUNCTION("""COMPUTED_VALUE"""),"레몬")</f>
        <v>레몬</v>
      </c>
    </row>
    <row r="4259">
      <c r="A4259" s="2" t="str">
        <f>IFERROR(__xludf.DUMMYFUNCTION("""COMPUTED_VALUE"""),"하트비트")</f>
        <v>하트비트</v>
      </c>
      <c r="B4259" s="2" t="str">
        <f>IFERROR(__xludf.DUMMYFUNCTION("""COMPUTED_VALUE"""),"대파")</f>
        <v>대파</v>
      </c>
    </row>
    <row r="4260">
      <c r="A4260" s="2" t="str">
        <f>IFERROR(__xludf.DUMMYFUNCTION("""COMPUTED_VALUE"""),"하트비트")</f>
        <v>하트비트</v>
      </c>
      <c r="B4260" s="2" t="str">
        <f>IFERROR(__xludf.DUMMYFUNCTION("""COMPUTED_VALUE"""),"마늘")</f>
        <v>마늘</v>
      </c>
    </row>
    <row r="4261">
      <c r="A4261" s="2" t="str">
        <f>IFERROR(__xludf.DUMMYFUNCTION("""COMPUTED_VALUE"""),"하트비트")</f>
        <v>하트비트</v>
      </c>
      <c r="B4261" s="2" t="str">
        <f>IFERROR(__xludf.DUMMYFUNCTION("""COMPUTED_VALUE"""),"달걀")</f>
        <v>달걀</v>
      </c>
    </row>
    <row r="4262">
      <c r="A4262" s="2" t="str">
        <f>IFERROR(__xludf.DUMMYFUNCTION("""COMPUTED_VALUE"""),"하트비트")</f>
        <v>하트비트</v>
      </c>
      <c r="B4262" s="2" t="str">
        <f>IFERROR(__xludf.DUMMYFUNCTION("""COMPUTED_VALUE"""),"소금")</f>
        <v>소금</v>
      </c>
    </row>
    <row r="4263">
      <c r="A4263" s="2" t="str">
        <f>IFERROR(__xludf.DUMMYFUNCTION("""COMPUTED_VALUE"""),"하트비트")</f>
        <v>하트비트</v>
      </c>
      <c r="B4263" s="2" t="str">
        <f>IFERROR(__xludf.DUMMYFUNCTION("""COMPUTED_VALUE"""),"후추")</f>
        <v>후추</v>
      </c>
    </row>
    <row r="4264">
      <c r="A4264" s="2" t="str">
        <f>IFERROR(__xludf.DUMMYFUNCTION("""COMPUTED_VALUE"""),"하트비트")</f>
        <v>하트비트</v>
      </c>
      <c r="B4264" s="2" t="str">
        <f>IFERROR(__xludf.DUMMYFUNCTION("""COMPUTED_VALUE"""),"밀가루")</f>
        <v>밀가루</v>
      </c>
    </row>
    <row r="4265">
      <c r="A4265" s="2" t="str">
        <f>IFERROR(__xludf.DUMMYFUNCTION("""COMPUTED_VALUE"""),"하트비트")</f>
        <v>하트비트</v>
      </c>
      <c r="B4265" s="2" t="str">
        <f>IFERROR(__xludf.DUMMYFUNCTION("""COMPUTED_VALUE"""),"레드와인")</f>
        <v>레드와인</v>
      </c>
    </row>
    <row r="4266">
      <c r="A4266" s="2" t="str">
        <f>IFERROR(__xludf.DUMMYFUNCTION("""COMPUTED_VALUE"""),"내장풍 냉채")</f>
        <v>내장풍 냉채</v>
      </c>
      <c r="B4266" s="2" t="str">
        <f>IFERROR(__xludf.DUMMYFUNCTION("""COMPUTED_VALUE"""),"돼지염통")</f>
        <v>돼지염통</v>
      </c>
    </row>
    <row r="4267">
      <c r="A4267" s="2" t="str">
        <f>IFERROR(__xludf.DUMMYFUNCTION("""COMPUTED_VALUE"""),"내장풍 냉채")</f>
        <v>내장풍 냉채</v>
      </c>
      <c r="B4267" s="2" t="str">
        <f>IFERROR(__xludf.DUMMYFUNCTION("""COMPUTED_VALUE"""),"돼지허파")</f>
        <v>돼지허파</v>
      </c>
    </row>
    <row r="4268">
      <c r="A4268" s="2" t="str">
        <f>IFERROR(__xludf.DUMMYFUNCTION("""COMPUTED_VALUE"""),"내장풍 냉채")</f>
        <v>내장풍 냉채</v>
      </c>
      <c r="B4268" s="2" t="str">
        <f>IFERROR(__xludf.DUMMYFUNCTION("""COMPUTED_VALUE"""),"오이")</f>
        <v>오이</v>
      </c>
    </row>
    <row r="4269">
      <c r="A4269" s="2" t="str">
        <f>IFERROR(__xludf.DUMMYFUNCTION("""COMPUTED_VALUE"""),"내장풍 냉채")</f>
        <v>내장풍 냉채</v>
      </c>
      <c r="B4269" s="2" t="str">
        <f>IFERROR(__xludf.DUMMYFUNCTION("""COMPUTED_VALUE"""),"상추")</f>
        <v>상추</v>
      </c>
    </row>
    <row r="4270">
      <c r="A4270" s="2" t="str">
        <f>IFERROR(__xludf.DUMMYFUNCTION("""COMPUTED_VALUE"""),"내장풍 냉채")</f>
        <v>내장풍 냉채</v>
      </c>
      <c r="B4270" s="2" t="str">
        <f>IFERROR(__xludf.DUMMYFUNCTION("""COMPUTED_VALUE"""),"대파")</f>
        <v>대파</v>
      </c>
    </row>
    <row r="4271">
      <c r="A4271" s="2" t="str">
        <f>IFERROR(__xludf.DUMMYFUNCTION("""COMPUTED_VALUE"""),"내장풍 냉채")</f>
        <v>내장풍 냉채</v>
      </c>
      <c r="B4271" s="2" t="str">
        <f>IFERROR(__xludf.DUMMYFUNCTION("""COMPUTED_VALUE"""),"마늘")</f>
        <v>마늘</v>
      </c>
    </row>
    <row r="4272">
      <c r="A4272" s="2" t="str">
        <f>IFERROR(__xludf.DUMMYFUNCTION("""COMPUTED_VALUE"""),"내장풍 냉채")</f>
        <v>내장풍 냉채</v>
      </c>
      <c r="B4272" s="2" t="str">
        <f>IFERROR(__xludf.DUMMYFUNCTION("""COMPUTED_VALUE"""),"맛술")</f>
        <v>맛술</v>
      </c>
    </row>
    <row r="4273">
      <c r="A4273" s="2" t="str">
        <f>IFERROR(__xludf.DUMMYFUNCTION("""COMPUTED_VALUE"""),"내장풍 냉채")</f>
        <v>내장풍 냉채</v>
      </c>
      <c r="B4273" s="2" t="str">
        <f>IFERROR(__xludf.DUMMYFUNCTION("""COMPUTED_VALUE"""),"고춧가루")</f>
        <v>고춧가루</v>
      </c>
    </row>
    <row r="4274">
      <c r="A4274" s="2" t="str">
        <f>IFERROR(__xludf.DUMMYFUNCTION("""COMPUTED_VALUE"""),"내장풍 냉채")</f>
        <v>내장풍 냉채</v>
      </c>
      <c r="B4274" s="2" t="str">
        <f>IFERROR(__xludf.DUMMYFUNCTION("""COMPUTED_VALUE"""),"다진 생강")</f>
        <v>다진 생강</v>
      </c>
    </row>
    <row r="4275">
      <c r="A4275" s="2" t="str">
        <f>IFERROR(__xludf.DUMMYFUNCTION("""COMPUTED_VALUE"""),"내장풍 냉채")</f>
        <v>내장풍 냉채</v>
      </c>
      <c r="B4275" s="2" t="str">
        <f>IFERROR(__xludf.DUMMYFUNCTION("""COMPUTED_VALUE"""),"맛술")</f>
        <v>맛술</v>
      </c>
    </row>
    <row r="4276">
      <c r="A4276" s="2" t="str">
        <f>IFERROR(__xludf.DUMMYFUNCTION("""COMPUTED_VALUE"""),"내장풍 냉채")</f>
        <v>내장풍 냉채</v>
      </c>
      <c r="B4276" s="2" t="str">
        <f>IFERROR(__xludf.DUMMYFUNCTION("""COMPUTED_VALUE"""),"간장")</f>
        <v>간장</v>
      </c>
    </row>
    <row r="4277">
      <c r="A4277" s="2" t="str">
        <f>IFERROR(__xludf.DUMMYFUNCTION("""COMPUTED_VALUE"""),"내장풍 냉채")</f>
        <v>내장풍 냉채</v>
      </c>
      <c r="B4277" s="2" t="str">
        <f>IFERROR(__xludf.DUMMYFUNCTION("""COMPUTED_VALUE"""),"설탕")</f>
        <v>설탕</v>
      </c>
    </row>
    <row r="4278">
      <c r="A4278" s="2" t="str">
        <f>IFERROR(__xludf.DUMMYFUNCTION("""COMPUTED_VALUE"""),"내장풍 냉채")</f>
        <v>내장풍 냉채</v>
      </c>
      <c r="B4278" s="2" t="str">
        <f>IFERROR(__xludf.DUMMYFUNCTION("""COMPUTED_VALUE"""),"식초")</f>
        <v>식초</v>
      </c>
    </row>
    <row r="4279">
      <c r="A4279" s="2" t="str">
        <f>IFERROR(__xludf.DUMMYFUNCTION("""COMPUTED_VALUE"""),"내장풍 냉채")</f>
        <v>내장풍 냉채</v>
      </c>
      <c r="B4279" s="2" t="str">
        <f>IFERROR(__xludf.DUMMYFUNCTION("""COMPUTED_VALUE"""),"밀가루")</f>
        <v>밀가루</v>
      </c>
    </row>
    <row r="4280">
      <c r="A4280" s="2" t="str">
        <f>IFERROR(__xludf.DUMMYFUNCTION("""COMPUTED_VALUE"""),"내장풍 냉채")</f>
        <v>내장풍 냉채</v>
      </c>
      <c r="B4280" s="2" t="str">
        <f>IFERROR(__xludf.DUMMYFUNCTION("""COMPUTED_VALUE"""),"전분")</f>
        <v>전분</v>
      </c>
    </row>
    <row r="4281">
      <c r="A4281" s="2" t="str">
        <f>IFERROR(__xludf.DUMMYFUNCTION("""COMPUTED_VALUE"""),"내장풍 냉채")</f>
        <v>내장풍 냉채</v>
      </c>
      <c r="B4281" s="2" t="str">
        <f>IFERROR(__xludf.DUMMYFUNCTION("""COMPUTED_VALUE"""),"소금")</f>
        <v>소금</v>
      </c>
    </row>
    <row r="4282">
      <c r="A4282" s="2" t="str">
        <f>IFERROR(__xludf.DUMMYFUNCTION("""COMPUTED_VALUE"""),"내장풍 냉채")</f>
        <v>내장풍 냉채</v>
      </c>
      <c r="B4282" s="2" t="str">
        <f>IFERROR(__xludf.DUMMYFUNCTION("""COMPUTED_VALUE"""),"식용유")</f>
        <v>식용유</v>
      </c>
    </row>
    <row r="4283">
      <c r="A4283" s="2" t="str">
        <f>IFERROR(__xludf.DUMMYFUNCTION("""COMPUTED_VALUE"""),"염통이 바샤샤샤~")</f>
        <v>염통이 바샤샤샤~</v>
      </c>
      <c r="B4283" s="2" t="str">
        <f>IFERROR(__xludf.DUMMYFUNCTION("""COMPUTED_VALUE"""),"돼지염통")</f>
        <v>돼지염통</v>
      </c>
    </row>
    <row r="4284">
      <c r="A4284" s="2" t="str">
        <f>IFERROR(__xludf.DUMMYFUNCTION("""COMPUTED_VALUE"""),"염통이 바샤샤샤~")</f>
        <v>염통이 바샤샤샤~</v>
      </c>
      <c r="B4284" s="2" t="str">
        <f>IFERROR(__xludf.DUMMYFUNCTION("""COMPUTED_VALUE"""),"새우맛 후리카게")</f>
        <v>새우맛 후리카게</v>
      </c>
    </row>
    <row r="4285">
      <c r="A4285" s="2" t="str">
        <f>IFERROR(__xludf.DUMMYFUNCTION("""COMPUTED_VALUE"""),"염통이 바샤샤샤~")</f>
        <v>염통이 바샤샤샤~</v>
      </c>
      <c r="B4285" s="2" t="str">
        <f>IFERROR(__xludf.DUMMYFUNCTION("""COMPUTED_VALUE"""),"양파")</f>
        <v>양파</v>
      </c>
    </row>
    <row r="4286">
      <c r="A4286" s="2" t="str">
        <f>IFERROR(__xludf.DUMMYFUNCTION("""COMPUTED_VALUE"""),"염통이 바샤샤샤~")</f>
        <v>염통이 바샤샤샤~</v>
      </c>
      <c r="B4286" s="2" t="str">
        <f>IFERROR(__xludf.DUMMYFUNCTION("""COMPUTED_VALUE"""),"대파")</f>
        <v>대파</v>
      </c>
    </row>
    <row r="4287">
      <c r="A4287" s="2" t="str">
        <f>IFERROR(__xludf.DUMMYFUNCTION("""COMPUTED_VALUE"""),"염통이 바샤샤샤~")</f>
        <v>염통이 바샤샤샤~</v>
      </c>
      <c r="B4287" s="2" t="str">
        <f>IFERROR(__xludf.DUMMYFUNCTION("""COMPUTED_VALUE"""),"즉석밥")</f>
        <v>즉석밥</v>
      </c>
    </row>
    <row r="4288">
      <c r="A4288" s="2" t="str">
        <f>IFERROR(__xludf.DUMMYFUNCTION("""COMPUTED_VALUE"""),"염통이 바샤샤샤~")</f>
        <v>염통이 바샤샤샤~</v>
      </c>
      <c r="B4288" s="2" t="str">
        <f>IFERROR(__xludf.DUMMYFUNCTION("""COMPUTED_VALUE"""),"간장")</f>
        <v>간장</v>
      </c>
    </row>
    <row r="4289">
      <c r="A4289" s="2" t="str">
        <f>IFERROR(__xludf.DUMMYFUNCTION("""COMPUTED_VALUE"""),"염통이 바샤샤샤~")</f>
        <v>염통이 바샤샤샤~</v>
      </c>
      <c r="B4289" s="2" t="str">
        <f>IFERROR(__xludf.DUMMYFUNCTION("""COMPUTED_VALUE"""),"맛술")</f>
        <v>맛술</v>
      </c>
    </row>
    <row r="4290">
      <c r="A4290" s="2" t="str">
        <f>IFERROR(__xludf.DUMMYFUNCTION("""COMPUTED_VALUE"""),"염통이 바샤샤샤~")</f>
        <v>염통이 바샤샤샤~</v>
      </c>
      <c r="B4290" s="2" t="str">
        <f>IFERROR(__xludf.DUMMYFUNCTION("""COMPUTED_VALUE"""),"설탕")</f>
        <v>설탕</v>
      </c>
    </row>
    <row r="4291">
      <c r="A4291" s="2" t="str">
        <f>IFERROR(__xludf.DUMMYFUNCTION("""COMPUTED_VALUE"""),"염통이 바샤샤샤~")</f>
        <v>염통이 바샤샤샤~</v>
      </c>
      <c r="B4291" s="2" t="str">
        <f>IFERROR(__xludf.DUMMYFUNCTION("""COMPUTED_VALUE"""),"청주")</f>
        <v>청주</v>
      </c>
    </row>
    <row r="4292">
      <c r="A4292" s="2" t="str">
        <f>IFERROR(__xludf.DUMMYFUNCTION("""COMPUTED_VALUE"""),"염통이 바샤샤샤~")</f>
        <v>염통이 바샤샤샤~</v>
      </c>
      <c r="B4292" s="2" t="str">
        <f>IFERROR(__xludf.DUMMYFUNCTION("""COMPUTED_VALUE"""),"밀가루")</f>
        <v>밀가루</v>
      </c>
    </row>
    <row r="4293">
      <c r="A4293" s="2" t="str">
        <f>IFERROR(__xludf.DUMMYFUNCTION("""COMPUTED_VALUE"""),"염통이 바샤샤샤~")</f>
        <v>염통이 바샤샤샤~</v>
      </c>
      <c r="B4293" s="2" t="str">
        <f>IFERROR(__xludf.DUMMYFUNCTION("""COMPUTED_VALUE"""),"전분")</f>
        <v>전분</v>
      </c>
    </row>
    <row r="4294">
      <c r="A4294" s="2" t="str">
        <f>IFERROR(__xludf.DUMMYFUNCTION("""COMPUTED_VALUE"""),"염통이 바샤샤샤~")</f>
        <v>염통이 바샤샤샤~</v>
      </c>
      <c r="B4294" s="2" t="str">
        <f>IFERROR(__xludf.DUMMYFUNCTION("""COMPUTED_VALUE"""),"참기름")</f>
        <v>참기름</v>
      </c>
    </row>
    <row r="4295">
      <c r="A4295" s="2" t="str">
        <f>IFERROR(__xludf.DUMMYFUNCTION("""COMPUTED_VALUE"""),"초밥 베이베")</f>
        <v>초밥 베이베</v>
      </c>
      <c r="B4295" s="2" t="str">
        <f>IFERROR(__xludf.DUMMYFUNCTION("""COMPUTED_VALUE"""),"불고기용 소고기")</f>
        <v>불고기용 소고기</v>
      </c>
    </row>
    <row r="4296">
      <c r="A4296" s="2" t="str">
        <f>IFERROR(__xludf.DUMMYFUNCTION("""COMPUTED_VALUE"""),"초밥 베이베")</f>
        <v>초밥 베이베</v>
      </c>
      <c r="B4296" s="2" t="str">
        <f>IFERROR(__xludf.DUMMYFUNCTION("""COMPUTED_VALUE"""),"닭가슴살 소시지")</f>
        <v>닭가슴살 소시지</v>
      </c>
    </row>
    <row r="4297">
      <c r="A4297" s="2" t="str">
        <f>IFERROR(__xludf.DUMMYFUNCTION("""COMPUTED_VALUE"""),"초밥 베이베")</f>
        <v>초밥 베이베</v>
      </c>
      <c r="B4297" s="2" t="str">
        <f>IFERROR(__xludf.DUMMYFUNCTION("""COMPUTED_VALUE"""),"열무김치")</f>
        <v>열무김치</v>
      </c>
    </row>
    <row r="4298">
      <c r="A4298" s="2" t="str">
        <f>IFERROR(__xludf.DUMMYFUNCTION("""COMPUTED_VALUE"""),"초밥 베이베")</f>
        <v>초밥 베이베</v>
      </c>
      <c r="B4298" s="2" t="str">
        <f>IFERROR(__xludf.DUMMYFUNCTION("""COMPUTED_VALUE"""),"멸치볶음")</f>
        <v>멸치볶음</v>
      </c>
    </row>
    <row r="4299">
      <c r="A4299" s="2" t="str">
        <f>IFERROR(__xludf.DUMMYFUNCTION("""COMPUTED_VALUE"""),"초밥 베이베")</f>
        <v>초밥 베이베</v>
      </c>
      <c r="B4299" s="2" t="str">
        <f>IFERROR(__xludf.DUMMYFUNCTION("""COMPUTED_VALUE"""),"청포도")</f>
        <v>청포도</v>
      </c>
    </row>
    <row r="4300">
      <c r="A4300" s="2" t="str">
        <f>IFERROR(__xludf.DUMMYFUNCTION("""COMPUTED_VALUE"""),"초밥 베이베")</f>
        <v>초밥 베이베</v>
      </c>
      <c r="B4300" s="2" t="str">
        <f>IFERROR(__xludf.DUMMYFUNCTION("""COMPUTED_VALUE"""),"김")</f>
        <v>김</v>
      </c>
    </row>
    <row r="4301">
      <c r="A4301" s="2" t="str">
        <f>IFERROR(__xludf.DUMMYFUNCTION("""COMPUTED_VALUE"""),"초밥 베이베")</f>
        <v>초밥 베이베</v>
      </c>
      <c r="B4301" s="2" t="str">
        <f>IFERROR(__xludf.DUMMYFUNCTION("""COMPUTED_VALUE"""),"즉석밥")</f>
        <v>즉석밥</v>
      </c>
    </row>
    <row r="4302">
      <c r="A4302" s="2" t="str">
        <f>IFERROR(__xludf.DUMMYFUNCTION("""COMPUTED_VALUE"""),"초밥 베이베")</f>
        <v>초밥 베이베</v>
      </c>
      <c r="B4302" s="2" t="str">
        <f>IFERROR(__xludf.DUMMYFUNCTION("""COMPUTED_VALUE"""),"식초")</f>
        <v>식초</v>
      </c>
    </row>
    <row r="4303">
      <c r="A4303" s="2" t="str">
        <f>IFERROR(__xludf.DUMMYFUNCTION("""COMPUTED_VALUE"""),"초밥 베이베")</f>
        <v>초밥 베이베</v>
      </c>
      <c r="B4303" s="2" t="str">
        <f>IFERROR(__xludf.DUMMYFUNCTION("""COMPUTED_VALUE"""),"소금")</f>
        <v>소금</v>
      </c>
    </row>
    <row r="4304">
      <c r="A4304" s="2" t="str">
        <f>IFERROR(__xludf.DUMMYFUNCTION("""COMPUTED_VALUE"""),"초밥 베이베")</f>
        <v>초밥 베이베</v>
      </c>
      <c r="B4304" s="2" t="str">
        <f>IFERROR(__xludf.DUMMYFUNCTION("""COMPUTED_VALUE"""),"설탕")</f>
        <v>설탕</v>
      </c>
    </row>
    <row r="4305">
      <c r="A4305" s="2" t="str">
        <f>IFERROR(__xludf.DUMMYFUNCTION("""COMPUTED_VALUE"""),"초밥 베이베")</f>
        <v>초밥 베이베</v>
      </c>
      <c r="B4305" s="2" t="str">
        <f>IFERROR(__xludf.DUMMYFUNCTION("""COMPUTED_VALUE"""),"맛술")</f>
        <v>맛술</v>
      </c>
    </row>
    <row r="4306">
      <c r="A4306" s="2" t="str">
        <f>IFERROR(__xludf.DUMMYFUNCTION("""COMPUTED_VALUE"""),"초밥 베이베")</f>
        <v>초밥 베이베</v>
      </c>
      <c r="B4306" s="2" t="str">
        <f>IFERROR(__xludf.DUMMYFUNCTION("""COMPUTED_VALUE"""),"청주")</f>
        <v>청주</v>
      </c>
    </row>
    <row r="4307">
      <c r="A4307" s="2" t="str">
        <f>IFERROR(__xludf.DUMMYFUNCTION("""COMPUTED_VALUE"""),"초밥 베이베")</f>
        <v>초밥 베이베</v>
      </c>
      <c r="B4307" s="2" t="str">
        <f>IFERROR(__xludf.DUMMYFUNCTION("""COMPUTED_VALUE"""),"간장")</f>
        <v>간장</v>
      </c>
    </row>
    <row r="4308">
      <c r="A4308" s="2" t="str">
        <f>IFERROR(__xludf.DUMMYFUNCTION("""COMPUTED_VALUE"""),"초밥 베이베")</f>
        <v>초밥 베이베</v>
      </c>
      <c r="B4308" s="2" t="str">
        <f>IFERROR(__xludf.DUMMYFUNCTION("""COMPUTED_VALUE"""),"밀가루")</f>
        <v>밀가루</v>
      </c>
    </row>
    <row r="4309">
      <c r="A4309" s="2" t="str">
        <f>IFERROR(__xludf.DUMMYFUNCTION("""COMPUTED_VALUE"""),"초밥 베이베")</f>
        <v>초밥 베이베</v>
      </c>
      <c r="B4309" s="2" t="str">
        <f>IFERROR(__xludf.DUMMYFUNCTION("""COMPUTED_VALUE"""),"들기름")</f>
        <v>들기름</v>
      </c>
    </row>
    <row r="4310">
      <c r="A4310" s="2" t="str">
        <f>IFERROR(__xludf.DUMMYFUNCTION("""COMPUTED_VALUE"""),"초밥 베이베")</f>
        <v>초밥 베이베</v>
      </c>
      <c r="B4310" s="2" t="str">
        <f>IFERROR(__xludf.DUMMYFUNCTION("""COMPUTED_VALUE"""),"케첩")</f>
        <v>케첩</v>
      </c>
    </row>
    <row r="4311">
      <c r="A4311" s="2" t="str">
        <f>IFERROR(__xludf.DUMMYFUNCTION("""COMPUTED_VALUE"""),"크레이지 크레페")</f>
        <v>크레이지 크레페</v>
      </c>
      <c r="B4311" s="2" t="str">
        <f>IFERROR(__xludf.DUMMYFUNCTION("""COMPUTED_VALUE"""),"우유")</f>
        <v>우유</v>
      </c>
    </row>
    <row r="4312">
      <c r="A4312" s="2" t="str">
        <f>IFERROR(__xludf.DUMMYFUNCTION("""COMPUTED_VALUE"""),"크레이지 크레페")</f>
        <v>크레이지 크레페</v>
      </c>
      <c r="B4312" s="2" t="str">
        <f>IFERROR(__xludf.DUMMYFUNCTION("""COMPUTED_VALUE"""),"두유")</f>
        <v>두유</v>
      </c>
    </row>
    <row r="4313">
      <c r="A4313" s="2" t="str">
        <f>IFERROR(__xludf.DUMMYFUNCTION("""COMPUTED_VALUE"""),"크레이지 크레페")</f>
        <v>크레이지 크레페</v>
      </c>
      <c r="B4313" s="2" t="str">
        <f>IFERROR(__xludf.DUMMYFUNCTION("""COMPUTED_VALUE"""),"고구마 아이스크림")</f>
        <v>고구마 아이스크림</v>
      </c>
    </row>
    <row r="4314">
      <c r="A4314" s="2" t="str">
        <f>IFERROR(__xludf.DUMMYFUNCTION("""COMPUTED_VALUE"""),"크레이지 크레페")</f>
        <v>크레이지 크레페</v>
      </c>
      <c r="B4314" s="2" t="str">
        <f>IFERROR(__xludf.DUMMYFUNCTION("""COMPUTED_VALUE"""),"오렌지")</f>
        <v>오렌지</v>
      </c>
    </row>
    <row r="4315">
      <c r="A4315" s="2" t="str">
        <f>IFERROR(__xludf.DUMMYFUNCTION("""COMPUTED_VALUE"""),"크레이지 크레페")</f>
        <v>크레이지 크레페</v>
      </c>
      <c r="B4315" s="2" t="str">
        <f>IFERROR(__xludf.DUMMYFUNCTION("""COMPUTED_VALUE"""),"바나나")</f>
        <v>바나나</v>
      </c>
    </row>
    <row r="4316">
      <c r="A4316" s="2" t="str">
        <f>IFERROR(__xludf.DUMMYFUNCTION("""COMPUTED_VALUE"""),"크레이지 크레페")</f>
        <v>크레이지 크레페</v>
      </c>
      <c r="B4316" s="2" t="str">
        <f>IFERROR(__xludf.DUMMYFUNCTION("""COMPUTED_VALUE"""),"달걀")</f>
        <v>달걀</v>
      </c>
    </row>
    <row r="4317">
      <c r="A4317" s="2" t="str">
        <f>IFERROR(__xludf.DUMMYFUNCTION("""COMPUTED_VALUE"""),"크레이지 크레페")</f>
        <v>크레이지 크레페</v>
      </c>
      <c r="B4317" s="2" t="str">
        <f>IFERROR(__xludf.DUMMYFUNCTION("""COMPUTED_VALUE"""),"버터")</f>
        <v>버터</v>
      </c>
    </row>
    <row r="4318">
      <c r="A4318" s="2" t="str">
        <f>IFERROR(__xludf.DUMMYFUNCTION("""COMPUTED_VALUE"""),"크레이지 크레페")</f>
        <v>크레이지 크레페</v>
      </c>
      <c r="B4318" s="2" t="str">
        <f>IFERROR(__xludf.DUMMYFUNCTION("""COMPUTED_VALUE"""),"밀가루")</f>
        <v>밀가루</v>
      </c>
    </row>
    <row r="4319">
      <c r="A4319" s="2" t="str">
        <f>IFERROR(__xludf.DUMMYFUNCTION("""COMPUTED_VALUE"""),"크레이지 크레페")</f>
        <v>크레이지 크레페</v>
      </c>
      <c r="B4319" s="2" t="str">
        <f>IFERROR(__xludf.DUMMYFUNCTION("""COMPUTED_VALUE"""),"설탕")</f>
        <v>설탕</v>
      </c>
    </row>
    <row r="4320">
      <c r="A4320" s="2" t="str">
        <f>IFERROR(__xludf.DUMMYFUNCTION("""COMPUTED_VALUE"""),"술이 깰랑말랑 몽블랑")</f>
        <v>술이 깰랑말랑 몽블랑</v>
      </c>
      <c r="B4320" s="2" t="str">
        <f>IFERROR(__xludf.DUMMYFUNCTION("""COMPUTED_VALUE"""),"견과류")</f>
        <v>견과류</v>
      </c>
    </row>
    <row r="4321">
      <c r="A4321" s="2" t="str">
        <f>IFERROR(__xludf.DUMMYFUNCTION("""COMPUTED_VALUE"""),"술이 깰랑말랑 몽블랑")</f>
        <v>술이 깰랑말랑 몽블랑</v>
      </c>
      <c r="B4321" s="2" t="str">
        <f>IFERROR(__xludf.DUMMYFUNCTION("""COMPUTED_VALUE"""),"맛밤")</f>
        <v>맛밤</v>
      </c>
    </row>
    <row r="4322">
      <c r="A4322" s="2" t="str">
        <f>IFERROR(__xludf.DUMMYFUNCTION("""COMPUTED_VALUE"""),"술이 깰랑말랑 몽블랑")</f>
        <v>술이 깰랑말랑 몽블랑</v>
      </c>
      <c r="B4322" s="2" t="str">
        <f>IFERROR(__xludf.DUMMYFUNCTION("""COMPUTED_VALUE"""),"커피우유")</f>
        <v>커피우유</v>
      </c>
    </row>
    <row r="4323">
      <c r="A4323" s="2" t="str">
        <f>IFERROR(__xludf.DUMMYFUNCTION("""COMPUTED_VALUE"""),"술이 깰랑말랑 몽블랑")</f>
        <v>술이 깰랑말랑 몽블랑</v>
      </c>
      <c r="B4323" s="2" t="str">
        <f>IFERROR(__xludf.DUMMYFUNCTION("""COMPUTED_VALUE"""),"식빵")</f>
        <v>식빵</v>
      </c>
    </row>
    <row r="4324">
      <c r="A4324" s="2" t="str">
        <f>IFERROR(__xludf.DUMMYFUNCTION("""COMPUTED_VALUE"""),"술이 깰랑말랑 몽블랑")</f>
        <v>술이 깰랑말랑 몽블랑</v>
      </c>
      <c r="B4324" s="2" t="str">
        <f>IFERROR(__xludf.DUMMYFUNCTION("""COMPUTED_VALUE"""),"청포도")</f>
        <v>청포도</v>
      </c>
    </row>
    <row r="4325">
      <c r="A4325" s="2" t="str">
        <f>IFERROR(__xludf.DUMMYFUNCTION("""COMPUTED_VALUE"""),"술이 깰랑말랑 몽블랑")</f>
        <v>술이 깰랑말랑 몽블랑</v>
      </c>
      <c r="B4325" s="2" t="str">
        <f>IFERROR(__xludf.DUMMYFUNCTION("""COMPUTED_VALUE"""),"적포도")</f>
        <v>적포도</v>
      </c>
    </row>
    <row r="4326">
      <c r="A4326" s="2" t="str">
        <f>IFERROR(__xludf.DUMMYFUNCTION("""COMPUTED_VALUE"""),"술이 깰랑말랑 몽블랑")</f>
        <v>술이 깰랑말랑 몽블랑</v>
      </c>
      <c r="B4326" s="2" t="str">
        <f>IFERROR(__xludf.DUMMYFUNCTION("""COMPUTED_VALUE"""),"녹차아이스크림")</f>
        <v>녹차아이스크림</v>
      </c>
    </row>
    <row r="4327">
      <c r="A4327" s="2" t="str">
        <f>IFERROR(__xludf.DUMMYFUNCTION("""COMPUTED_VALUE"""),"술이 깰랑말랑 몽블랑")</f>
        <v>술이 깰랑말랑 몽블랑</v>
      </c>
      <c r="B4327" s="2" t="str">
        <f>IFERROR(__xludf.DUMMYFUNCTION("""COMPUTED_VALUE"""),"밀가루")</f>
        <v>밀가루</v>
      </c>
    </row>
    <row r="4328">
      <c r="A4328" s="2" t="str">
        <f>IFERROR(__xludf.DUMMYFUNCTION("""COMPUTED_VALUE"""),"술이 깰랑말랑 몽블랑")</f>
        <v>술이 깰랑말랑 몽블랑</v>
      </c>
      <c r="B4328" s="2" t="str">
        <f>IFERROR(__xludf.DUMMYFUNCTION("""COMPUTED_VALUE"""),"설탕")</f>
        <v>설탕</v>
      </c>
    </row>
    <row r="4329">
      <c r="A4329" s="2" t="str">
        <f>IFERROR(__xludf.DUMMYFUNCTION("""COMPUTED_VALUE"""),"술이 깰랑말랑 몽블랑")</f>
        <v>술이 깰랑말랑 몽블랑</v>
      </c>
      <c r="B4329" s="2" t="str">
        <f>IFERROR(__xludf.DUMMYFUNCTION("""COMPUTED_VALUE"""),"버터")</f>
        <v>버터</v>
      </c>
    </row>
    <row r="4330">
      <c r="A4330" s="2" t="str">
        <f>IFERROR(__xludf.DUMMYFUNCTION("""COMPUTED_VALUE"""),"술이 깰랑말랑 몽블랑")</f>
        <v>술이 깰랑말랑 몽블랑</v>
      </c>
      <c r="B4330" s="2" t="str">
        <f>IFERROR(__xludf.DUMMYFUNCTION("""COMPUTED_VALUE"""),"전분")</f>
        <v>전분</v>
      </c>
    </row>
    <row r="4331">
      <c r="A4331" s="2" t="str">
        <f>IFERROR(__xludf.DUMMYFUNCTION("""COMPUTED_VALUE"""),"술이 깰랑말랑 몽블랑")</f>
        <v>술이 깰랑말랑 몽블랑</v>
      </c>
      <c r="B4331" s="2" t="str">
        <f>IFERROR(__xludf.DUMMYFUNCTION("""COMPUTED_VALUE"""),"소금")</f>
        <v>소금</v>
      </c>
    </row>
    <row r="4332">
      <c r="A4332" s="2" t="str">
        <f>IFERROR(__xludf.DUMMYFUNCTION("""COMPUTED_VALUE"""),"복차오루는 쌈")</f>
        <v>복차오루는 쌈</v>
      </c>
      <c r="B4332" s="2" t="str">
        <f>IFERROR(__xludf.DUMMYFUNCTION("""COMPUTED_VALUE"""),"돼지고기 등심")</f>
        <v>돼지고기 등심</v>
      </c>
    </row>
    <row r="4333">
      <c r="A4333" s="2" t="str">
        <f>IFERROR(__xludf.DUMMYFUNCTION("""COMPUTED_VALUE"""),"복차오루는 쌈")</f>
        <v>복차오루는 쌈</v>
      </c>
      <c r="B4333" s="2" t="str">
        <f>IFERROR(__xludf.DUMMYFUNCTION("""COMPUTED_VALUE"""),"건표고버섯채")</f>
        <v>건표고버섯채</v>
      </c>
    </row>
    <row r="4334">
      <c r="A4334" s="2" t="str">
        <f>IFERROR(__xludf.DUMMYFUNCTION("""COMPUTED_VALUE"""),"복차오루는 쌈")</f>
        <v>복차오루는 쌈</v>
      </c>
      <c r="B4334" s="2" t="str">
        <f>IFERROR(__xludf.DUMMYFUNCTION("""COMPUTED_VALUE"""),"깍두기")</f>
        <v>깍두기</v>
      </c>
    </row>
    <row r="4335">
      <c r="A4335" s="2" t="str">
        <f>IFERROR(__xludf.DUMMYFUNCTION("""COMPUTED_VALUE"""),"복차오루는 쌈")</f>
        <v>복차오루는 쌈</v>
      </c>
      <c r="B4335" s="2" t="str">
        <f>IFERROR(__xludf.DUMMYFUNCTION("""COMPUTED_VALUE"""),"두반장")</f>
        <v>두반장</v>
      </c>
    </row>
    <row r="4336">
      <c r="A4336" s="2" t="str">
        <f>IFERROR(__xludf.DUMMYFUNCTION("""COMPUTED_VALUE"""),"복차오루는 쌈")</f>
        <v>복차오루는 쌈</v>
      </c>
      <c r="B4336" s="2" t="str">
        <f>IFERROR(__xludf.DUMMYFUNCTION("""COMPUTED_VALUE"""),"중국식 다진 고추소스")</f>
        <v>중국식 다진 고추소스</v>
      </c>
    </row>
    <row r="4337">
      <c r="A4337" s="2" t="str">
        <f>IFERROR(__xludf.DUMMYFUNCTION("""COMPUTED_VALUE"""),"복차오루는 쌈")</f>
        <v>복차오루는 쌈</v>
      </c>
      <c r="B4337" s="2" t="str">
        <f>IFERROR(__xludf.DUMMYFUNCTION("""COMPUTED_VALUE"""),"굴소스")</f>
        <v>굴소스</v>
      </c>
    </row>
    <row r="4338">
      <c r="A4338" s="2" t="str">
        <f>IFERROR(__xludf.DUMMYFUNCTION("""COMPUTED_VALUE"""),"복차오루는 쌈")</f>
        <v>복차오루는 쌈</v>
      </c>
      <c r="B4338" s="2" t="str">
        <f>IFERROR(__xludf.DUMMYFUNCTION("""COMPUTED_VALUE"""),"두부피")</f>
        <v>두부피</v>
      </c>
    </row>
    <row r="4339">
      <c r="A4339" s="2" t="str">
        <f>IFERROR(__xludf.DUMMYFUNCTION("""COMPUTED_VALUE"""),"복차오루는 쌈")</f>
        <v>복차오루는 쌈</v>
      </c>
      <c r="B4339" s="2" t="str">
        <f>IFERROR(__xludf.DUMMYFUNCTION("""COMPUTED_VALUE"""),"중국 찹쌀떡")</f>
        <v>중국 찹쌀떡</v>
      </c>
    </row>
    <row r="4340">
      <c r="A4340" s="2" t="str">
        <f>IFERROR(__xludf.DUMMYFUNCTION("""COMPUTED_VALUE"""),"복차오루는 쌈")</f>
        <v>복차오루는 쌈</v>
      </c>
      <c r="B4340" s="2" t="str">
        <f>IFERROR(__xludf.DUMMYFUNCTION("""COMPUTED_VALUE"""),"흰목이버섯")</f>
        <v>흰목이버섯</v>
      </c>
    </row>
    <row r="4341">
      <c r="A4341" s="2" t="str">
        <f>IFERROR(__xludf.DUMMYFUNCTION("""COMPUTED_VALUE"""),"복차오루는 쌈")</f>
        <v>복차오루는 쌈</v>
      </c>
      <c r="B4341" s="2" t="str">
        <f>IFERROR(__xludf.DUMMYFUNCTION("""COMPUTED_VALUE"""),"고수")</f>
        <v>고수</v>
      </c>
    </row>
    <row r="4342">
      <c r="A4342" s="2" t="str">
        <f>IFERROR(__xludf.DUMMYFUNCTION("""COMPUTED_VALUE"""),"복차오루는 쌈")</f>
        <v>복차오루는 쌈</v>
      </c>
      <c r="B4342" s="2" t="str">
        <f>IFERROR(__xludf.DUMMYFUNCTION("""COMPUTED_VALUE"""),"전분")</f>
        <v>전분</v>
      </c>
    </row>
    <row r="4343">
      <c r="A4343" s="2" t="str">
        <f>IFERROR(__xludf.DUMMYFUNCTION("""COMPUTED_VALUE"""),"복차오루는 쌈")</f>
        <v>복차오루는 쌈</v>
      </c>
      <c r="B4343" s="2" t="str">
        <f>IFERROR(__xludf.DUMMYFUNCTION("""COMPUTED_VALUE"""),"달걀")</f>
        <v>달걀</v>
      </c>
    </row>
    <row r="4344">
      <c r="A4344" s="2" t="str">
        <f>IFERROR(__xludf.DUMMYFUNCTION("""COMPUTED_VALUE"""),"복차오루는 쌈")</f>
        <v>복차오루는 쌈</v>
      </c>
      <c r="B4344" s="2" t="str">
        <f>IFERROR(__xludf.DUMMYFUNCTION("""COMPUTED_VALUE"""),"대파")</f>
        <v>대파</v>
      </c>
    </row>
    <row r="4345">
      <c r="A4345" s="2" t="str">
        <f>IFERROR(__xludf.DUMMYFUNCTION("""COMPUTED_VALUE"""),"복차오루는 쌈")</f>
        <v>복차오루는 쌈</v>
      </c>
      <c r="B4345" s="2" t="str">
        <f>IFERROR(__xludf.DUMMYFUNCTION("""COMPUTED_VALUE"""),"당근")</f>
        <v>당근</v>
      </c>
    </row>
    <row r="4346">
      <c r="A4346" s="2" t="str">
        <f>IFERROR(__xludf.DUMMYFUNCTION("""COMPUTED_VALUE"""),"복차오루는 쌈")</f>
        <v>복차오루는 쌈</v>
      </c>
      <c r="B4346" s="2" t="str">
        <f>IFERROR(__xludf.DUMMYFUNCTION("""COMPUTED_VALUE"""),"양파")</f>
        <v>양파</v>
      </c>
    </row>
    <row r="4347">
      <c r="A4347" s="2" t="str">
        <f>IFERROR(__xludf.DUMMYFUNCTION("""COMPUTED_VALUE"""),"복차오루는 쌈")</f>
        <v>복차오루는 쌈</v>
      </c>
      <c r="B4347" s="2" t="str">
        <f>IFERROR(__xludf.DUMMYFUNCTION("""COMPUTED_VALUE"""),"고추")</f>
        <v>고추</v>
      </c>
    </row>
    <row r="4348">
      <c r="A4348" s="2" t="str">
        <f>IFERROR(__xludf.DUMMYFUNCTION("""COMPUTED_VALUE"""),"복차오루는 쌈")</f>
        <v>복차오루는 쌈</v>
      </c>
      <c r="B4348" s="2" t="str">
        <f>IFERROR(__xludf.DUMMYFUNCTION("""COMPUTED_VALUE"""),"마늘")</f>
        <v>마늘</v>
      </c>
    </row>
    <row r="4349">
      <c r="A4349" s="2" t="str">
        <f>IFERROR(__xludf.DUMMYFUNCTION("""COMPUTED_VALUE"""),"복차오루는 쌈")</f>
        <v>복차오루는 쌈</v>
      </c>
      <c r="B4349" s="2" t="str">
        <f>IFERROR(__xludf.DUMMYFUNCTION("""COMPUTED_VALUE"""),"고춧가루")</f>
        <v>고춧가루</v>
      </c>
    </row>
    <row r="4350">
      <c r="A4350" s="2" t="str">
        <f>IFERROR(__xludf.DUMMYFUNCTION("""COMPUTED_VALUE"""),"복차오루는 쌈")</f>
        <v>복차오루는 쌈</v>
      </c>
      <c r="B4350" s="2" t="str">
        <f>IFERROR(__xludf.DUMMYFUNCTION("""COMPUTED_VALUE"""),"간장")</f>
        <v>간장</v>
      </c>
    </row>
    <row r="4351">
      <c r="A4351" s="2" t="str">
        <f>IFERROR(__xludf.DUMMYFUNCTION("""COMPUTED_VALUE"""),"복차오루는 쌈")</f>
        <v>복차오루는 쌈</v>
      </c>
      <c r="B4351" s="2" t="str">
        <f>IFERROR(__xludf.DUMMYFUNCTION("""COMPUTED_VALUE"""),"설탕")</f>
        <v>설탕</v>
      </c>
    </row>
    <row r="4352">
      <c r="A4352" s="2" t="str">
        <f>IFERROR(__xludf.DUMMYFUNCTION("""COMPUTED_VALUE"""),"일거양두")</f>
        <v>일거양두</v>
      </c>
      <c r="B4352" s="2" t="str">
        <f>IFERROR(__xludf.DUMMYFUNCTION("""COMPUTED_VALUE"""),"양고기")</f>
        <v>양고기</v>
      </c>
    </row>
    <row r="4353">
      <c r="A4353" s="2" t="str">
        <f>IFERROR(__xludf.DUMMYFUNCTION("""COMPUTED_VALUE"""),"일거양두")</f>
        <v>일거양두</v>
      </c>
      <c r="B4353" s="2" t="str">
        <f>IFERROR(__xludf.DUMMYFUNCTION("""COMPUTED_VALUE"""),"굴소스")</f>
        <v>굴소스</v>
      </c>
    </row>
    <row r="4354">
      <c r="A4354" s="2" t="str">
        <f>IFERROR(__xludf.DUMMYFUNCTION("""COMPUTED_VALUE"""),"일거양두")</f>
        <v>일거양두</v>
      </c>
      <c r="B4354" s="2" t="str">
        <f>IFERROR(__xludf.DUMMYFUNCTION("""COMPUTED_VALUE"""),"건표고버섯채")</f>
        <v>건표고버섯채</v>
      </c>
    </row>
    <row r="4355">
      <c r="A4355" s="2" t="str">
        <f>IFERROR(__xludf.DUMMYFUNCTION("""COMPUTED_VALUE"""),"일거양두")</f>
        <v>일거양두</v>
      </c>
      <c r="B4355" s="2" t="str">
        <f>IFERROR(__xludf.DUMMYFUNCTION("""COMPUTED_VALUE"""),"건두부")</f>
        <v>건두부</v>
      </c>
    </row>
    <row r="4356">
      <c r="A4356" s="2" t="str">
        <f>IFERROR(__xludf.DUMMYFUNCTION("""COMPUTED_VALUE"""),"일거양두")</f>
        <v>일거양두</v>
      </c>
      <c r="B4356" s="2" t="str">
        <f>IFERROR(__xludf.DUMMYFUNCTION("""COMPUTED_VALUE"""),"흰목이버섯")</f>
        <v>흰목이버섯</v>
      </c>
    </row>
    <row r="4357">
      <c r="A4357" s="2" t="str">
        <f>IFERROR(__xludf.DUMMYFUNCTION("""COMPUTED_VALUE"""),"일거양두")</f>
        <v>일거양두</v>
      </c>
      <c r="B4357" s="2" t="str">
        <f>IFERROR(__xludf.DUMMYFUNCTION("""COMPUTED_VALUE"""),"목이버섯")</f>
        <v>목이버섯</v>
      </c>
    </row>
    <row r="4358">
      <c r="A4358" s="2" t="str">
        <f>IFERROR(__xludf.DUMMYFUNCTION("""COMPUTED_VALUE"""),"일거양두")</f>
        <v>일거양두</v>
      </c>
      <c r="B4358" s="2" t="str">
        <f>IFERROR(__xludf.DUMMYFUNCTION("""COMPUTED_VALUE"""),"라조장")</f>
        <v>라조장</v>
      </c>
    </row>
    <row r="4359">
      <c r="A4359" s="2" t="str">
        <f>IFERROR(__xludf.DUMMYFUNCTION("""COMPUTED_VALUE"""),"일거양두")</f>
        <v>일거양두</v>
      </c>
      <c r="B4359" s="2" t="str">
        <f>IFERROR(__xludf.DUMMYFUNCTION("""COMPUTED_VALUE"""),"자차이")</f>
        <v>자차이</v>
      </c>
    </row>
    <row r="4360">
      <c r="A4360" s="2" t="str">
        <f>IFERROR(__xludf.DUMMYFUNCTION("""COMPUTED_VALUE"""),"일거양두")</f>
        <v>일거양두</v>
      </c>
      <c r="B4360" s="2" t="str">
        <f>IFERROR(__xludf.DUMMYFUNCTION("""COMPUTED_VALUE"""),"고수")</f>
        <v>고수</v>
      </c>
    </row>
    <row r="4361">
      <c r="A4361" s="2" t="str">
        <f>IFERROR(__xludf.DUMMYFUNCTION("""COMPUTED_VALUE"""),"일거양두")</f>
        <v>일거양두</v>
      </c>
      <c r="B4361" s="2" t="str">
        <f>IFERROR(__xludf.DUMMYFUNCTION("""COMPUTED_VALUE"""),"설탕")</f>
        <v>설탕</v>
      </c>
    </row>
    <row r="4362">
      <c r="A4362" s="2" t="str">
        <f>IFERROR(__xludf.DUMMYFUNCTION("""COMPUTED_VALUE"""),"일거양두")</f>
        <v>일거양두</v>
      </c>
      <c r="B4362" s="2" t="str">
        <f>IFERROR(__xludf.DUMMYFUNCTION("""COMPUTED_VALUE"""),"간장")</f>
        <v>간장</v>
      </c>
    </row>
    <row r="4363">
      <c r="A4363" s="2" t="str">
        <f>IFERROR(__xludf.DUMMYFUNCTION("""COMPUTED_VALUE"""),"일거양두")</f>
        <v>일거양두</v>
      </c>
      <c r="B4363" s="2" t="str">
        <f>IFERROR(__xludf.DUMMYFUNCTION("""COMPUTED_VALUE"""),"다진 마늘")</f>
        <v>다진 마늘</v>
      </c>
    </row>
    <row r="4364">
      <c r="A4364" s="2" t="str">
        <f>IFERROR(__xludf.DUMMYFUNCTION("""COMPUTED_VALUE"""),"일거양두")</f>
        <v>일거양두</v>
      </c>
      <c r="B4364" s="2" t="str">
        <f>IFERROR(__xludf.DUMMYFUNCTION("""COMPUTED_VALUE"""),"청주")</f>
        <v>청주</v>
      </c>
    </row>
    <row r="4365">
      <c r="A4365" s="2" t="str">
        <f>IFERROR(__xludf.DUMMYFUNCTION("""COMPUTED_VALUE"""),"일거양두")</f>
        <v>일거양두</v>
      </c>
      <c r="B4365" s="2" t="str">
        <f>IFERROR(__xludf.DUMMYFUNCTION("""COMPUTED_VALUE"""),"대파")</f>
        <v>대파</v>
      </c>
    </row>
    <row r="4366">
      <c r="A4366" s="2" t="str">
        <f>IFERROR(__xludf.DUMMYFUNCTION("""COMPUTED_VALUE"""),"일거양두")</f>
        <v>일거양두</v>
      </c>
      <c r="B4366" s="2" t="str">
        <f>IFERROR(__xludf.DUMMYFUNCTION("""COMPUTED_VALUE"""),"양파")</f>
        <v>양파</v>
      </c>
    </row>
    <row r="4367">
      <c r="A4367" s="2" t="str">
        <f>IFERROR(__xludf.DUMMYFUNCTION("""COMPUTED_VALUE"""),"일거양두")</f>
        <v>일거양두</v>
      </c>
      <c r="B4367" s="2" t="str">
        <f>IFERROR(__xludf.DUMMYFUNCTION("""COMPUTED_VALUE"""),"고추")</f>
        <v>고추</v>
      </c>
    </row>
    <row r="4368">
      <c r="A4368" s="2" t="str">
        <f>IFERROR(__xludf.DUMMYFUNCTION("""COMPUTED_VALUE"""),"나 혼자 먹게 낫토")</f>
        <v>나 혼자 먹게 낫토</v>
      </c>
      <c r="B4368" s="2" t="str">
        <f>IFERROR(__xludf.DUMMYFUNCTION("""COMPUTED_VALUE"""),"닭다리")</f>
        <v>닭다리</v>
      </c>
    </row>
    <row r="4369">
      <c r="A4369" s="2" t="str">
        <f>IFERROR(__xludf.DUMMYFUNCTION("""COMPUTED_VALUE"""),"나 혼자 먹게 낫토")</f>
        <v>나 혼자 먹게 낫토</v>
      </c>
      <c r="B4369" s="2" t="str">
        <f>IFERROR(__xludf.DUMMYFUNCTION("""COMPUTED_VALUE"""),"검은콩 낫토")</f>
        <v>검은콩 낫토</v>
      </c>
    </row>
    <row r="4370">
      <c r="A4370" s="2" t="str">
        <f>IFERROR(__xludf.DUMMYFUNCTION("""COMPUTED_VALUE"""),"나 혼자 먹게 낫토")</f>
        <v>나 혼자 먹게 낫토</v>
      </c>
      <c r="B4370" s="2" t="str">
        <f>IFERROR(__xludf.DUMMYFUNCTION("""COMPUTED_VALUE"""),"청양고추")</f>
        <v>청양고추</v>
      </c>
    </row>
    <row r="4371">
      <c r="A4371" s="2" t="str">
        <f>IFERROR(__xludf.DUMMYFUNCTION("""COMPUTED_VALUE"""),"나 혼자 먹게 낫토")</f>
        <v>나 혼자 먹게 낫토</v>
      </c>
      <c r="B4371" s="2" t="str">
        <f>IFERROR(__xludf.DUMMYFUNCTION("""COMPUTED_VALUE"""),"쪽파")</f>
        <v>쪽파</v>
      </c>
    </row>
    <row r="4372">
      <c r="A4372" s="2" t="str">
        <f>IFERROR(__xludf.DUMMYFUNCTION("""COMPUTED_VALUE"""),"나 혼자 먹게 낫토")</f>
        <v>나 혼자 먹게 낫토</v>
      </c>
      <c r="B4372" s="2" t="str">
        <f>IFERROR(__xludf.DUMMYFUNCTION("""COMPUTED_VALUE"""),"파프리카")</f>
        <v>파프리카</v>
      </c>
    </row>
    <row r="4373">
      <c r="A4373" s="2" t="str">
        <f>IFERROR(__xludf.DUMMYFUNCTION("""COMPUTED_VALUE"""),"나 혼자 먹게 낫토")</f>
        <v>나 혼자 먹게 낫토</v>
      </c>
      <c r="B4373" s="2" t="str">
        <f>IFERROR(__xludf.DUMMYFUNCTION("""COMPUTED_VALUE"""),"무")</f>
        <v>무</v>
      </c>
    </row>
    <row r="4374">
      <c r="A4374" s="2" t="str">
        <f>IFERROR(__xludf.DUMMYFUNCTION("""COMPUTED_VALUE"""),"나 혼자 먹게 낫토")</f>
        <v>나 혼자 먹게 낫토</v>
      </c>
      <c r="B4374" s="2" t="str">
        <f>IFERROR(__xludf.DUMMYFUNCTION("""COMPUTED_VALUE"""),"소금")</f>
        <v>소금</v>
      </c>
    </row>
    <row r="4375">
      <c r="A4375" s="2" t="str">
        <f>IFERROR(__xludf.DUMMYFUNCTION("""COMPUTED_VALUE"""),"나 혼자 먹게 낫토")</f>
        <v>나 혼자 먹게 낫토</v>
      </c>
      <c r="B4375" s="2" t="str">
        <f>IFERROR(__xludf.DUMMYFUNCTION("""COMPUTED_VALUE"""),"마늘")</f>
        <v>마늘</v>
      </c>
    </row>
    <row r="4376">
      <c r="A4376" s="2" t="str">
        <f>IFERROR(__xludf.DUMMYFUNCTION("""COMPUTED_VALUE"""),"나 혼자 먹게 낫토")</f>
        <v>나 혼자 먹게 낫토</v>
      </c>
      <c r="B4376" s="2" t="str">
        <f>IFERROR(__xludf.DUMMYFUNCTION("""COMPUTED_VALUE"""),"식용유")</f>
        <v>식용유</v>
      </c>
    </row>
    <row r="4377">
      <c r="A4377" s="2" t="str">
        <f>IFERROR(__xludf.DUMMYFUNCTION("""COMPUTED_VALUE"""),"나 혼자 먹게 낫토")</f>
        <v>나 혼자 먹게 낫토</v>
      </c>
      <c r="B4377" s="2" t="str">
        <f>IFERROR(__xludf.DUMMYFUNCTION("""COMPUTED_VALUE"""),"고춧가루")</f>
        <v>고춧가루</v>
      </c>
    </row>
    <row r="4378">
      <c r="A4378" s="2" t="str">
        <f>IFERROR(__xludf.DUMMYFUNCTION("""COMPUTED_VALUE"""),"나 혼자 먹게 낫토")</f>
        <v>나 혼자 먹게 낫토</v>
      </c>
      <c r="B4378" s="2" t="str">
        <f>IFERROR(__xludf.DUMMYFUNCTION("""COMPUTED_VALUE"""),"양파")</f>
        <v>양파</v>
      </c>
    </row>
    <row r="4379">
      <c r="A4379" s="2" t="str">
        <f>IFERROR(__xludf.DUMMYFUNCTION("""COMPUTED_VALUE"""),"나 혼자 먹게 낫토")</f>
        <v>나 혼자 먹게 낫토</v>
      </c>
      <c r="B4379" s="2" t="str">
        <f>IFERROR(__xludf.DUMMYFUNCTION("""COMPUTED_VALUE"""),"간장")</f>
        <v>간장</v>
      </c>
    </row>
    <row r="4380">
      <c r="A4380" s="2" t="str">
        <f>IFERROR(__xludf.DUMMYFUNCTION("""COMPUTED_VALUE"""),"나 혼자 먹게 낫토")</f>
        <v>나 혼자 먹게 낫토</v>
      </c>
      <c r="B4380" s="2" t="str">
        <f>IFERROR(__xludf.DUMMYFUNCTION("""COMPUTED_VALUE"""),"식초")</f>
        <v>식초</v>
      </c>
    </row>
    <row r="4381">
      <c r="A4381" s="2" t="str">
        <f>IFERROR(__xludf.DUMMYFUNCTION("""COMPUTED_VALUE"""),"나 혼자 먹게 낫토")</f>
        <v>나 혼자 먹게 낫토</v>
      </c>
      <c r="B4381" s="2" t="str">
        <f>IFERROR(__xludf.DUMMYFUNCTION("""COMPUTED_VALUE"""),"레몬")</f>
        <v>레몬</v>
      </c>
    </row>
    <row r="4382">
      <c r="A4382" s="2" t="str">
        <f>IFERROR(__xludf.DUMMYFUNCTION("""COMPUTED_VALUE"""),"나 혼자 먹게 낫토")</f>
        <v>나 혼자 먹게 낫토</v>
      </c>
      <c r="B4382" s="2" t="str">
        <f>IFERROR(__xludf.DUMMYFUNCTION("""COMPUTED_VALUE"""),"설탕")</f>
        <v>설탕</v>
      </c>
    </row>
    <row r="4383">
      <c r="A4383" s="2" t="str">
        <f>IFERROR(__xludf.DUMMYFUNCTION("""COMPUTED_VALUE"""),"나 혼자 먹게 낫토")</f>
        <v>나 혼자 먹게 낫토</v>
      </c>
      <c r="B4383" s="2" t="str">
        <f>IFERROR(__xludf.DUMMYFUNCTION("""COMPUTED_VALUE"""),"청주")</f>
        <v>청주</v>
      </c>
    </row>
    <row r="4384">
      <c r="A4384" s="2" t="str">
        <f>IFERROR(__xludf.DUMMYFUNCTION("""COMPUTED_VALUE"""),"나 혼자 먹게 낫토")</f>
        <v>나 혼자 먹게 낫토</v>
      </c>
      <c r="B4384" s="2" t="str">
        <f>IFERROR(__xludf.DUMMYFUNCTION("""COMPUTED_VALUE"""),"와사비")</f>
        <v>와사비</v>
      </c>
    </row>
    <row r="4385">
      <c r="A4385" s="2" t="str">
        <f>IFERROR(__xludf.DUMMYFUNCTION("""COMPUTED_VALUE"""),"나 혼자 먹게 낫토")</f>
        <v>나 혼자 먹게 낫토</v>
      </c>
      <c r="B4385" s="2" t="str">
        <f>IFERROR(__xludf.DUMMYFUNCTION("""COMPUTED_VALUE"""),"마요네즈")</f>
        <v>마요네즈</v>
      </c>
    </row>
    <row r="4386">
      <c r="A4386" s="2" t="str">
        <f>IFERROR(__xludf.DUMMYFUNCTION("""COMPUTED_VALUE"""),"나 혼자 먹게 낫토")</f>
        <v>나 혼자 먹게 낫토</v>
      </c>
      <c r="B4386" s="2" t="str">
        <f>IFERROR(__xludf.DUMMYFUNCTION("""COMPUTED_VALUE"""),"참기름")</f>
        <v>참기름</v>
      </c>
    </row>
    <row r="4387">
      <c r="A4387" s="2" t="str">
        <f>IFERROR(__xludf.DUMMYFUNCTION("""COMPUTED_VALUE"""),"나 혼자 먹게 낫토")</f>
        <v>나 혼자 먹게 낫토</v>
      </c>
      <c r="B4387" s="2" t="str">
        <f>IFERROR(__xludf.DUMMYFUNCTION("""COMPUTED_VALUE"""),"즉석밥")</f>
        <v>즉석밥</v>
      </c>
    </row>
    <row r="4388">
      <c r="A4388" s="2" t="str">
        <f>IFERROR(__xludf.DUMMYFUNCTION("""COMPUTED_VALUE"""),"닭날두")</f>
        <v>닭날두</v>
      </c>
      <c r="B4388" s="2" t="str">
        <f>IFERROR(__xludf.DUMMYFUNCTION("""COMPUTED_VALUE"""),"닭날개")</f>
        <v>닭날개</v>
      </c>
    </row>
    <row r="4389">
      <c r="A4389" s="2" t="str">
        <f>IFERROR(__xludf.DUMMYFUNCTION("""COMPUTED_VALUE"""),"닭날두")</f>
        <v>닭날두</v>
      </c>
      <c r="B4389" s="2" t="str">
        <f>IFERROR(__xludf.DUMMYFUNCTION("""COMPUTED_VALUE"""),"닭가슴살")</f>
        <v>닭가슴살</v>
      </c>
    </row>
    <row r="4390">
      <c r="A4390" s="2" t="str">
        <f>IFERROR(__xludf.DUMMYFUNCTION("""COMPUTED_VALUE"""),"닭날두")</f>
        <v>닭날두</v>
      </c>
      <c r="B4390" s="2" t="str">
        <f>IFERROR(__xludf.DUMMYFUNCTION("""COMPUTED_VALUE"""),"삼겹살")</f>
        <v>삼겹살</v>
      </c>
    </row>
    <row r="4391">
      <c r="A4391" s="2" t="str">
        <f>IFERROR(__xludf.DUMMYFUNCTION("""COMPUTED_VALUE"""),"닭날두")</f>
        <v>닭날두</v>
      </c>
      <c r="B4391" s="2" t="str">
        <f>IFERROR(__xludf.DUMMYFUNCTION("""COMPUTED_VALUE"""),"손질한 양파")</f>
        <v>손질한 양파</v>
      </c>
    </row>
    <row r="4392">
      <c r="A4392" s="2" t="str">
        <f>IFERROR(__xludf.DUMMYFUNCTION("""COMPUTED_VALUE"""),"닭날두")</f>
        <v>닭날두</v>
      </c>
      <c r="B4392" s="2" t="str">
        <f>IFERROR(__xludf.DUMMYFUNCTION("""COMPUTED_VALUE"""),"손질한 적양파")</f>
        <v>손질한 적양파</v>
      </c>
    </row>
    <row r="4393">
      <c r="A4393" s="2" t="str">
        <f>IFERROR(__xludf.DUMMYFUNCTION("""COMPUTED_VALUE"""),"닭날두")</f>
        <v>닭날두</v>
      </c>
      <c r="B4393" s="2" t="str">
        <f>IFERROR(__xludf.DUMMYFUNCTION("""COMPUTED_VALUE"""),"손질한 쪽파")</f>
        <v>손질한 쪽파</v>
      </c>
    </row>
    <row r="4394">
      <c r="A4394" s="2" t="str">
        <f>IFERROR(__xludf.DUMMYFUNCTION("""COMPUTED_VALUE"""),"닭날두")</f>
        <v>닭날두</v>
      </c>
      <c r="B4394" s="2" t="str">
        <f>IFERROR(__xludf.DUMMYFUNCTION("""COMPUTED_VALUE"""),"손질한 건표고버섯")</f>
        <v>손질한 건표고버섯</v>
      </c>
    </row>
    <row r="4395">
      <c r="A4395" s="2" t="str">
        <f>IFERROR(__xludf.DUMMYFUNCTION("""COMPUTED_VALUE"""),"닭날두")</f>
        <v>닭날두</v>
      </c>
      <c r="B4395" s="2" t="str">
        <f>IFERROR(__xludf.DUMMYFUNCTION("""COMPUTED_VALUE"""),"모차렐라 치즈")</f>
        <v>모차렐라 치즈</v>
      </c>
    </row>
    <row r="4396">
      <c r="A4396" s="2" t="str">
        <f>IFERROR(__xludf.DUMMYFUNCTION("""COMPUTED_VALUE"""),"닭날두")</f>
        <v>닭날두</v>
      </c>
      <c r="B4396" s="2" t="str">
        <f>IFERROR(__xludf.DUMMYFUNCTION("""COMPUTED_VALUE"""),"가지")</f>
        <v>가지</v>
      </c>
    </row>
    <row r="4397">
      <c r="A4397" s="2" t="str">
        <f>IFERROR(__xludf.DUMMYFUNCTION("""COMPUTED_VALUE"""),"닭날두")</f>
        <v>닭날두</v>
      </c>
      <c r="B4397" s="2" t="str">
        <f>IFERROR(__xludf.DUMMYFUNCTION("""COMPUTED_VALUE"""),"방울토마토")</f>
        <v>방울토마토</v>
      </c>
    </row>
    <row r="4398">
      <c r="A4398" s="2" t="str">
        <f>IFERROR(__xludf.DUMMYFUNCTION("""COMPUTED_VALUE"""),"닭날두")</f>
        <v>닭날두</v>
      </c>
      <c r="B4398" s="2" t="str">
        <f>IFERROR(__xludf.DUMMYFUNCTION("""COMPUTED_VALUE"""),"파프리카")</f>
        <v>파프리카</v>
      </c>
    </row>
    <row r="4399">
      <c r="A4399" s="2" t="str">
        <f>IFERROR(__xludf.DUMMYFUNCTION("""COMPUTED_VALUE"""),"닭날두")</f>
        <v>닭날두</v>
      </c>
      <c r="B4399" s="2" t="str">
        <f>IFERROR(__xludf.DUMMYFUNCTION("""COMPUTED_VALUE"""),"토마토소스")</f>
        <v>토마토소스</v>
      </c>
    </row>
    <row r="4400">
      <c r="A4400" s="2" t="str">
        <f>IFERROR(__xludf.DUMMYFUNCTION("""COMPUTED_VALUE"""),"닭날두")</f>
        <v>닭날두</v>
      </c>
      <c r="B4400" s="2" t="str">
        <f>IFERROR(__xludf.DUMMYFUNCTION("""COMPUTED_VALUE"""),"달걀")</f>
        <v>달걀</v>
      </c>
    </row>
    <row r="4401">
      <c r="A4401" s="2" t="str">
        <f>IFERROR(__xludf.DUMMYFUNCTION("""COMPUTED_VALUE"""),"닭날두")</f>
        <v>닭날두</v>
      </c>
      <c r="B4401" s="2" t="str">
        <f>IFERROR(__xludf.DUMMYFUNCTION("""COMPUTED_VALUE"""),"소금")</f>
        <v>소금</v>
      </c>
    </row>
    <row r="4402">
      <c r="A4402" s="2" t="str">
        <f>IFERROR(__xludf.DUMMYFUNCTION("""COMPUTED_VALUE"""),"닭날두")</f>
        <v>닭날두</v>
      </c>
      <c r="B4402" s="2" t="str">
        <f>IFERROR(__xludf.DUMMYFUNCTION("""COMPUTED_VALUE"""),"밀가루")</f>
        <v>밀가루</v>
      </c>
    </row>
    <row r="4403">
      <c r="A4403" s="2" t="str">
        <f>IFERROR(__xludf.DUMMYFUNCTION("""COMPUTED_VALUE"""),"닭날두")</f>
        <v>닭날두</v>
      </c>
      <c r="B4403" s="2" t="str">
        <f>IFERROR(__xludf.DUMMYFUNCTION("""COMPUTED_VALUE"""),"후추")</f>
        <v>후추</v>
      </c>
    </row>
    <row r="4404">
      <c r="A4404" s="2" t="str">
        <f>IFERROR(__xludf.DUMMYFUNCTION("""COMPUTED_VALUE"""),"닭날두")</f>
        <v>닭날두</v>
      </c>
      <c r="B4404" s="2" t="str">
        <f>IFERROR(__xludf.DUMMYFUNCTION("""COMPUTED_VALUE"""),"설탕")</f>
        <v>설탕</v>
      </c>
    </row>
    <row r="4405">
      <c r="A4405" s="2" t="str">
        <f>IFERROR(__xludf.DUMMYFUNCTION("""COMPUTED_VALUE"""),"닭날두")</f>
        <v>닭날두</v>
      </c>
      <c r="B4405" s="2" t="str">
        <f>IFERROR(__xludf.DUMMYFUNCTION("""COMPUTED_VALUE"""),"고추")</f>
        <v>고추</v>
      </c>
    </row>
    <row r="4406">
      <c r="A4406" s="2" t="str">
        <f>IFERROR(__xludf.DUMMYFUNCTION("""COMPUTED_VALUE"""),"쉑쉑 파스타")</f>
        <v>쉑쉑 파스타</v>
      </c>
      <c r="B4406" s="2" t="str">
        <f>IFERROR(__xludf.DUMMYFUNCTION("""COMPUTED_VALUE"""),"파스타면")</f>
        <v>파스타면</v>
      </c>
    </row>
    <row r="4407">
      <c r="A4407" s="2" t="str">
        <f>IFERROR(__xludf.DUMMYFUNCTION("""COMPUTED_VALUE"""),"쉑쉑 파스타")</f>
        <v>쉑쉑 파스타</v>
      </c>
      <c r="B4407" s="2" t="str">
        <f>IFERROR(__xludf.DUMMYFUNCTION("""COMPUTED_VALUE"""),"게살")</f>
        <v>게살</v>
      </c>
    </row>
    <row r="4408">
      <c r="A4408" s="2" t="str">
        <f>IFERROR(__xludf.DUMMYFUNCTION("""COMPUTED_VALUE"""),"쉑쉑 파스타")</f>
        <v>쉑쉑 파스타</v>
      </c>
      <c r="B4408" s="2" t="str">
        <f>IFERROR(__xludf.DUMMYFUNCTION("""COMPUTED_VALUE"""),"삶은 소라살")</f>
        <v>삶은 소라살</v>
      </c>
    </row>
    <row r="4409">
      <c r="A4409" s="2" t="str">
        <f>IFERROR(__xludf.DUMMYFUNCTION("""COMPUTED_VALUE"""),"쉑쉑 파스타")</f>
        <v>쉑쉑 파스타</v>
      </c>
      <c r="B4409" s="2" t="str">
        <f>IFERROR(__xludf.DUMMYFUNCTION("""COMPUTED_VALUE"""),"새우살")</f>
        <v>새우살</v>
      </c>
    </row>
    <row r="4410">
      <c r="A4410" s="2" t="str">
        <f>IFERROR(__xludf.DUMMYFUNCTION("""COMPUTED_VALUE"""),"쉑쉑 파스타")</f>
        <v>쉑쉑 파스타</v>
      </c>
      <c r="B4410" s="2" t="str">
        <f>IFERROR(__xludf.DUMMYFUNCTION("""COMPUTED_VALUE"""),"문어")</f>
        <v>문어</v>
      </c>
    </row>
    <row r="4411">
      <c r="A4411" s="2" t="str">
        <f>IFERROR(__xludf.DUMMYFUNCTION("""COMPUTED_VALUE"""),"쉑쉑 파스타")</f>
        <v>쉑쉑 파스타</v>
      </c>
      <c r="B4411" s="2" t="str">
        <f>IFERROR(__xludf.DUMMYFUNCTION("""COMPUTED_VALUE"""),"낙지")</f>
        <v>낙지</v>
      </c>
    </row>
    <row r="4412">
      <c r="A4412" s="2" t="str">
        <f>IFERROR(__xludf.DUMMYFUNCTION("""COMPUTED_VALUE"""),"쉑쉑 파스타")</f>
        <v>쉑쉑 파스타</v>
      </c>
      <c r="B4412" s="2" t="str">
        <f>IFERROR(__xludf.DUMMYFUNCTION("""COMPUTED_VALUE"""),"라이스페이퍼")</f>
        <v>라이스페이퍼</v>
      </c>
    </row>
    <row r="4413">
      <c r="A4413" s="2" t="str">
        <f>IFERROR(__xludf.DUMMYFUNCTION("""COMPUTED_VALUE"""),"쉑쉑 파스타")</f>
        <v>쉑쉑 파스타</v>
      </c>
      <c r="B4413" s="2" t="str">
        <f>IFERROR(__xludf.DUMMYFUNCTION("""COMPUTED_VALUE"""),"게맛살")</f>
        <v>게맛살</v>
      </c>
    </row>
    <row r="4414">
      <c r="A4414" s="2" t="str">
        <f>IFERROR(__xludf.DUMMYFUNCTION("""COMPUTED_VALUE"""),"쉑쉑 파스타")</f>
        <v>쉑쉑 파스타</v>
      </c>
      <c r="B4414" s="2" t="str">
        <f>IFERROR(__xludf.DUMMYFUNCTION("""COMPUTED_VALUE"""),"양배추")</f>
        <v>양배추</v>
      </c>
    </row>
    <row r="4415">
      <c r="A4415" s="2" t="str">
        <f>IFERROR(__xludf.DUMMYFUNCTION("""COMPUTED_VALUE"""),"쉑쉑 파스타")</f>
        <v>쉑쉑 파스타</v>
      </c>
      <c r="B4415" s="2" t="str">
        <f>IFERROR(__xludf.DUMMYFUNCTION("""COMPUTED_VALUE"""),"적양파")</f>
        <v>적양파</v>
      </c>
    </row>
    <row r="4416">
      <c r="A4416" s="2" t="str">
        <f>IFERROR(__xludf.DUMMYFUNCTION("""COMPUTED_VALUE"""),"쉑쉑 파스타")</f>
        <v>쉑쉑 파스타</v>
      </c>
      <c r="B4416" s="2" t="str">
        <f>IFERROR(__xludf.DUMMYFUNCTION("""COMPUTED_VALUE"""),"깻잎")</f>
        <v>깻잎</v>
      </c>
    </row>
    <row r="4417">
      <c r="A4417" s="2" t="str">
        <f>IFERROR(__xludf.DUMMYFUNCTION("""COMPUTED_VALUE"""),"쉑쉑 파스타")</f>
        <v>쉑쉑 파스타</v>
      </c>
      <c r="B4417" s="2" t="str">
        <f>IFERROR(__xludf.DUMMYFUNCTION("""COMPUTED_VALUE"""),"파프리카")</f>
        <v>파프리카</v>
      </c>
    </row>
    <row r="4418">
      <c r="A4418" s="2" t="str">
        <f>IFERROR(__xludf.DUMMYFUNCTION("""COMPUTED_VALUE"""),"쉑쉑 파스타")</f>
        <v>쉑쉑 파스타</v>
      </c>
      <c r="B4418" s="2" t="str">
        <f>IFERROR(__xludf.DUMMYFUNCTION("""COMPUTED_VALUE"""),"타르타르소스")</f>
        <v>타르타르소스</v>
      </c>
    </row>
    <row r="4419">
      <c r="A4419" s="2" t="str">
        <f>IFERROR(__xludf.DUMMYFUNCTION("""COMPUTED_VALUE"""),"쉑쉑 파스타")</f>
        <v>쉑쉑 파스타</v>
      </c>
      <c r="B4419" s="2" t="str">
        <f>IFERROR(__xludf.DUMMYFUNCTION("""COMPUTED_VALUE"""),"땅콩버터")</f>
        <v>땅콩버터</v>
      </c>
    </row>
    <row r="4420">
      <c r="A4420" s="2" t="str">
        <f>IFERROR(__xludf.DUMMYFUNCTION("""COMPUTED_VALUE"""),"쉑쉑 파스타")</f>
        <v>쉑쉑 파스타</v>
      </c>
      <c r="B4420" s="2" t="str">
        <f>IFERROR(__xludf.DUMMYFUNCTION("""COMPUTED_VALUE"""),"매운 굴소스")</f>
        <v>매운 굴소스</v>
      </c>
    </row>
    <row r="4421">
      <c r="A4421" s="2" t="str">
        <f>IFERROR(__xludf.DUMMYFUNCTION("""COMPUTED_VALUE"""),"쉑쉑 파스타")</f>
        <v>쉑쉑 파스타</v>
      </c>
      <c r="B4421" s="2" t="str">
        <f>IFERROR(__xludf.DUMMYFUNCTION("""COMPUTED_VALUE"""),"견과류")</f>
        <v>견과류</v>
      </c>
    </row>
    <row r="4422">
      <c r="A4422" s="2" t="str">
        <f>IFERROR(__xludf.DUMMYFUNCTION("""COMPUTED_VALUE"""),"쉑쉑 파스타")</f>
        <v>쉑쉑 파스타</v>
      </c>
      <c r="B4422" s="2" t="str">
        <f>IFERROR(__xludf.DUMMYFUNCTION("""COMPUTED_VALUE"""),"소금")</f>
        <v>소금</v>
      </c>
    </row>
    <row r="4423">
      <c r="A4423" s="2" t="str">
        <f>IFERROR(__xludf.DUMMYFUNCTION("""COMPUTED_VALUE"""),"쉑쉑 파스타")</f>
        <v>쉑쉑 파스타</v>
      </c>
      <c r="B4423" s="2" t="str">
        <f>IFERROR(__xludf.DUMMYFUNCTION("""COMPUTED_VALUE"""),"레몬")</f>
        <v>레몬</v>
      </c>
    </row>
    <row r="4424">
      <c r="A4424" s="2" t="str">
        <f>IFERROR(__xludf.DUMMYFUNCTION("""COMPUTED_VALUE"""),"쉑쉑 파스타")</f>
        <v>쉑쉑 파스타</v>
      </c>
      <c r="B4424" s="2" t="str">
        <f>IFERROR(__xludf.DUMMYFUNCTION("""COMPUTED_VALUE"""),"고추")</f>
        <v>고추</v>
      </c>
    </row>
    <row r="4425">
      <c r="A4425" s="2" t="str">
        <f>IFERROR(__xludf.DUMMYFUNCTION("""COMPUTED_VALUE"""),"쉑쉑 파스타")</f>
        <v>쉑쉑 파스타</v>
      </c>
      <c r="B4425" s="2" t="str">
        <f>IFERROR(__xludf.DUMMYFUNCTION("""COMPUTED_VALUE"""),"마늘")</f>
        <v>마늘</v>
      </c>
    </row>
    <row r="4426">
      <c r="A4426" s="2" t="str">
        <f>IFERROR(__xludf.DUMMYFUNCTION("""COMPUTED_VALUE"""),"쉑쉑 파스타")</f>
        <v>쉑쉑 파스타</v>
      </c>
      <c r="B4426" s="2" t="str">
        <f>IFERROR(__xludf.DUMMYFUNCTION("""COMPUTED_VALUE"""),"양파")</f>
        <v>양파</v>
      </c>
    </row>
    <row r="4427">
      <c r="A4427" s="2" t="str">
        <f>IFERROR(__xludf.DUMMYFUNCTION("""COMPUTED_VALUE"""),"쉑쉑 파스타")</f>
        <v>쉑쉑 파스타</v>
      </c>
      <c r="B4427" s="2" t="str">
        <f>IFERROR(__xludf.DUMMYFUNCTION("""COMPUTED_VALUE"""),"후추")</f>
        <v>후추</v>
      </c>
    </row>
    <row r="4428">
      <c r="A4428" s="2" t="str">
        <f>IFERROR(__xludf.DUMMYFUNCTION("""COMPUTED_VALUE"""),"바로빵")</f>
        <v>바로빵</v>
      </c>
      <c r="B4428" s="2" t="str">
        <f>IFERROR(__xludf.DUMMYFUNCTION("""COMPUTED_VALUE"""),"수제 요거트")</f>
        <v>수제 요거트</v>
      </c>
    </row>
    <row r="4429">
      <c r="A4429" s="2" t="str">
        <f>IFERROR(__xludf.DUMMYFUNCTION("""COMPUTED_VALUE"""),"바로빵")</f>
        <v>바로빵</v>
      </c>
      <c r="B4429" s="2" t="str">
        <f>IFERROR(__xludf.DUMMYFUNCTION("""COMPUTED_VALUE"""),"훈제연어")</f>
        <v>훈제연어</v>
      </c>
    </row>
    <row r="4430">
      <c r="A4430" s="2" t="str">
        <f>IFERROR(__xludf.DUMMYFUNCTION("""COMPUTED_VALUE"""),"바로빵")</f>
        <v>바로빵</v>
      </c>
      <c r="B4430" s="2" t="str">
        <f>IFERROR(__xludf.DUMMYFUNCTION("""COMPUTED_VALUE"""),"토마토")</f>
        <v>토마토</v>
      </c>
    </row>
    <row r="4431">
      <c r="A4431" s="2" t="str">
        <f>IFERROR(__xludf.DUMMYFUNCTION("""COMPUTED_VALUE"""),"바로빵")</f>
        <v>바로빵</v>
      </c>
      <c r="B4431" s="2" t="str">
        <f>IFERROR(__xludf.DUMMYFUNCTION("""COMPUTED_VALUE"""),"양상추")</f>
        <v>양상추</v>
      </c>
    </row>
    <row r="4432">
      <c r="A4432" s="2" t="str">
        <f>IFERROR(__xludf.DUMMYFUNCTION("""COMPUTED_VALUE"""),"바로빵")</f>
        <v>바로빵</v>
      </c>
      <c r="B4432" s="2" t="str">
        <f>IFERROR(__xludf.DUMMYFUNCTION("""COMPUTED_VALUE"""),"적양파")</f>
        <v>적양파</v>
      </c>
    </row>
    <row r="4433">
      <c r="A4433" s="2" t="str">
        <f>IFERROR(__xludf.DUMMYFUNCTION("""COMPUTED_VALUE"""),"바로빵")</f>
        <v>바로빵</v>
      </c>
      <c r="B4433" s="2" t="str">
        <f>IFERROR(__xludf.DUMMYFUNCTION("""COMPUTED_VALUE"""),"쪽파")</f>
        <v>쪽파</v>
      </c>
    </row>
    <row r="4434">
      <c r="A4434" s="2" t="str">
        <f>IFERROR(__xludf.DUMMYFUNCTION("""COMPUTED_VALUE"""),"바로빵")</f>
        <v>바로빵</v>
      </c>
      <c r="B4434" s="2" t="str">
        <f>IFERROR(__xludf.DUMMYFUNCTION("""COMPUTED_VALUE"""),"버터")</f>
        <v>버터</v>
      </c>
    </row>
    <row r="4435">
      <c r="A4435" s="2" t="str">
        <f>IFERROR(__xludf.DUMMYFUNCTION("""COMPUTED_VALUE"""),"바로빵")</f>
        <v>바로빵</v>
      </c>
      <c r="B4435" s="2" t="str">
        <f>IFERROR(__xludf.DUMMYFUNCTION("""COMPUTED_VALUE"""),"밀가루")</f>
        <v>밀가루</v>
      </c>
    </row>
    <row r="4436">
      <c r="A4436" s="2" t="str">
        <f>IFERROR(__xludf.DUMMYFUNCTION("""COMPUTED_VALUE"""),"바로빵")</f>
        <v>바로빵</v>
      </c>
      <c r="B4436" s="2" t="str">
        <f>IFERROR(__xludf.DUMMYFUNCTION("""COMPUTED_VALUE"""),"소금")</f>
        <v>소금</v>
      </c>
    </row>
    <row r="4437">
      <c r="A4437" s="2" t="str">
        <f>IFERROR(__xludf.DUMMYFUNCTION("""COMPUTED_VALUE"""),"바로빵")</f>
        <v>바로빵</v>
      </c>
      <c r="B4437" s="2" t="str">
        <f>IFERROR(__xludf.DUMMYFUNCTION("""COMPUTED_VALUE"""),"달걀")</f>
        <v>달걀</v>
      </c>
    </row>
    <row r="4438">
      <c r="A4438" s="2" t="str">
        <f>IFERROR(__xludf.DUMMYFUNCTION("""COMPUTED_VALUE"""),"바로빵")</f>
        <v>바로빵</v>
      </c>
      <c r="B4438" s="2" t="str">
        <f>IFERROR(__xludf.DUMMYFUNCTION("""COMPUTED_VALUE"""),"마요네즈")</f>
        <v>마요네즈</v>
      </c>
    </row>
    <row r="4439">
      <c r="A4439" s="2" t="str">
        <f>IFERROR(__xludf.DUMMYFUNCTION("""COMPUTED_VALUE"""),"바로빵")</f>
        <v>바로빵</v>
      </c>
      <c r="B4439" s="2" t="str">
        <f>IFERROR(__xludf.DUMMYFUNCTION("""COMPUTED_VALUE"""),"다진 마늘")</f>
        <v>다진 마늘</v>
      </c>
    </row>
    <row r="4440">
      <c r="A4440" s="2" t="str">
        <f>IFERROR(__xludf.DUMMYFUNCTION("""COMPUTED_VALUE"""),"바로빵")</f>
        <v>바로빵</v>
      </c>
      <c r="B4440" s="2" t="str">
        <f>IFERROR(__xludf.DUMMYFUNCTION("""COMPUTED_VALUE"""),"레몬")</f>
        <v>레몬</v>
      </c>
    </row>
    <row r="4441">
      <c r="A4441" s="2" t="str">
        <f>IFERROR(__xludf.DUMMYFUNCTION("""COMPUTED_VALUE"""),"바로빵")</f>
        <v>바로빵</v>
      </c>
      <c r="B4441" s="2" t="str">
        <f>IFERROR(__xludf.DUMMYFUNCTION("""COMPUTED_VALUE"""),"후추")</f>
        <v>후추</v>
      </c>
    </row>
    <row r="4442">
      <c r="A4442" s="2" t="str">
        <f>IFERROR(__xludf.DUMMYFUNCTION("""COMPUTED_VALUE"""),"바로빵")</f>
        <v>바로빵</v>
      </c>
      <c r="B4442" s="2" t="str">
        <f>IFERROR(__xludf.DUMMYFUNCTION("""COMPUTED_VALUE"""),"고춧가루")</f>
        <v>고춧가루</v>
      </c>
    </row>
    <row r="4443">
      <c r="A4443" s="2" t="str">
        <f>IFERROR(__xludf.DUMMYFUNCTION("""COMPUTED_VALUE"""),"카우복이")</f>
        <v>카우복이</v>
      </c>
      <c r="B4443" s="2" t="str">
        <f>IFERROR(__xludf.DUMMYFUNCTION("""COMPUTED_VALUE"""),"소갈비")</f>
        <v>소갈비</v>
      </c>
    </row>
    <row r="4444">
      <c r="A4444" s="2" t="str">
        <f>IFERROR(__xludf.DUMMYFUNCTION("""COMPUTED_VALUE"""),"카우복이")</f>
        <v>카우복이</v>
      </c>
      <c r="B4444" s="2" t="str">
        <f>IFERROR(__xludf.DUMMYFUNCTION("""COMPUTED_VALUE"""),"감자")</f>
        <v>감자</v>
      </c>
    </row>
    <row r="4445">
      <c r="A4445" s="2" t="str">
        <f>IFERROR(__xludf.DUMMYFUNCTION("""COMPUTED_VALUE"""),"카우복이")</f>
        <v>카우복이</v>
      </c>
      <c r="B4445" s="2" t="str">
        <f>IFERROR(__xludf.DUMMYFUNCTION("""COMPUTED_VALUE"""),"브로콜리")</f>
        <v>브로콜리</v>
      </c>
    </row>
    <row r="4446">
      <c r="A4446" s="2" t="str">
        <f>IFERROR(__xludf.DUMMYFUNCTION("""COMPUTED_VALUE"""),"카우복이")</f>
        <v>카우복이</v>
      </c>
      <c r="B4446" s="2" t="str">
        <f>IFERROR(__xludf.DUMMYFUNCTION("""COMPUTED_VALUE"""),"콜리플라워")</f>
        <v>콜리플라워</v>
      </c>
    </row>
    <row r="4447">
      <c r="A4447" s="2" t="str">
        <f>IFERROR(__xludf.DUMMYFUNCTION("""COMPUTED_VALUE"""),"카우복이")</f>
        <v>카우복이</v>
      </c>
      <c r="B4447" s="2" t="str">
        <f>IFERROR(__xludf.DUMMYFUNCTION("""COMPUTED_VALUE"""),"애호박")</f>
        <v>애호박</v>
      </c>
    </row>
    <row r="4448">
      <c r="A4448" s="2" t="str">
        <f>IFERROR(__xludf.DUMMYFUNCTION("""COMPUTED_VALUE"""),"카우복이")</f>
        <v>카우복이</v>
      </c>
      <c r="B4448" s="2" t="str">
        <f>IFERROR(__xludf.DUMMYFUNCTION("""COMPUTED_VALUE"""),"고추")</f>
        <v>고추</v>
      </c>
    </row>
    <row r="4449">
      <c r="A4449" s="2" t="str">
        <f>IFERROR(__xludf.DUMMYFUNCTION("""COMPUTED_VALUE"""),"카우복이")</f>
        <v>카우복이</v>
      </c>
      <c r="B4449" s="2" t="str">
        <f>IFERROR(__xludf.DUMMYFUNCTION("""COMPUTED_VALUE"""),"누룽지")</f>
        <v>누룽지</v>
      </c>
    </row>
    <row r="4450">
      <c r="A4450" s="2" t="str">
        <f>IFERROR(__xludf.DUMMYFUNCTION("""COMPUTED_VALUE"""),"카우복이")</f>
        <v>카우복이</v>
      </c>
      <c r="B4450" s="2" t="str">
        <f>IFERROR(__xludf.DUMMYFUNCTION("""COMPUTED_VALUE"""),"핫소스")</f>
        <v>핫소스</v>
      </c>
    </row>
    <row r="4451">
      <c r="A4451" s="2" t="str">
        <f>IFERROR(__xludf.DUMMYFUNCTION("""COMPUTED_VALUE"""),"카우복이")</f>
        <v>카우복이</v>
      </c>
      <c r="B4451" s="2" t="str">
        <f>IFERROR(__xludf.DUMMYFUNCTION("""COMPUTED_VALUE"""),"굴소스")</f>
        <v>굴소스</v>
      </c>
    </row>
    <row r="4452">
      <c r="A4452" s="2" t="str">
        <f>IFERROR(__xludf.DUMMYFUNCTION("""COMPUTED_VALUE"""),"카우복이")</f>
        <v>카우복이</v>
      </c>
      <c r="B4452" s="2" t="str">
        <f>IFERROR(__xludf.DUMMYFUNCTION("""COMPUTED_VALUE"""),"보리굴비살")</f>
        <v>보리굴비살</v>
      </c>
    </row>
    <row r="4453">
      <c r="A4453" s="2" t="str">
        <f>IFERROR(__xludf.DUMMYFUNCTION("""COMPUTED_VALUE"""),"카우복이")</f>
        <v>카우복이</v>
      </c>
      <c r="B4453" s="2" t="str">
        <f>IFERROR(__xludf.DUMMYFUNCTION("""COMPUTED_VALUE"""),"양파")</f>
        <v>양파</v>
      </c>
    </row>
    <row r="4454">
      <c r="A4454" s="2" t="str">
        <f>IFERROR(__xludf.DUMMYFUNCTION("""COMPUTED_VALUE"""),"카우복이")</f>
        <v>카우복이</v>
      </c>
      <c r="B4454" s="2" t="str">
        <f>IFERROR(__xludf.DUMMYFUNCTION("""COMPUTED_VALUE"""),"마늘")</f>
        <v>마늘</v>
      </c>
    </row>
    <row r="4455">
      <c r="A4455" s="2" t="str">
        <f>IFERROR(__xludf.DUMMYFUNCTION("""COMPUTED_VALUE"""),"카우복이")</f>
        <v>카우복이</v>
      </c>
      <c r="B4455" s="2" t="str">
        <f>IFERROR(__xludf.DUMMYFUNCTION("""COMPUTED_VALUE"""),"대파")</f>
        <v>대파</v>
      </c>
    </row>
    <row r="4456">
      <c r="A4456" s="2" t="str">
        <f>IFERROR(__xludf.DUMMYFUNCTION("""COMPUTED_VALUE"""),"카우복이")</f>
        <v>카우복이</v>
      </c>
      <c r="B4456" s="2" t="str">
        <f>IFERROR(__xludf.DUMMYFUNCTION("""COMPUTED_VALUE"""),"전분")</f>
        <v>전분</v>
      </c>
    </row>
    <row r="4457">
      <c r="A4457" s="2" t="str">
        <f>IFERROR(__xludf.DUMMYFUNCTION("""COMPUTED_VALUE"""),"카우복이")</f>
        <v>카우복이</v>
      </c>
      <c r="B4457" s="2" t="str">
        <f>IFERROR(__xludf.DUMMYFUNCTION("""COMPUTED_VALUE"""),"간장")</f>
        <v>간장</v>
      </c>
    </row>
    <row r="4458">
      <c r="A4458" s="2" t="str">
        <f>IFERROR(__xludf.DUMMYFUNCTION("""COMPUTED_VALUE"""),"카우복이")</f>
        <v>카우복이</v>
      </c>
      <c r="B4458" s="2" t="str">
        <f>IFERROR(__xludf.DUMMYFUNCTION("""COMPUTED_VALUE"""),"달걀")</f>
        <v>달걀</v>
      </c>
    </row>
    <row r="4459">
      <c r="A4459" s="2" t="str">
        <f>IFERROR(__xludf.DUMMYFUNCTION("""COMPUTED_VALUE"""),"카우복이")</f>
        <v>카우복이</v>
      </c>
      <c r="B4459" s="2" t="str">
        <f>IFERROR(__xludf.DUMMYFUNCTION("""COMPUTED_VALUE"""),"고춧가루")</f>
        <v>고춧가루</v>
      </c>
    </row>
    <row r="4460">
      <c r="A4460" s="2" t="str">
        <f>IFERROR(__xludf.DUMMYFUNCTION("""COMPUTED_VALUE"""),"카우복이")</f>
        <v>카우복이</v>
      </c>
      <c r="B4460" s="2" t="str">
        <f>IFERROR(__xludf.DUMMYFUNCTION("""COMPUTED_VALUE"""),"설탕")</f>
        <v>설탕</v>
      </c>
    </row>
    <row r="4461">
      <c r="A4461" s="2" t="str">
        <f>IFERROR(__xludf.DUMMYFUNCTION("""COMPUTED_VALUE"""),"카우복이")</f>
        <v>카우복이</v>
      </c>
      <c r="B4461" s="2" t="str">
        <f>IFERROR(__xludf.DUMMYFUNCTION("""COMPUTED_VALUE"""),"참기름")</f>
        <v>참기름</v>
      </c>
    </row>
    <row r="4462">
      <c r="A4462" s="2" t="str">
        <f>IFERROR(__xludf.DUMMYFUNCTION("""COMPUTED_VALUE"""),"오! 가닉~ 고등어")</f>
        <v>오! 가닉~ 고등어</v>
      </c>
      <c r="B4462" s="2" t="str">
        <f>IFERROR(__xludf.DUMMYFUNCTION("""COMPUTED_VALUE"""),"고등어")</f>
        <v>고등어</v>
      </c>
    </row>
    <row r="4463">
      <c r="A4463" s="2" t="str">
        <f>IFERROR(__xludf.DUMMYFUNCTION("""COMPUTED_VALUE"""),"오! 가닉~ 고등어")</f>
        <v>오! 가닉~ 고등어</v>
      </c>
      <c r="B4463" s="2" t="str">
        <f>IFERROR(__xludf.DUMMYFUNCTION("""COMPUTED_VALUE"""),"토마토")</f>
        <v>토마토</v>
      </c>
    </row>
    <row r="4464">
      <c r="A4464" s="2" t="str">
        <f>IFERROR(__xludf.DUMMYFUNCTION("""COMPUTED_VALUE"""),"오! 가닉~ 고등어")</f>
        <v>오! 가닉~ 고등어</v>
      </c>
      <c r="B4464" s="2" t="str">
        <f>IFERROR(__xludf.DUMMYFUNCTION("""COMPUTED_VALUE"""),"강낭콩 통조림")</f>
        <v>강낭콩 통조림</v>
      </c>
    </row>
    <row r="4465">
      <c r="A4465" s="2" t="str">
        <f>IFERROR(__xludf.DUMMYFUNCTION("""COMPUTED_VALUE"""),"오! 가닉~ 고등어")</f>
        <v>오! 가닉~ 고등어</v>
      </c>
      <c r="B4465" s="2" t="str">
        <f>IFERROR(__xludf.DUMMYFUNCTION("""COMPUTED_VALUE"""),"가지")</f>
        <v>가지</v>
      </c>
    </row>
    <row r="4466">
      <c r="A4466" s="2" t="str">
        <f>IFERROR(__xludf.DUMMYFUNCTION("""COMPUTED_VALUE"""),"오! 가닉~ 고등어")</f>
        <v>오! 가닉~ 고등어</v>
      </c>
      <c r="B4466" s="2" t="str">
        <f>IFERROR(__xludf.DUMMYFUNCTION("""COMPUTED_VALUE"""),"감자")</f>
        <v>감자</v>
      </c>
    </row>
    <row r="4467">
      <c r="A4467" s="2" t="str">
        <f>IFERROR(__xludf.DUMMYFUNCTION("""COMPUTED_VALUE"""),"오! 가닉~ 고등어")</f>
        <v>오! 가닉~ 고등어</v>
      </c>
      <c r="B4467" s="2" t="str">
        <f>IFERROR(__xludf.DUMMYFUNCTION("""COMPUTED_VALUE"""),"애호박")</f>
        <v>애호박</v>
      </c>
    </row>
    <row r="4468">
      <c r="A4468" s="2" t="str">
        <f>IFERROR(__xludf.DUMMYFUNCTION("""COMPUTED_VALUE"""),"오! 가닉~ 고등어")</f>
        <v>오! 가닉~ 고등어</v>
      </c>
      <c r="B4468" s="2" t="str">
        <f>IFERROR(__xludf.DUMMYFUNCTION("""COMPUTED_VALUE"""),"베이컨")</f>
        <v>베이컨</v>
      </c>
    </row>
    <row r="4469">
      <c r="A4469" s="2" t="str">
        <f>IFERROR(__xludf.DUMMYFUNCTION("""COMPUTED_VALUE"""),"오! 가닉~ 고등어")</f>
        <v>오! 가닉~ 고등어</v>
      </c>
      <c r="B4469" s="2" t="str">
        <f>IFERROR(__xludf.DUMMYFUNCTION("""COMPUTED_VALUE"""),"발사믹크림")</f>
        <v>발사믹크림</v>
      </c>
    </row>
    <row r="4470">
      <c r="A4470" s="2" t="str">
        <f>IFERROR(__xludf.DUMMYFUNCTION("""COMPUTED_VALUE"""),"오! 가닉~ 고등어")</f>
        <v>오! 가닉~ 고등어</v>
      </c>
      <c r="B4470" s="2" t="str">
        <f>IFERROR(__xludf.DUMMYFUNCTION("""COMPUTED_VALUE"""),"토마토소스")</f>
        <v>토마토소스</v>
      </c>
    </row>
    <row r="4471">
      <c r="A4471" s="2" t="str">
        <f>IFERROR(__xludf.DUMMYFUNCTION("""COMPUTED_VALUE"""),"오! 가닉~ 고등어")</f>
        <v>오! 가닉~ 고등어</v>
      </c>
      <c r="B4471" s="2" t="str">
        <f>IFERROR(__xludf.DUMMYFUNCTION("""COMPUTED_VALUE"""),"보리굴비살")</f>
        <v>보리굴비살</v>
      </c>
    </row>
    <row r="4472">
      <c r="A4472" s="2" t="str">
        <f>IFERROR(__xludf.DUMMYFUNCTION("""COMPUTED_VALUE"""),"오! 가닉~ 고등어")</f>
        <v>오! 가닉~ 고등어</v>
      </c>
      <c r="B4472" s="2" t="str">
        <f>IFERROR(__xludf.DUMMYFUNCTION("""COMPUTED_VALUE"""),"양파")</f>
        <v>양파</v>
      </c>
    </row>
    <row r="4473">
      <c r="A4473" s="2" t="str">
        <f>IFERROR(__xludf.DUMMYFUNCTION("""COMPUTED_VALUE"""),"오! 가닉~ 고등어")</f>
        <v>오! 가닉~ 고등어</v>
      </c>
      <c r="B4473" s="2" t="str">
        <f>IFERROR(__xludf.DUMMYFUNCTION("""COMPUTED_VALUE"""),"당근")</f>
        <v>당근</v>
      </c>
    </row>
    <row r="4474">
      <c r="A4474" s="2" t="str">
        <f>IFERROR(__xludf.DUMMYFUNCTION("""COMPUTED_VALUE"""),"오! 가닉~ 고등어")</f>
        <v>오! 가닉~ 고등어</v>
      </c>
      <c r="B4474" s="2" t="str">
        <f>IFERROR(__xludf.DUMMYFUNCTION("""COMPUTED_VALUE"""),"대파")</f>
        <v>대파</v>
      </c>
    </row>
    <row r="4475">
      <c r="A4475" s="2" t="str">
        <f>IFERROR(__xludf.DUMMYFUNCTION("""COMPUTED_VALUE"""),"오! 가닉~ 고등어")</f>
        <v>오! 가닉~ 고등어</v>
      </c>
      <c r="B4475" s="2" t="str">
        <f>IFERROR(__xludf.DUMMYFUNCTION("""COMPUTED_VALUE"""),"레몬")</f>
        <v>레몬</v>
      </c>
    </row>
    <row r="4476">
      <c r="A4476" s="2" t="str">
        <f>IFERROR(__xludf.DUMMYFUNCTION("""COMPUTED_VALUE"""),"오! 가닉~ 고등어")</f>
        <v>오! 가닉~ 고등어</v>
      </c>
      <c r="B4476" s="2" t="str">
        <f>IFERROR(__xludf.DUMMYFUNCTION("""COMPUTED_VALUE"""),"후추")</f>
        <v>후추</v>
      </c>
    </row>
    <row r="4477">
      <c r="A4477" s="2" t="str">
        <f>IFERROR(__xludf.DUMMYFUNCTION("""COMPUTED_VALUE"""),"오! 가닉~ 고등어")</f>
        <v>오! 가닉~ 고등어</v>
      </c>
      <c r="B4477" s="2" t="str">
        <f>IFERROR(__xludf.DUMMYFUNCTION("""COMPUTED_VALUE"""),"마요네즈")</f>
        <v>마요네즈</v>
      </c>
    </row>
    <row r="4478">
      <c r="A4478" s="2" t="str">
        <f>IFERROR(__xludf.DUMMYFUNCTION("""COMPUTED_VALUE"""),"오! 가닉~ 고등어")</f>
        <v>오! 가닉~ 고등어</v>
      </c>
      <c r="B4478" s="2" t="str">
        <f>IFERROR(__xludf.DUMMYFUNCTION("""COMPUTED_VALUE"""),"밀가루")</f>
        <v>밀가루</v>
      </c>
    </row>
    <row r="4479">
      <c r="A4479" s="2" t="str">
        <f>IFERROR(__xludf.DUMMYFUNCTION("""COMPUTED_VALUE"""),"홀롤서기")</f>
        <v>홀롤서기</v>
      </c>
      <c r="B4479" s="2" t="str">
        <f>IFERROR(__xludf.DUMMYFUNCTION("""COMPUTED_VALUE"""),"감자")</f>
        <v>감자</v>
      </c>
    </row>
    <row r="4480">
      <c r="A4480" s="2" t="str">
        <f>IFERROR(__xludf.DUMMYFUNCTION("""COMPUTED_VALUE"""),"홀롤서기")</f>
        <v>홀롤서기</v>
      </c>
      <c r="B4480" s="2" t="str">
        <f>IFERROR(__xludf.DUMMYFUNCTION("""COMPUTED_VALUE"""),"누룽지")</f>
        <v>누룽지</v>
      </c>
    </row>
    <row r="4481">
      <c r="A4481" s="2" t="str">
        <f>IFERROR(__xludf.DUMMYFUNCTION("""COMPUTED_VALUE"""),"홀롤서기")</f>
        <v>홀롤서기</v>
      </c>
      <c r="B4481" s="2" t="str">
        <f>IFERROR(__xludf.DUMMYFUNCTION("""COMPUTED_VALUE"""),"명란젓")</f>
        <v>명란젓</v>
      </c>
    </row>
    <row r="4482">
      <c r="A4482" s="2" t="str">
        <f>IFERROR(__xludf.DUMMYFUNCTION("""COMPUTED_VALUE"""),"홀롤서기")</f>
        <v>홀롤서기</v>
      </c>
      <c r="B4482" s="2" t="str">
        <f>IFERROR(__xludf.DUMMYFUNCTION("""COMPUTED_VALUE"""),"고추장아찌")</f>
        <v>고추장아찌</v>
      </c>
    </row>
    <row r="4483">
      <c r="A4483" s="2" t="str">
        <f>IFERROR(__xludf.DUMMYFUNCTION("""COMPUTED_VALUE"""),"홀롤서기")</f>
        <v>홀롤서기</v>
      </c>
      <c r="B4483" s="2" t="str">
        <f>IFERROR(__xludf.DUMMYFUNCTION("""COMPUTED_VALUE"""),"김밥용 김")</f>
        <v>김밥용 김</v>
      </c>
    </row>
    <row r="4484">
      <c r="A4484" s="2" t="str">
        <f>IFERROR(__xludf.DUMMYFUNCTION("""COMPUTED_VALUE"""),"홀롤서기")</f>
        <v>홀롤서기</v>
      </c>
      <c r="B4484" s="2" t="str">
        <f>IFERROR(__xludf.DUMMYFUNCTION("""COMPUTED_VALUE"""),"바닐라 아이스크림")</f>
        <v>바닐라 아이스크림</v>
      </c>
    </row>
    <row r="4485">
      <c r="A4485" s="2" t="str">
        <f>IFERROR(__xludf.DUMMYFUNCTION("""COMPUTED_VALUE"""),"홀롤서기")</f>
        <v>홀롤서기</v>
      </c>
      <c r="B4485" s="2" t="str">
        <f>IFERROR(__xludf.DUMMYFUNCTION("""COMPUTED_VALUE"""),"아보카도")</f>
        <v>아보카도</v>
      </c>
    </row>
    <row r="4486">
      <c r="A4486" s="2" t="str">
        <f>IFERROR(__xludf.DUMMYFUNCTION("""COMPUTED_VALUE"""),"홀롤서기")</f>
        <v>홀롤서기</v>
      </c>
      <c r="B4486" s="2" t="str">
        <f>IFERROR(__xludf.DUMMYFUNCTION("""COMPUTED_VALUE"""),"즉석밥")</f>
        <v>즉석밥</v>
      </c>
    </row>
    <row r="4487">
      <c r="A4487" s="2" t="str">
        <f>IFERROR(__xludf.DUMMYFUNCTION("""COMPUTED_VALUE"""),"홀롤서기")</f>
        <v>홀롤서기</v>
      </c>
      <c r="B4487" s="2" t="str">
        <f>IFERROR(__xludf.DUMMYFUNCTION("""COMPUTED_VALUE"""),"다진 마늘")</f>
        <v>다진 마늘</v>
      </c>
    </row>
    <row r="4488">
      <c r="A4488" s="2" t="str">
        <f>IFERROR(__xludf.DUMMYFUNCTION("""COMPUTED_VALUE"""),"홀롤서기")</f>
        <v>홀롤서기</v>
      </c>
      <c r="B4488" s="2" t="str">
        <f>IFERROR(__xludf.DUMMYFUNCTION("""COMPUTED_VALUE"""),"참기름")</f>
        <v>참기름</v>
      </c>
    </row>
    <row r="4489">
      <c r="A4489" s="2" t="str">
        <f>IFERROR(__xludf.DUMMYFUNCTION("""COMPUTED_VALUE"""),"홀롤서기")</f>
        <v>홀롤서기</v>
      </c>
      <c r="B4489" s="2" t="str">
        <f>IFERROR(__xludf.DUMMYFUNCTION("""COMPUTED_VALUE"""),"후추")</f>
        <v>후추</v>
      </c>
    </row>
    <row r="4490">
      <c r="A4490" s="2" t="str">
        <f>IFERROR(__xludf.DUMMYFUNCTION("""COMPUTED_VALUE"""),"홀롤서기")</f>
        <v>홀롤서기</v>
      </c>
      <c r="B4490" s="2" t="str">
        <f>IFERROR(__xludf.DUMMYFUNCTION("""COMPUTED_VALUE"""),"고추냉이")</f>
        <v>고추냉이</v>
      </c>
    </row>
    <row r="4491">
      <c r="A4491" s="2" t="str">
        <f>IFERROR(__xludf.DUMMYFUNCTION("""COMPUTED_VALUE"""),"홀롤서기")</f>
        <v>홀롤서기</v>
      </c>
      <c r="B4491" s="2" t="str">
        <f>IFERROR(__xludf.DUMMYFUNCTION("""COMPUTED_VALUE"""),"간장")</f>
        <v>간장</v>
      </c>
    </row>
    <row r="4492">
      <c r="A4492" s="2" t="str">
        <f>IFERROR(__xludf.DUMMYFUNCTION("""COMPUTED_VALUE"""),"눈물회밥")</f>
        <v>눈물회밥</v>
      </c>
      <c r="B4492" s="2" t="str">
        <f>IFERROR(__xludf.DUMMYFUNCTION("""COMPUTED_VALUE"""),"불고기용 소고기")</f>
        <v>불고기용 소고기</v>
      </c>
    </row>
    <row r="4493">
      <c r="A4493" s="2" t="str">
        <f>IFERROR(__xludf.DUMMYFUNCTION("""COMPUTED_VALUE"""),"눈물회밥")</f>
        <v>눈물회밥</v>
      </c>
      <c r="B4493" s="2" t="str">
        <f>IFERROR(__xludf.DUMMYFUNCTION("""COMPUTED_VALUE"""),"상추")</f>
        <v>상추</v>
      </c>
    </row>
    <row r="4494">
      <c r="A4494" s="2" t="str">
        <f>IFERROR(__xludf.DUMMYFUNCTION("""COMPUTED_VALUE"""),"눈물회밥")</f>
        <v>눈물회밥</v>
      </c>
      <c r="B4494" s="2" t="str">
        <f>IFERROR(__xludf.DUMMYFUNCTION("""COMPUTED_VALUE"""),"로메인상추")</f>
        <v>로메인상추</v>
      </c>
    </row>
    <row r="4495">
      <c r="A4495" s="2" t="str">
        <f>IFERROR(__xludf.DUMMYFUNCTION("""COMPUTED_VALUE"""),"눈물회밥")</f>
        <v>눈물회밥</v>
      </c>
      <c r="B4495" s="2" t="str">
        <f>IFERROR(__xludf.DUMMYFUNCTION("""COMPUTED_VALUE"""),"쑥갓")</f>
        <v>쑥갓</v>
      </c>
    </row>
    <row r="4496">
      <c r="A4496" s="2" t="str">
        <f>IFERROR(__xludf.DUMMYFUNCTION("""COMPUTED_VALUE"""),"눈물회밥")</f>
        <v>눈물회밥</v>
      </c>
      <c r="B4496" s="2" t="str">
        <f>IFERROR(__xludf.DUMMYFUNCTION("""COMPUTED_VALUE"""),"사과")</f>
        <v>사과</v>
      </c>
    </row>
    <row r="4497">
      <c r="A4497" s="2" t="str">
        <f>IFERROR(__xludf.DUMMYFUNCTION("""COMPUTED_VALUE"""),"눈물회밥")</f>
        <v>눈물회밥</v>
      </c>
      <c r="B4497" s="2" t="str">
        <f>IFERROR(__xludf.DUMMYFUNCTION("""COMPUTED_VALUE"""),"참외")</f>
        <v>참외</v>
      </c>
    </row>
    <row r="4498">
      <c r="A4498" s="2" t="str">
        <f>IFERROR(__xludf.DUMMYFUNCTION("""COMPUTED_VALUE"""),"눈물회밥")</f>
        <v>눈물회밥</v>
      </c>
      <c r="B4498" s="2" t="str">
        <f>IFERROR(__xludf.DUMMYFUNCTION("""COMPUTED_VALUE"""),"양파")</f>
        <v>양파</v>
      </c>
    </row>
    <row r="4499">
      <c r="A4499" s="2" t="str">
        <f>IFERROR(__xludf.DUMMYFUNCTION("""COMPUTED_VALUE"""),"눈물회밥")</f>
        <v>눈물회밥</v>
      </c>
      <c r="B4499" s="2" t="str">
        <f>IFERROR(__xludf.DUMMYFUNCTION("""COMPUTED_VALUE"""),"마늘")</f>
        <v>마늘</v>
      </c>
    </row>
    <row r="4500">
      <c r="A4500" s="2" t="str">
        <f>IFERROR(__xludf.DUMMYFUNCTION("""COMPUTED_VALUE"""),"눈물회밥")</f>
        <v>눈물회밥</v>
      </c>
      <c r="B4500" s="2" t="str">
        <f>IFERROR(__xludf.DUMMYFUNCTION("""COMPUTED_VALUE"""),"고추장")</f>
        <v>고추장</v>
      </c>
    </row>
    <row r="4501">
      <c r="A4501" s="2" t="str">
        <f>IFERROR(__xludf.DUMMYFUNCTION("""COMPUTED_VALUE"""),"눈물회밥")</f>
        <v>눈물회밥</v>
      </c>
      <c r="B4501" s="2" t="str">
        <f>IFERROR(__xludf.DUMMYFUNCTION("""COMPUTED_VALUE"""),"된장")</f>
        <v>된장</v>
      </c>
    </row>
    <row r="4502">
      <c r="A4502" s="2" t="str">
        <f>IFERROR(__xludf.DUMMYFUNCTION("""COMPUTED_VALUE"""),"눈물회밥")</f>
        <v>눈물회밥</v>
      </c>
      <c r="B4502" s="2" t="str">
        <f>IFERROR(__xludf.DUMMYFUNCTION("""COMPUTED_VALUE"""),"맛술")</f>
        <v>맛술</v>
      </c>
    </row>
    <row r="4503">
      <c r="A4503" s="2" t="str">
        <f>IFERROR(__xludf.DUMMYFUNCTION("""COMPUTED_VALUE"""),"눈물회밥")</f>
        <v>눈물회밥</v>
      </c>
      <c r="B4503" s="2" t="str">
        <f>IFERROR(__xludf.DUMMYFUNCTION("""COMPUTED_VALUE"""),"고춧가루")</f>
        <v>고춧가루</v>
      </c>
    </row>
    <row r="4504">
      <c r="A4504" s="2" t="str">
        <f>IFERROR(__xludf.DUMMYFUNCTION("""COMPUTED_VALUE"""),"눈물회밥")</f>
        <v>눈물회밥</v>
      </c>
      <c r="B4504" s="2" t="str">
        <f>IFERROR(__xludf.DUMMYFUNCTION("""COMPUTED_VALUE"""),"설탕")</f>
        <v>설탕</v>
      </c>
    </row>
    <row r="4505">
      <c r="A4505" s="2" t="str">
        <f>IFERROR(__xludf.DUMMYFUNCTION("""COMPUTED_VALUE"""),"눈물회밥")</f>
        <v>눈물회밥</v>
      </c>
      <c r="B4505" s="2" t="str">
        <f>IFERROR(__xludf.DUMMYFUNCTION("""COMPUTED_VALUE"""),"식초")</f>
        <v>식초</v>
      </c>
    </row>
    <row r="4506">
      <c r="A4506" s="2" t="str">
        <f>IFERROR(__xludf.DUMMYFUNCTION("""COMPUTED_VALUE"""),"눈물회밥")</f>
        <v>눈물회밥</v>
      </c>
      <c r="B4506" s="2" t="str">
        <f>IFERROR(__xludf.DUMMYFUNCTION("""COMPUTED_VALUE"""),"참기름")</f>
        <v>참기름</v>
      </c>
    </row>
    <row r="4507">
      <c r="A4507" s="2" t="str">
        <f>IFERROR(__xludf.DUMMYFUNCTION("""COMPUTED_VALUE"""),"눈물회밥")</f>
        <v>눈물회밥</v>
      </c>
      <c r="B4507" s="2" t="str">
        <f>IFERROR(__xludf.DUMMYFUNCTION("""COMPUTED_VALUE"""),"깨")</f>
        <v>깨</v>
      </c>
    </row>
    <row r="4508">
      <c r="A4508" s="2" t="str">
        <f>IFERROR(__xludf.DUMMYFUNCTION("""COMPUTED_VALUE"""),"눈물회밥")</f>
        <v>눈물회밥</v>
      </c>
      <c r="B4508" s="2" t="str">
        <f>IFERROR(__xludf.DUMMYFUNCTION("""COMPUTED_VALUE"""),"물")</f>
        <v>물</v>
      </c>
    </row>
    <row r="4509">
      <c r="A4509" s="2" t="str">
        <f>IFERROR(__xludf.DUMMYFUNCTION("""COMPUTED_VALUE"""),"눈물회밥")</f>
        <v>눈물회밥</v>
      </c>
      <c r="B4509" s="2" t="str">
        <f>IFERROR(__xludf.DUMMYFUNCTION("""COMPUTED_VALUE"""),"얼음")</f>
        <v>얼음</v>
      </c>
    </row>
    <row r="4510">
      <c r="A4510" s="2" t="str">
        <f>IFERROR(__xludf.DUMMYFUNCTION("""COMPUTED_VALUE"""),"눈물회밥")</f>
        <v>눈물회밥</v>
      </c>
      <c r="B4510" s="2" t="str">
        <f>IFERROR(__xludf.DUMMYFUNCTION("""COMPUTED_VALUE"""),"즉석밥")</f>
        <v>즉석밥</v>
      </c>
    </row>
    <row r="4511">
      <c r="A4511" s="2" t="str">
        <f>IFERROR(__xludf.DUMMYFUNCTION("""COMPUTED_VALUE"""),"후덜덜이 김밥")</f>
        <v>후덜덜이 김밥</v>
      </c>
      <c r="B4511" s="2" t="str">
        <f>IFERROR(__xludf.DUMMYFUNCTION("""COMPUTED_VALUE"""),"베이컨")</f>
        <v>베이컨</v>
      </c>
    </row>
    <row r="4512">
      <c r="A4512" s="2" t="str">
        <f>IFERROR(__xludf.DUMMYFUNCTION("""COMPUTED_VALUE"""),"후덜덜이 김밥")</f>
        <v>후덜덜이 김밥</v>
      </c>
      <c r="B4512" s="2" t="str">
        <f>IFERROR(__xludf.DUMMYFUNCTION("""COMPUTED_VALUE"""),"통조림 햄")</f>
        <v>통조림 햄</v>
      </c>
    </row>
    <row r="4513">
      <c r="A4513" s="2" t="str">
        <f>IFERROR(__xludf.DUMMYFUNCTION("""COMPUTED_VALUE"""),"후덜덜이 김밥")</f>
        <v>후덜덜이 김밥</v>
      </c>
      <c r="B4513" s="2" t="str">
        <f>IFERROR(__xludf.DUMMYFUNCTION("""COMPUTED_VALUE"""),"꽃등심")</f>
        <v>꽃등심</v>
      </c>
    </row>
    <row r="4514">
      <c r="A4514" s="2" t="str">
        <f>IFERROR(__xludf.DUMMYFUNCTION("""COMPUTED_VALUE"""),"후덜덜이 김밥")</f>
        <v>후덜덜이 김밥</v>
      </c>
      <c r="B4514" s="2" t="str">
        <f>IFERROR(__xludf.DUMMYFUNCTION("""COMPUTED_VALUE"""),"갈릭소스")</f>
        <v>갈릭소스</v>
      </c>
    </row>
    <row r="4515">
      <c r="A4515" s="2" t="str">
        <f>IFERROR(__xludf.DUMMYFUNCTION("""COMPUTED_VALUE"""),"후덜덜이 김밥")</f>
        <v>후덜덜이 김밥</v>
      </c>
      <c r="B4515" s="2" t="str">
        <f>IFERROR(__xludf.DUMMYFUNCTION("""COMPUTED_VALUE"""),"라임")</f>
        <v>라임</v>
      </c>
    </row>
    <row r="4516">
      <c r="A4516" s="2" t="str">
        <f>IFERROR(__xludf.DUMMYFUNCTION("""COMPUTED_VALUE"""),"후덜덜이 김밥")</f>
        <v>후덜덜이 김밥</v>
      </c>
      <c r="B4516" s="2" t="str">
        <f>IFERROR(__xludf.DUMMYFUNCTION("""COMPUTED_VALUE"""),"케이퍼")</f>
        <v>케이퍼</v>
      </c>
    </row>
    <row r="4517">
      <c r="A4517" s="2" t="str">
        <f>IFERROR(__xludf.DUMMYFUNCTION("""COMPUTED_VALUE"""),"후덜덜이 김밥")</f>
        <v>후덜덜이 김밥</v>
      </c>
      <c r="B4517" s="2" t="str">
        <f>IFERROR(__xludf.DUMMYFUNCTION("""COMPUTED_VALUE"""),"치포틀레 핫소스")</f>
        <v>치포틀레 핫소스</v>
      </c>
    </row>
    <row r="4518">
      <c r="A4518" s="2" t="str">
        <f>IFERROR(__xludf.DUMMYFUNCTION("""COMPUTED_VALUE"""),"후덜덜이 김밥")</f>
        <v>후덜덜이 김밥</v>
      </c>
      <c r="B4518" s="2" t="str">
        <f>IFERROR(__xludf.DUMMYFUNCTION("""COMPUTED_VALUE"""),"고수")</f>
        <v>고수</v>
      </c>
    </row>
    <row r="4519">
      <c r="A4519" s="2" t="str">
        <f>IFERROR(__xludf.DUMMYFUNCTION("""COMPUTED_VALUE"""),"후덜덜이 김밥")</f>
        <v>후덜덜이 김밥</v>
      </c>
      <c r="B4519" s="2" t="str">
        <f>IFERROR(__xludf.DUMMYFUNCTION("""COMPUTED_VALUE"""),"연어")</f>
        <v>연어</v>
      </c>
    </row>
    <row r="4520">
      <c r="A4520" s="2" t="str">
        <f>IFERROR(__xludf.DUMMYFUNCTION("""COMPUTED_VALUE"""),"후덜덜이 김밥")</f>
        <v>후덜덜이 김밥</v>
      </c>
      <c r="B4520" s="2" t="str">
        <f>IFERROR(__xludf.DUMMYFUNCTION("""COMPUTED_VALUE"""),"카옌페퍼")</f>
        <v>카옌페퍼</v>
      </c>
    </row>
    <row r="4521">
      <c r="A4521" s="2" t="str">
        <f>IFERROR(__xludf.DUMMYFUNCTION("""COMPUTED_VALUE"""),"후덜덜이 김밥")</f>
        <v>후덜덜이 김밥</v>
      </c>
      <c r="B4521" s="2" t="str">
        <f>IFERROR(__xludf.DUMMYFUNCTION("""COMPUTED_VALUE"""),"체다치즈")</f>
        <v>체다치즈</v>
      </c>
    </row>
    <row r="4522">
      <c r="A4522" s="2" t="str">
        <f>IFERROR(__xludf.DUMMYFUNCTION("""COMPUTED_VALUE"""),"후덜덜이 김밥")</f>
        <v>후덜덜이 김밥</v>
      </c>
      <c r="B4522" s="2" t="str">
        <f>IFERROR(__xludf.DUMMYFUNCTION("""COMPUTED_VALUE"""),"모차렐라치즈")</f>
        <v>모차렐라치즈</v>
      </c>
    </row>
    <row r="4523">
      <c r="A4523" s="2" t="str">
        <f>IFERROR(__xludf.DUMMYFUNCTION("""COMPUTED_VALUE"""),"후덜덜이 김밥")</f>
        <v>후덜덜이 김밥</v>
      </c>
      <c r="B4523" s="2" t="str">
        <f>IFERROR(__xludf.DUMMYFUNCTION("""COMPUTED_VALUE"""),"김밥김")</f>
        <v>김밥김</v>
      </c>
    </row>
    <row r="4524">
      <c r="A4524" s="2" t="str">
        <f>IFERROR(__xludf.DUMMYFUNCTION("""COMPUTED_VALUE"""),"후덜덜이 김밥")</f>
        <v>후덜덜이 김밥</v>
      </c>
      <c r="B4524" s="2" t="str">
        <f>IFERROR(__xludf.DUMMYFUNCTION("""COMPUTED_VALUE"""),"즉석밥")</f>
        <v>즉석밥</v>
      </c>
    </row>
    <row r="4525">
      <c r="A4525" s="2" t="str">
        <f>IFERROR(__xludf.DUMMYFUNCTION("""COMPUTED_VALUE"""),"후덜덜이 김밥")</f>
        <v>후덜덜이 김밥</v>
      </c>
      <c r="B4525" s="2" t="str">
        <f>IFERROR(__xludf.DUMMYFUNCTION("""COMPUTED_VALUE"""),"통마늘")</f>
        <v>통마늘</v>
      </c>
    </row>
    <row r="4526">
      <c r="A4526" s="2" t="str">
        <f>IFERROR(__xludf.DUMMYFUNCTION("""COMPUTED_VALUE"""),"후덜덜이 김밥")</f>
        <v>후덜덜이 김밥</v>
      </c>
      <c r="B4526" s="2" t="str">
        <f>IFERROR(__xludf.DUMMYFUNCTION("""COMPUTED_VALUE"""),"소금")</f>
        <v>소금</v>
      </c>
    </row>
    <row r="4527">
      <c r="A4527" s="2" t="str">
        <f>IFERROR(__xludf.DUMMYFUNCTION("""COMPUTED_VALUE"""),"후덜덜이 김밥")</f>
        <v>후덜덜이 김밥</v>
      </c>
      <c r="B4527" s="2" t="str">
        <f>IFERROR(__xludf.DUMMYFUNCTION("""COMPUTED_VALUE"""),"후추")</f>
        <v>후추</v>
      </c>
    </row>
    <row r="4528">
      <c r="A4528" s="2" t="str">
        <f>IFERROR(__xludf.DUMMYFUNCTION("""COMPUTED_VALUE"""),"후덜덜이 김밥")</f>
        <v>후덜덜이 김밥</v>
      </c>
      <c r="B4528" s="2" t="str">
        <f>IFERROR(__xludf.DUMMYFUNCTION("""COMPUTED_VALUE"""),"마요네즈")</f>
        <v>마요네즈</v>
      </c>
    </row>
    <row r="4529">
      <c r="A4529" s="2" t="str">
        <f>IFERROR(__xludf.DUMMYFUNCTION("""COMPUTED_VALUE"""),"후덜덜이 김밥")</f>
        <v>후덜덜이 김밥</v>
      </c>
      <c r="B4529" s="2" t="str">
        <f>IFERROR(__xludf.DUMMYFUNCTION("""COMPUTED_VALUE"""),"버터")</f>
        <v>버터</v>
      </c>
    </row>
    <row r="4530">
      <c r="A4530" s="2" t="str">
        <f>IFERROR(__xludf.DUMMYFUNCTION("""COMPUTED_VALUE"""),"후덜덜이 김밥")</f>
        <v>후덜덜이 김밥</v>
      </c>
      <c r="B4530" s="2" t="str">
        <f>IFERROR(__xludf.DUMMYFUNCTION("""COMPUTED_VALUE"""),"깨")</f>
        <v>깨</v>
      </c>
    </row>
    <row r="4531">
      <c r="A4531" s="2" t="str">
        <f>IFERROR(__xludf.DUMMYFUNCTION("""COMPUTED_VALUE"""),"후덜덜이 김밥")</f>
        <v>후덜덜이 김밥</v>
      </c>
      <c r="B4531" s="2" t="str">
        <f>IFERROR(__xludf.DUMMYFUNCTION("""COMPUTED_VALUE"""),"참기름")</f>
        <v>참기름</v>
      </c>
    </row>
    <row r="4532">
      <c r="A4532" s="2" t="str">
        <f>IFERROR(__xludf.DUMMYFUNCTION("""COMPUTED_VALUE"""),"칼로이스")</f>
        <v>칼로이스</v>
      </c>
      <c r="B4532" s="2" t="str">
        <f>IFERROR(__xludf.DUMMYFUNCTION("""COMPUTED_VALUE"""),"토르티야")</f>
        <v>토르티야</v>
      </c>
    </row>
    <row r="4533">
      <c r="A4533" s="2" t="str">
        <f>IFERROR(__xludf.DUMMYFUNCTION("""COMPUTED_VALUE"""),"칼로이스")</f>
        <v>칼로이스</v>
      </c>
      <c r="B4533" s="2" t="str">
        <f>IFERROR(__xludf.DUMMYFUNCTION("""COMPUTED_VALUE"""),"베이컨")</f>
        <v>베이컨</v>
      </c>
    </row>
    <row r="4534">
      <c r="A4534" s="2" t="str">
        <f>IFERROR(__xludf.DUMMYFUNCTION("""COMPUTED_VALUE"""),"칼로이스")</f>
        <v>칼로이스</v>
      </c>
      <c r="B4534" s="2" t="str">
        <f>IFERROR(__xludf.DUMMYFUNCTION("""COMPUTED_VALUE"""),"통조림 햄")</f>
        <v>통조림 햄</v>
      </c>
    </row>
    <row r="4535">
      <c r="A4535" s="2" t="str">
        <f>IFERROR(__xludf.DUMMYFUNCTION("""COMPUTED_VALUE"""),"칼로이스")</f>
        <v>칼로이스</v>
      </c>
      <c r="B4535" s="2" t="str">
        <f>IFERROR(__xludf.DUMMYFUNCTION("""COMPUTED_VALUE"""),"훈제닭가슴살")</f>
        <v>훈제닭가슴살</v>
      </c>
    </row>
    <row r="4536">
      <c r="A4536" s="2" t="str">
        <f>IFERROR(__xludf.DUMMYFUNCTION("""COMPUTED_VALUE"""),"칼로이스")</f>
        <v>칼로이스</v>
      </c>
      <c r="B4536" s="2" t="str">
        <f>IFERROR(__xludf.DUMMYFUNCTION("""COMPUTED_VALUE"""),"아보카도")</f>
        <v>아보카도</v>
      </c>
    </row>
    <row r="4537">
      <c r="A4537" s="2" t="str">
        <f>IFERROR(__xludf.DUMMYFUNCTION("""COMPUTED_VALUE"""),"칼로이스")</f>
        <v>칼로이스</v>
      </c>
      <c r="B4537" s="2" t="str">
        <f>IFERROR(__xludf.DUMMYFUNCTION("""COMPUTED_VALUE"""),"고수")</f>
        <v>고수</v>
      </c>
    </row>
    <row r="4538">
      <c r="A4538" s="2" t="str">
        <f>IFERROR(__xludf.DUMMYFUNCTION("""COMPUTED_VALUE"""),"칼로이스")</f>
        <v>칼로이스</v>
      </c>
      <c r="B4538" s="2" t="str">
        <f>IFERROR(__xludf.DUMMYFUNCTION("""COMPUTED_VALUE"""),"커민")</f>
        <v>커민</v>
      </c>
    </row>
    <row r="4539">
      <c r="A4539" s="2" t="str">
        <f>IFERROR(__xludf.DUMMYFUNCTION("""COMPUTED_VALUE"""),"칼로이스")</f>
        <v>칼로이스</v>
      </c>
      <c r="B4539" s="2" t="str">
        <f>IFERROR(__xludf.DUMMYFUNCTION("""COMPUTED_VALUE"""),"초콜릿 잼")</f>
        <v>초콜릿 잼</v>
      </c>
    </row>
    <row r="4540">
      <c r="A4540" s="2" t="str">
        <f>IFERROR(__xludf.DUMMYFUNCTION("""COMPUTED_VALUE"""),"칼로이스")</f>
        <v>칼로이스</v>
      </c>
      <c r="B4540" s="2" t="str">
        <f>IFERROR(__xludf.DUMMYFUNCTION("""COMPUTED_VALUE"""),"딸기잼")</f>
        <v>딸기잼</v>
      </c>
    </row>
    <row r="4541">
      <c r="A4541" s="2" t="str">
        <f>IFERROR(__xludf.DUMMYFUNCTION("""COMPUTED_VALUE"""),"칼로이스")</f>
        <v>칼로이스</v>
      </c>
      <c r="B4541" s="2" t="str">
        <f>IFERROR(__xludf.DUMMYFUNCTION("""COMPUTED_VALUE"""),"땅콩버터")</f>
        <v>땅콩버터</v>
      </c>
    </row>
    <row r="4542">
      <c r="A4542" s="2" t="str">
        <f>IFERROR(__xludf.DUMMYFUNCTION("""COMPUTED_VALUE"""),"칼로이스")</f>
        <v>칼로이스</v>
      </c>
      <c r="B4542" s="2" t="str">
        <f>IFERROR(__xludf.DUMMYFUNCTION("""COMPUTED_VALUE"""),"카옌페퍼")</f>
        <v>카옌페퍼</v>
      </c>
    </row>
    <row r="4543">
      <c r="A4543" s="2" t="str">
        <f>IFERROR(__xludf.DUMMYFUNCTION("""COMPUTED_VALUE"""),"칼로이스")</f>
        <v>칼로이스</v>
      </c>
      <c r="B4543" s="2" t="str">
        <f>IFERROR(__xludf.DUMMYFUNCTION("""COMPUTED_VALUE"""),"치포틀레 핫소스")</f>
        <v>치포틀레 핫소스</v>
      </c>
    </row>
    <row r="4544">
      <c r="A4544" s="2" t="str">
        <f>IFERROR(__xludf.DUMMYFUNCTION("""COMPUTED_VALUE"""),"칼로이스")</f>
        <v>칼로이스</v>
      </c>
      <c r="B4544" s="2" t="str">
        <f>IFERROR(__xludf.DUMMYFUNCTION("""COMPUTED_VALUE"""),"모차렐라 치즈")</f>
        <v>모차렐라 치즈</v>
      </c>
    </row>
    <row r="4545">
      <c r="A4545" s="2" t="str">
        <f>IFERROR(__xludf.DUMMYFUNCTION("""COMPUTED_VALUE"""),"칼로이스")</f>
        <v>칼로이스</v>
      </c>
      <c r="B4545" s="2" t="str">
        <f>IFERROR(__xludf.DUMMYFUNCTION("""COMPUTED_VALUE"""),"콜라")</f>
        <v>콜라</v>
      </c>
    </row>
    <row r="4546">
      <c r="A4546" s="2" t="str">
        <f>IFERROR(__xludf.DUMMYFUNCTION("""COMPUTED_VALUE"""),"칼로이스")</f>
        <v>칼로이스</v>
      </c>
      <c r="B4546" s="2" t="str">
        <f>IFERROR(__xludf.DUMMYFUNCTION("""COMPUTED_VALUE"""),"양파")</f>
        <v>양파</v>
      </c>
    </row>
    <row r="4547">
      <c r="A4547" s="2" t="str">
        <f>IFERROR(__xludf.DUMMYFUNCTION("""COMPUTED_VALUE"""),"칼로이스")</f>
        <v>칼로이스</v>
      </c>
      <c r="B4547" s="2" t="str">
        <f>IFERROR(__xludf.DUMMYFUNCTION("""COMPUTED_VALUE"""),"마요네즈")</f>
        <v>마요네즈</v>
      </c>
    </row>
    <row r="4548">
      <c r="A4548" s="2" t="str">
        <f>IFERROR(__xludf.DUMMYFUNCTION("""COMPUTED_VALUE"""),"칼로이스")</f>
        <v>칼로이스</v>
      </c>
      <c r="B4548" s="2" t="str">
        <f>IFERROR(__xludf.DUMMYFUNCTION("""COMPUTED_VALUE"""),"소금")</f>
        <v>소금</v>
      </c>
    </row>
    <row r="4549">
      <c r="A4549" s="2" t="str">
        <f>IFERROR(__xludf.DUMMYFUNCTION("""COMPUTED_VALUE"""),"칼로이스")</f>
        <v>칼로이스</v>
      </c>
      <c r="B4549" s="2" t="str">
        <f>IFERROR(__xludf.DUMMYFUNCTION("""COMPUTED_VALUE"""),"후추")</f>
        <v>후추</v>
      </c>
    </row>
    <row r="4550">
      <c r="A4550" s="2" t="str">
        <f>IFERROR(__xludf.DUMMYFUNCTION("""COMPUTED_VALUE"""),"중복냉면")</f>
        <v>중복냉면</v>
      </c>
      <c r="B4550" s="2" t="str">
        <f>IFERROR(__xludf.DUMMYFUNCTION("""COMPUTED_VALUE"""),"쯔유")</f>
        <v>쯔유</v>
      </c>
    </row>
    <row r="4551">
      <c r="A4551" s="2" t="str">
        <f>IFERROR(__xludf.DUMMYFUNCTION("""COMPUTED_VALUE"""),"중복냉면")</f>
        <v>중복냉면</v>
      </c>
      <c r="B4551" s="2" t="str">
        <f>IFERROR(__xludf.DUMMYFUNCTION("""COMPUTED_VALUE"""),"땅콩버터")</f>
        <v>땅콩버터</v>
      </c>
    </row>
    <row r="4552">
      <c r="A4552" s="2" t="str">
        <f>IFERROR(__xludf.DUMMYFUNCTION("""COMPUTED_VALUE"""),"중복냉면")</f>
        <v>중복냉면</v>
      </c>
      <c r="B4552" s="2" t="str">
        <f>IFERROR(__xludf.DUMMYFUNCTION("""COMPUTED_VALUE"""),"배")</f>
        <v>배</v>
      </c>
    </row>
    <row r="4553">
      <c r="A4553" s="2" t="str">
        <f>IFERROR(__xludf.DUMMYFUNCTION("""COMPUTED_VALUE"""),"중복냉면")</f>
        <v>중복냉면</v>
      </c>
      <c r="B4553" s="2" t="str">
        <f>IFERROR(__xludf.DUMMYFUNCTION("""COMPUTED_VALUE"""),"로메인상추")</f>
        <v>로메인상추</v>
      </c>
    </row>
    <row r="4554">
      <c r="A4554" s="2" t="str">
        <f>IFERROR(__xludf.DUMMYFUNCTION("""COMPUTED_VALUE"""),"중복냉면")</f>
        <v>중복냉면</v>
      </c>
      <c r="B4554" s="2" t="str">
        <f>IFERROR(__xludf.DUMMYFUNCTION("""COMPUTED_VALUE"""),"훈제닭가슴살")</f>
        <v>훈제닭가슴살</v>
      </c>
    </row>
    <row r="4555">
      <c r="A4555" s="2" t="str">
        <f>IFERROR(__xludf.DUMMYFUNCTION("""COMPUTED_VALUE"""),"중복냉면")</f>
        <v>중복냉면</v>
      </c>
      <c r="B4555" s="2" t="str">
        <f>IFERROR(__xludf.DUMMYFUNCTION("""COMPUTED_VALUE"""),"레몬")</f>
        <v>레몬</v>
      </c>
    </row>
    <row r="4556">
      <c r="A4556" s="2" t="str">
        <f>IFERROR(__xludf.DUMMYFUNCTION("""COMPUTED_VALUE"""),"중복냉면")</f>
        <v>중복냉면</v>
      </c>
      <c r="B4556" s="2" t="str">
        <f>IFERROR(__xludf.DUMMYFUNCTION("""COMPUTED_VALUE"""),"당근")</f>
        <v>당근</v>
      </c>
    </row>
    <row r="4557">
      <c r="A4557" s="2" t="str">
        <f>IFERROR(__xludf.DUMMYFUNCTION("""COMPUTED_VALUE"""),"중복냉면")</f>
        <v>중복냉면</v>
      </c>
      <c r="B4557" s="2" t="str">
        <f>IFERROR(__xludf.DUMMYFUNCTION("""COMPUTED_VALUE"""),"양파")</f>
        <v>양파</v>
      </c>
    </row>
    <row r="4558">
      <c r="A4558" s="2" t="str">
        <f>IFERROR(__xludf.DUMMYFUNCTION("""COMPUTED_VALUE"""),"중복냉면")</f>
        <v>중복냉면</v>
      </c>
      <c r="B4558" s="2" t="str">
        <f>IFERROR(__xludf.DUMMYFUNCTION("""COMPUTED_VALUE"""),"달걀")</f>
        <v>달걀</v>
      </c>
    </row>
    <row r="4559">
      <c r="A4559" s="2" t="str">
        <f>IFERROR(__xludf.DUMMYFUNCTION("""COMPUTED_VALUE"""),"중복냉면")</f>
        <v>중복냉면</v>
      </c>
      <c r="B4559" s="2" t="str">
        <f>IFERROR(__xludf.DUMMYFUNCTION("""COMPUTED_VALUE"""),"레몬")</f>
        <v>레몬</v>
      </c>
    </row>
    <row r="4560">
      <c r="A4560" s="2" t="str">
        <f>IFERROR(__xludf.DUMMYFUNCTION("""COMPUTED_VALUE"""),"중복냉면")</f>
        <v>중복냉면</v>
      </c>
      <c r="B4560" s="2" t="str">
        <f>IFERROR(__xludf.DUMMYFUNCTION("""COMPUTED_VALUE"""),"밀가루")</f>
        <v>밀가루</v>
      </c>
    </row>
    <row r="4561">
      <c r="A4561" s="2" t="str">
        <f>IFERROR(__xludf.DUMMYFUNCTION("""COMPUTED_VALUE"""),"중복냉면")</f>
        <v>중복냉면</v>
      </c>
      <c r="B4561" s="2" t="str">
        <f>IFERROR(__xludf.DUMMYFUNCTION("""COMPUTED_VALUE"""),"소금")</f>
        <v>소금</v>
      </c>
    </row>
    <row r="4562">
      <c r="A4562" s="2" t="str">
        <f>IFERROR(__xludf.DUMMYFUNCTION("""COMPUTED_VALUE"""),"중복냉면")</f>
        <v>중복냉면</v>
      </c>
      <c r="B4562" s="2" t="str">
        <f>IFERROR(__xludf.DUMMYFUNCTION("""COMPUTED_VALUE"""),"설탕")</f>
        <v>설탕</v>
      </c>
    </row>
    <row r="4563">
      <c r="A4563" s="2" t="str">
        <f>IFERROR(__xludf.DUMMYFUNCTION("""COMPUTED_VALUE"""),"중복냉면")</f>
        <v>중복냉면</v>
      </c>
      <c r="B4563" s="2" t="str">
        <f>IFERROR(__xludf.DUMMYFUNCTION("""COMPUTED_VALUE"""),"연겨자")</f>
        <v>연겨자</v>
      </c>
    </row>
    <row r="4564">
      <c r="A4564" s="2" t="str">
        <f>IFERROR(__xludf.DUMMYFUNCTION("""COMPUTED_VALUE"""),"풍양냉면")</f>
        <v>풍양냉면</v>
      </c>
      <c r="B4564" s="2" t="str">
        <f>IFERROR(__xludf.DUMMYFUNCTION("""COMPUTED_VALUE"""),"메밀면")</f>
        <v>메밀면</v>
      </c>
    </row>
    <row r="4565">
      <c r="A4565" s="2" t="str">
        <f>IFERROR(__xludf.DUMMYFUNCTION("""COMPUTED_VALUE"""),"풍양냉면")</f>
        <v>풍양냉면</v>
      </c>
      <c r="B4565" s="2" t="str">
        <f>IFERROR(__xludf.DUMMYFUNCTION("""COMPUTED_VALUE"""),"인스턴트 곰탕")</f>
        <v>인스턴트 곰탕</v>
      </c>
    </row>
    <row r="4566">
      <c r="A4566" s="2" t="str">
        <f>IFERROR(__xludf.DUMMYFUNCTION("""COMPUTED_VALUE"""),"풍양냉면")</f>
        <v>풍양냉면</v>
      </c>
      <c r="B4566" s="2" t="str">
        <f>IFERROR(__xludf.DUMMYFUNCTION("""COMPUTED_VALUE"""),"배")</f>
        <v>배</v>
      </c>
    </row>
    <row r="4567">
      <c r="A4567" s="2" t="str">
        <f>IFERROR(__xludf.DUMMYFUNCTION("""COMPUTED_VALUE"""),"풍양냉면")</f>
        <v>풍양냉면</v>
      </c>
      <c r="B4567" s="2" t="str">
        <f>IFERROR(__xludf.DUMMYFUNCTION("""COMPUTED_VALUE"""),"살치살")</f>
        <v>살치살</v>
      </c>
    </row>
    <row r="4568">
      <c r="A4568" s="2" t="str">
        <f>IFERROR(__xludf.DUMMYFUNCTION("""COMPUTED_VALUE"""),"풍양냉면")</f>
        <v>풍양냉면</v>
      </c>
      <c r="B4568" s="2" t="str">
        <f>IFERROR(__xludf.DUMMYFUNCTION("""COMPUTED_VALUE"""),"달걀")</f>
        <v>달걀</v>
      </c>
    </row>
    <row r="4569">
      <c r="A4569" s="2" t="str">
        <f>IFERROR(__xludf.DUMMYFUNCTION("""COMPUTED_VALUE"""),"풍양냉면")</f>
        <v>풍양냉면</v>
      </c>
      <c r="B4569" s="2" t="str">
        <f>IFERROR(__xludf.DUMMYFUNCTION("""COMPUTED_VALUE"""),"양파")</f>
        <v>양파</v>
      </c>
    </row>
    <row r="4570">
      <c r="A4570" s="2" t="str">
        <f>IFERROR(__xludf.DUMMYFUNCTION("""COMPUTED_VALUE"""),"풍양냉면")</f>
        <v>풍양냉면</v>
      </c>
      <c r="B4570" s="2" t="str">
        <f>IFERROR(__xludf.DUMMYFUNCTION("""COMPUTED_VALUE"""),"식초")</f>
        <v>식초</v>
      </c>
    </row>
    <row r="4571">
      <c r="A4571" s="2" t="str">
        <f>IFERROR(__xludf.DUMMYFUNCTION("""COMPUTED_VALUE"""),"풍양냉면")</f>
        <v>풍양냉면</v>
      </c>
      <c r="B4571" s="2" t="str">
        <f>IFERROR(__xludf.DUMMYFUNCTION("""COMPUTED_VALUE"""),"소금")</f>
        <v>소금</v>
      </c>
    </row>
    <row r="4572">
      <c r="A4572" s="2" t="str">
        <f>IFERROR(__xludf.DUMMYFUNCTION("""COMPUTED_VALUE"""),"풍양냉면")</f>
        <v>풍양냉면</v>
      </c>
      <c r="B4572" s="2" t="str">
        <f>IFERROR(__xludf.DUMMYFUNCTION("""COMPUTED_VALUE"""),"설탕")</f>
        <v>설탕</v>
      </c>
    </row>
    <row r="4573">
      <c r="A4573" s="2" t="str">
        <f>IFERROR(__xludf.DUMMYFUNCTION("""COMPUTED_VALUE"""),"풍양냉면")</f>
        <v>풍양냉면</v>
      </c>
      <c r="B4573" s="2" t="str">
        <f>IFERROR(__xludf.DUMMYFUNCTION("""COMPUTED_VALUE"""),"조미료")</f>
        <v>조미료</v>
      </c>
    </row>
    <row r="4574">
      <c r="A4574" s="2" t="str">
        <f>IFERROR(__xludf.DUMMYFUNCTION("""COMPUTED_VALUE"""),"고기밀라노~")</f>
        <v>고기밀라노~</v>
      </c>
      <c r="B4574" s="2" t="str">
        <f>IFERROR(__xludf.DUMMYFUNCTION("""COMPUTED_VALUE"""),"소고기 등심")</f>
        <v>소고기 등심</v>
      </c>
    </row>
    <row r="4575">
      <c r="A4575" s="2" t="str">
        <f>IFERROR(__xludf.DUMMYFUNCTION("""COMPUTED_VALUE"""),"고기밀라노~")</f>
        <v>고기밀라노~</v>
      </c>
      <c r="B4575" s="2" t="str">
        <f>IFERROR(__xludf.DUMMYFUNCTION("""COMPUTED_VALUE"""),"비엔나소시지")</f>
        <v>비엔나소시지</v>
      </c>
    </row>
    <row r="4576">
      <c r="A4576" s="2" t="str">
        <f>IFERROR(__xludf.DUMMYFUNCTION("""COMPUTED_VALUE"""),"고기밀라노~")</f>
        <v>고기밀라노~</v>
      </c>
      <c r="B4576" s="2" t="str">
        <f>IFERROR(__xludf.DUMMYFUNCTION("""COMPUTED_VALUE"""),"베이컨용 삼겹살")</f>
        <v>베이컨용 삼겹살</v>
      </c>
    </row>
    <row r="4577">
      <c r="A4577" s="2" t="str">
        <f>IFERROR(__xludf.DUMMYFUNCTION("""COMPUTED_VALUE"""),"고기밀라노~")</f>
        <v>고기밀라노~</v>
      </c>
      <c r="B4577" s="2" t="str">
        <f>IFERROR(__xludf.DUMMYFUNCTION("""COMPUTED_VALUE"""),"천도복숭아")</f>
        <v>천도복숭아</v>
      </c>
    </row>
    <row r="4578">
      <c r="A4578" s="2" t="str">
        <f>IFERROR(__xludf.DUMMYFUNCTION("""COMPUTED_VALUE"""),"고기밀라노~")</f>
        <v>고기밀라노~</v>
      </c>
      <c r="B4578" s="2" t="str">
        <f>IFERROR(__xludf.DUMMYFUNCTION("""COMPUTED_VALUE"""),"흑토마토")</f>
        <v>흑토마토</v>
      </c>
    </row>
    <row r="4579">
      <c r="A4579" s="2" t="str">
        <f>IFERROR(__xludf.DUMMYFUNCTION("""COMPUTED_VALUE"""),"고기밀라노~")</f>
        <v>고기밀라노~</v>
      </c>
      <c r="B4579" s="2" t="str">
        <f>IFERROR(__xludf.DUMMYFUNCTION("""COMPUTED_VALUE"""),"양상추")</f>
        <v>양상추</v>
      </c>
    </row>
    <row r="4580">
      <c r="A4580" s="2" t="str">
        <f>IFERROR(__xludf.DUMMYFUNCTION("""COMPUTED_VALUE"""),"고기밀라노~")</f>
        <v>고기밀라노~</v>
      </c>
      <c r="B4580" s="2" t="str">
        <f>IFERROR(__xludf.DUMMYFUNCTION("""COMPUTED_VALUE"""),"발사믹글레이즈")</f>
        <v>발사믹글레이즈</v>
      </c>
    </row>
    <row r="4581">
      <c r="A4581" s="2" t="str">
        <f>IFERROR(__xludf.DUMMYFUNCTION("""COMPUTED_VALUE"""),"고기밀라노~")</f>
        <v>고기밀라노~</v>
      </c>
      <c r="B4581" s="2" t="str">
        <f>IFERROR(__xludf.DUMMYFUNCTION("""COMPUTED_VALUE"""),"파슬리가루")</f>
        <v>파슬리가루</v>
      </c>
    </row>
    <row r="4582">
      <c r="A4582" s="2" t="str">
        <f>IFERROR(__xludf.DUMMYFUNCTION("""COMPUTED_VALUE"""),"고기밀라노~")</f>
        <v>고기밀라노~</v>
      </c>
      <c r="B4582" s="2" t="str">
        <f>IFERROR(__xludf.DUMMYFUNCTION("""COMPUTED_VALUE"""),"레몬")</f>
        <v>레몬</v>
      </c>
    </row>
    <row r="4583">
      <c r="A4583" s="2" t="str">
        <f>IFERROR(__xludf.DUMMYFUNCTION("""COMPUTED_VALUE"""),"고기밀라노~")</f>
        <v>고기밀라노~</v>
      </c>
      <c r="B4583" s="2" t="str">
        <f>IFERROR(__xludf.DUMMYFUNCTION("""COMPUTED_VALUE"""),"양파")</f>
        <v>양파</v>
      </c>
    </row>
    <row r="4584">
      <c r="A4584" s="2" t="str">
        <f>IFERROR(__xludf.DUMMYFUNCTION("""COMPUTED_VALUE"""),"고기밀라노~")</f>
        <v>고기밀라노~</v>
      </c>
      <c r="B4584" s="2" t="str">
        <f>IFERROR(__xludf.DUMMYFUNCTION("""COMPUTED_VALUE"""),"화이트와인")</f>
        <v>화이트와인</v>
      </c>
    </row>
    <row r="4585">
      <c r="A4585" s="2" t="str">
        <f>IFERROR(__xludf.DUMMYFUNCTION("""COMPUTED_VALUE"""),"고기밀라노~")</f>
        <v>고기밀라노~</v>
      </c>
      <c r="B4585" s="2" t="str">
        <f>IFERROR(__xludf.DUMMYFUNCTION("""COMPUTED_VALUE"""),"소금")</f>
        <v>소금</v>
      </c>
    </row>
    <row r="4586">
      <c r="A4586" s="2" t="str">
        <f>IFERROR(__xludf.DUMMYFUNCTION("""COMPUTED_VALUE"""),"고기밀라노~")</f>
        <v>고기밀라노~</v>
      </c>
      <c r="B4586" s="2" t="str">
        <f>IFERROR(__xludf.DUMMYFUNCTION("""COMPUTED_VALUE"""),"후추")</f>
        <v>후추</v>
      </c>
    </row>
    <row r="4587">
      <c r="A4587" s="2" t="str">
        <f>IFERROR(__xludf.DUMMYFUNCTION("""COMPUTED_VALUE"""),"고기밀라노~")</f>
        <v>고기밀라노~</v>
      </c>
      <c r="B4587" s="2" t="str">
        <f>IFERROR(__xludf.DUMMYFUNCTION("""COMPUTED_VALUE"""),"밀가루")</f>
        <v>밀가루</v>
      </c>
    </row>
    <row r="4588">
      <c r="A4588" s="2" t="str">
        <f>IFERROR(__xludf.DUMMYFUNCTION("""COMPUTED_VALUE"""),"고기밀라노~")</f>
        <v>고기밀라노~</v>
      </c>
      <c r="B4588" s="2" t="str">
        <f>IFERROR(__xludf.DUMMYFUNCTION("""COMPUTED_VALUE"""),"올리브오일")</f>
        <v>올리브오일</v>
      </c>
    </row>
    <row r="4589">
      <c r="A4589" s="2" t="str">
        <f>IFERROR(__xludf.DUMMYFUNCTION("""COMPUTED_VALUE"""),"고기밀라노~")</f>
        <v>고기밀라노~</v>
      </c>
      <c r="B4589" s="2" t="str">
        <f>IFERROR(__xludf.DUMMYFUNCTION("""COMPUTED_VALUE"""),"설탕")</f>
        <v>설탕</v>
      </c>
    </row>
    <row r="4590">
      <c r="A4590" s="2" t="str">
        <f>IFERROR(__xludf.DUMMYFUNCTION("""COMPUTED_VALUE"""),"고기밀라노~")</f>
        <v>고기밀라노~</v>
      </c>
      <c r="B4590" s="2" t="str">
        <f>IFERROR(__xludf.DUMMYFUNCTION("""COMPUTED_VALUE"""),"버터")</f>
        <v>버터</v>
      </c>
    </row>
    <row r="4591">
      <c r="A4591" s="2" t="str">
        <f>IFERROR(__xludf.DUMMYFUNCTION("""COMPUTED_VALUE"""),"볼로네제는 처음이제?")</f>
        <v>볼로네제는 처음이제?</v>
      </c>
      <c r="B4591" s="2" t="str">
        <f>IFERROR(__xludf.DUMMYFUNCTION("""COMPUTED_VALUE"""),"파스타면")</f>
        <v>파스타면</v>
      </c>
    </row>
    <row r="4592">
      <c r="A4592" s="2" t="str">
        <f>IFERROR(__xludf.DUMMYFUNCTION("""COMPUTED_VALUE"""),"볼로네제는 처음이제?")</f>
        <v>볼로네제는 처음이제?</v>
      </c>
      <c r="B4592" s="2" t="str">
        <f>IFERROR(__xludf.DUMMYFUNCTION("""COMPUTED_VALUE"""),"국거리용 소고기")</f>
        <v>국거리용 소고기</v>
      </c>
    </row>
    <row r="4593">
      <c r="A4593" s="2" t="str">
        <f>IFERROR(__xludf.DUMMYFUNCTION("""COMPUTED_VALUE"""),"볼로네제는 처음이제?")</f>
        <v>볼로네제는 처음이제?</v>
      </c>
      <c r="B4593" s="2" t="str">
        <f>IFERROR(__xludf.DUMMYFUNCTION("""COMPUTED_VALUE"""),"소고기 등심")</f>
        <v>소고기 등심</v>
      </c>
    </row>
    <row r="4594">
      <c r="A4594" s="2" t="str">
        <f>IFERROR(__xludf.DUMMYFUNCTION("""COMPUTED_VALUE"""),"볼로네제는 처음이제?")</f>
        <v>볼로네제는 처음이제?</v>
      </c>
      <c r="B4594" s="2" t="str">
        <f>IFERROR(__xludf.DUMMYFUNCTION("""COMPUTED_VALUE"""),"베이컨용 삼겹살")</f>
        <v>베이컨용 삼겹살</v>
      </c>
    </row>
    <row r="4595">
      <c r="A4595" s="2" t="str">
        <f>IFERROR(__xludf.DUMMYFUNCTION("""COMPUTED_VALUE"""),"볼로네제는 처음이제?")</f>
        <v>볼로네제는 처음이제?</v>
      </c>
      <c r="B4595" s="2" t="str">
        <f>IFERROR(__xludf.DUMMYFUNCTION("""COMPUTED_VALUE"""),"애호박")</f>
        <v>애호박</v>
      </c>
    </row>
    <row r="4596">
      <c r="A4596" s="2" t="str">
        <f>IFERROR(__xludf.DUMMYFUNCTION("""COMPUTED_VALUE"""),"볼로네제는 처음이제?")</f>
        <v>볼로네제는 처음이제?</v>
      </c>
      <c r="B4596" s="2" t="str">
        <f>IFERROR(__xludf.DUMMYFUNCTION("""COMPUTED_VALUE"""),"흑토마토")</f>
        <v>흑토마토</v>
      </c>
    </row>
    <row r="4597">
      <c r="A4597" s="2" t="str">
        <f>IFERROR(__xludf.DUMMYFUNCTION("""COMPUTED_VALUE"""),"볼로네제는 처음이제?")</f>
        <v>볼로네제는 처음이제?</v>
      </c>
      <c r="B4597" s="2" t="str">
        <f>IFERROR(__xludf.DUMMYFUNCTION("""COMPUTED_VALUE"""),"양상추")</f>
        <v>양상추</v>
      </c>
    </row>
    <row r="4598">
      <c r="A4598" s="2" t="str">
        <f>IFERROR(__xludf.DUMMYFUNCTION("""COMPUTED_VALUE"""),"볼로네제는 처음이제?")</f>
        <v>볼로네제는 처음이제?</v>
      </c>
      <c r="B4598" s="2" t="str">
        <f>IFERROR(__xludf.DUMMYFUNCTION("""COMPUTED_VALUE"""),"당귀")</f>
        <v>당귀</v>
      </c>
    </row>
    <row r="4599">
      <c r="A4599" s="2" t="str">
        <f>IFERROR(__xludf.DUMMYFUNCTION("""COMPUTED_VALUE"""),"볼로네제는 처음이제?")</f>
        <v>볼로네제는 처음이제?</v>
      </c>
      <c r="B4599" s="2" t="str">
        <f>IFERROR(__xludf.DUMMYFUNCTION("""COMPUTED_VALUE"""),"토마토소스")</f>
        <v>토마토소스</v>
      </c>
    </row>
    <row r="4600">
      <c r="A4600" s="2" t="str">
        <f>IFERROR(__xludf.DUMMYFUNCTION("""COMPUTED_VALUE"""),"볼로네제는 처음이제?")</f>
        <v>볼로네제는 처음이제?</v>
      </c>
      <c r="B4600" s="2" t="str">
        <f>IFERROR(__xludf.DUMMYFUNCTION("""COMPUTED_VALUE"""),"파슬리가루")</f>
        <v>파슬리가루</v>
      </c>
    </row>
    <row r="4601">
      <c r="A4601" s="2" t="str">
        <f>IFERROR(__xludf.DUMMYFUNCTION("""COMPUTED_VALUE"""),"볼로네제는 처음이제?")</f>
        <v>볼로네제는 처음이제?</v>
      </c>
      <c r="B4601" s="2" t="str">
        <f>IFERROR(__xludf.DUMMYFUNCTION("""COMPUTED_VALUE"""),"굴소스")</f>
        <v>굴소스</v>
      </c>
    </row>
    <row r="4602">
      <c r="A4602" s="2" t="str">
        <f>IFERROR(__xludf.DUMMYFUNCTION("""COMPUTED_VALUE"""),"볼로네제는 처음이제?")</f>
        <v>볼로네제는 처음이제?</v>
      </c>
      <c r="B4602" s="2" t="str">
        <f>IFERROR(__xludf.DUMMYFUNCTION("""COMPUTED_VALUE"""),"마늘")</f>
        <v>마늘</v>
      </c>
    </row>
    <row r="4603">
      <c r="A4603" s="2" t="str">
        <f>IFERROR(__xludf.DUMMYFUNCTION("""COMPUTED_VALUE"""),"볼로네제는 처음이제?")</f>
        <v>볼로네제는 처음이제?</v>
      </c>
      <c r="B4603" s="2" t="str">
        <f>IFERROR(__xludf.DUMMYFUNCTION("""COMPUTED_VALUE"""),"양파")</f>
        <v>양파</v>
      </c>
    </row>
    <row r="4604">
      <c r="A4604" s="2" t="str">
        <f>IFERROR(__xludf.DUMMYFUNCTION("""COMPUTED_VALUE"""),"볼로네제는 처음이제?")</f>
        <v>볼로네제는 처음이제?</v>
      </c>
      <c r="B4604" s="2" t="str">
        <f>IFERROR(__xludf.DUMMYFUNCTION("""COMPUTED_VALUE"""),"대파")</f>
        <v>대파</v>
      </c>
    </row>
    <row r="4605">
      <c r="A4605" s="2" t="str">
        <f>IFERROR(__xludf.DUMMYFUNCTION("""COMPUTED_VALUE"""),"볼로네제는 처음이제?")</f>
        <v>볼로네제는 처음이제?</v>
      </c>
      <c r="B4605" s="2" t="str">
        <f>IFERROR(__xludf.DUMMYFUNCTION("""COMPUTED_VALUE"""),"고추")</f>
        <v>고추</v>
      </c>
    </row>
    <row r="4606">
      <c r="A4606" s="2" t="str">
        <f>IFERROR(__xludf.DUMMYFUNCTION("""COMPUTED_VALUE"""),"볼로네제는 처음이제?")</f>
        <v>볼로네제는 처음이제?</v>
      </c>
      <c r="B4606" s="2" t="str">
        <f>IFERROR(__xludf.DUMMYFUNCTION("""COMPUTED_VALUE"""),"레몬")</f>
        <v>레몬</v>
      </c>
    </row>
    <row r="4607">
      <c r="A4607" s="2" t="str">
        <f>IFERROR(__xludf.DUMMYFUNCTION("""COMPUTED_VALUE"""),"볼로네제는 처음이제?")</f>
        <v>볼로네제는 처음이제?</v>
      </c>
      <c r="B4607" s="2" t="str">
        <f>IFERROR(__xludf.DUMMYFUNCTION("""COMPUTED_VALUE"""),"화이트와인")</f>
        <v>화이트와인</v>
      </c>
    </row>
    <row r="4608">
      <c r="A4608" s="2" t="str">
        <f>IFERROR(__xludf.DUMMYFUNCTION("""COMPUTED_VALUE"""),"볼로네제는 처음이제?")</f>
        <v>볼로네제는 처음이제?</v>
      </c>
      <c r="B4608" s="2" t="str">
        <f>IFERROR(__xludf.DUMMYFUNCTION("""COMPUTED_VALUE"""),"소금")</f>
        <v>소금</v>
      </c>
    </row>
    <row r="4609">
      <c r="A4609" s="2" t="str">
        <f>IFERROR(__xludf.DUMMYFUNCTION("""COMPUTED_VALUE"""),"볼로네제는 처음이제?")</f>
        <v>볼로네제는 처음이제?</v>
      </c>
      <c r="B4609" s="2" t="str">
        <f>IFERROR(__xludf.DUMMYFUNCTION("""COMPUTED_VALUE"""),"후추")</f>
        <v>후추</v>
      </c>
    </row>
    <row r="4610">
      <c r="A4610" s="2" t="str">
        <f>IFERROR(__xludf.DUMMYFUNCTION("""COMPUTED_VALUE"""),"볼로네제는 처음이제?")</f>
        <v>볼로네제는 처음이제?</v>
      </c>
      <c r="B4610" s="2" t="str">
        <f>IFERROR(__xludf.DUMMYFUNCTION("""COMPUTED_VALUE"""),"올리브오일")</f>
        <v>올리브오일</v>
      </c>
    </row>
    <row r="4611">
      <c r="A4611" s="2" t="str">
        <f>IFERROR(__xludf.DUMMYFUNCTION("""COMPUTED_VALUE"""),"웃음꼬치 피었습니다")</f>
        <v>웃음꼬치 피었습니다</v>
      </c>
      <c r="B4611" s="2" t="str">
        <f>IFERROR(__xludf.DUMMYFUNCTION("""COMPUTED_VALUE"""),"훈제오리")</f>
        <v>훈제오리</v>
      </c>
    </row>
    <row r="4612">
      <c r="A4612" s="2" t="str">
        <f>IFERROR(__xludf.DUMMYFUNCTION("""COMPUTED_VALUE"""),"웃음꼬치 피었습니다")</f>
        <v>웃음꼬치 피었습니다</v>
      </c>
      <c r="B4612" s="2" t="str">
        <f>IFERROR(__xludf.DUMMYFUNCTION("""COMPUTED_VALUE"""),"베이컨용 삼겹살")</f>
        <v>베이컨용 삼겹살</v>
      </c>
    </row>
    <row r="4613">
      <c r="A4613" s="2" t="str">
        <f>IFERROR(__xludf.DUMMYFUNCTION("""COMPUTED_VALUE"""),"웃음꼬치 피었습니다")</f>
        <v>웃음꼬치 피었습니다</v>
      </c>
      <c r="B4613" s="2" t="str">
        <f>IFERROR(__xludf.DUMMYFUNCTION("""COMPUTED_VALUE"""),"소고기 등심")</f>
        <v>소고기 등심</v>
      </c>
    </row>
    <row r="4614">
      <c r="A4614" s="2" t="str">
        <f>IFERROR(__xludf.DUMMYFUNCTION("""COMPUTED_VALUE"""),"웃음꼬치 피었습니다")</f>
        <v>웃음꼬치 피었습니다</v>
      </c>
      <c r="B4614" s="2" t="str">
        <f>IFERROR(__xludf.DUMMYFUNCTION("""COMPUTED_VALUE"""),"비엔나소시지")</f>
        <v>비엔나소시지</v>
      </c>
    </row>
    <row r="4615">
      <c r="A4615" s="2" t="str">
        <f>IFERROR(__xludf.DUMMYFUNCTION("""COMPUTED_VALUE"""),"웃음꼬치 피었습니다")</f>
        <v>웃음꼬치 피었습니다</v>
      </c>
      <c r="B4615" s="2" t="str">
        <f>IFERROR(__xludf.DUMMYFUNCTION("""COMPUTED_VALUE"""),"진미채 무침")</f>
        <v>진미채 무침</v>
      </c>
    </row>
    <row r="4616">
      <c r="A4616" s="2" t="str">
        <f>IFERROR(__xludf.DUMMYFUNCTION("""COMPUTED_VALUE"""),"웃음꼬치 피었습니다")</f>
        <v>웃음꼬치 피었습니다</v>
      </c>
      <c r="B4616" s="2" t="str">
        <f>IFERROR(__xludf.DUMMYFUNCTION("""COMPUTED_VALUE"""),"홀스래디시 소스")</f>
        <v>홀스래디시 소스</v>
      </c>
    </row>
    <row r="4617">
      <c r="A4617" s="2" t="str">
        <f>IFERROR(__xludf.DUMMYFUNCTION("""COMPUTED_VALUE"""),"웃음꼬치 피었습니다")</f>
        <v>웃음꼬치 피었습니다</v>
      </c>
      <c r="B4617" s="2" t="str">
        <f>IFERROR(__xludf.DUMMYFUNCTION("""COMPUTED_VALUE"""),"모과청")</f>
        <v>모과청</v>
      </c>
    </row>
    <row r="4618">
      <c r="A4618" s="2" t="str">
        <f>IFERROR(__xludf.DUMMYFUNCTION("""COMPUTED_VALUE"""),"웃음꼬치 피었습니다")</f>
        <v>웃음꼬치 피었습니다</v>
      </c>
      <c r="B4618" s="2" t="str">
        <f>IFERROR(__xludf.DUMMYFUNCTION("""COMPUTED_VALUE"""),"흑토마토")</f>
        <v>흑토마토</v>
      </c>
    </row>
    <row r="4619">
      <c r="A4619" s="2" t="str">
        <f>IFERROR(__xludf.DUMMYFUNCTION("""COMPUTED_VALUE"""),"웃음꼬치 피었습니다")</f>
        <v>웃음꼬치 피었습니다</v>
      </c>
      <c r="B4619" s="2" t="str">
        <f>IFERROR(__xludf.DUMMYFUNCTION("""COMPUTED_VALUE"""),"크림치즈")</f>
        <v>크림치즈</v>
      </c>
    </row>
    <row r="4620">
      <c r="A4620" s="2" t="str">
        <f>IFERROR(__xludf.DUMMYFUNCTION("""COMPUTED_VALUE"""),"웃음꼬치 피었습니다")</f>
        <v>웃음꼬치 피었습니다</v>
      </c>
      <c r="B4620" s="2" t="str">
        <f>IFERROR(__xludf.DUMMYFUNCTION("""COMPUTED_VALUE"""),"파슬리가루")</f>
        <v>파슬리가루</v>
      </c>
    </row>
    <row r="4621">
      <c r="A4621" s="2" t="str">
        <f>IFERROR(__xludf.DUMMYFUNCTION("""COMPUTED_VALUE"""),"웃음꼬치 피었습니다")</f>
        <v>웃음꼬치 피었습니다</v>
      </c>
      <c r="B4621" s="2" t="str">
        <f>IFERROR(__xludf.DUMMYFUNCTION("""COMPUTED_VALUE"""),"상추")</f>
        <v>상추</v>
      </c>
    </row>
    <row r="4622">
      <c r="A4622" s="2" t="str">
        <f>IFERROR(__xludf.DUMMYFUNCTION("""COMPUTED_VALUE"""),"웃음꼬치 피었습니다")</f>
        <v>웃음꼬치 피었습니다</v>
      </c>
      <c r="B4622" s="2" t="str">
        <f>IFERROR(__xludf.DUMMYFUNCTION("""COMPUTED_VALUE"""),"오이")</f>
        <v>오이</v>
      </c>
    </row>
    <row r="4623">
      <c r="A4623" s="2" t="str">
        <f>IFERROR(__xludf.DUMMYFUNCTION("""COMPUTED_VALUE"""),"웃음꼬치 피었습니다")</f>
        <v>웃음꼬치 피었습니다</v>
      </c>
      <c r="B4623" s="2" t="str">
        <f>IFERROR(__xludf.DUMMYFUNCTION("""COMPUTED_VALUE"""),"마늘")</f>
        <v>마늘</v>
      </c>
    </row>
    <row r="4624">
      <c r="A4624" s="2" t="str">
        <f>IFERROR(__xludf.DUMMYFUNCTION("""COMPUTED_VALUE"""),"웃음꼬치 피었습니다")</f>
        <v>웃음꼬치 피었습니다</v>
      </c>
      <c r="B4624" s="2" t="str">
        <f>IFERROR(__xludf.DUMMYFUNCTION("""COMPUTED_VALUE"""),"양파")</f>
        <v>양파</v>
      </c>
    </row>
    <row r="4625">
      <c r="A4625" s="2" t="str">
        <f>IFERROR(__xludf.DUMMYFUNCTION("""COMPUTED_VALUE"""),"웃음꼬치 피었습니다")</f>
        <v>웃음꼬치 피었습니다</v>
      </c>
      <c r="B4625" s="2" t="str">
        <f>IFERROR(__xludf.DUMMYFUNCTION("""COMPUTED_VALUE"""),"레몬")</f>
        <v>레몬</v>
      </c>
    </row>
    <row r="4626">
      <c r="A4626" s="2" t="str">
        <f>IFERROR(__xludf.DUMMYFUNCTION("""COMPUTED_VALUE"""),"웃음꼬치 피었습니다")</f>
        <v>웃음꼬치 피었습니다</v>
      </c>
      <c r="B4626" s="2" t="str">
        <f>IFERROR(__xludf.DUMMYFUNCTION("""COMPUTED_VALUE"""),"소금")</f>
        <v>소금</v>
      </c>
    </row>
    <row r="4627">
      <c r="A4627" s="2" t="str">
        <f>IFERROR(__xludf.DUMMYFUNCTION("""COMPUTED_VALUE"""),"웃음꼬치 피었습니다")</f>
        <v>웃음꼬치 피었습니다</v>
      </c>
      <c r="B4627" s="2" t="str">
        <f>IFERROR(__xludf.DUMMYFUNCTION("""COMPUTED_VALUE"""),"후추")</f>
        <v>후추</v>
      </c>
    </row>
    <row r="4628">
      <c r="A4628" s="2" t="str">
        <f>IFERROR(__xludf.DUMMYFUNCTION("""COMPUTED_VALUE"""),"웃음꼬치 피었습니다")</f>
        <v>웃음꼬치 피었습니다</v>
      </c>
      <c r="B4628" s="2" t="str">
        <f>IFERROR(__xludf.DUMMYFUNCTION("""COMPUTED_VALUE"""),"올리브오일")</f>
        <v>올리브오일</v>
      </c>
    </row>
    <row r="4629">
      <c r="A4629" s="2" t="str">
        <f>IFERROR(__xludf.DUMMYFUNCTION("""COMPUTED_VALUE"""),"웃음꼬치 피었습니다")</f>
        <v>웃음꼬치 피었습니다</v>
      </c>
      <c r="B4629" s="2" t="str">
        <f>IFERROR(__xludf.DUMMYFUNCTION("""COMPUTED_VALUE"""),"식초")</f>
        <v>식초</v>
      </c>
    </row>
    <row r="4630">
      <c r="A4630" s="2" t="str">
        <f>IFERROR(__xludf.DUMMYFUNCTION("""COMPUTED_VALUE"""),"연장전")</f>
        <v>연장전</v>
      </c>
      <c r="B4630" s="2" t="str">
        <f>IFERROR(__xludf.DUMMYFUNCTION("""COMPUTED_VALUE"""),"콩비지")</f>
        <v>콩비지</v>
      </c>
    </row>
    <row r="4631">
      <c r="A4631" s="2" t="str">
        <f>IFERROR(__xludf.DUMMYFUNCTION("""COMPUTED_VALUE"""),"연장전")</f>
        <v>연장전</v>
      </c>
      <c r="B4631" s="2" t="str">
        <f>IFERROR(__xludf.DUMMYFUNCTION("""COMPUTED_VALUE"""),"훈제오리")</f>
        <v>훈제오리</v>
      </c>
    </row>
    <row r="4632">
      <c r="A4632" s="2" t="str">
        <f>IFERROR(__xludf.DUMMYFUNCTION("""COMPUTED_VALUE"""),"연장전")</f>
        <v>연장전</v>
      </c>
      <c r="B4632" s="2" t="str">
        <f>IFERROR(__xludf.DUMMYFUNCTION("""COMPUTED_VALUE"""),"찌개용 돼지고기")</f>
        <v>찌개용 돼지고기</v>
      </c>
    </row>
    <row r="4633">
      <c r="A4633" s="2" t="str">
        <f>IFERROR(__xludf.DUMMYFUNCTION("""COMPUTED_VALUE"""),"연장전")</f>
        <v>연장전</v>
      </c>
      <c r="B4633" s="2" t="str">
        <f>IFERROR(__xludf.DUMMYFUNCTION("""COMPUTED_VALUE"""),"애호박")</f>
        <v>애호박</v>
      </c>
    </row>
    <row r="4634">
      <c r="A4634" s="2" t="str">
        <f>IFERROR(__xludf.DUMMYFUNCTION("""COMPUTED_VALUE"""),"연장전")</f>
        <v>연장전</v>
      </c>
      <c r="B4634" s="2" t="str">
        <f>IFERROR(__xludf.DUMMYFUNCTION("""COMPUTED_VALUE"""),"건표고버섯채")</f>
        <v>건표고버섯채</v>
      </c>
    </row>
    <row r="4635">
      <c r="A4635" s="2" t="str">
        <f>IFERROR(__xludf.DUMMYFUNCTION("""COMPUTED_VALUE"""),"연장전")</f>
        <v>연장전</v>
      </c>
      <c r="B4635" s="2" t="str">
        <f>IFERROR(__xludf.DUMMYFUNCTION("""COMPUTED_VALUE"""),"해물다시팩")</f>
        <v>해물다시팩</v>
      </c>
    </row>
    <row r="4636">
      <c r="A4636" s="2" t="str">
        <f>IFERROR(__xludf.DUMMYFUNCTION("""COMPUTED_VALUE"""),"연장전")</f>
        <v>연장전</v>
      </c>
      <c r="B4636" s="2" t="str">
        <f>IFERROR(__xludf.DUMMYFUNCTION("""COMPUTED_VALUE"""),"굴소스")</f>
        <v>굴소스</v>
      </c>
    </row>
    <row r="4637">
      <c r="A4637" s="2" t="str">
        <f>IFERROR(__xludf.DUMMYFUNCTION("""COMPUTED_VALUE"""),"연장전")</f>
        <v>연장전</v>
      </c>
      <c r="B4637" s="2" t="str">
        <f>IFERROR(__xludf.DUMMYFUNCTION("""COMPUTED_VALUE"""),"양파")</f>
        <v>양파</v>
      </c>
    </row>
    <row r="4638">
      <c r="A4638" s="2" t="str">
        <f>IFERROR(__xludf.DUMMYFUNCTION("""COMPUTED_VALUE"""),"연장전")</f>
        <v>연장전</v>
      </c>
      <c r="B4638" s="2" t="str">
        <f>IFERROR(__xludf.DUMMYFUNCTION("""COMPUTED_VALUE"""),"대파")</f>
        <v>대파</v>
      </c>
    </row>
    <row r="4639">
      <c r="A4639" s="2" t="str">
        <f>IFERROR(__xludf.DUMMYFUNCTION("""COMPUTED_VALUE"""),"연장전")</f>
        <v>연장전</v>
      </c>
      <c r="B4639" s="2" t="str">
        <f>IFERROR(__xludf.DUMMYFUNCTION("""COMPUTED_VALUE"""),"마늘")</f>
        <v>마늘</v>
      </c>
    </row>
    <row r="4640">
      <c r="A4640" s="2" t="str">
        <f>IFERROR(__xludf.DUMMYFUNCTION("""COMPUTED_VALUE"""),"연장전")</f>
        <v>연장전</v>
      </c>
      <c r="B4640" s="2" t="str">
        <f>IFERROR(__xludf.DUMMYFUNCTION("""COMPUTED_VALUE"""),"청양고추")</f>
        <v>청양고추</v>
      </c>
    </row>
    <row r="4641">
      <c r="A4641" s="2" t="str">
        <f>IFERROR(__xludf.DUMMYFUNCTION("""COMPUTED_VALUE"""),"연장전")</f>
        <v>연장전</v>
      </c>
      <c r="B4641" s="2" t="str">
        <f>IFERROR(__xludf.DUMMYFUNCTION("""COMPUTED_VALUE"""),"달걀")</f>
        <v>달걀</v>
      </c>
    </row>
    <row r="4642">
      <c r="A4642" s="2" t="str">
        <f>IFERROR(__xludf.DUMMYFUNCTION("""COMPUTED_VALUE"""),"연장전")</f>
        <v>연장전</v>
      </c>
      <c r="B4642" s="2" t="str">
        <f>IFERROR(__xludf.DUMMYFUNCTION("""COMPUTED_VALUE"""),"전분")</f>
        <v>전분</v>
      </c>
    </row>
    <row r="4643">
      <c r="A4643" s="2" t="str">
        <f>IFERROR(__xludf.DUMMYFUNCTION("""COMPUTED_VALUE"""),"연장전")</f>
        <v>연장전</v>
      </c>
      <c r="B4643" s="2" t="str">
        <f>IFERROR(__xludf.DUMMYFUNCTION("""COMPUTED_VALUE"""),"밀가루")</f>
        <v>밀가루</v>
      </c>
    </row>
    <row r="4644">
      <c r="A4644" s="2" t="str">
        <f>IFERROR(__xludf.DUMMYFUNCTION("""COMPUTED_VALUE"""),"연장전")</f>
        <v>연장전</v>
      </c>
      <c r="B4644" s="2" t="str">
        <f>IFERROR(__xludf.DUMMYFUNCTION("""COMPUTED_VALUE"""),"간장")</f>
        <v>간장</v>
      </c>
    </row>
    <row r="4645">
      <c r="A4645" s="2" t="str">
        <f>IFERROR(__xludf.DUMMYFUNCTION("""COMPUTED_VALUE"""),"연장전")</f>
        <v>연장전</v>
      </c>
      <c r="B4645" s="2" t="str">
        <f>IFERROR(__xludf.DUMMYFUNCTION("""COMPUTED_VALUE"""),"마요네즈")</f>
        <v>마요네즈</v>
      </c>
    </row>
    <row r="4646">
      <c r="A4646" s="2" t="str">
        <f>IFERROR(__xludf.DUMMYFUNCTION("""COMPUTED_VALUE"""),"연장전")</f>
        <v>연장전</v>
      </c>
      <c r="B4646" s="2" t="str">
        <f>IFERROR(__xludf.DUMMYFUNCTION("""COMPUTED_VALUE"""),"후추")</f>
        <v>후추</v>
      </c>
    </row>
    <row r="4647">
      <c r="A4647" s="2" t="str">
        <f>IFERROR(__xludf.DUMMYFUNCTION("""COMPUTED_VALUE"""),"연장전")</f>
        <v>연장전</v>
      </c>
      <c r="B4647" s="2" t="str">
        <f>IFERROR(__xludf.DUMMYFUNCTION("""COMPUTED_VALUE"""),"소금")</f>
        <v>소금</v>
      </c>
    </row>
    <row r="4648">
      <c r="A4648" s="2" t="str">
        <f>IFERROR(__xludf.DUMMYFUNCTION("""COMPUTED_VALUE"""),"연장전")</f>
        <v>연장전</v>
      </c>
      <c r="B4648" s="2" t="str">
        <f>IFERROR(__xludf.DUMMYFUNCTION("""COMPUTED_VALUE"""),"청주")</f>
        <v>청주</v>
      </c>
    </row>
    <row r="4649">
      <c r="A4649" s="2" t="str">
        <f>IFERROR(__xludf.DUMMYFUNCTION("""COMPUTED_VALUE"""),"연장전")</f>
        <v>연장전</v>
      </c>
      <c r="B4649" s="2" t="str">
        <f>IFERROR(__xludf.DUMMYFUNCTION("""COMPUTED_VALUE"""),"참기름")</f>
        <v>참기름</v>
      </c>
    </row>
    <row r="4650">
      <c r="A4650" s="2" t="str">
        <f>IFERROR(__xludf.DUMMYFUNCTION("""COMPUTED_VALUE"""),"발라버린닭")</f>
        <v>발라버린닭</v>
      </c>
      <c r="B4650" s="2" t="str">
        <f>IFERROR(__xludf.DUMMYFUNCTION("""COMPUTED_VALUE"""),"닭")</f>
        <v>닭</v>
      </c>
    </row>
    <row r="4651">
      <c r="A4651" s="2" t="str">
        <f>IFERROR(__xludf.DUMMYFUNCTION("""COMPUTED_VALUE"""),"발라버린닭")</f>
        <v>발라버린닭</v>
      </c>
      <c r="B4651" s="2" t="str">
        <f>IFERROR(__xludf.DUMMYFUNCTION("""COMPUTED_VALUE"""),"수박")</f>
        <v>수박</v>
      </c>
    </row>
    <row r="4652">
      <c r="A4652" s="2" t="str">
        <f>IFERROR(__xludf.DUMMYFUNCTION("""COMPUTED_VALUE"""),"발라버린닭")</f>
        <v>발라버린닭</v>
      </c>
      <c r="B4652" s="2" t="str">
        <f>IFERROR(__xludf.DUMMYFUNCTION("""COMPUTED_VALUE"""),"구이용 모듬 버섯")</f>
        <v>구이용 모듬 버섯</v>
      </c>
    </row>
    <row r="4653">
      <c r="A4653" s="2" t="str">
        <f>IFERROR(__xludf.DUMMYFUNCTION("""COMPUTED_VALUE"""),"발라버린닭")</f>
        <v>발라버린닭</v>
      </c>
      <c r="B4653" s="2" t="str">
        <f>IFERROR(__xludf.DUMMYFUNCTION("""COMPUTED_VALUE"""),"통마늘")</f>
        <v>통마늘</v>
      </c>
    </row>
    <row r="4654">
      <c r="A4654" s="2" t="str">
        <f>IFERROR(__xludf.DUMMYFUNCTION("""COMPUTED_VALUE"""),"발라버린닭")</f>
        <v>발라버린닭</v>
      </c>
      <c r="B4654" s="2" t="str">
        <f>IFERROR(__xludf.DUMMYFUNCTION("""COMPUTED_VALUE"""),"홀그레인 머스터드")</f>
        <v>홀그레인 머스터드</v>
      </c>
    </row>
    <row r="4655">
      <c r="A4655" s="2" t="str">
        <f>IFERROR(__xludf.DUMMYFUNCTION("""COMPUTED_VALUE"""),"발라버린닭")</f>
        <v>발라버린닭</v>
      </c>
      <c r="B4655" s="2" t="str">
        <f>IFERROR(__xludf.DUMMYFUNCTION("""COMPUTED_VALUE"""),"마늘")</f>
        <v>마늘</v>
      </c>
    </row>
    <row r="4656">
      <c r="A4656" s="2" t="str">
        <f>IFERROR(__xludf.DUMMYFUNCTION("""COMPUTED_VALUE"""),"발라버린닭")</f>
        <v>발라버린닭</v>
      </c>
      <c r="B4656" s="2" t="str">
        <f>IFERROR(__xludf.DUMMYFUNCTION("""COMPUTED_VALUE"""),"고추")</f>
        <v>고추</v>
      </c>
    </row>
    <row r="4657">
      <c r="A4657" s="2" t="str">
        <f>IFERROR(__xludf.DUMMYFUNCTION("""COMPUTED_VALUE"""),"발라버린닭")</f>
        <v>발라버린닭</v>
      </c>
      <c r="B4657" s="2" t="str">
        <f>IFERROR(__xludf.DUMMYFUNCTION("""COMPUTED_VALUE"""),"적양파")</f>
        <v>적양파</v>
      </c>
    </row>
    <row r="4658">
      <c r="A4658" s="2" t="str">
        <f>IFERROR(__xludf.DUMMYFUNCTION("""COMPUTED_VALUE"""),"발라버린닭")</f>
        <v>발라버린닭</v>
      </c>
      <c r="B4658" s="2" t="str">
        <f>IFERROR(__xludf.DUMMYFUNCTION("""COMPUTED_VALUE"""),"레몬")</f>
        <v>레몬</v>
      </c>
    </row>
    <row r="4659">
      <c r="A4659" s="2" t="str">
        <f>IFERROR(__xludf.DUMMYFUNCTION("""COMPUTED_VALUE"""),"발라버린닭")</f>
        <v>발라버린닭</v>
      </c>
      <c r="B4659" s="2" t="str">
        <f>IFERROR(__xludf.DUMMYFUNCTION("""COMPUTED_VALUE"""),"올리브오일")</f>
        <v>올리브오일</v>
      </c>
    </row>
    <row r="4660">
      <c r="A4660" s="2" t="str">
        <f>IFERROR(__xludf.DUMMYFUNCTION("""COMPUTED_VALUE"""),"발라버린닭")</f>
        <v>발라버린닭</v>
      </c>
      <c r="B4660" s="2" t="str">
        <f>IFERROR(__xludf.DUMMYFUNCTION("""COMPUTED_VALUE"""),"소금")</f>
        <v>소금</v>
      </c>
    </row>
    <row r="4661">
      <c r="A4661" s="2" t="str">
        <f>IFERROR(__xludf.DUMMYFUNCTION("""COMPUTED_VALUE"""),"발라버린닭")</f>
        <v>발라버린닭</v>
      </c>
      <c r="B4661" s="2" t="str">
        <f>IFERROR(__xludf.DUMMYFUNCTION("""COMPUTED_VALUE"""),"후추")</f>
        <v>후추</v>
      </c>
    </row>
    <row r="4662">
      <c r="A4662" s="2" t="str">
        <f>IFERROR(__xludf.DUMMYFUNCTION("""COMPUTED_VALUE"""),"포크볼")</f>
        <v>포크볼</v>
      </c>
      <c r="B4662" s="2" t="str">
        <f>IFERROR(__xludf.DUMMYFUNCTION("""COMPUTED_VALUE"""),"삼겹살")</f>
        <v>삼겹살</v>
      </c>
    </row>
    <row r="4663">
      <c r="A4663" s="2" t="str">
        <f>IFERROR(__xludf.DUMMYFUNCTION("""COMPUTED_VALUE"""),"포크볼")</f>
        <v>포크볼</v>
      </c>
      <c r="B4663" s="2" t="str">
        <f>IFERROR(__xludf.DUMMYFUNCTION("""COMPUTED_VALUE"""),"골뱅이 통조림")</f>
        <v>골뱅이 통조림</v>
      </c>
    </row>
    <row r="4664">
      <c r="A4664" s="2" t="str">
        <f>IFERROR(__xludf.DUMMYFUNCTION("""COMPUTED_VALUE"""),"포크볼")</f>
        <v>포크볼</v>
      </c>
      <c r="B4664" s="2" t="str">
        <f>IFERROR(__xludf.DUMMYFUNCTION("""COMPUTED_VALUE"""),"홀그레인 머스터드")</f>
        <v>홀그레인 머스터드</v>
      </c>
    </row>
    <row r="4665">
      <c r="A4665" s="2" t="str">
        <f>IFERROR(__xludf.DUMMYFUNCTION("""COMPUTED_VALUE"""),"포크볼")</f>
        <v>포크볼</v>
      </c>
      <c r="B4665" s="2" t="str">
        <f>IFERROR(__xludf.DUMMYFUNCTION("""COMPUTED_VALUE"""),"양파")</f>
        <v>양파</v>
      </c>
    </row>
    <row r="4666">
      <c r="A4666" s="2" t="str">
        <f>IFERROR(__xludf.DUMMYFUNCTION("""COMPUTED_VALUE"""),"포크볼")</f>
        <v>포크볼</v>
      </c>
      <c r="B4666" s="2" t="str">
        <f>IFERROR(__xludf.DUMMYFUNCTION("""COMPUTED_VALUE"""),"대파")</f>
        <v>대파</v>
      </c>
    </row>
    <row r="4667">
      <c r="A4667" s="2" t="str">
        <f>IFERROR(__xludf.DUMMYFUNCTION("""COMPUTED_VALUE"""),"포크볼")</f>
        <v>포크볼</v>
      </c>
      <c r="B4667" s="2" t="str">
        <f>IFERROR(__xludf.DUMMYFUNCTION("""COMPUTED_VALUE"""),"고추")</f>
        <v>고추</v>
      </c>
    </row>
    <row r="4668">
      <c r="A4668" s="2" t="str">
        <f>IFERROR(__xludf.DUMMYFUNCTION("""COMPUTED_VALUE"""),"포크볼")</f>
        <v>포크볼</v>
      </c>
      <c r="B4668" s="2" t="str">
        <f>IFERROR(__xludf.DUMMYFUNCTION("""COMPUTED_VALUE"""),"레몬")</f>
        <v>레몬</v>
      </c>
    </row>
    <row r="4669">
      <c r="A4669" s="2" t="str">
        <f>IFERROR(__xludf.DUMMYFUNCTION("""COMPUTED_VALUE"""),"포크볼")</f>
        <v>포크볼</v>
      </c>
      <c r="B4669" s="2" t="str">
        <f>IFERROR(__xludf.DUMMYFUNCTION("""COMPUTED_VALUE"""),"다진 마늘")</f>
        <v>다진 마늘</v>
      </c>
    </row>
    <row r="4670">
      <c r="A4670" s="2" t="str">
        <f>IFERROR(__xludf.DUMMYFUNCTION("""COMPUTED_VALUE"""),"포크볼")</f>
        <v>포크볼</v>
      </c>
      <c r="B4670" s="2" t="str">
        <f>IFERROR(__xludf.DUMMYFUNCTION("""COMPUTED_VALUE"""),"소금")</f>
        <v>소금</v>
      </c>
    </row>
    <row r="4671">
      <c r="A4671" s="2" t="str">
        <f>IFERROR(__xludf.DUMMYFUNCTION("""COMPUTED_VALUE"""),"포크볼")</f>
        <v>포크볼</v>
      </c>
      <c r="B4671" s="2" t="str">
        <f>IFERROR(__xludf.DUMMYFUNCTION("""COMPUTED_VALUE"""),"후추")</f>
        <v>후추</v>
      </c>
    </row>
    <row r="4672">
      <c r="A4672" s="2" t="str">
        <f>IFERROR(__xludf.DUMMYFUNCTION("""COMPUTED_VALUE"""),"포크볼")</f>
        <v>포크볼</v>
      </c>
      <c r="B4672" s="2" t="str">
        <f>IFERROR(__xludf.DUMMYFUNCTION("""COMPUTED_VALUE"""),"설탕")</f>
        <v>설탕</v>
      </c>
    </row>
    <row r="4673">
      <c r="A4673" s="2" t="str">
        <f>IFERROR(__xludf.DUMMYFUNCTION("""COMPUTED_VALUE"""),"포크볼")</f>
        <v>포크볼</v>
      </c>
      <c r="B4673" s="2" t="str">
        <f>IFERROR(__xludf.DUMMYFUNCTION("""COMPUTED_VALUE"""),"간장")</f>
        <v>간장</v>
      </c>
    </row>
    <row r="4674">
      <c r="A4674" s="2" t="str">
        <f>IFERROR(__xludf.DUMMYFUNCTION("""COMPUTED_VALUE"""),"포크볼")</f>
        <v>포크볼</v>
      </c>
      <c r="B4674" s="2" t="str">
        <f>IFERROR(__xludf.DUMMYFUNCTION("""COMPUTED_VALUE"""),"참기름")</f>
        <v>참기름</v>
      </c>
    </row>
    <row r="4675">
      <c r="A4675" s="2" t="str">
        <f>IFERROR(__xludf.DUMMYFUNCTION("""COMPUTED_VALUE"""),"포크볼")</f>
        <v>포크볼</v>
      </c>
      <c r="B4675" s="2" t="str">
        <f>IFERROR(__xludf.DUMMYFUNCTION("""COMPUTED_VALUE"""),"고춧가루")</f>
        <v>고춧가루</v>
      </c>
    </row>
    <row r="4676">
      <c r="A4676" s="2" t="str">
        <f>IFERROR(__xludf.DUMMYFUNCTION("""COMPUTED_VALUE"""),"포크볼")</f>
        <v>포크볼</v>
      </c>
      <c r="B4676" s="2" t="str">
        <f>IFERROR(__xludf.DUMMYFUNCTION("""COMPUTED_VALUE"""),"식초")</f>
        <v>식초</v>
      </c>
    </row>
    <row r="4677">
      <c r="A4677" s="2" t="str">
        <f>IFERROR(__xludf.DUMMYFUNCTION("""COMPUTED_VALUE"""),"포크볼")</f>
        <v>포크볼</v>
      </c>
      <c r="B4677" s="2" t="str">
        <f>IFERROR(__xludf.DUMMYFUNCTION("""COMPUTED_VALUE"""),"올리브오일")</f>
        <v>올리브오일</v>
      </c>
    </row>
    <row r="4678">
      <c r="A4678" s="2" t="str">
        <f>IFERROR(__xludf.DUMMYFUNCTION("""COMPUTED_VALUE"""),"긴급사테! 수박주의보!")</f>
        <v>긴급사테! 수박주의보!</v>
      </c>
      <c r="B4678" s="2" t="str">
        <f>IFERROR(__xludf.DUMMYFUNCTION("""COMPUTED_VALUE"""),"닭가슴살")</f>
        <v>닭가슴살</v>
      </c>
    </row>
    <row r="4679">
      <c r="A4679" s="2" t="str">
        <f>IFERROR(__xludf.DUMMYFUNCTION("""COMPUTED_VALUE"""),"긴급사테! 수박주의보!")</f>
        <v>긴급사테! 수박주의보!</v>
      </c>
      <c r="B4679" s="2" t="str">
        <f>IFERROR(__xludf.DUMMYFUNCTION("""COMPUTED_VALUE"""),"카레가루")</f>
        <v>카레가루</v>
      </c>
    </row>
    <row r="4680">
      <c r="A4680" s="2" t="str">
        <f>IFERROR(__xludf.DUMMYFUNCTION("""COMPUTED_VALUE"""),"긴급사테! 수박주의보!")</f>
        <v>긴급사테! 수박주의보!</v>
      </c>
      <c r="B4680" s="2" t="str">
        <f>IFERROR(__xludf.DUMMYFUNCTION("""COMPUTED_VALUE"""),"코코넛워터")</f>
        <v>코코넛워터</v>
      </c>
    </row>
    <row r="4681">
      <c r="A4681" s="2" t="str">
        <f>IFERROR(__xludf.DUMMYFUNCTION("""COMPUTED_VALUE"""),"긴급사테! 수박주의보!")</f>
        <v>긴급사테! 수박주의보!</v>
      </c>
      <c r="B4681" s="2" t="str">
        <f>IFERROR(__xludf.DUMMYFUNCTION("""COMPUTED_VALUE"""),"아몬드두유")</f>
        <v>아몬드두유</v>
      </c>
    </row>
    <row r="4682">
      <c r="A4682" s="2" t="str">
        <f>IFERROR(__xludf.DUMMYFUNCTION("""COMPUTED_VALUE"""),"긴급사테! 수박주의보!")</f>
        <v>긴급사테! 수박주의보!</v>
      </c>
      <c r="B4682" s="2" t="str">
        <f>IFERROR(__xludf.DUMMYFUNCTION("""COMPUTED_VALUE"""),"굴소스")</f>
        <v>굴소스</v>
      </c>
    </row>
    <row r="4683">
      <c r="A4683" s="2" t="str">
        <f>IFERROR(__xludf.DUMMYFUNCTION("""COMPUTED_VALUE"""),"긴급사테! 수박주의보!")</f>
        <v>긴급사테! 수박주의보!</v>
      </c>
      <c r="B4683" s="2" t="str">
        <f>IFERROR(__xludf.DUMMYFUNCTION("""COMPUTED_VALUE"""),"유자청")</f>
        <v>유자청</v>
      </c>
    </row>
    <row r="4684">
      <c r="A4684" s="2" t="str">
        <f>IFERROR(__xludf.DUMMYFUNCTION("""COMPUTED_VALUE"""),"긴급사테! 수박주의보!")</f>
        <v>긴급사테! 수박주의보!</v>
      </c>
      <c r="B4684" s="2" t="str">
        <f>IFERROR(__xludf.DUMMYFUNCTION("""COMPUTED_VALUE"""),"수박")</f>
        <v>수박</v>
      </c>
    </row>
    <row r="4685">
      <c r="A4685" s="2" t="str">
        <f>IFERROR(__xludf.DUMMYFUNCTION("""COMPUTED_VALUE"""),"긴급사테! 수박주의보!")</f>
        <v>긴급사테! 수박주의보!</v>
      </c>
      <c r="B4685" s="2" t="str">
        <f>IFERROR(__xludf.DUMMYFUNCTION("""COMPUTED_VALUE"""),"고르곤졸라 치즈")</f>
        <v>고르곤졸라 치즈</v>
      </c>
    </row>
    <row r="4686">
      <c r="A4686" s="2" t="str">
        <f>IFERROR(__xludf.DUMMYFUNCTION("""COMPUTED_VALUE"""),"긴급사테! 수박주의보!")</f>
        <v>긴급사테! 수박주의보!</v>
      </c>
      <c r="B4686" s="2" t="str">
        <f>IFERROR(__xludf.DUMMYFUNCTION("""COMPUTED_VALUE"""),"땅콩버터")</f>
        <v>땅콩버터</v>
      </c>
    </row>
    <row r="4687">
      <c r="A4687" s="2" t="str">
        <f>IFERROR(__xludf.DUMMYFUNCTION("""COMPUTED_VALUE"""),"긴급사테! 수박주의보!")</f>
        <v>긴급사테! 수박주의보!</v>
      </c>
      <c r="B4687" s="2" t="str">
        <f>IFERROR(__xludf.DUMMYFUNCTION("""COMPUTED_VALUE"""),"고추")</f>
        <v>고추</v>
      </c>
    </row>
    <row r="4688">
      <c r="A4688" s="2" t="str">
        <f>IFERROR(__xludf.DUMMYFUNCTION("""COMPUTED_VALUE"""),"긴급사테! 수박주의보!")</f>
        <v>긴급사테! 수박주의보!</v>
      </c>
      <c r="B4688" s="2" t="str">
        <f>IFERROR(__xludf.DUMMYFUNCTION("""COMPUTED_VALUE"""),"적양파")</f>
        <v>적양파</v>
      </c>
    </row>
    <row r="4689">
      <c r="A4689" s="2" t="str">
        <f>IFERROR(__xludf.DUMMYFUNCTION("""COMPUTED_VALUE"""),"긴급사테! 수박주의보!")</f>
        <v>긴급사테! 수박주의보!</v>
      </c>
      <c r="B4689" s="2" t="str">
        <f>IFERROR(__xludf.DUMMYFUNCTION("""COMPUTED_VALUE"""),"레몬")</f>
        <v>레몬</v>
      </c>
    </row>
    <row r="4690">
      <c r="A4690" s="2" t="str">
        <f>IFERROR(__xludf.DUMMYFUNCTION("""COMPUTED_VALUE"""),"긴급사테! 수박주의보!")</f>
        <v>긴급사테! 수박주의보!</v>
      </c>
      <c r="B4690" s="2" t="str">
        <f>IFERROR(__xludf.DUMMYFUNCTION("""COMPUTED_VALUE"""),"설탕")</f>
        <v>설탕</v>
      </c>
    </row>
    <row r="4691">
      <c r="A4691" s="2" t="str">
        <f>IFERROR(__xludf.DUMMYFUNCTION("""COMPUTED_VALUE"""),"긴급사테! 수박주의보!")</f>
        <v>긴급사테! 수박주의보!</v>
      </c>
      <c r="B4691" s="2" t="str">
        <f>IFERROR(__xludf.DUMMYFUNCTION("""COMPUTED_VALUE"""),"후추")</f>
        <v>후추</v>
      </c>
    </row>
    <row r="4692">
      <c r="A4692" s="2" t="str">
        <f>IFERROR(__xludf.DUMMYFUNCTION("""COMPUTED_VALUE"""),"긴급사테! 수박주의보!")</f>
        <v>긴급사테! 수박주의보!</v>
      </c>
      <c r="B4692" s="2" t="str">
        <f>IFERROR(__xludf.DUMMYFUNCTION("""COMPUTED_VALUE"""),"조미료")</f>
        <v>조미료</v>
      </c>
    </row>
    <row r="4693">
      <c r="A4693" s="2" t="str">
        <f>IFERROR(__xludf.DUMMYFUNCTION("""COMPUTED_VALUE"""),"긴급사테! 수박주의보!")</f>
        <v>긴급사테! 수박주의보!</v>
      </c>
      <c r="B4693" s="2" t="str">
        <f>IFERROR(__xludf.DUMMYFUNCTION("""COMPUTED_VALUE"""),"올리브오일")</f>
        <v>올리브오일</v>
      </c>
    </row>
    <row r="4694">
      <c r="A4694" s="2" t="str">
        <f>IFERROR(__xludf.DUMMYFUNCTION("""COMPUTED_VALUE"""),"긴급사테! 수박주의보!")</f>
        <v>긴급사테! 수박주의보!</v>
      </c>
      <c r="B4694" s="2" t="str">
        <f>IFERROR(__xludf.DUMMYFUNCTION("""COMPUTED_VALUE"""),"간장")</f>
        <v>간장</v>
      </c>
    </row>
    <row r="4695">
      <c r="A4695" s="2" t="str">
        <f>IFERROR(__xludf.DUMMYFUNCTION("""COMPUTED_VALUE"""),"긴급사테! 수박주의보!")</f>
        <v>긴급사테! 수박주의보!</v>
      </c>
      <c r="B4695" s="2" t="str">
        <f>IFERROR(__xludf.DUMMYFUNCTION("""COMPUTED_VALUE"""),"깨")</f>
        <v>깨</v>
      </c>
    </row>
    <row r="4696">
      <c r="A4696" s="2" t="str">
        <f>IFERROR(__xludf.DUMMYFUNCTION("""COMPUTED_VALUE"""),"불타는 등심폭탄")</f>
        <v>불타는 등심폭탄</v>
      </c>
      <c r="B4696" s="2" t="str">
        <f>IFERROR(__xludf.DUMMYFUNCTION("""COMPUTED_VALUE"""),"소고기 등심")</f>
        <v>소고기 등심</v>
      </c>
    </row>
    <row r="4697">
      <c r="A4697" s="2" t="str">
        <f>IFERROR(__xludf.DUMMYFUNCTION("""COMPUTED_VALUE"""),"불타는 등심폭탄")</f>
        <v>불타는 등심폭탄</v>
      </c>
      <c r="B4697" s="2" t="str">
        <f>IFERROR(__xludf.DUMMYFUNCTION("""COMPUTED_VALUE"""),"굴소스")</f>
        <v>굴소스</v>
      </c>
    </row>
    <row r="4698">
      <c r="A4698" s="2" t="str">
        <f>IFERROR(__xludf.DUMMYFUNCTION("""COMPUTED_VALUE"""),"불타는 등심폭탄")</f>
        <v>불타는 등심폭탄</v>
      </c>
      <c r="B4698" s="2" t="str">
        <f>IFERROR(__xludf.DUMMYFUNCTION("""COMPUTED_VALUE"""),"레드와인")</f>
        <v>레드와인</v>
      </c>
    </row>
    <row r="4699">
      <c r="A4699" s="2" t="str">
        <f>IFERROR(__xludf.DUMMYFUNCTION("""COMPUTED_VALUE"""),"불타는 등심폭탄")</f>
        <v>불타는 등심폭탄</v>
      </c>
      <c r="B4699" s="2" t="str">
        <f>IFERROR(__xludf.DUMMYFUNCTION("""COMPUTED_VALUE"""),"콜라")</f>
        <v>콜라</v>
      </c>
    </row>
    <row r="4700">
      <c r="A4700" s="2" t="str">
        <f>IFERROR(__xludf.DUMMYFUNCTION("""COMPUTED_VALUE"""),"불타는 등심폭탄")</f>
        <v>불타는 등심폭탄</v>
      </c>
      <c r="B4700" s="2" t="str">
        <f>IFERROR(__xludf.DUMMYFUNCTION("""COMPUTED_VALUE"""),"오렌지")</f>
        <v>오렌지</v>
      </c>
    </row>
    <row r="4701">
      <c r="A4701" s="2" t="str">
        <f>IFERROR(__xludf.DUMMYFUNCTION("""COMPUTED_VALUE"""),"불타는 등심폭탄")</f>
        <v>불타는 등심폭탄</v>
      </c>
      <c r="B4701" s="2" t="str">
        <f>IFERROR(__xludf.DUMMYFUNCTION("""COMPUTED_VALUE"""),"수박")</f>
        <v>수박</v>
      </c>
    </row>
    <row r="4702">
      <c r="A4702" s="2" t="str">
        <f>IFERROR(__xludf.DUMMYFUNCTION("""COMPUTED_VALUE"""),"불타는 등심폭탄")</f>
        <v>불타는 등심폭탄</v>
      </c>
      <c r="B4702" s="2" t="str">
        <f>IFERROR(__xludf.DUMMYFUNCTION("""COMPUTED_VALUE"""),"파인애플 통조림")</f>
        <v>파인애플 통조림</v>
      </c>
    </row>
    <row r="4703">
      <c r="A4703" s="2" t="str">
        <f>IFERROR(__xludf.DUMMYFUNCTION("""COMPUTED_VALUE"""),"불타는 등심폭탄")</f>
        <v>불타는 등심폭탄</v>
      </c>
      <c r="B4703" s="2" t="str">
        <f>IFERROR(__xludf.DUMMYFUNCTION("""COMPUTED_VALUE"""),"보드카")</f>
        <v>보드카</v>
      </c>
    </row>
    <row r="4704">
      <c r="A4704" s="2" t="str">
        <f>IFERROR(__xludf.DUMMYFUNCTION("""COMPUTED_VALUE"""),"불타는 등심폭탄")</f>
        <v>불타는 등심폭탄</v>
      </c>
      <c r="B4704" s="2" t="str">
        <f>IFERROR(__xludf.DUMMYFUNCTION("""COMPUTED_VALUE"""),"다진 마늘")</f>
        <v>다진 마늘</v>
      </c>
    </row>
    <row r="4705">
      <c r="A4705" s="2" t="str">
        <f>IFERROR(__xludf.DUMMYFUNCTION("""COMPUTED_VALUE"""),"불타는 등심폭탄")</f>
        <v>불타는 등심폭탄</v>
      </c>
      <c r="B4705" s="2" t="str">
        <f>IFERROR(__xludf.DUMMYFUNCTION("""COMPUTED_VALUE"""),"소금")</f>
        <v>소금</v>
      </c>
    </row>
    <row r="4706">
      <c r="A4706" s="2" t="str">
        <f>IFERROR(__xludf.DUMMYFUNCTION("""COMPUTED_VALUE"""),"불타는 등심폭탄")</f>
        <v>불타는 등심폭탄</v>
      </c>
      <c r="B4706" s="2" t="str">
        <f>IFERROR(__xludf.DUMMYFUNCTION("""COMPUTED_VALUE"""),"통후추")</f>
        <v>통후추</v>
      </c>
    </row>
    <row r="4707">
      <c r="A4707" s="2" t="str">
        <f>IFERROR(__xludf.DUMMYFUNCTION("""COMPUTED_VALUE"""),"조전박살")</f>
        <v>조전박살</v>
      </c>
      <c r="B4707" s="2" t="str">
        <f>IFERROR(__xludf.DUMMYFUNCTION("""COMPUTED_VALUE"""),"조기")</f>
        <v>조기</v>
      </c>
    </row>
    <row r="4708">
      <c r="A4708" s="2" t="str">
        <f>IFERROR(__xludf.DUMMYFUNCTION("""COMPUTED_VALUE"""),"조전박살")</f>
        <v>조전박살</v>
      </c>
      <c r="B4708" s="2" t="str">
        <f>IFERROR(__xludf.DUMMYFUNCTION("""COMPUTED_VALUE"""),"전복")</f>
        <v>전복</v>
      </c>
    </row>
    <row r="4709">
      <c r="A4709" s="2" t="str">
        <f>IFERROR(__xludf.DUMMYFUNCTION("""COMPUTED_VALUE"""),"조전박살")</f>
        <v>조전박살</v>
      </c>
      <c r="B4709" s="2" t="str">
        <f>IFERROR(__xludf.DUMMYFUNCTION("""COMPUTED_VALUE"""),"바지락")</f>
        <v>바지락</v>
      </c>
    </row>
    <row r="4710">
      <c r="A4710" s="2" t="str">
        <f>IFERROR(__xludf.DUMMYFUNCTION("""COMPUTED_VALUE"""),"조전박살")</f>
        <v>조전박살</v>
      </c>
      <c r="B4710" s="2" t="str">
        <f>IFERROR(__xludf.DUMMYFUNCTION("""COMPUTED_VALUE"""),"딸기잼")</f>
        <v>딸기잼</v>
      </c>
    </row>
    <row r="4711">
      <c r="A4711" s="2" t="str">
        <f>IFERROR(__xludf.DUMMYFUNCTION("""COMPUTED_VALUE"""),"조전박살")</f>
        <v>조전박살</v>
      </c>
      <c r="B4711" s="2" t="str">
        <f>IFERROR(__xludf.DUMMYFUNCTION("""COMPUTED_VALUE"""),"샐러리")</f>
        <v>샐러리</v>
      </c>
    </row>
    <row r="4712">
      <c r="A4712" s="2" t="str">
        <f>IFERROR(__xludf.DUMMYFUNCTION("""COMPUTED_VALUE"""),"조전박살")</f>
        <v>조전박살</v>
      </c>
      <c r="B4712" s="2" t="str">
        <f>IFERROR(__xludf.DUMMYFUNCTION("""COMPUTED_VALUE"""),"대파")</f>
        <v>대파</v>
      </c>
    </row>
    <row r="4713">
      <c r="A4713" s="2" t="str">
        <f>IFERROR(__xludf.DUMMYFUNCTION("""COMPUTED_VALUE"""),"조전박살")</f>
        <v>조전박살</v>
      </c>
      <c r="B4713" s="2" t="str">
        <f>IFERROR(__xludf.DUMMYFUNCTION("""COMPUTED_VALUE"""),"고추")</f>
        <v>고추</v>
      </c>
    </row>
    <row r="4714">
      <c r="A4714" s="2" t="str">
        <f>IFERROR(__xludf.DUMMYFUNCTION("""COMPUTED_VALUE"""),"조전박살")</f>
        <v>조전박살</v>
      </c>
      <c r="B4714" s="2" t="str">
        <f>IFERROR(__xludf.DUMMYFUNCTION("""COMPUTED_VALUE"""),"레몬")</f>
        <v>레몬</v>
      </c>
    </row>
    <row r="4715">
      <c r="A4715" s="2" t="str">
        <f>IFERROR(__xludf.DUMMYFUNCTION("""COMPUTED_VALUE"""),"조전박살")</f>
        <v>조전박살</v>
      </c>
      <c r="B4715" s="2" t="str">
        <f>IFERROR(__xludf.DUMMYFUNCTION("""COMPUTED_VALUE"""),"다진 마늘")</f>
        <v>다진 마늘</v>
      </c>
    </row>
    <row r="4716">
      <c r="A4716" s="2" t="str">
        <f>IFERROR(__xludf.DUMMYFUNCTION("""COMPUTED_VALUE"""),"조전박살")</f>
        <v>조전박살</v>
      </c>
      <c r="B4716" s="2" t="str">
        <f>IFERROR(__xludf.DUMMYFUNCTION("""COMPUTED_VALUE"""),"전분")</f>
        <v>전분</v>
      </c>
    </row>
    <row r="4717">
      <c r="A4717" s="2" t="str">
        <f>IFERROR(__xludf.DUMMYFUNCTION("""COMPUTED_VALUE"""),"조전박살")</f>
        <v>조전박살</v>
      </c>
      <c r="B4717" s="2" t="str">
        <f>IFERROR(__xludf.DUMMYFUNCTION("""COMPUTED_VALUE"""),"설탕")</f>
        <v>설탕</v>
      </c>
    </row>
    <row r="4718">
      <c r="A4718" s="2" t="str">
        <f>IFERROR(__xludf.DUMMYFUNCTION("""COMPUTED_VALUE"""),"조전박살")</f>
        <v>조전박살</v>
      </c>
      <c r="B4718" s="2" t="str">
        <f>IFERROR(__xludf.DUMMYFUNCTION("""COMPUTED_VALUE"""),"후추")</f>
        <v>후추</v>
      </c>
    </row>
    <row r="4719">
      <c r="A4719" s="2" t="str">
        <f>IFERROR(__xludf.DUMMYFUNCTION("""COMPUTED_VALUE"""),"조전박살")</f>
        <v>조전박살</v>
      </c>
      <c r="B4719" s="2" t="str">
        <f>IFERROR(__xludf.DUMMYFUNCTION("""COMPUTED_VALUE"""),"소금")</f>
        <v>소금</v>
      </c>
    </row>
    <row r="4720">
      <c r="A4720" s="2" t="str">
        <f>IFERROR(__xludf.DUMMYFUNCTION("""COMPUTED_VALUE"""),"조전박살")</f>
        <v>조전박살</v>
      </c>
      <c r="B4720" s="2" t="str">
        <f>IFERROR(__xludf.DUMMYFUNCTION("""COMPUTED_VALUE"""),"간장")</f>
        <v>간장</v>
      </c>
    </row>
    <row r="4721">
      <c r="A4721" s="2" t="str">
        <f>IFERROR(__xludf.DUMMYFUNCTION("""COMPUTED_VALUE"""),"조전박살")</f>
        <v>조전박살</v>
      </c>
      <c r="B4721" s="2" t="str">
        <f>IFERROR(__xludf.DUMMYFUNCTION("""COMPUTED_VALUE"""),"맛술")</f>
        <v>맛술</v>
      </c>
    </row>
    <row r="4722">
      <c r="A4722" s="2" t="str">
        <f>IFERROR(__xludf.DUMMYFUNCTION("""COMPUTED_VALUE"""),"조전박살")</f>
        <v>조전박살</v>
      </c>
      <c r="B4722" s="2" t="str">
        <f>IFERROR(__xludf.DUMMYFUNCTION("""COMPUTED_VALUE"""),"참기름")</f>
        <v>참기름</v>
      </c>
    </row>
    <row r="4723">
      <c r="A4723" s="2" t="str">
        <f>IFERROR(__xludf.DUMMYFUNCTION("""COMPUTED_VALUE"""),"조전박살")</f>
        <v>조전박살</v>
      </c>
      <c r="B4723" s="2" t="str">
        <f>IFERROR(__xludf.DUMMYFUNCTION("""COMPUTED_VALUE"""),"화이트와인")</f>
        <v>화이트와인</v>
      </c>
    </row>
    <row r="4724">
      <c r="A4724" s="2" t="str">
        <f>IFERROR(__xludf.DUMMYFUNCTION("""COMPUTED_VALUE"""),"도미 살을 바를래")</f>
        <v>도미 살을 바를래</v>
      </c>
      <c r="B4724" s="2" t="str">
        <f>IFERROR(__xludf.DUMMYFUNCTION("""COMPUTED_VALUE"""),"도미")</f>
        <v>도미</v>
      </c>
    </row>
    <row r="4725">
      <c r="A4725" s="2" t="str">
        <f>IFERROR(__xludf.DUMMYFUNCTION("""COMPUTED_VALUE"""),"도미 살을 바를래")</f>
        <v>도미 살을 바를래</v>
      </c>
      <c r="B4725" s="2" t="str">
        <f>IFERROR(__xludf.DUMMYFUNCTION("""COMPUTED_VALUE"""),"배추")</f>
        <v>배추</v>
      </c>
    </row>
    <row r="4726">
      <c r="A4726" s="2" t="str">
        <f>IFERROR(__xludf.DUMMYFUNCTION("""COMPUTED_VALUE"""),"도미 살을 바를래")</f>
        <v>도미 살을 바를래</v>
      </c>
      <c r="B4726" s="2" t="str">
        <f>IFERROR(__xludf.DUMMYFUNCTION("""COMPUTED_VALUE"""),"바지락")</f>
        <v>바지락</v>
      </c>
    </row>
    <row r="4727">
      <c r="A4727" s="2" t="str">
        <f>IFERROR(__xludf.DUMMYFUNCTION("""COMPUTED_VALUE"""),"도미 살을 바를래")</f>
        <v>도미 살을 바를래</v>
      </c>
      <c r="B4727" s="2" t="str">
        <f>IFERROR(__xludf.DUMMYFUNCTION("""COMPUTED_VALUE"""),"고추냉이")</f>
        <v>고추냉이</v>
      </c>
    </row>
    <row r="4728">
      <c r="A4728" s="2" t="str">
        <f>IFERROR(__xludf.DUMMYFUNCTION("""COMPUTED_VALUE"""),"도미 살을 바를래")</f>
        <v>도미 살을 바를래</v>
      </c>
      <c r="B4728" s="2" t="str">
        <f>IFERROR(__xludf.DUMMYFUNCTION("""COMPUTED_VALUE"""),"대파")</f>
        <v>대파</v>
      </c>
    </row>
    <row r="4729">
      <c r="A4729" s="2" t="str">
        <f>IFERROR(__xludf.DUMMYFUNCTION("""COMPUTED_VALUE"""),"도미 살을 바를래")</f>
        <v>도미 살을 바를래</v>
      </c>
      <c r="B4729" s="2" t="str">
        <f>IFERROR(__xludf.DUMMYFUNCTION("""COMPUTED_VALUE"""),"레몬")</f>
        <v>레몬</v>
      </c>
    </row>
    <row r="4730">
      <c r="A4730" s="2" t="str">
        <f>IFERROR(__xludf.DUMMYFUNCTION("""COMPUTED_VALUE"""),"도미 살을 바를래")</f>
        <v>도미 살을 바를래</v>
      </c>
      <c r="B4730" s="2" t="str">
        <f>IFERROR(__xludf.DUMMYFUNCTION("""COMPUTED_VALUE"""),"된장")</f>
        <v>된장</v>
      </c>
    </row>
    <row r="4731">
      <c r="A4731" s="2" t="str">
        <f>IFERROR(__xludf.DUMMYFUNCTION("""COMPUTED_VALUE"""),"도미 살을 바를래")</f>
        <v>도미 살을 바를래</v>
      </c>
      <c r="B4731" s="2" t="str">
        <f>IFERROR(__xludf.DUMMYFUNCTION("""COMPUTED_VALUE"""),"맛술")</f>
        <v>맛술</v>
      </c>
    </row>
    <row r="4732">
      <c r="A4732" s="2" t="str">
        <f>IFERROR(__xludf.DUMMYFUNCTION("""COMPUTED_VALUE"""),"도미 살을 바를래")</f>
        <v>도미 살을 바를래</v>
      </c>
      <c r="B4732" s="2" t="str">
        <f>IFERROR(__xludf.DUMMYFUNCTION("""COMPUTED_VALUE"""),"간장")</f>
        <v>간장</v>
      </c>
    </row>
    <row r="4733">
      <c r="A4733" s="2" t="str">
        <f>IFERROR(__xludf.DUMMYFUNCTION("""COMPUTED_VALUE"""),"도미 살을 바를래")</f>
        <v>도미 살을 바를래</v>
      </c>
      <c r="B4733" s="2" t="str">
        <f>IFERROR(__xludf.DUMMYFUNCTION("""COMPUTED_VALUE"""),"소금")</f>
        <v>소금</v>
      </c>
    </row>
    <row r="4734">
      <c r="A4734" s="2" t="str">
        <f>IFERROR(__xludf.DUMMYFUNCTION("""COMPUTED_VALUE"""),"우아한 프랑스튜")</f>
        <v>우아한 프랑스튜</v>
      </c>
      <c r="B4734" s="2" t="str">
        <f>IFERROR(__xludf.DUMMYFUNCTION("""COMPUTED_VALUE"""),"도미")</f>
        <v>도미</v>
      </c>
    </row>
    <row r="4735">
      <c r="A4735" s="2" t="str">
        <f>IFERROR(__xludf.DUMMYFUNCTION("""COMPUTED_VALUE"""),"우아한 프랑스튜")</f>
        <v>우아한 프랑스튜</v>
      </c>
      <c r="B4735" s="2" t="str">
        <f>IFERROR(__xludf.DUMMYFUNCTION("""COMPUTED_VALUE"""),"가리비")</f>
        <v>가리비</v>
      </c>
    </row>
    <row r="4736">
      <c r="A4736" s="2" t="str">
        <f>IFERROR(__xludf.DUMMYFUNCTION("""COMPUTED_VALUE"""),"우아한 프랑스튜")</f>
        <v>우아한 프랑스튜</v>
      </c>
      <c r="B4736" s="2" t="str">
        <f>IFERROR(__xludf.DUMMYFUNCTION("""COMPUTED_VALUE"""),"바지락")</f>
        <v>바지락</v>
      </c>
    </row>
    <row r="4737">
      <c r="A4737" s="2" t="str">
        <f>IFERROR(__xludf.DUMMYFUNCTION("""COMPUTED_VALUE"""),"우아한 프랑스튜")</f>
        <v>우아한 프랑스튜</v>
      </c>
      <c r="B4737" s="2" t="str">
        <f>IFERROR(__xludf.DUMMYFUNCTION("""COMPUTED_VALUE"""),"모시조개")</f>
        <v>모시조개</v>
      </c>
    </row>
    <row r="4738">
      <c r="A4738" s="2" t="str">
        <f>IFERROR(__xludf.DUMMYFUNCTION("""COMPUTED_VALUE"""),"우아한 프랑스튜")</f>
        <v>우아한 프랑스튜</v>
      </c>
      <c r="B4738" s="2" t="str">
        <f>IFERROR(__xludf.DUMMYFUNCTION("""COMPUTED_VALUE"""),"토마토")</f>
        <v>토마토</v>
      </c>
    </row>
    <row r="4739">
      <c r="A4739" s="2" t="str">
        <f>IFERROR(__xludf.DUMMYFUNCTION("""COMPUTED_VALUE"""),"우아한 프랑스튜")</f>
        <v>우아한 프랑스튜</v>
      </c>
      <c r="B4739" s="2" t="str">
        <f>IFERROR(__xludf.DUMMYFUNCTION("""COMPUTED_VALUE"""),"새우")</f>
        <v>새우</v>
      </c>
    </row>
    <row r="4740">
      <c r="A4740" s="2" t="str">
        <f>IFERROR(__xludf.DUMMYFUNCTION("""COMPUTED_VALUE"""),"우아한 프랑스튜")</f>
        <v>우아한 프랑스튜</v>
      </c>
      <c r="B4740" s="2" t="str">
        <f>IFERROR(__xludf.DUMMYFUNCTION("""COMPUTED_VALUE"""),"올리브오일")</f>
        <v>올리브오일</v>
      </c>
    </row>
    <row r="4741">
      <c r="A4741" s="2" t="str">
        <f>IFERROR(__xludf.DUMMYFUNCTION("""COMPUTED_VALUE"""),"우아한 프랑스튜")</f>
        <v>우아한 프랑스튜</v>
      </c>
      <c r="B4741" s="2" t="str">
        <f>IFERROR(__xludf.DUMMYFUNCTION("""COMPUTED_VALUE"""),"화이트와인")</f>
        <v>화이트와인</v>
      </c>
    </row>
    <row r="4742">
      <c r="A4742" s="2" t="str">
        <f>IFERROR(__xludf.DUMMYFUNCTION("""COMPUTED_VALUE"""),"우아한 프랑스튜")</f>
        <v>우아한 프랑스튜</v>
      </c>
      <c r="B4742" s="2" t="str">
        <f>IFERROR(__xludf.DUMMYFUNCTION("""COMPUTED_VALUE"""),"대파")</f>
        <v>대파</v>
      </c>
    </row>
    <row r="4743">
      <c r="A4743" s="2" t="str">
        <f>IFERROR(__xludf.DUMMYFUNCTION("""COMPUTED_VALUE"""),"우아한 프랑스튜")</f>
        <v>우아한 프랑스튜</v>
      </c>
      <c r="B4743" s="2" t="str">
        <f>IFERROR(__xludf.DUMMYFUNCTION("""COMPUTED_VALUE"""),"레몬")</f>
        <v>레몬</v>
      </c>
    </row>
    <row r="4744">
      <c r="A4744" s="2" t="str">
        <f>IFERROR(__xludf.DUMMYFUNCTION("""COMPUTED_VALUE"""),"우아한 프랑스튜")</f>
        <v>우아한 프랑스튜</v>
      </c>
      <c r="B4744" s="2" t="str">
        <f>IFERROR(__xludf.DUMMYFUNCTION("""COMPUTED_VALUE"""),"소금")</f>
        <v>소금</v>
      </c>
    </row>
    <row r="4745">
      <c r="A4745" s="2" t="str">
        <f>IFERROR(__xludf.DUMMYFUNCTION("""COMPUTED_VALUE"""),"우아한 프랑스튜")</f>
        <v>우아한 프랑스튜</v>
      </c>
      <c r="B4745" s="2" t="str">
        <f>IFERROR(__xludf.DUMMYFUNCTION("""COMPUTED_VALUE"""),"후추")</f>
        <v>후추</v>
      </c>
    </row>
    <row r="4746">
      <c r="A4746" s="2" t="str">
        <f>IFERROR(__xludf.DUMMYFUNCTION("""COMPUTED_VALUE"""),"나랑 너랑 게랑")</f>
        <v>나랑 너랑 게랑</v>
      </c>
      <c r="B4746" s="2" t="str">
        <f>IFERROR(__xludf.DUMMYFUNCTION("""COMPUTED_VALUE"""),"게")</f>
        <v>게</v>
      </c>
    </row>
    <row r="4747">
      <c r="A4747" s="2" t="str">
        <f>IFERROR(__xludf.DUMMYFUNCTION("""COMPUTED_VALUE"""),"나랑 너랑 게랑")</f>
        <v>나랑 너랑 게랑</v>
      </c>
      <c r="B4747" s="2" t="str">
        <f>IFERROR(__xludf.DUMMYFUNCTION("""COMPUTED_VALUE"""),"바지락")</f>
        <v>바지락</v>
      </c>
    </row>
    <row r="4748">
      <c r="A4748" s="2" t="str">
        <f>IFERROR(__xludf.DUMMYFUNCTION("""COMPUTED_VALUE"""),"나랑 너랑 게랑")</f>
        <v>나랑 너랑 게랑</v>
      </c>
      <c r="B4748" s="2" t="str">
        <f>IFERROR(__xludf.DUMMYFUNCTION("""COMPUTED_VALUE"""),"새우")</f>
        <v>새우</v>
      </c>
    </row>
    <row r="4749">
      <c r="A4749" s="2" t="str">
        <f>IFERROR(__xludf.DUMMYFUNCTION("""COMPUTED_VALUE"""),"나랑 너랑 게랑")</f>
        <v>나랑 너랑 게랑</v>
      </c>
      <c r="B4749" s="2" t="str">
        <f>IFERROR(__xludf.DUMMYFUNCTION("""COMPUTED_VALUE"""),"파프리카")</f>
        <v>파프리카</v>
      </c>
    </row>
    <row r="4750">
      <c r="A4750" s="2" t="str">
        <f>IFERROR(__xludf.DUMMYFUNCTION("""COMPUTED_VALUE"""),"나랑 너랑 게랑")</f>
        <v>나랑 너랑 게랑</v>
      </c>
      <c r="B4750" s="2" t="str">
        <f>IFERROR(__xludf.DUMMYFUNCTION("""COMPUTED_VALUE"""),"샐러리")</f>
        <v>샐러리</v>
      </c>
    </row>
    <row r="4751">
      <c r="A4751" s="2" t="str">
        <f>IFERROR(__xludf.DUMMYFUNCTION("""COMPUTED_VALUE"""),"나랑 너랑 게랑")</f>
        <v>나랑 너랑 게랑</v>
      </c>
      <c r="B4751" s="2" t="str">
        <f>IFERROR(__xludf.DUMMYFUNCTION("""COMPUTED_VALUE"""),"토마토")</f>
        <v>토마토</v>
      </c>
    </row>
    <row r="4752">
      <c r="A4752" s="2" t="str">
        <f>IFERROR(__xludf.DUMMYFUNCTION("""COMPUTED_VALUE"""),"나랑 너랑 게랑")</f>
        <v>나랑 너랑 게랑</v>
      </c>
      <c r="B4752" s="2" t="str">
        <f>IFERROR(__xludf.DUMMYFUNCTION("""COMPUTED_VALUE"""),"배추")</f>
        <v>배추</v>
      </c>
    </row>
    <row r="4753">
      <c r="A4753" s="2" t="str">
        <f>IFERROR(__xludf.DUMMYFUNCTION("""COMPUTED_VALUE"""),"나랑 너랑 게랑")</f>
        <v>나랑 너랑 게랑</v>
      </c>
      <c r="B4753" s="2" t="str">
        <f>IFERROR(__xludf.DUMMYFUNCTION("""COMPUTED_VALUE"""),"당근")</f>
        <v>당근</v>
      </c>
    </row>
    <row r="4754">
      <c r="A4754" s="2" t="str">
        <f>IFERROR(__xludf.DUMMYFUNCTION("""COMPUTED_VALUE"""),"나랑 너랑 게랑")</f>
        <v>나랑 너랑 게랑</v>
      </c>
      <c r="B4754" s="2" t="str">
        <f>IFERROR(__xludf.DUMMYFUNCTION("""COMPUTED_VALUE"""),"대파")</f>
        <v>대파</v>
      </c>
    </row>
    <row r="4755">
      <c r="A4755" s="2" t="str">
        <f>IFERROR(__xludf.DUMMYFUNCTION("""COMPUTED_VALUE"""),"나랑 너랑 게랑")</f>
        <v>나랑 너랑 게랑</v>
      </c>
      <c r="B4755" s="2" t="str">
        <f>IFERROR(__xludf.DUMMYFUNCTION("""COMPUTED_VALUE"""),"마늘")</f>
        <v>마늘</v>
      </c>
    </row>
    <row r="4756">
      <c r="A4756" s="2" t="str">
        <f>IFERROR(__xludf.DUMMYFUNCTION("""COMPUTED_VALUE"""),"나랑 너랑 게랑")</f>
        <v>나랑 너랑 게랑</v>
      </c>
      <c r="B4756" s="2" t="str">
        <f>IFERROR(__xludf.DUMMYFUNCTION("""COMPUTED_VALUE"""),"후추")</f>
        <v>후추</v>
      </c>
    </row>
    <row r="4757">
      <c r="A4757" s="2" t="str">
        <f>IFERROR(__xludf.DUMMYFUNCTION("""COMPUTED_VALUE"""),"나랑 너랑 게랑")</f>
        <v>나랑 너랑 게랑</v>
      </c>
      <c r="B4757" s="2" t="str">
        <f>IFERROR(__xludf.DUMMYFUNCTION("""COMPUTED_VALUE"""),"소금")</f>
        <v>소금</v>
      </c>
    </row>
    <row r="4758">
      <c r="A4758" s="2" t="str">
        <f>IFERROR(__xludf.DUMMYFUNCTION("""COMPUTED_VALUE"""),"나랑 너랑 게랑")</f>
        <v>나랑 너랑 게랑</v>
      </c>
      <c r="B4758" s="2" t="str">
        <f>IFERROR(__xludf.DUMMYFUNCTION("""COMPUTED_VALUE"""),"버터")</f>
        <v>버터</v>
      </c>
    </row>
    <row r="4759">
      <c r="A4759" s="2" t="str">
        <f>IFERROR(__xludf.DUMMYFUNCTION("""COMPUTED_VALUE"""),"나랑 너랑 게랑")</f>
        <v>나랑 너랑 게랑</v>
      </c>
      <c r="B4759" s="2" t="str">
        <f>IFERROR(__xludf.DUMMYFUNCTION("""COMPUTED_VALUE"""),"화이트와인")</f>
        <v>화이트와인</v>
      </c>
    </row>
    <row r="4760">
      <c r="A4760" s="2" t="str">
        <f>IFERROR(__xludf.DUMMYFUNCTION("""COMPUTED_VALUE"""),"나랑 너랑 게랑")</f>
        <v>나랑 너랑 게랑</v>
      </c>
      <c r="B4760" s="2" t="str">
        <f>IFERROR(__xludf.DUMMYFUNCTION("""COMPUTED_VALUE"""),"올리브오일")</f>
        <v>올리브오일</v>
      </c>
    </row>
    <row r="4761">
      <c r="A4761" s="2" t="str">
        <f>IFERROR(__xludf.DUMMYFUNCTION("""COMPUTED_VALUE"""),"나랑 너랑 게랑")</f>
        <v>나랑 너랑 게랑</v>
      </c>
      <c r="B4761" s="2" t="str">
        <f>IFERROR(__xludf.DUMMYFUNCTION("""COMPUTED_VALUE"""),"식초")</f>
        <v>식초</v>
      </c>
    </row>
    <row r="4762">
      <c r="A4762" s="2" t="str">
        <f>IFERROR(__xludf.DUMMYFUNCTION("""COMPUTED_VALUE"""),"소스 하나면 돼")</f>
        <v>소스 하나면 돼</v>
      </c>
      <c r="B4762" s="2" t="str">
        <f>IFERROR(__xludf.DUMMYFUNCTION("""COMPUTED_VALUE"""),"삶은 강낭콩")</f>
        <v>삶은 강낭콩</v>
      </c>
    </row>
    <row r="4763">
      <c r="A4763" s="2" t="str">
        <f>IFERROR(__xludf.DUMMYFUNCTION("""COMPUTED_VALUE"""),"소스 하나면 돼")</f>
        <v>소스 하나면 돼</v>
      </c>
      <c r="B4763" s="2" t="str">
        <f>IFERROR(__xludf.DUMMYFUNCTION("""COMPUTED_VALUE"""),"파프리카")</f>
        <v>파프리카</v>
      </c>
    </row>
    <row r="4764">
      <c r="A4764" s="2" t="str">
        <f>IFERROR(__xludf.DUMMYFUNCTION("""COMPUTED_VALUE"""),"소스 하나면 돼")</f>
        <v>소스 하나면 돼</v>
      </c>
      <c r="B4764" s="2" t="str">
        <f>IFERROR(__xludf.DUMMYFUNCTION("""COMPUTED_VALUE"""),"애호박")</f>
        <v>애호박</v>
      </c>
    </row>
    <row r="4765">
      <c r="A4765" s="2" t="str">
        <f>IFERROR(__xludf.DUMMYFUNCTION("""COMPUTED_VALUE"""),"소스 하나면 돼")</f>
        <v>소스 하나면 돼</v>
      </c>
      <c r="B4765" s="2" t="str">
        <f>IFERROR(__xludf.DUMMYFUNCTION("""COMPUTED_VALUE"""),"그린 올리브")</f>
        <v>그린 올리브</v>
      </c>
    </row>
    <row r="4766">
      <c r="A4766" s="2" t="str">
        <f>IFERROR(__xludf.DUMMYFUNCTION("""COMPUTED_VALUE"""),"소스 하나면 돼")</f>
        <v>소스 하나면 돼</v>
      </c>
      <c r="B4766" s="2" t="str">
        <f>IFERROR(__xludf.DUMMYFUNCTION("""COMPUTED_VALUE"""),"데친 관자")</f>
        <v>데친 관자</v>
      </c>
    </row>
    <row r="4767">
      <c r="A4767" s="2" t="str">
        <f>IFERROR(__xludf.DUMMYFUNCTION("""COMPUTED_VALUE"""),"소스 하나면 돼")</f>
        <v>소스 하나면 돼</v>
      </c>
      <c r="B4767" s="2" t="str">
        <f>IFERROR(__xludf.DUMMYFUNCTION("""COMPUTED_VALUE"""),"데친 소라")</f>
        <v>데친 소라</v>
      </c>
    </row>
    <row r="4768">
      <c r="A4768" s="2" t="str">
        <f>IFERROR(__xludf.DUMMYFUNCTION("""COMPUTED_VALUE"""),"소스 하나면 돼")</f>
        <v>소스 하나면 돼</v>
      </c>
      <c r="B4768" s="2" t="str">
        <f>IFERROR(__xludf.DUMMYFUNCTION("""COMPUTED_VALUE"""),"천도복숭아")</f>
        <v>천도복숭아</v>
      </c>
    </row>
    <row r="4769">
      <c r="A4769" s="2" t="str">
        <f>IFERROR(__xludf.DUMMYFUNCTION("""COMPUTED_VALUE"""),"소스 하나면 돼")</f>
        <v>소스 하나면 돼</v>
      </c>
      <c r="B4769" s="2" t="str">
        <f>IFERROR(__xludf.DUMMYFUNCTION("""COMPUTED_VALUE"""),"고등어")</f>
        <v>고등어</v>
      </c>
    </row>
    <row r="4770">
      <c r="A4770" s="2" t="str">
        <f>IFERROR(__xludf.DUMMYFUNCTION("""COMPUTED_VALUE"""),"소스 하나면 돼")</f>
        <v>소스 하나면 돼</v>
      </c>
      <c r="B4770" s="2" t="str">
        <f>IFERROR(__xludf.DUMMYFUNCTION("""COMPUTED_VALUE"""),"고수")</f>
        <v>고수</v>
      </c>
    </row>
    <row r="4771">
      <c r="A4771" s="2" t="str">
        <f>IFERROR(__xludf.DUMMYFUNCTION("""COMPUTED_VALUE"""),"소스 하나면 돼")</f>
        <v>소스 하나면 돼</v>
      </c>
      <c r="B4771" s="2" t="str">
        <f>IFERROR(__xludf.DUMMYFUNCTION("""COMPUTED_VALUE"""),"마늘")</f>
        <v>마늘</v>
      </c>
    </row>
    <row r="4772">
      <c r="A4772" s="2" t="str">
        <f>IFERROR(__xludf.DUMMYFUNCTION("""COMPUTED_VALUE"""),"소스 하나면 돼")</f>
        <v>소스 하나면 돼</v>
      </c>
      <c r="B4772" s="2" t="str">
        <f>IFERROR(__xludf.DUMMYFUNCTION("""COMPUTED_VALUE"""),"레몬")</f>
        <v>레몬</v>
      </c>
    </row>
    <row r="4773">
      <c r="A4773" s="2" t="str">
        <f>IFERROR(__xludf.DUMMYFUNCTION("""COMPUTED_VALUE"""),"소스 하나면 돼")</f>
        <v>소스 하나면 돼</v>
      </c>
      <c r="B4773" s="2" t="str">
        <f>IFERROR(__xludf.DUMMYFUNCTION("""COMPUTED_VALUE"""),"소금")</f>
        <v>소금</v>
      </c>
    </row>
    <row r="4774">
      <c r="A4774" s="2" t="str">
        <f>IFERROR(__xludf.DUMMYFUNCTION("""COMPUTED_VALUE"""),"소스 하나면 돼")</f>
        <v>소스 하나면 돼</v>
      </c>
      <c r="B4774" s="2" t="str">
        <f>IFERROR(__xludf.DUMMYFUNCTION("""COMPUTED_VALUE"""),"올리브오일")</f>
        <v>올리브오일</v>
      </c>
    </row>
    <row r="4775">
      <c r="A4775" s="2" t="str">
        <f>IFERROR(__xludf.DUMMYFUNCTION("""COMPUTED_VALUE"""),"소스 하나면 돼")</f>
        <v>소스 하나면 돼</v>
      </c>
      <c r="B4775" s="2" t="str">
        <f>IFERROR(__xludf.DUMMYFUNCTION("""COMPUTED_VALUE"""),"후추")</f>
        <v>후추</v>
      </c>
    </row>
    <row r="4776">
      <c r="A4776" s="2" t="str">
        <f>IFERROR(__xludf.DUMMYFUNCTION("""COMPUTED_VALUE"""),"전병 말아요~")</f>
        <v>전병 말아요~</v>
      </c>
      <c r="B4776" s="2" t="str">
        <f>IFERROR(__xludf.DUMMYFUNCTION("""COMPUTED_VALUE"""),"오이")</f>
        <v>오이</v>
      </c>
    </row>
    <row r="4777">
      <c r="A4777" s="2" t="str">
        <f>IFERROR(__xludf.DUMMYFUNCTION("""COMPUTED_VALUE"""),"전병 말아요~")</f>
        <v>전병 말아요~</v>
      </c>
      <c r="B4777" s="2" t="str">
        <f>IFERROR(__xludf.DUMMYFUNCTION("""COMPUTED_VALUE"""),"적양배추")</f>
        <v>적양배추</v>
      </c>
    </row>
    <row r="4778">
      <c r="A4778" s="2" t="str">
        <f>IFERROR(__xludf.DUMMYFUNCTION("""COMPUTED_VALUE"""),"전병 말아요~")</f>
        <v>전병 말아요~</v>
      </c>
      <c r="B4778" s="2" t="str">
        <f>IFERROR(__xludf.DUMMYFUNCTION("""COMPUTED_VALUE"""),"오이지")</f>
        <v>오이지</v>
      </c>
    </row>
    <row r="4779">
      <c r="A4779" s="2" t="str">
        <f>IFERROR(__xludf.DUMMYFUNCTION("""COMPUTED_VALUE"""),"전병 말아요~")</f>
        <v>전병 말아요~</v>
      </c>
      <c r="B4779" s="2" t="str">
        <f>IFERROR(__xludf.DUMMYFUNCTION("""COMPUTED_VALUE"""),"고기육수")</f>
        <v>고기육수</v>
      </c>
    </row>
    <row r="4780">
      <c r="A4780" s="2" t="str">
        <f>IFERROR(__xludf.DUMMYFUNCTION("""COMPUTED_VALUE"""),"전병 말아요~")</f>
        <v>전병 말아요~</v>
      </c>
      <c r="B4780" s="2" t="str">
        <f>IFERROR(__xludf.DUMMYFUNCTION("""COMPUTED_VALUE"""),"잣")</f>
        <v>잣</v>
      </c>
    </row>
    <row r="4781">
      <c r="A4781" s="2" t="str">
        <f>IFERROR(__xludf.DUMMYFUNCTION("""COMPUTED_VALUE"""),"전병 말아요~")</f>
        <v>전병 말아요~</v>
      </c>
      <c r="B4781" s="2" t="str">
        <f>IFERROR(__xludf.DUMMYFUNCTION("""COMPUTED_VALUE"""),"소면")</f>
        <v>소면</v>
      </c>
    </row>
    <row r="4782">
      <c r="A4782" s="2" t="str">
        <f>IFERROR(__xludf.DUMMYFUNCTION("""COMPUTED_VALUE"""),"전병 말아요~")</f>
        <v>전병 말아요~</v>
      </c>
      <c r="B4782" s="2" t="str">
        <f>IFERROR(__xludf.DUMMYFUNCTION("""COMPUTED_VALUE"""),"당근")</f>
        <v>당근</v>
      </c>
    </row>
    <row r="4783">
      <c r="A4783" s="2" t="str">
        <f>IFERROR(__xludf.DUMMYFUNCTION("""COMPUTED_VALUE"""),"전병 말아요~")</f>
        <v>전병 말아요~</v>
      </c>
      <c r="B4783" s="2" t="str">
        <f>IFERROR(__xludf.DUMMYFUNCTION("""COMPUTED_VALUE"""),"밀가루")</f>
        <v>밀가루</v>
      </c>
    </row>
    <row r="4784">
      <c r="A4784" s="2" t="str">
        <f>IFERROR(__xludf.DUMMYFUNCTION("""COMPUTED_VALUE"""),"전병 말아요~")</f>
        <v>전병 말아요~</v>
      </c>
      <c r="B4784" s="2" t="str">
        <f>IFERROR(__xludf.DUMMYFUNCTION("""COMPUTED_VALUE"""),"소금")</f>
        <v>소금</v>
      </c>
    </row>
    <row r="4785">
      <c r="A4785" s="2" t="str">
        <f>IFERROR(__xludf.DUMMYFUNCTION("""COMPUTED_VALUE"""),"전병 말아요~")</f>
        <v>전병 말아요~</v>
      </c>
      <c r="B4785" s="2" t="str">
        <f>IFERROR(__xludf.DUMMYFUNCTION("""COMPUTED_VALUE"""),"깨")</f>
        <v>깨</v>
      </c>
    </row>
    <row r="4786">
      <c r="A4786" s="2" t="str">
        <f>IFERROR(__xludf.DUMMYFUNCTION("""COMPUTED_VALUE"""),"톰얌킹")</f>
        <v>톰얌킹</v>
      </c>
      <c r="B4786" s="2" t="str">
        <f>IFERROR(__xludf.DUMMYFUNCTION("""COMPUTED_VALUE"""),"찌개용 게")</f>
        <v>찌개용 게</v>
      </c>
    </row>
    <row r="4787">
      <c r="A4787" s="2" t="str">
        <f>IFERROR(__xludf.DUMMYFUNCTION("""COMPUTED_VALUE"""),"톰얌킹")</f>
        <v>톰얌킹</v>
      </c>
      <c r="B4787" s="2" t="str">
        <f>IFERROR(__xludf.DUMMYFUNCTION("""COMPUTED_VALUE"""),"생강")</f>
        <v>생강</v>
      </c>
    </row>
    <row r="4788">
      <c r="A4788" s="2" t="str">
        <f>IFERROR(__xludf.DUMMYFUNCTION("""COMPUTED_VALUE"""),"톰얌킹")</f>
        <v>톰얌킹</v>
      </c>
      <c r="B4788" s="2" t="str">
        <f>IFERROR(__xludf.DUMMYFUNCTION("""COMPUTED_VALUE"""),"천도복숭아")</f>
        <v>천도복숭아</v>
      </c>
    </row>
    <row r="4789">
      <c r="A4789" s="2" t="str">
        <f>IFERROR(__xludf.DUMMYFUNCTION("""COMPUTED_VALUE"""),"톰얌킹")</f>
        <v>톰얌킹</v>
      </c>
      <c r="B4789" s="2" t="str">
        <f>IFERROR(__xludf.DUMMYFUNCTION("""COMPUTED_VALUE"""),"토마토소스")</f>
        <v>토마토소스</v>
      </c>
    </row>
    <row r="4790">
      <c r="A4790" s="2" t="str">
        <f>IFERROR(__xludf.DUMMYFUNCTION("""COMPUTED_VALUE"""),"톰얌킹")</f>
        <v>톰얌킹</v>
      </c>
      <c r="B4790" s="2" t="str">
        <f>IFERROR(__xludf.DUMMYFUNCTION("""COMPUTED_VALUE"""),"사테소스")</f>
        <v>사테소스</v>
      </c>
    </row>
    <row r="4791">
      <c r="A4791" s="2" t="str">
        <f>IFERROR(__xludf.DUMMYFUNCTION("""COMPUTED_VALUE"""),"톰얌킹")</f>
        <v>톰얌킹</v>
      </c>
      <c r="B4791" s="2" t="str">
        <f>IFERROR(__xludf.DUMMYFUNCTION("""COMPUTED_VALUE"""),"새우")</f>
        <v>새우</v>
      </c>
    </row>
    <row r="4792">
      <c r="A4792" s="2" t="str">
        <f>IFERROR(__xludf.DUMMYFUNCTION("""COMPUTED_VALUE"""),"톰얌킹")</f>
        <v>톰얌킹</v>
      </c>
      <c r="B4792" s="2" t="str">
        <f>IFERROR(__xludf.DUMMYFUNCTION("""COMPUTED_VALUE"""),"데친 관자")</f>
        <v>데친 관자</v>
      </c>
    </row>
    <row r="4793">
      <c r="A4793" s="2" t="str">
        <f>IFERROR(__xludf.DUMMYFUNCTION("""COMPUTED_VALUE"""),"톰얌킹")</f>
        <v>톰얌킹</v>
      </c>
      <c r="B4793" s="2" t="str">
        <f>IFERROR(__xludf.DUMMYFUNCTION("""COMPUTED_VALUE"""),"데친 소라")</f>
        <v>데친 소라</v>
      </c>
    </row>
    <row r="4794">
      <c r="A4794" s="2" t="str">
        <f>IFERROR(__xludf.DUMMYFUNCTION("""COMPUTED_VALUE"""),"톰얌킹")</f>
        <v>톰얌킹</v>
      </c>
      <c r="B4794" s="2" t="str">
        <f>IFERROR(__xludf.DUMMYFUNCTION("""COMPUTED_VALUE"""),"포토벨로 버섯")</f>
        <v>포토벨로 버섯</v>
      </c>
    </row>
    <row r="4795">
      <c r="A4795" s="2" t="str">
        <f>IFERROR(__xludf.DUMMYFUNCTION("""COMPUTED_VALUE"""),"톰얌킹")</f>
        <v>톰얌킹</v>
      </c>
      <c r="B4795" s="2" t="str">
        <f>IFERROR(__xludf.DUMMYFUNCTION("""COMPUTED_VALUE"""),"참타리 버섯")</f>
        <v>참타리 버섯</v>
      </c>
    </row>
    <row r="4796">
      <c r="A4796" s="2" t="str">
        <f>IFERROR(__xludf.DUMMYFUNCTION("""COMPUTED_VALUE"""),"톰얌킹")</f>
        <v>톰얌킹</v>
      </c>
      <c r="B4796" s="2" t="str">
        <f>IFERROR(__xludf.DUMMYFUNCTION("""COMPUTED_VALUE"""),"프릭키누")</f>
        <v>프릭키누</v>
      </c>
    </row>
    <row r="4797">
      <c r="A4797" s="2" t="str">
        <f>IFERROR(__xludf.DUMMYFUNCTION("""COMPUTED_VALUE"""),"톰얌킹")</f>
        <v>톰얌킹</v>
      </c>
      <c r="B4797" s="2" t="str">
        <f>IFERROR(__xludf.DUMMYFUNCTION("""COMPUTED_VALUE"""),"크러시드 칠리")</f>
        <v>크러시드 칠리</v>
      </c>
    </row>
    <row r="4798">
      <c r="A4798" s="2" t="str">
        <f>IFERROR(__xludf.DUMMYFUNCTION("""COMPUTED_VALUE"""),"톰얌킹")</f>
        <v>톰얌킹</v>
      </c>
      <c r="B4798" s="2" t="str">
        <f>IFERROR(__xludf.DUMMYFUNCTION("""COMPUTED_VALUE"""),"토마토주스")</f>
        <v>토마토주스</v>
      </c>
    </row>
    <row r="4799">
      <c r="A4799" s="2" t="str">
        <f>IFERROR(__xludf.DUMMYFUNCTION("""COMPUTED_VALUE"""),"톰얌킹")</f>
        <v>톰얌킹</v>
      </c>
      <c r="B4799" s="2" t="str">
        <f>IFERROR(__xludf.DUMMYFUNCTION("""COMPUTED_VALUE"""),"베트남 매운 간장")</f>
        <v>베트남 매운 간장</v>
      </c>
    </row>
    <row r="4800">
      <c r="A4800" s="2" t="str">
        <f>IFERROR(__xludf.DUMMYFUNCTION("""COMPUTED_VALUE"""),"톰얌킹")</f>
        <v>톰얌킹</v>
      </c>
      <c r="B4800" s="2" t="str">
        <f>IFERROR(__xludf.DUMMYFUNCTION("""COMPUTED_VALUE"""),"아몬드우유")</f>
        <v>아몬드우유</v>
      </c>
    </row>
    <row r="4801">
      <c r="A4801" s="2" t="str">
        <f>IFERROR(__xludf.DUMMYFUNCTION("""COMPUTED_VALUE"""),"톰얌킹")</f>
        <v>톰얌킹</v>
      </c>
      <c r="B4801" s="2" t="str">
        <f>IFERROR(__xludf.DUMMYFUNCTION("""COMPUTED_VALUE"""),"피시소스")</f>
        <v>피시소스</v>
      </c>
    </row>
    <row r="4802">
      <c r="A4802" s="2" t="str">
        <f>IFERROR(__xludf.DUMMYFUNCTION("""COMPUTED_VALUE"""),"톰얌킹")</f>
        <v>톰얌킹</v>
      </c>
      <c r="B4802" s="2" t="str">
        <f>IFERROR(__xludf.DUMMYFUNCTION("""COMPUTED_VALUE"""),"데친 관자")</f>
        <v>데친 관자</v>
      </c>
    </row>
    <row r="4803">
      <c r="A4803" s="2" t="str">
        <f>IFERROR(__xludf.DUMMYFUNCTION("""COMPUTED_VALUE"""),"톰얌킹")</f>
        <v>톰얌킹</v>
      </c>
      <c r="B4803" s="2" t="str">
        <f>IFERROR(__xludf.DUMMYFUNCTION("""COMPUTED_VALUE"""),"데친 소라")</f>
        <v>데친 소라</v>
      </c>
    </row>
    <row r="4804">
      <c r="A4804" s="2" t="str">
        <f>IFERROR(__xludf.DUMMYFUNCTION("""COMPUTED_VALUE"""),"톰얌킹")</f>
        <v>톰얌킹</v>
      </c>
      <c r="B4804" s="2" t="str">
        <f>IFERROR(__xludf.DUMMYFUNCTION("""COMPUTED_VALUE"""),"고수")</f>
        <v>고수</v>
      </c>
    </row>
    <row r="4805">
      <c r="A4805" s="2" t="str">
        <f>IFERROR(__xludf.DUMMYFUNCTION("""COMPUTED_VALUE"""),"톰얌킹")</f>
        <v>톰얌킹</v>
      </c>
      <c r="B4805" s="2" t="str">
        <f>IFERROR(__xludf.DUMMYFUNCTION("""COMPUTED_VALUE"""),"레몬")</f>
        <v>레몬</v>
      </c>
    </row>
    <row r="4806">
      <c r="A4806" s="2" t="str">
        <f>IFERROR(__xludf.DUMMYFUNCTION("""COMPUTED_VALUE"""),"톰얌킹")</f>
        <v>톰얌킹</v>
      </c>
      <c r="B4806" s="2" t="str">
        <f>IFERROR(__xludf.DUMMYFUNCTION("""COMPUTED_VALUE"""),"소금")</f>
        <v>소금</v>
      </c>
    </row>
    <row r="4807">
      <c r="A4807" s="2" t="str">
        <f>IFERROR(__xludf.DUMMYFUNCTION("""COMPUTED_VALUE"""),"톰얌의 고수")</f>
        <v>톰얌의 고수</v>
      </c>
      <c r="B4807" s="2" t="str">
        <f>IFERROR(__xludf.DUMMYFUNCTION("""COMPUTED_VALUE"""),"창난젓")</f>
        <v>창난젓</v>
      </c>
    </row>
    <row r="4808">
      <c r="A4808" s="2" t="str">
        <f>IFERROR(__xludf.DUMMYFUNCTION("""COMPUTED_VALUE"""),"톰얌의 고수")</f>
        <v>톰얌의 고수</v>
      </c>
      <c r="B4808" s="2" t="str">
        <f>IFERROR(__xludf.DUMMYFUNCTION("""COMPUTED_VALUE"""),"소주")</f>
        <v>소주</v>
      </c>
    </row>
    <row r="4809">
      <c r="A4809" s="2" t="str">
        <f>IFERROR(__xludf.DUMMYFUNCTION("""COMPUTED_VALUE"""),"톰얌의 고수")</f>
        <v>톰얌의 고수</v>
      </c>
      <c r="B4809" s="2" t="str">
        <f>IFERROR(__xludf.DUMMYFUNCTION("""COMPUTED_VALUE"""),"황태포")</f>
        <v>황태포</v>
      </c>
    </row>
    <row r="4810">
      <c r="A4810" s="2" t="str">
        <f>IFERROR(__xludf.DUMMYFUNCTION("""COMPUTED_VALUE"""),"톰얌의 고수")</f>
        <v>톰얌의 고수</v>
      </c>
      <c r="B4810" s="2" t="str">
        <f>IFERROR(__xludf.DUMMYFUNCTION("""COMPUTED_VALUE"""),"해물다시팩")</f>
        <v>해물다시팩</v>
      </c>
    </row>
    <row r="4811">
      <c r="A4811" s="2" t="str">
        <f>IFERROR(__xludf.DUMMYFUNCTION("""COMPUTED_VALUE"""),"톰얌의 고수")</f>
        <v>톰얌의 고수</v>
      </c>
      <c r="B4811" s="2" t="str">
        <f>IFERROR(__xludf.DUMMYFUNCTION("""COMPUTED_VALUE"""),"베이컨")</f>
        <v>베이컨</v>
      </c>
    </row>
    <row r="4812">
      <c r="A4812" s="2" t="str">
        <f>IFERROR(__xludf.DUMMYFUNCTION("""COMPUTED_VALUE"""),"톰얌의 고수")</f>
        <v>톰얌의 고수</v>
      </c>
      <c r="B4812" s="2" t="str">
        <f>IFERROR(__xludf.DUMMYFUNCTION("""COMPUTED_VALUE"""),"사테소스")</f>
        <v>사테소스</v>
      </c>
    </row>
    <row r="4813">
      <c r="A4813" s="2" t="str">
        <f>IFERROR(__xludf.DUMMYFUNCTION("""COMPUTED_VALUE"""),"톰얌의 고수")</f>
        <v>톰얌의 고수</v>
      </c>
      <c r="B4813" s="2" t="str">
        <f>IFERROR(__xludf.DUMMYFUNCTION("""COMPUTED_VALUE"""),"베트남 매운 간장")</f>
        <v>베트남 매운 간장</v>
      </c>
    </row>
    <row r="4814">
      <c r="A4814" s="2" t="str">
        <f>IFERROR(__xludf.DUMMYFUNCTION("""COMPUTED_VALUE"""),"톰얌의 고수")</f>
        <v>톰얌의 고수</v>
      </c>
      <c r="B4814" s="2" t="str">
        <f>IFERROR(__xludf.DUMMYFUNCTION("""COMPUTED_VALUE"""),"프릭키누")</f>
        <v>프릭키누</v>
      </c>
    </row>
    <row r="4815">
      <c r="A4815" s="2" t="str">
        <f>IFERROR(__xludf.DUMMYFUNCTION("""COMPUTED_VALUE"""),"톰얌의 고수")</f>
        <v>톰얌의 고수</v>
      </c>
      <c r="B4815" s="2" t="str">
        <f>IFERROR(__xludf.DUMMYFUNCTION("""COMPUTED_VALUE"""),"애호박")</f>
        <v>애호박</v>
      </c>
    </row>
    <row r="4816">
      <c r="A4816" s="2" t="str">
        <f>IFERROR(__xludf.DUMMYFUNCTION("""COMPUTED_VALUE"""),"톰얌의 고수")</f>
        <v>톰얌의 고수</v>
      </c>
      <c r="B4816" s="2" t="str">
        <f>IFERROR(__xludf.DUMMYFUNCTION("""COMPUTED_VALUE"""),"찌개용 게")</f>
        <v>찌개용 게</v>
      </c>
    </row>
    <row r="4817">
      <c r="A4817" s="2" t="str">
        <f>IFERROR(__xludf.DUMMYFUNCTION("""COMPUTED_VALUE"""),"톰얌의 고수")</f>
        <v>톰얌의 고수</v>
      </c>
      <c r="B4817" s="2" t="str">
        <f>IFERROR(__xludf.DUMMYFUNCTION("""COMPUTED_VALUE"""),"새우")</f>
        <v>새우</v>
      </c>
    </row>
    <row r="4818">
      <c r="A4818" s="2" t="str">
        <f>IFERROR(__xludf.DUMMYFUNCTION("""COMPUTED_VALUE"""),"톰얌의 고수")</f>
        <v>톰얌의 고수</v>
      </c>
      <c r="B4818" s="2" t="str">
        <f>IFERROR(__xludf.DUMMYFUNCTION("""COMPUTED_VALUE"""),"포토벨로 버섯")</f>
        <v>포토벨로 버섯</v>
      </c>
    </row>
    <row r="4819">
      <c r="A4819" s="2" t="str">
        <f>IFERROR(__xludf.DUMMYFUNCTION("""COMPUTED_VALUE"""),"톰얌의 고수")</f>
        <v>톰얌의 고수</v>
      </c>
      <c r="B4819" s="2" t="str">
        <f>IFERROR(__xludf.DUMMYFUNCTION("""COMPUTED_VALUE"""),"데친 소라")</f>
        <v>데친 소라</v>
      </c>
    </row>
    <row r="4820">
      <c r="A4820" s="2" t="str">
        <f>IFERROR(__xludf.DUMMYFUNCTION("""COMPUTED_VALUE"""),"톰얌의 고수")</f>
        <v>톰얌의 고수</v>
      </c>
      <c r="B4820" s="2" t="str">
        <f>IFERROR(__xludf.DUMMYFUNCTION("""COMPUTED_VALUE"""),"데친 관자")</f>
        <v>데친 관자</v>
      </c>
    </row>
    <row r="4821">
      <c r="A4821" s="2" t="str">
        <f>IFERROR(__xludf.DUMMYFUNCTION("""COMPUTED_VALUE"""),"톰얌의 고수")</f>
        <v>톰얌의 고수</v>
      </c>
      <c r="B4821" s="2" t="str">
        <f>IFERROR(__xludf.DUMMYFUNCTION("""COMPUTED_VALUE"""),"된장")</f>
        <v>된장</v>
      </c>
    </row>
    <row r="4822">
      <c r="A4822" s="2" t="str">
        <f>IFERROR(__xludf.DUMMYFUNCTION("""COMPUTED_VALUE"""),"톰얌의 고수")</f>
        <v>톰얌의 고수</v>
      </c>
      <c r="B4822" s="2" t="str">
        <f>IFERROR(__xludf.DUMMYFUNCTION("""COMPUTED_VALUE"""),"고수")</f>
        <v>고수</v>
      </c>
    </row>
    <row r="4823">
      <c r="A4823" s="2" t="str">
        <f>IFERROR(__xludf.DUMMYFUNCTION("""COMPUTED_VALUE"""),"톰얌의 고수")</f>
        <v>톰얌의 고수</v>
      </c>
      <c r="B4823" s="2" t="str">
        <f>IFERROR(__xludf.DUMMYFUNCTION("""COMPUTED_VALUE"""),"다진 마늘")</f>
        <v>다진 마늘</v>
      </c>
    </row>
    <row r="4824">
      <c r="A4824" s="2" t="str">
        <f>IFERROR(__xludf.DUMMYFUNCTION("""COMPUTED_VALUE"""),"톰얌의 고수")</f>
        <v>톰얌의 고수</v>
      </c>
      <c r="B4824" s="2" t="str">
        <f>IFERROR(__xludf.DUMMYFUNCTION("""COMPUTED_VALUE"""),"다진 생강")</f>
        <v>다진 생강</v>
      </c>
    </row>
    <row r="4825">
      <c r="A4825" s="2" t="str">
        <f>IFERROR(__xludf.DUMMYFUNCTION("""COMPUTED_VALUE"""),"톰얌의 고수")</f>
        <v>톰얌의 고수</v>
      </c>
      <c r="B4825" s="2" t="str">
        <f>IFERROR(__xludf.DUMMYFUNCTION("""COMPUTED_VALUE"""),"레몬")</f>
        <v>레몬</v>
      </c>
    </row>
    <row r="4826">
      <c r="A4826" s="2" t="str">
        <f>IFERROR(__xludf.DUMMYFUNCTION("""COMPUTED_VALUE"""),"톰얌의 고수")</f>
        <v>톰얌의 고수</v>
      </c>
      <c r="B4826" s="2" t="str">
        <f>IFERROR(__xludf.DUMMYFUNCTION("""COMPUTED_VALUE"""),"마늘")</f>
        <v>마늘</v>
      </c>
    </row>
    <row r="4827">
      <c r="A4827" s="2" t="str">
        <f>IFERROR(__xludf.DUMMYFUNCTION("""COMPUTED_VALUE"""),"톰얌의 고수")</f>
        <v>톰얌의 고수</v>
      </c>
      <c r="B4827" s="2" t="str">
        <f>IFERROR(__xludf.DUMMYFUNCTION("""COMPUTED_VALUE"""),"양파")</f>
        <v>양파</v>
      </c>
    </row>
    <row r="4828">
      <c r="A4828" s="2" t="str">
        <f>IFERROR(__xludf.DUMMYFUNCTION("""COMPUTED_VALUE"""),"톰얌의 고수")</f>
        <v>톰얌의 고수</v>
      </c>
      <c r="B4828" s="2" t="str">
        <f>IFERROR(__xludf.DUMMYFUNCTION("""COMPUTED_VALUE"""),"대파")</f>
        <v>대파</v>
      </c>
    </row>
    <row r="4829">
      <c r="A4829" s="2" t="str">
        <f>IFERROR(__xludf.DUMMYFUNCTION("""COMPUTED_VALUE"""),"톰얌의 고수")</f>
        <v>톰얌의 고수</v>
      </c>
      <c r="B4829" s="2" t="str">
        <f>IFERROR(__xludf.DUMMYFUNCTION("""COMPUTED_VALUE"""),"즉석밥")</f>
        <v>즉석밥</v>
      </c>
    </row>
    <row r="4830">
      <c r="A4830" s="2" t="str">
        <f>IFERROR(__xludf.DUMMYFUNCTION("""COMPUTED_VALUE"""),"바쥐락펴락")</f>
        <v>바쥐락펴락</v>
      </c>
      <c r="B4830" s="2" t="str">
        <f>IFERROR(__xludf.DUMMYFUNCTION("""COMPUTED_VALUE"""),"바지락")</f>
        <v>바지락</v>
      </c>
    </row>
    <row r="4831">
      <c r="A4831" s="2" t="str">
        <f>IFERROR(__xludf.DUMMYFUNCTION("""COMPUTED_VALUE"""),"바쥐락펴락")</f>
        <v>바쥐락펴락</v>
      </c>
      <c r="B4831" s="2" t="str">
        <f>IFERROR(__xludf.DUMMYFUNCTION("""COMPUTED_VALUE"""),"달걀")</f>
        <v>달걀</v>
      </c>
    </row>
    <row r="4832">
      <c r="A4832" s="2" t="str">
        <f>IFERROR(__xludf.DUMMYFUNCTION("""COMPUTED_VALUE"""),"바쥐락펴락")</f>
        <v>바쥐락펴락</v>
      </c>
      <c r="B4832" s="2" t="str">
        <f>IFERROR(__xludf.DUMMYFUNCTION("""COMPUTED_VALUE"""),"라면스프")</f>
        <v>라면스프</v>
      </c>
    </row>
    <row r="4833">
      <c r="A4833" s="2" t="str">
        <f>IFERROR(__xludf.DUMMYFUNCTION("""COMPUTED_VALUE"""),"바쥐락펴락")</f>
        <v>바쥐락펴락</v>
      </c>
      <c r="B4833" s="2" t="str">
        <f>IFERROR(__xludf.DUMMYFUNCTION("""COMPUTED_VALUE"""),"전분")</f>
        <v>전분</v>
      </c>
    </row>
    <row r="4834">
      <c r="A4834" s="2" t="str">
        <f>IFERROR(__xludf.DUMMYFUNCTION("""COMPUTED_VALUE"""),"바쥐락펴락")</f>
        <v>바쥐락펴락</v>
      </c>
      <c r="B4834" s="2" t="str">
        <f>IFERROR(__xludf.DUMMYFUNCTION("""COMPUTED_VALUE"""),"마요네즈")</f>
        <v>마요네즈</v>
      </c>
    </row>
    <row r="4835">
      <c r="A4835" s="2" t="str">
        <f>IFERROR(__xludf.DUMMYFUNCTION("""COMPUTED_VALUE"""),"바쥐락펴락")</f>
        <v>바쥐락펴락</v>
      </c>
      <c r="B4835" s="2" t="str">
        <f>IFERROR(__xludf.DUMMYFUNCTION("""COMPUTED_VALUE"""),"레몬")</f>
        <v>레몬</v>
      </c>
    </row>
    <row r="4836">
      <c r="A4836" s="2" t="str">
        <f>IFERROR(__xludf.DUMMYFUNCTION("""COMPUTED_VALUE"""),"일탈 닭돼지락")</f>
        <v>일탈 닭돼지락</v>
      </c>
      <c r="B4836" s="2" t="str">
        <f>IFERROR(__xludf.DUMMYFUNCTION("""COMPUTED_VALUE"""),"바지락")</f>
        <v>바지락</v>
      </c>
    </row>
    <row r="4837">
      <c r="A4837" s="2" t="str">
        <f>IFERROR(__xludf.DUMMYFUNCTION("""COMPUTED_VALUE"""),"일탈 닭돼지락")</f>
        <v>일탈 닭돼지락</v>
      </c>
      <c r="B4837" s="2" t="str">
        <f>IFERROR(__xludf.DUMMYFUNCTION("""COMPUTED_VALUE"""),"프라이드치킨")</f>
        <v>프라이드치킨</v>
      </c>
    </row>
    <row r="4838">
      <c r="A4838" s="2" t="str">
        <f>IFERROR(__xludf.DUMMYFUNCTION("""COMPUTED_VALUE"""),"일탈 닭돼지락")</f>
        <v>일탈 닭돼지락</v>
      </c>
      <c r="B4838" s="2" t="str">
        <f>IFERROR(__xludf.DUMMYFUNCTION("""COMPUTED_VALUE"""),"삼겹살")</f>
        <v>삼겹살</v>
      </c>
    </row>
    <row r="4839">
      <c r="A4839" s="2" t="str">
        <f>IFERROR(__xludf.DUMMYFUNCTION("""COMPUTED_VALUE"""),"일탈 닭돼지락")</f>
        <v>일탈 닭돼지락</v>
      </c>
      <c r="B4839" s="2" t="str">
        <f>IFERROR(__xludf.DUMMYFUNCTION("""COMPUTED_VALUE"""),"콩나물")</f>
        <v>콩나물</v>
      </c>
    </row>
    <row r="4840">
      <c r="A4840" s="2" t="str">
        <f>IFERROR(__xludf.DUMMYFUNCTION("""COMPUTED_VALUE"""),"일탈 닭돼지락")</f>
        <v>일탈 닭돼지락</v>
      </c>
      <c r="B4840" s="2" t="str">
        <f>IFERROR(__xludf.DUMMYFUNCTION("""COMPUTED_VALUE"""),"김가루")</f>
        <v>김가루</v>
      </c>
    </row>
    <row r="4841">
      <c r="A4841" s="2" t="str">
        <f>IFERROR(__xludf.DUMMYFUNCTION("""COMPUTED_VALUE"""),"일탈 닭돼지락")</f>
        <v>일탈 닭돼지락</v>
      </c>
      <c r="B4841" s="2" t="str">
        <f>IFERROR(__xludf.DUMMYFUNCTION("""COMPUTED_VALUE"""),"대파")</f>
        <v>대파</v>
      </c>
    </row>
    <row r="4842">
      <c r="A4842" s="2" t="str">
        <f>IFERROR(__xludf.DUMMYFUNCTION("""COMPUTED_VALUE"""),"일탈 닭돼지락")</f>
        <v>일탈 닭돼지락</v>
      </c>
      <c r="B4842" s="2" t="str">
        <f>IFERROR(__xludf.DUMMYFUNCTION("""COMPUTED_VALUE"""),"마늘")</f>
        <v>마늘</v>
      </c>
    </row>
    <row r="4843">
      <c r="A4843" s="2" t="str">
        <f>IFERROR(__xludf.DUMMYFUNCTION("""COMPUTED_VALUE"""),"일탈 닭돼지락")</f>
        <v>일탈 닭돼지락</v>
      </c>
      <c r="B4843" s="2" t="str">
        <f>IFERROR(__xludf.DUMMYFUNCTION("""COMPUTED_VALUE"""),"청양고추")</f>
        <v>청양고추</v>
      </c>
    </row>
    <row r="4844">
      <c r="A4844" s="2" t="str">
        <f>IFERROR(__xludf.DUMMYFUNCTION("""COMPUTED_VALUE"""),"일탈 닭돼지락")</f>
        <v>일탈 닭돼지락</v>
      </c>
      <c r="B4844" s="2" t="str">
        <f>IFERROR(__xludf.DUMMYFUNCTION("""COMPUTED_VALUE"""),"레몬")</f>
        <v>레몬</v>
      </c>
    </row>
    <row r="4845">
      <c r="A4845" s="2" t="str">
        <f>IFERROR(__xludf.DUMMYFUNCTION("""COMPUTED_VALUE"""),"일탈 닭돼지락")</f>
        <v>일탈 닭돼지락</v>
      </c>
      <c r="B4845" s="2" t="str">
        <f>IFERROR(__xludf.DUMMYFUNCTION("""COMPUTED_VALUE"""),"다진 생강")</f>
        <v>다진 생강</v>
      </c>
    </row>
    <row r="4846">
      <c r="A4846" s="2" t="str">
        <f>IFERROR(__xludf.DUMMYFUNCTION("""COMPUTED_VALUE"""),"일탈 닭돼지락")</f>
        <v>일탈 닭돼지락</v>
      </c>
      <c r="B4846" s="2" t="str">
        <f>IFERROR(__xludf.DUMMYFUNCTION("""COMPUTED_VALUE"""),"청주")</f>
        <v>청주</v>
      </c>
    </row>
    <row r="4847">
      <c r="A4847" s="2" t="str">
        <f>IFERROR(__xludf.DUMMYFUNCTION("""COMPUTED_VALUE"""),"일탈 닭돼지락")</f>
        <v>일탈 닭돼지락</v>
      </c>
      <c r="B4847" s="2" t="str">
        <f>IFERROR(__xludf.DUMMYFUNCTION("""COMPUTED_VALUE"""),"간장")</f>
        <v>간장</v>
      </c>
    </row>
    <row r="4848">
      <c r="A4848" s="2" t="str">
        <f>IFERROR(__xludf.DUMMYFUNCTION("""COMPUTED_VALUE"""),"일탈 닭돼지락")</f>
        <v>일탈 닭돼지락</v>
      </c>
      <c r="B4848" s="2" t="str">
        <f>IFERROR(__xludf.DUMMYFUNCTION("""COMPUTED_VALUE"""),"즉석밥")</f>
        <v>즉석밥</v>
      </c>
    </row>
    <row r="4849">
      <c r="A4849" s="2" t="str">
        <f>IFERROR(__xludf.DUMMYFUNCTION("""COMPUTED_VALUE"""),"에그머니나")</f>
        <v>에그머니나</v>
      </c>
      <c r="B4849" s="2" t="str">
        <f>IFERROR(__xludf.DUMMYFUNCTION("""COMPUTED_VALUE"""),"달걀")</f>
        <v>달걀</v>
      </c>
    </row>
    <row r="4850">
      <c r="A4850" s="2" t="str">
        <f>IFERROR(__xludf.DUMMYFUNCTION("""COMPUTED_VALUE"""),"에그머니나")</f>
        <v>에그머니나</v>
      </c>
      <c r="B4850" s="2" t="str">
        <f>IFERROR(__xludf.DUMMYFUNCTION("""COMPUTED_VALUE"""),"고추참치")</f>
        <v>고추참치</v>
      </c>
    </row>
    <row r="4851">
      <c r="A4851" s="2" t="str">
        <f>IFERROR(__xludf.DUMMYFUNCTION("""COMPUTED_VALUE"""),"에그머니나")</f>
        <v>에그머니나</v>
      </c>
      <c r="B4851" s="2" t="str">
        <f>IFERROR(__xludf.DUMMYFUNCTION("""COMPUTED_VALUE"""),"바지락")</f>
        <v>바지락</v>
      </c>
    </row>
    <row r="4852">
      <c r="A4852" s="2" t="str">
        <f>IFERROR(__xludf.DUMMYFUNCTION("""COMPUTED_VALUE"""),"에그머니나")</f>
        <v>에그머니나</v>
      </c>
      <c r="B4852" s="2" t="str">
        <f>IFERROR(__xludf.DUMMYFUNCTION("""COMPUTED_VALUE"""),"우유")</f>
        <v>우유</v>
      </c>
    </row>
    <row r="4853">
      <c r="A4853" s="2" t="str">
        <f>IFERROR(__xludf.DUMMYFUNCTION("""COMPUTED_VALUE"""),"에그머니나")</f>
        <v>에그머니나</v>
      </c>
      <c r="B4853" s="2" t="str">
        <f>IFERROR(__xludf.DUMMYFUNCTION("""COMPUTED_VALUE"""),"양파")</f>
        <v>양파</v>
      </c>
    </row>
    <row r="4854">
      <c r="A4854" s="2" t="str">
        <f>IFERROR(__xludf.DUMMYFUNCTION("""COMPUTED_VALUE"""),"에그머니나")</f>
        <v>에그머니나</v>
      </c>
      <c r="B4854" s="2" t="str">
        <f>IFERROR(__xludf.DUMMYFUNCTION("""COMPUTED_VALUE"""),"마늘")</f>
        <v>마늘</v>
      </c>
    </row>
    <row r="4855">
      <c r="A4855" s="2" t="str">
        <f>IFERROR(__xludf.DUMMYFUNCTION("""COMPUTED_VALUE"""),"에그머니나")</f>
        <v>에그머니나</v>
      </c>
      <c r="B4855" s="2" t="str">
        <f>IFERROR(__xludf.DUMMYFUNCTION("""COMPUTED_VALUE"""),"대파")</f>
        <v>대파</v>
      </c>
    </row>
    <row r="4856">
      <c r="A4856" s="2" t="str">
        <f>IFERROR(__xludf.DUMMYFUNCTION("""COMPUTED_VALUE"""),"에그머니나")</f>
        <v>에그머니나</v>
      </c>
      <c r="B4856" s="2" t="str">
        <f>IFERROR(__xludf.DUMMYFUNCTION("""COMPUTED_VALUE"""),"화이트와인")</f>
        <v>화이트와인</v>
      </c>
    </row>
    <row r="4857">
      <c r="A4857" s="2" t="str">
        <f>IFERROR(__xludf.DUMMYFUNCTION("""COMPUTED_VALUE"""),"에그머니나")</f>
        <v>에그머니나</v>
      </c>
      <c r="B4857" s="2" t="str">
        <f>IFERROR(__xludf.DUMMYFUNCTION("""COMPUTED_VALUE"""),"소금")</f>
        <v>소금</v>
      </c>
    </row>
    <row r="4858">
      <c r="A4858" s="2" t="str">
        <f>IFERROR(__xludf.DUMMYFUNCTION("""COMPUTED_VALUE"""),"에그머니나")</f>
        <v>에그머니나</v>
      </c>
      <c r="B4858" s="2" t="str">
        <f>IFERROR(__xludf.DUMMYFUNCTION("""COMPUTED_VALUE"""),"버터")</f>
        <v>버터</v>
      </c>
    </row>
    <row r="4859">
      <c r="A4859" s="2" t="str">
        <f>IFERROR(__xludf.DUMMYFUNCTION("""COMPUTED_VALUE"""),"에그머니나")</f>
        <v>에그머니나</v>
      </c>
      <c r="B4859" s="2" t="str">
        <f>IFERROR(__xludf.DUMMYFUNCTION("""COMPUTED_VALUE"""),"고춧가루")</f>
        <v>고춧가루</v>
      </c>
    </row>
    <row r="4860">
      <c r="A4860" s="2" t="str">
        <f>IFERROR(__xludf.DUMMYFUNCTION("""COMPUTED_VALUE"""),"에그머니나")</f>
        <v>에그머니나</v>
      </c>
      <c r="B4860" s="2" t="str">
        <f>IFERROR(__xludf.DUMMYFUNCTION("""COMPUTED_VALUE"""),"후추")</f>
        <v>후추</v>
      </c>
    </row>
    <row r="4861">
      <c r="A4861" s="2" t="str">
        <f>IFERROR(__xludf.DUMMYFUNCTION("""COMPUTED_VALUE"""),"달걀의 대시")</f>
        <v>달걀의 대시</v>
      </c>
      <c r="B4861" s="2" t="str">
        <f>IFERROR(__xludf.DUMMYFUNCTION("""COMPUTED_VALUE"""),"달걀")</f>
        <v>달걀</v>
      </c>
    </row>
    <row r="4862">
      <c r="A4862" s="2" t="str">
        <f>IFERROR(__xludf.DUMMYFUNCTION("""COMPUTED_VALUE"""),"달걀의 대시")</f>
        <v>달걀의 대시</v>
      </c>
      <c r="B4862" s="2" t="str">
        <f>IFERROR(__xludf.DUMMYFUNCTION("""COMPUTED_VALUE"""),"바지락")</f>
        <v>바지락</v>
      </c>
    </row>
    <row r="4863">
      <c r="A4863" s="2" t="str">
        <f>IFERROR(__xludf.DUMMYFUNCTION("""COMPUTED_VALUE"""),"달걀의 대시")</f>
        <v>달걀의 대시</v>
      </c>
      <c r="B4863" s="2" t="str">
        <f>IFERROR(__xludf.DUMMYFUNCTION("""COMPUTED_VALUE"""),"김가루")</f>
        <v>김가루</v>
      </c>
    </row>
    <row r="4864">
      <c r="A4864" s="2" t="str">
        <f>IFERROR(__xludf.DUMMYFUNCTION("""COMPUTED_VALUE"""),"달걀의 대시")</f>
        <v>달걀의 대시</v>
      </c>
      <c r="B4864" s="2" t="str">
        <f>IFERROR(__xludf.DUMMYFUNCTION("""COMPUTED_VALUE"""),"마늘")</f>
        <v>마늘</v>
      </c>
    </row>
    <row r="4865">
      <c r="A4865" s="2" t="str">
        <f>IFERROR(__xludf.DUMMYFUNCTION("""COMPUTED_VALUE"""),"달걀의 대시")</f>
        <v>달걀의 대시</v>
      </c>
      <c r="B4865" s="2" t="str">
        <f>IFERROR(__xludf.DUMMYFUNCTION("""COMPUTED_VALUE"""),"대파")</f>
        <v>대파</v>
      </c>
    </row>
    <row r="4866">
      <c r="A4866" s="2" t="str">
        <f>IFERROR(__xludf.DUMMYFUNCTION("""COMPUTED_VALUE"""),"달걀의 대시")</f>
        <v>달걀의 대시</v>
      </c>
      <c r="B4866" s="2" t="str">
        <f>IFERROR(__xludf.DUMMYFUNCTION("""COMPUTED_VALUE"""),"청주")</f>
        <v>청주</v>
      </c>
    </row>
    <row r="4867">
      <c r="A4867" s="2" t="str">
        <f>IFERROR(__xludf.DUMMYFUNCTION("""COMPUTED_VALUE"""),"달걀의 대시")</f>
        <v>달걀의 대시</v>
      </c>
      <c r="B4867" s="2" t="str">
        <f>IFERROR(__xludf.DUMMYFUNCTION("""COMPUTED_VALUE"""),"맛술")</f>
        <v>맛술</v>
      </c>
    </row>
    <row r="4868">
      <c r="A4868" s="2" t="str">
        <f>IFERROR(__xludf.DUMMYFUNCTION("""COMPUTED_VALUE"""),"달걀의 대시")</f>
        <v>달걀의 대시</v>
      </c>
      <c r="B4868" s="2" t="str">
        <f>IFERROR(__xludf.DUMMYFUNCTION("""COMPUTED_VALUE"""),"간장")</f>
        <v>간장</v>
      </c>
    </row>
    <row r="4869">
      <c r="A4869" s="2" t="str">
        <f>IFERROR(__xludf.DUMMYFUNCTION("""COMPUTED_VALUE"""),"달걀의 대시")</f>
        <v>달걀의 대시</v>
      </c>
      <c r="B4869" s="2" t="str">
        <f>IFERROR(__xludf.DUMMYFUNCTION("""COMPUTED_VALUE"""),"소금")</f>
        <v>소금</v>
      </c>
    </row>
    <row r="4870">
      <c r="A4870" s="2" t="str">
        <f>IFERROR(__xludf.DUMMYFUNCTION("""COMPUTED_VALUE"""),"달걀의 대시")</f>
        <v>달걀의 대시</v>
      </c>
      <c r="B4870" s="2" t="str">
        <f>IFERROR(__xludf.DUMMYFUNCTION("""COMPUTED_VALUE"""),"전분")</f>
        <v>전분</v>
      </c>
    </row>
    <row r="4871">
      <c r="A4871" s="2" t="str">
        <f>IFERROR(__xludf.DUMMYFUNCTION("""COMPUTED_VALUE"""),"달걀의 대시")</f>
        <v>달걀의 대시</v>
      </c>
      <c r="B4871" s="2" t="str">
        <f>IFERROR(__xludf.DUMMYFUNCTION("""COMPUTED_VALUE"""),"설탕")</f>
        <v>설탕</v>
      </c>
    </row>
    <row r="4872">
      <c r="A4872" s="2" t="str">
        <f>IFERROR(__xludf.DUMMYFUNCTION("""COMPUTED_VALUE"""),"데워먹고 대어 낚는 낚시요리")</f>
        <v>데워먹고 대어 낚는 낚시요리</v>
      </c>
      <c r="B4872" s="2" t="str">
        <f>IFERROR(__xludf.DUMMYFUNCTION("""COMPUTED_VALUE"""),"돼지고기")</f>
        <v>돼지고기</v>
      </c>
    </row>
    <row r="4873">
      <c r="A4873" s="2" t="str">
        <f>IFERROR(__xludf.DUMMYFUNCTION("""COMPUTED_VALUE"""),"데워먹고 대어 낚는 낚시요리")</f>
        <v>데워먹고 대어 낚는 낚시요리</v>
      </c>
      <c r="B4873" s="2" t="str">
        <f>IFERROR(__xludf.DUMMYFUNCTION("""COMPUTED_VALUE"""),"소 안심")</f>
        <v>소 안심</v>
      </c>
    </row>
    <row r="4874">
      <c r="A4874" s="2" t="str">
        <f>IFERROR(__xludf.DUMMYFUNCTION("""COMPUTED_VALUE"""),"데워먹고 대어 낚는 낚시요리")</f>
        <v>데워먹고 대어 낚는 낚시요리</v>
      </c>
      <c r="B4874" s="2" t="str">
        <f>IFERROR(__xludf.DUMMYFUNCTION("""COMPUTED_VALUE"""),"새우젓")</f>
        <v>새우젓</v>
      </c>
    </row>
    <row r="4875">
      <c r="A4875" s="2" t="str">
        <f>IFERROR(__xludf.DUMMYFUNCTION("""COMPUTED_VALUE"""),"데워먹고 대어 낚는 낚시요리")</f>
        <v>데워먹고 대어 낚는 낚시요리</v>
      </c>
      <c r="B4875" s="2" t="str">
        <f>IFERROR(__xludf.DUMMYFUNCTION("""COMPUTED_VALUE"""),"건새우")</f>
        <v>건새우</v>
      </c>
    </row>
    <row r="4876">
      <c r="A4876" s="2" t="str">
        <f>IFERROR(__xludf.DUMMYFUNCTION("""COMPUTED_VALUE"""),"데워먹고 대어 낚는 낚시요리")</f>
        <v>데워먹고 대어 낚는 낚시요리</v>
      </c>
      <c r="B4876" s="2" t="str">
        <f>IFERROR(__xludf.DUMMYFUNCTION("""COMPUTED_VALUE"""),"멸치")</f>
        <v>멸치</v>
      </c>
    </row>
    <row r="4877">
      <c r="A4877" s="2" t="str">
        <f>IFERROR(__xludf.DUMMYFUNCTION("""COMPUTED_VALUE"""),"데워먹고 대어 낚는 낚시요리")</f>
        <v>데워먹고 대어 낚는 낚시요리</v>
      </c>
      <c r="B4877" s="2" t="str">
        <f>IFERROR(__xludf.DUMMYFUNCTION("""COMPUTED_VALUE"""),"무")</f>
        <v>무</v>
      </c>
    </row>
    <row r="4878">
      <c r="A4878" s="2" t="str">
        <f>IFERROR(__xludf.DUMMYFUNCTION("""COMPUTED_VALUE"""),"데워먹고 대어 낚는 낚시요리")</f>
        <v>데워먹고 대어 낚는 낚시요리</v>
      </c>
      <c r="B4878" s="2" t="str">
        <f>IFERROR(__xludf.DUMMYFUNCTION("""COMPUTED_VALUE"""),"둥근 애호박")</f>
        <v>둥근 애호박</v>
      </c>
    </row>
    <row r="4879">
      <c r="A4879" s="2" t="str">
        <f>IFERROR(__xludf.DUMMYFUNCTION("""COMPUTED_VALUE"""),"데워먹고 대어 낚는 낚시요리")</f>
        <v>데워먹고 대어 낚는 낚시요리</v>
      </c>
      <c r="B4879" s="2" t="str">
        <f>IFERROR(__xludf.DUMMYFUNCTION("""COMPUTED_VALUE"""),"표고버섯")</f>
        <v>표고버섯</v>
      </c>
    </row>
    <row r="4880">
      <c r="A4880" s="2" t="str">
        <f>IFERROR(__xludf.DUMMYFUNCTION("""COMPUTED_VALUE"""),"데워먹고 대어 낚는 낚시요리")</f>
        <v>데워먹고 대어 낚는 낚시요리</v>
      </c>
      <c r="B4880" s="2" t="str">
        <f>IFERROR(__xludf.DUMMYFUNCTION("""COMPUTED_VALUE"""),"아로니아액")</f>
        <v>아로니아액</v>
      </c>
    </row>
    <row r="4881">
      <c r="A4881" s="2" t="str">
        <f>IFERROR(__xludf.DUMMYFUNCTION("""COMPUTED_VALUE"""),"데워먹고 대어 낚는 낚시요리")</f>
        <v>데워먹고 대어 낚는 낚시요리</v>
      </c>
      <c r="B4881" s="2" t="str">
        <f>IFERROR(__xludf.DUMMYFUNCTION("""COMPUTED_VALUE"""),"햄 통조림")</f>
        <v>햄 통조림</v>
      </c>
    </row>
    <row r="4882">
      <c r="A4882" s="2" t="str">
        <f>IFERROR(__xludf.DUMMYFUNCTION("""COMPUTED_VALUE"""),"데워먹고 대어 낚는 낚시요리")</f>
        <v>데워먹고 대어 낚는 낚시요리</v>
      </c>
      <c r="B4882" s="2" t="str">
        <f>IFERROR(__xludf.DUMMYFUNCTION("""COMPUTED_VALUE"""),"참치 통조림")</f>
        <v>참치 통조림</v>
      </c>
    </row>
    <row r="4883">
      <c r="A4883" s="2" t="str">
        <f>IFERROR(__xludf.DUMMYFUNCTION("""COMPUTED_VALUE"""),"데워먹고 대어 낚는 낚시요리")</f>
        <v>데워먹고 대어 낚는 낚시요리</v>
      </c>
      <c r="B4883" s="2" t="str">
        <f>IFERROR(__xludf.DUMMYFUNCTION("""COMPUTED_VALUE"""),"전복")</f>
        <v>전복</v>
      </c>
    </row>
    <row r="4884">
      <c r="A4884" s="2" t="str">
        <f>IFERROR(__xludf.DUMMYFUNCTION("""COMPUTED_VALUE"""),"데워먹고 대어 낚는 낚시요리")</f>
        <v>데워먹고 대어 낚는 낚시요리</v>
      </c>
      <c r="B4884" s="2" t="str">
        <f>IFERROR(__xludf.DUMMYFUNCTION("""COMPUTED_VALUE"""),"떡갈비")</f>
        <v>떡갈비</v>
      </c>
    </row>
    <row r="4885">
      <c r="A4885" s="2" t="str">
        <f>IFERROR(__xludf.DUMMYFUNCTION("""COMPUTED_VALUE"""),"데워먹고 대어 낚는 낚시요리")</f>
        <v>데워먹고 대어 낚는 낚시요리</v>
      </c>
      <c r="B4885" s="2" t="str">
        <f>IFERROR(__xludf.DUMMYFUNCTION("""COMPUTED_VALUE"""),"데친 얼갈이")</f>
        <v>데친 얼갈이</v>
      </c>
    </row>
    <row r="4886">
      <c r="A4886" s="2" t="str">
        <f>IFERROR(__xludf.DUMMYFUNCTION("""COMPUTED_VALUE"""),"데워먹고 대어 낚는 낚시요리")</f>
        <v>데워먹고 대어 낚는 낚시요리</v>
      </c>
      <c r="B4886" s="2" t="str">
        <f>IFERROR(__xludf.DUMMYFUNCTION("""COMPUTED_VALUE"""),"달걀")</f>
        <v>달걀</v>
      </c>
    </row>
    <row r="4887">
      <c r="A4887" s="2" t="str">
        <f>IFERROR(__xludf.DUMMYFUNCTION("""COMPUTED_VALUE"""),"데워먹고 대어 낚는 낚시요리")</f>
        <v>데워먹고 대어 낚는 낚시요리</v>
      </c>
      <c r="B4887" s="2" t="str">
        <f>IFERROR(__xludf.DUMMYFUNCTION("""COMPUTED_VALUE"""),"두부")</f>
        <v>두부</v>
      </c>
    </row>
    <row r="4888">
      <c r="A4888" s="2" t="str">
        <f>IFERROR(__xludf.DUMMYFUNCTION("""COMPUTED_VALUE"""),"데워먹고 대어 낚는 낚시요리")</f>
        <v>데워먹고 대어 낚는 낚시요리</v>
      </c>
      <c r="B4888" s="2" t="str">
        <f>IFERROR(__xludf.DUMMYFUNCTION("""COMPUTED_VALUE"""),"양파")</f>
        <v>양파</v>
      </c>
    </row>
    <row r="4889">
      <c r="A4889" s="2" t="str">
        <f>IFERROR(__xludf.DUMMYFUNCTION("""COMPUTED_VALUE"""),"데워먹고 대어 낚는 낚시요리")</f>
        <v>데워먹고 대어 낚는 낚시요리</v>
      </c>
      <c r="B4889" s="2" t="str">
        <f>IFERROR(__xludf.DUMMYFUNCTION("""COMPUTED_VALUE"""),"대파")</f>
        <v>대파</v>
      </c>
    </row>
    <row r="4890">
      <c r="A4890" s="2" t="str">
        <f>IFERROR(__xludf.DUMMYFUNCTION("""COMPUTED_VALUE"""),"데워먹고 대어 낚는 낚시요리")</f>
        <v>데워먹고 대어 낚는 낚시요리</v>
      </c>
      <c r="B4890" s="2" t="str">
        <f>IFERROR(__xludf.DUMMYFUNCTION("""COMPUTED_VALUE"""),"소금")</f>
        <v>소금</v>
      </c>
    </row>
    <row r="4891">
      <c r="A4891" s="2" t="str">
        <f>IFERROR(__xludf.DUMMYFUNCTION("""COMPUTED_VALUE"""),"데워먹고 대어 낚는 낚시요리")</f>
        <v>데워먹고 대어 낚는 낚시요리</v>
      </c>
      <c r="B4891" s="2" t="str">
        <f>IFERROR(__xludf.DUMMYFUNCTION("""COMPUTED_VALUE"""),"후추")</f>
        <v>후추</v>
      </c>
    </row>
    <row r="4892">
      <c r="A4892" s="2" t="str">
        <f>IFERROR(__xludf.DUMMYFUNCTION("""COMPUTED_VALUE"""),"데워먹고 대어 낚는 낚시요리")</f>
        <v>데워먹고 대어 낚는 낚시요리</v>
      </c>
      <c r="B4892" s="2" t="str">
        <f>IFERROR(__xludf.DUMMYFUNCTION("""COMPUTED_VALUE"""),"설탕")</f>
        <v>설탕</v>
      </c>
    </row>
    <row r="4893">
      <c r="A4893" s="2" t="str">
        <f>IFERROR(__xludf.DUMMYFUNCTION("""COMPUTED_VALUE"""),"데워먹고 대어 낚는 낚시요리")</f>
        <v>데워먹고 대어 낚는 낚시요리</v>
      </c>
      <c r="B4893" s="2" t="str">
        <f>IFERROR(__xludf.DUMMYFUNCTION("""COMPUTED_VALUE"""),"참기름")</f>
        <v>참기름</v>
      </c>
    </row>
    <row r="4894">
      <c r="A4894" s="2" t="str">
        <f>IFERROR(__xludf.DUMMYFUNCTION("""COMPUTED_VALUE"""),"데워먹고 대어 낚는 낚시요리")</f>
        <v>데워먹고 대어 낚는 낚시요리</v>
      </c>
      <c r="B4894" s="2" t="str">
        <f>IFERROR(__xludf.DUMMYFUNCTION("""COMPUTED_VALUE"""),"밀가루")</f>
        <v>밀가루</v>
      </c>
    </row>
    <row r="4895">
      <c r="A4895" s="2" t="str">
        <f>IFERROR(__xludf.DUMMYFUNCTION("""COMPUTED_VALUE"""),"데워먹고 대어 낚는 낚시요리")</f>
        <v>데워먹고 대어 낚는 낚시요리</v>
      </c>
      <c r="B4895" s="2" t="str">
        <f>IFERROR(__xludf.DUMMYFUNCTION("""COMPUTED_VALUE"""),"전분")</f>
        <v>전분</v>
      </c>
    </row>
    <row r="4896">
      <c r="A4896" s="2" t="str">
        <f>IFERROR(__xludf.DUMMYFUNCTION("""COMPUTED_VALUE"""),"낚았찌개")</f>
        <v>낚았찌개</v>
      </c>
      <c r="B4896" s="2" t="str">
        <f>IFERROR(__xludf.DUMMYFUNCTION("""COMPUTED_VALUE"""),"토마토")</f>
        <v>토마토</v>
      </c>
    </row>
    <row r="4897">
      <c r="A4897" s="2" t="str">
        <f>IFERROR(__xludf.DUMMYFUNCTION("""COMPUTED_VALUE"""),"낚았찌개")</f>
        <v>낚았찌개</v>
      </c>
      <c r="B4897" s="2" t="str">
        <f>IFERROR(__xludf.DUMMYFUNCTION("""COMPUTED_VALUE"""),"카레가루")</f>
        <v>카레가루</v>
      </c>
    </row>
    <row r="4898">
      <c r="A4898" s="2" t="str">
        <f>IFERROR(__xludf.DUMMYFUNCTION("""COMPUTED_VALUE"""),"낚았찌개")</f>
        <v>낚았찌개</v>
      </c>
      <c r="B4898" s="2" t="str">
        <f>IFERROR(__xludf.DUMMYFUNCTION("""COMPUTED_VALUE"""),"돼지고기")</f>
        <v>돼지고기</v>
      </c>
    </row>
    <row r="4899">
      <c r="A4899" s="2" t="str">
        <f>IFERROR(__xludf.DUMMYFUNCTION("""COMPUTED_VALUE"""),"낚았찌개")</f>
        <v>낚았찌개</v>
      </c>
      <c r="B4899" s="2" t="str">
        <f>IFERROR(__xludf.DUMMYFUNCTION("""COMPUTED_VALUE"""),"건새우")</f>
        <v>건새우</v>
      </c>
    </row>
    <row r="4900">
      <c r="A4900" s="2" t="str">
        <f>IFERROR(__xludf.DUMMYFUNCTION("""COMPUTED_VALUE"""),"낚았찌개")</f>
        <v>낚았찌개</v>
      </c>
      <c r="B4900" s="2" t="str">
        <f>IFERROR(__xludf.DUMMYFUNCTION("""COMPUTED_VALUE"""),"김")</f>
        <v>김</v>
      </c>
    </row>
    <row r="4901">
      <c r="A4901" s="2" t="str">
        <f>IFERROR(__xludf.DUMMYFUNCTION("""COMPUTED_VALUE"""),"낚았찌개")</f>
        <v>낚았찌개</v>
      </c>
      <c r="B4901" s="2" t="str">
        <f>IFERROR(__xludf.DUMMYFUNCTION("""COMPUTED_VALUE"""),"둥근 애호박")</f>
        <v>둥근 애호박</v>
      </c>
    </row>
    <row r="4902">
      <c r="A4902" s="2" t="str">
        <f>IFERROR(__xludf.DUMMYFUNCTION("""COMPUTED_VALUE"""),"낚았찌개")</f>
        <v>낚았찌개</v>
      </c>
      <c r="B4902" s="2" t="str">
        <f>IFERROR(__xludf.DUMMYFUNCTION("""COMPUTED_VALUE"""),"대파")</f>
        <v>대파</v>
      </c>
    </row>
    <row r="4903">
      <c r="A4903" s="2" t="str">
        <f>IFERROR(__xludf.DUMMYFUNCTION("""COMPUTED_VALUE"""),"낚았찌개")</f>
        <v>낚았찌개</v>
      </c>
      <c r="B4903" s="2" t="str">
        <f>IFERROR(__xludf.DUMMYFUNCTION("""COMPUTED_VALUE"""),"다진 마늘")</f>
        <v>다진 마늘</v>
      </c>
    </row>
    <row r="4904">
      <c r="A4904" s="2" t="str">
        <f>IFERROR(__xludf.DUMMYFUNCTION("""COMPUTED_VALUE"""),"낚았찌개")</f>
        <v>낚았찌개</v>
      </c>
      <c r="B4904" s="2" t="str">
        <f>IFERROR(__xludf.DUMMYFUNCTION("""COMPUTED_VALUE"""),"고추장")</f>
        <v>고추장</v>
      </c>
    </row>
    <row r="4905">
      <c r="A4905" s="2" t="str">
        <f>IFERROR(__xludf.DUMMYFUNCTION("""COMPUTED_VALUE"""),"낚았찌개")</f>
        <v>낚았찌개</v>
      </c>
      <c r="B4905" s="2" t="str">
        <f>IFERROR(__xludf.DUMMYFUNCTION("""COMPUTED_VALUE"""),"고춧가루")</f>
        <v>고춧가루</v>
      </c>
    </row>
    <row r="4906">
      <c r="A4906" s="2" t="str">
        <f>IFERROR(__xludf.DUMMYFUNCTION("""COMPUTED_VALUE"""),"낚았찌개")</f>
        <v>낚았찌개</v>
      </c>
      <c r="B4906" s="2" t="str">
        <f>IFERROR(__xludf.DUMMYFUNCTION("""COMPUTED_VALUE"""),"간장")</f>
        <v>간장</v>
      </c>
    </row>
    <row r="4907">
      <c r="A4907" s="2" t="str">
        <f>IFERROR(__xludf.DUMMYFUNCTION("""COMPUTED_VALUE"""),"낚았찌개")</f>
        <v>낚았찌개</v>
      </c>
      <c r="B4907" s="2" t="str">
        <f>IFERROR(__xludf.DUMMYFUNCTION("""COMPUTED_VALUE"""),"즉석밥")</f>
        <v>즉석밥</v>
      </c>
    </row>
    <row r="4908">
      <c r="A4908" s="2" t="str">
        <f>IFERROR(__xludf.DUMMYFUNCTION("""COMPUTED_VALUE"""),"할아버지 최고닭!")</f>
        <v>할아버지 최고닭!</v>
      </c>
      <c r="B4908" s="2" t="str">
        <f>IFERROR(__xludf.DUMMYFUNCTION("""COMPUTED_VALUE"""),"닭다리")</f>
        <v>닭다리</v>
      </c>
    </row>
    <row r="4909">
      <c r="A4909" s="2" t="str">
        <f>IFERROR(__xludf.DUMMYFUNCTION("""COMPUTED_VALUE"""),"할아버지 최고닭!")</f>
        <v>할아버지 최고닭!</v>
      </c>
      <c r="B4909" s="2" t="str">
        <f>IFERROR(__xludf.DUMMYFUNCTION("""COMPUTED_VALUE"""),"새우")</f>
        <v>새우</v>
      </c>
    </row>
    <row r="4910">
      <c r="A4910" s="2" t="str">
        <f>IFERROR(__xludf.DUMMYFUNCTION("""COMPUTED_VALUE"""),"할아버지 최고닭!")</f>
        <v>할아버지 최고닭!</v>
      </c>
      <c r="B4910" s="2" t="str">
        <f>IFERROR(__xludf.DUMMYFUNCTION("""COMPUTED_VALUE"""),"가지")</f>
        <v>가지</v>
      </c>
    </row>
    <row r="4911">
      <c r="A4911" s="2" t="str">
        <f>IFERROR(__xludf.DUMMYFUNCTION("""COMPUTED_VALUE"""),"할아버지 최고닭!")</f>
        <v>할아버지 최고닭!</v>
      </c>
      <c r="B4911" s="2" t="str">
        <f>IFERROR(__xludf.DUMMYFUNCTION("""COMPUTED_VALUE"""),"감자")</f>
        <v>감자</v>
      </c>
    </row>
    <row r="4912">
      <c r="A4912" s="2" t="str">
        <f>IFERROR(__xludf.DUMMYFUNCTION("""COMPUTED_VALUE"""),"할아버지 최고닭!")</f>
        <v>할아버지 최고닭!</v>
      </c>
      <c r="B4912" s="2" t="str">
        <f>IFERROR(__xludf.DUMMYFUNCTION("""COMPUTED_VALUE"""),"미니 파프리카")</f>
        <v>미니 파프리카</v>
      </c>
    </row>
    <row r="4913">
      <c r="A4913" s="2" t="str">
        <f>IFERROR(__xludf.DUMMYFUNCTION("""COMPUTED_VALUE"""),"할아버지 최고닭!")</f>
        <v>할아버지 최고닭!</v>
      </c>
      <c r="B4913" s="2" t="str">
        <f>IFERROR(__xludf.DUMMYFUNCTION("""COMPUTED_VALUE"""),"케이퍼")</f>
        <v>케이퍼</v>
      </c>
    </row>
    <row r="4914">
      <c r="A4914" s="2" t="str">
        <f>IFERROR(__xludf.DUMMYFUNCTION("""COMPUTED_VALUE"""),"할아버지 최고닭!")</f>
        <v>할아버지 최고닭!</v>
      </c>
      <c r="B4914" s="2" t="str">
        <f>IFERROR(__xludf.DUMMYFUNCTION("""COMPUTED_VALUE"""),"레몬")</f>
        <v>레몬</v>
      </c>
    </row>
    <row r="4915">
      <c r="A4915" s="2" t="str">
        <f>IFERROR(__xludf.DUMMYFUNCTION("""COMPUTED_VALUE"""),"할아버지 최고닭!")</f>
        <v>할아버지 최고닭!</v>
      </c>
      <c r="B4915" s="2" t="str">
        <f>IFERROR(__xludf.DUMMYFUNCTION("""COMPUTED_VALUE"""),"양파")</f>
        <v>양파</v>
      </c>
    </row>
    <row r="4916">
      <c r="A4916" s="2" t="str">
        <f>IFERROR(__xludf.DUMMYFUNCTION("""COMPUTED_VALUE"""),"할아버지 최고닭!")</f>
        <v>할아버지 최고닭!</v>
      </c>
      <c r="B4916" s="2" t="str">
        <f>IFERROR(__xludf.DUMMYFUNCTION("""COMPUTED_VALUE"""),"마늘")</f>
        <v>마늘</v>
      </c>
    </row>
    <row r="4917">
      <c r="A4917" s="2" t="str">
        <f>IFERROR(__xludf.DUMMYFUNCTION("""COMPUTED_VALUE"""),"할아버지 최고닭!")</f>
        <v>할아버지 최고닭!</v>
      </c>
      <c r="B4917" s="2" t="str">
        <f>IFERROR(__xludf.DUMMYFUNCTION("""COMPUTED_VALUE"""),"대파")</f>
        <v>대파</v>
      </c>
    </row>
    <row r="4918">
      <c r="A4918" s="2" t="str">
        <f>IFERROR(__xludf.DUMMYFUNCTION("""COMPUTED_VALUE"""),"할아버지 최고닭!")</f>
        <v>할아버지 최고닭!</v>
      </c>
      <c r="B4918" s="2" t="str">
        <f>IFERROR(__xludf.DUMMYFUNCTION("""COMPUTED_VALUE"""),"소금")</f>
        <v>소금</v>
      </c>
    </row>
    <row r="4919">
      <c r="A4919" s="2" t="str">
        <f>IFERROR(__xludf.DUMMYFUNCTION("""COMPUTED_VALUE"""),"할아버지 최고닭!")</f>
        <v>할아버지 최고닭!</v>
      </c>
      <c r="B4919" s="2" t="str">
        <f>IFERROR(__xludf.DUMMYFUNCTION("""COMPUTED_VALUE"""),"후추")</f>
        <v>후추</v>
      </c>
    </row>
    <row r="4920">
      <c r="A4920" s="2" t="str">
        <f>IFERROR(__xludf.DUMMYFUNCTION("""COMPUTED_VALUE"""),"할아버지 최고닭!")</f>
        <v>할아버지 최고닭!</v>
      </c>
      <c r="B4920" s="2" t="str">
        <f>IFERROR(__xludf.DUMMYFUNCTION("""COMPUTED_VALUE"""),"버터")</f>
        <v>버터</v>
      </c>
    </row>
    <row r="4921">
      <c r="A4921" s="2" t="str">
        <f>IFERROR(__xludf.DUMMYFUNCTION("""COMPUTED_VALUE"""),"할아버지 최고닭!")</f>
        <v>할아버지 최고닭!</v>
      </c>
      <c r="B4921" s="2" t="str">
        <f>IFERROR(__xludf.DUMMYFUNCTION("""COMPUTED_VALUE"""),"밀가루")</f>
        <v>밀가루</v>
      </c>
    </row>
    <row r="4922">
      <c r="A4922" s="2" t="str">
        <f>IFERROR(__xludf.DUMMYFUNCTION("""COMPUTED_VALUE"""),"그랜드파더 젠틀롤")</f>
        <v>그랜드파더 젠틀롤</v>
      </c>
      <c r="B4922" s="2" t="str">
        <f>IFERROR(__xludf.DUMMYFUNCTION("""COMPUTED_VALUE"""),"채끝살")</f>
        <v>채끝살</v>
      </c>
    </row>
    <row r="4923">
      <c r="A4923" s="2" t="str">
        <f>IFERROR(__xludf.DUMMYFUNCTION("""COMPUTED_VALUE"""),"그랜드파더 젠틀롤")</f>
        <v>그랜드파더 젠틀롤</v>
      </c>
      <c r="B4923" s="2" t="str">
        <f>IFERROR(__xludf.DUMMYFUNCTION("""COMPUTED_VALUE"""),"토마토")</f>
        <v>토마토</v>
      </c>
    </row>
    <row r="4924">
      <c r="A4924" s="2" t="str">
        <f>IFERROR(__xludf.DUMMYFUNCTION("""COMPUTED_VALUE"""),"그랜드파더 젠틀롤")</f>
        <v>그랜드파더 젠틀롤</v>
      </c>
      <c r="B4924" s="2" t="str">
        <f>IFERROR(__xludf.DUMMYFUNCTION("""COMPUTED_VALUE"""),"사과")</f>
        <v>사과</v>
      </c>
    </row>
    <row r="4925">
      <c r="A4925" s="2" t="str">
        <f>IFERROR(__xludf.DUMMYFUNCTION("""COMPUTED_VALUE"""),"그랜드파더 젠틀롤")</f>
        <v>그랜드파더 젠틀롤</v>
      </c>
      <c r="B4925" s="2" t="str">
        <f>IFERROR(__xludf.DUMMYFUNCTION("""COMPUTED_VALUE"""),"미니 파프리카")</f>
        <v>미니 파프리카</v>
      </c>
    </row>
    <row r="4926">
      <c r="A4926" s="2" t="str">
        <f>IFERROR(__xludf.DUMMYFUNCTION("""COMPUTED_VALUE"""),"그랜드파더 젠틀롤")</f>
        <v>그랜드파더 젠틀롤</v>
      </c>
      <c r="B4926" s="2" t="str">
        <f>IFERROR(__xludf.DUMMYFUNCTION("""COMPUTED_VALUE"""),"삶은 숙주나물")</f>
        <v>삶은 숙주나물</v>
      </c>
    </row>
    <row r="4927">
      <c r="A4927" s="2" t="str">
        <f>IFERROR(__xludf.DUMMYFUNCTION("""COMPUTED_VALUE"""),"그랜드파더 젠틀롤")</f>
        <v>그랜드파더 젠틀롤</v>
      </c>
      <c r="B4927" s="2" t="str">
        <f>IFERROR(__xludf.DUMMYFUNCTION("""COMPUTED_VALUE"""),"감자")</f>
        <v>감자</v>
      </c>
    </row>
    <row r="4928">
      <c r="A4928" s="2" t="str">
        <f>IFERROR(__xludf.DUMMYFUNCTION("""COMPUTED_VALUE"""),"그랜드파더 젠틀롤")</f>
        <v>그랜드파더 젠틀롤</v>
      </c>
      <c r="B4928" s="2" t="str">
        <f>IFERROR(__xludf.DUMMYFUNCTION("""COMPUTED_VALUE"""),"우엉")</f>
        <v>우엉</v>
      </c>
    </row>
    <row r="4929">
      <c r="A4929" s="2" t="str">
        <f>IFERROR(__xludf.DUMMYFUNCTION("""COMPUTED_VALUE"""),"그랜드파더 젠틀롤")</f>
        <v>그랜드파더 젠틀롤</v>
      </c>
      <c r="B4929" s="2" t="str">
        <f>IFERROR(__xludf.DUMMYFUNCTION("""COMPUTED_VALUE"""),"잣")</f>
        <v>잣</v>
      </c>
    </row>
    <row r="4930">
      <c r="A4930" s="2" t="str">
        <f>IFERROR(__xludf.DUMMYFUNCTION("""COMPUTED_VALUE"""),"그랜드파더 젠틀롤")</f>
        <v>그랜드파더 젠틀롤</v>
      </c>
      <c r="B4930" s="2" t="str">
        <f>IFERROR(__xludf.DUMMYFUNCTION("""COMPUTED_VALUE"""),"버터")</f>
        <v>버터</v>
      </c>
    </row>
    <row r="4931">
      <c r="A4931" s="2" t="str">
        <f>IFERROR(__xludf.DUMMYFUNCTION("""COMPUTED_VALUE"""),"그랜드파더 젠틀롤")</f>
        <v>그랜드파더 젠틀롤</v>
      </c>
      <c r="B4931" s="2" t="str">
        <f>IFERROR(__xludf.DUMMYFUNCTION("""COMPUTED_VALUE"""),"전분")</f>
        <v>전분</v>
      </c>
    </row>
    <row r="4932">
      <c r="A4932" s="2" t="str">
        <f>IFERROR(__xludf.DUMMYFUNCTION("""COMPUTED_VALUE"""),"그랜드파더 젠틀롤")</f>
        <v>그랜드파더 젠틀롤</v>
      </c>
      <c r="B4932" s="2" t="str">
        <f>IFERROR(__xludf.DUMMYFUNCTION("""COMPUTED_VALUE"""),"레드와인")</f>
        <v>레드와인</v>
      </c>
    </row>
    <row r="4933">
      <c r="A4933" s="2" t="str">
        <f>IFERROR(__xludf.DUMMYFUNCTION("""COMPUTED_VALUE"""),"그랜드파더 젠틀롤")</f>
        <v>그랜드파더 젠틀롤</v>
      </c>
      <c r="B4933" s="2" t="str">
        <f>IFERROR(__xludf.DUMMYFUNCTION("""COMPUTED_VALUE"""),"간장")</f>
        <v>간장</v>
      </c>
    </row>
    <row r="4934">
      <c r="A4934" s="2" t="str">
        <f>IFERROR(__xludf.DUMMYFUNCTION("""COMPUTED_VALUE"""),"그랜드파더 젠틀롤")</f>
        <v>그랜드파더 젠틀롤</v>
      </c>
      <c r="B4934" s="2" t="str">
        <f>IFERROR(__xludf.DUMMYFUNCTION("""COMPUTED_VALUE"""),"설탕")</f>
        <v>설탕</v>
      </c>
    </row>
    <row r="4935">
      <c r="A4935" s="2" t="str">
        <f>IFERROR(__xludf.DUMMYFUNCTION("""COMPUTED_VALUE"""),"그랜드파더 젠틀롤")</f>
        <v>그랜드파더 젠틀롤</v>
      </c>
      <c r="B4935" s="2" t="str">
        <f>IFERROR(__xludf.DUMMYFUNCTION("""COMPUTED_VALUE"""),"맛술")</f>
        <v>맛술</v>
      </c>
    </row>
    <row r="4936">
      <c r="A4936" s="2" t="str">
        <f>IFERROR(__xludf.DUMMYFUNCTION("""COMPUTED_VALUE"""),"제비 몰러 나간 알")</f>
        <v>제비 몰러 나간 알</v>
      </c>
      <c r="B4936" s="2" t="str">
        <f>IFERROR(__xludf.DUMMYFUNCTION("""COMPUTED_VALUE"""),"새우살")</f>
        <v>새우살</v>
      </c>
    </row>
    <row r="4937">
      <c r="A4937" s="2" t="str">
        <f>IFERROR(__xludf.DUMMYFUNCTION("""COMPUTED_VALUE"""),"제비 몰러 나간 알")</f>
        <v>제비 몰러 나간 알</v>
      </c>
      <c r="B4937" s="2" t="str">
        <f>IFERROR(__xludf.DUMMYFUNCTION("""COMPUTED_VALUE"""),"옥돔")</f>
        <v>옥돔</v>
      </c>
    </row>
    <row r="4938">
      <c r="A4938" s="2" t="str">
        <f>IFERROR(__xludf.DUMMYFUNCTION("""COMPUTED_VALUE"""),"제비 몰러 나간 알")</f>
        <v>제비 몰러 나간 알</v>
      </c>
      <c r="B4938" s="2" t="str">
        <f>IFERROR(__xludf.DUMMYFUNCTION("""COMPUTED_VALUE"""),"골뱅이 통조림")</f>
        <v>골뱅이 통조림</v>
      </c>
    </row>
    <row r="4939">
      <c r="A4939" s="2" t="str">
        <f>IFERROR(__xludf.DUMMYFUNCTION("""COMPUTED_VALUE"""),"제비 몰러 나간 알")</f>
        <v>제비 몰러 나간 알</v>
      </c>
      <c r="B4939" s="2" t="str">
        <f>IFERROR(__xludf.DUMMYFUNCTION("""COMPUTED_VALUE"""),"제비집")</f>
        <v>제비집</v>
      </c>
    </row>
    <row r="4940">
      <c r="A4940" s="2" t="str">
        <f>IFERROR(__xludf.DUMMYFUNCTION("""COMPUTED_VALUE"""),"제비 몰러 나간 알")</f>
        <v>제비 몰러 나간 알</v>
      </c>
      <c r="B4940" s="2" t="str">
        <f>IFERROR(__xludf.DUMMYFUNCTION("""COMPUTED_VALUE"""),"파파야")</f>
        <v>파파야</v>
      </c>
    </row>
    <row r="4941">
      <c r="A4941" s="2" t="str">
        <f>IFERROR(__xludf.DUMMYFUNCTION("""COMPUTED_VALUE"""),"제비 몰러 나간 알")</f>
        <v>제비 몰러 나간 알</v>
      </c>
      <c r="B4941" s="2" t="str">
        <f>IFERROR(__xludf.DUMMYFUNCTION("""COMPUTED_VALUE"""),"복숭아")</f>
        <v>복숭아</v>
      </c>
    </row>
    <row r="4942">
      <c r="A4942" s="2" t="str">
        <f>IFERROR(__xludf.DUMMYFUNCTION("""COMPUTED_VALUE"""),"제비 몰러 나간 알")</f>
        <v>제비 몰러 나간 알</v>
      </c>
      <c r="B4942" s="2" t="str">
        <f>IFERROR(__xludf.DUMMYFUNCTION("""COMPUTED_VALUE"""),"사과")</f>
        <v>사과</v>
      </c>
    </row>
    <row r="4943">
      <c r="A4943" s="2" t="str">
        <f>IFERROR(__xludf.DUMMYFUNCTION("""COMPUTED_VALUE"""),"제비 몰러 나간 알")</f>
        <v>제비 몰러 나간 알</v>
      </c>
      <c r="B4943" s="2" t="str">
        <f>IFERROR(__xludf.DUMMYFUNCTION("""COMPUTED_VALUE"""),"오이")</f>
        <v>오이</v>
      </c>
    </row>
    <row r="4944">
      <c r="A4944" s="2" t="str">
        <f>IFERROR(__xludf.DUMMYFUNCTION("""COMPUTED_VALUE"""),"제비 몰러 나간 알")</f>
        <v>제비 몰러 나간 알</v>
      </c>
      <c r="B4944" s="2" t="str">
        <f>IFERROR(__xludf.DUMMYFUNCTION("""COMPUTED_VALUE"""),"굴소스")</f>
        <v>굴소스</v>
      </c>
    </row>
    <row r="4945">
      <c r="A4945" s="2" t="str">
        <f>IFERROR(__xludf.DUMMYFUNCTION("""COMPUTED_VALUE"""),"제비 몰러 나간 알")</f>
        <v>제비 몰러 나간 알</v>
      </c>
      <c r="B4945" s="2" t="str">
        <f>IFERROR(__xludf.DUMMYFUNCTION("""COMPUTED_VALUE"""),"달걀")</f>
        <v>달걀</v>
      </c>
    </row>
    <row r="4946">
      <c r="A4946" s="2" t="str">
        <f>IFERROR(__xludf.DUMMYFUNCTION("""COMPUTED_VALUE"""),"제비 몰러 나간 알")</f>
        <v>제비 몰러 나간 알</v>
      </c>
      <c r="B4946" s="2" t="str">
        <f>IFERROR(__xludf.DUMMYFUNCTION("""COMPUTED_VALUE"""),"양파")</f>
        <v>양파</v>
      </c>
    </row>
    <row r="4947">
      <c r="A4947" s="2" t="str">
        <f>IFERROR(__xludf.DUMMYFUNCTION("""COMPUTED_VALUE"""),"제비 몰러 나간 알")</f>
        <v>제비 몰러 나간 알</v>
      </c>
      <c r="B4947" s="2" t="str">
        <f>IFERROR(__xludf.DUMMYFUNCTION("""COMPUTED_VALUE"""),"레몬")</f>
        <v>레몬</v>
      </c>
    </row>
    <row r="4948">
      <c r="A4948" s="2" t="str">
        <f>IFERROR(__xludf.DUMMYFUNCTION("""COMPUTED_VALUE"""),"제비 몰러 나간 알")</f>
        <v>제비 몰러 나간 알</v>
      </c>
      <c r="B4948" s="2" t="str">
        <f>IFERROR(__xludf.DUMMYFUNCTION("""COMPUTED_VALUE"""),"당근")</f>
        <v>당근</v>
      </c>
    </row>
    <row r="4949">
      <c r="A4949" s="2" t="str">
        <f>IFERROR(__xludf.DUMMYFUNCTION("""COMPUTED_VALUE"""),"제비 몰러 나간 알")</f>
        <v>제비 몰러 나간 알</v>
      </c>
      <c r="B4949" s="2" t="str">
        <f>IFERROR(__xludf.DUMMYFUNCTION("""COMPUTED_VALUE"""),"청양고추")</f>
        <v>청양고추</v>
      </c>
    </row>
    <row r="4950">
      <c r="A4950" s="2" t="str">
        <f>IFERROR(__xludf.DUMMYFUNCTION("""COMPUTED_VALUE"""),"제비 몰러 나간 알")</f>
        <v>제비 몰러 나간 알</v>
      </c>
      <c r="B4950" s="2" t="str">
        <f>IFERROR(__xludf.DUMMYFUNCTION("""COMPUTED_VALUE"""),"다진 생강")</f>
        <v>다진 생강</v>
      </c>
    </row>
    <row r="4951">
      <c r="A4951" s="2" t="str">
        <f>IFERROR(__xludf.DUMMYFUNCTION("""COMPUTED_VALUE"""),"제비 몰러 나간 알")</f>
        <v>제비 몰러 나간 알</v>
      </c>
      <c r="B4951" s="2" t="str">
        <f>IFERROR(__xludf.DUMMYFUNCTION("""COMPUTED_VALUE"""),"버터")</f>
        <v>버터</v>
      </c>
    </row>
    <row r="4952">
      <c r="A4952" s="2" t="str">
        <f>IFERROR(__xludf.DUMMYFUNCTION("""COMPUTED_VALUE"""),"제비 몰러 나간 알")</f>
        <v>제비 몰러 나간 알</v>
      </c>
      <c r="B4952" s="2" t="str">
        <f>IFERROR(__xludf.DUMMYFUNCTION("""COMPUTED_VALUE"""),"전분")</f>
        <v>전분</v>
      </c>
    </row>
    <row r="4953">
      <c r="A4953" s="2" t="str">
        <f>IFERROR(__xludf.DUMMYFUNCTION("""COMPUTED_VALUE"""),"제비 몰러 나간 알")</f>
        <v>제비 몰러 나간 알</v>
      </c>
      <c r="B4953" s="2" t="str">
        <f>IFERROR(__xludf.DUMMYFUNCTION("""COMPUTED_VALUE"""),"간장")</f>
        <v>간장</v>
      </c>
    </row>
    <row r="4954">
      <c r="A4954" s="2" t="str">
        <f>IFERROR(__xludf.DUMMYFUNCTION("""COMPUTED_VALUE"""),"제비 몰러 나간 알")</f>
        <v>제비 몰러 나간 알</v>
      </c>
      <c r="B4954" s="2" t="str">
        <f>IFERROR(__xludf.DUMMYFUNCTION("""COMPUTED_VALUE"""),"식초")</f>
        <v>식초</v>
      </c>
    </row>
    <row r="4955">
      <c r="A4955" s="2" t="str">
        <f>IFERROR(__xludf.DUMMYFUNCTION("""COMPUTED_VALUE"""),"제비 몰러 나간 알")</f>
        <v>제비 몰러 나간 알</v>
      </c>
      <c r="B4955" s="2" t="str">
        <f>IFERROR(__xludf.DUMMYFUNCTION("""COMPUTED_VALUE"""),"설탕")</f>
        <v>설탕</v>
      </c>
    </row>
    <row r="4956">
      <c r="A4956" s="2" t="str">
        <f>IFERROR(__xludf.DUMMYFUNCTION("""COMPUTED_VALUE"""),"타임 투 새우굿")</f>
        <v>타임 투 새우굿</v>
      </c>
      <c r="B4956" s="2" t="str">
        <f>IFERROR(__xludf.DUMMYFUNCTION("""COMPUTED_VALUE"""),"칵테일새우")</f>
        <v>칵테일새우</v>
      </c>
    </row>
    <row r="4957">
      <c r="A4957" s="2" t="str">
        <f>IFERROR(__xludf.DUMMYFUNCTION("""COMPUTED_VALUE"""),"타임 투 새우굿")</f>
        <v>타임 투 새우굿</v>
      </c>
      <c r="B4957" s="2" t="str">
        <f>IFERROR(__xludf.DUMMYFUNCTION("""COMPUTED_VALUE"""),"불고기용 소고기")</f>
        <v>불고기용 소고기</v>
      </c>
    </row>
    <row r="4958">
      <c r="A4958" s="2" t="str">
        <f>IFERROR(__xludf.DUMMYFUNCTION("""COMPUTED_VALUE"""),"타임 투 새우굿")</f>
        <v>타임 투 새우굿</v>
      </c>
      <c r="B4958" s="2" t="str">
        <f>IFERROR(__xludf.DUMMYFUNCTION("""COMPUTED_VALUE"""),"모차렐라 치즈")</f>
        <v>모차렐라 치즈</v>
      </c>
    </row>
    <row r="4959">
      <c r="A4959" s="2" t="str">
        <f>IFERROR(__xludf.DUMMYFUNCTION("""COMPUTED_VALUE"""),"타임 투 새우굿")</f>
        <v>타임 투 새우굿</v>
      </c>
      <c r="B4959" s="2" t="str">
        <f>IFERROR(__xludf.DUMMYFUNCTION("""COMPUTED_VALUE"""),"블랙올리브")</f>
        <v>블랙올리브</v>
      </c>
    </row>
    <row r="4960">
      <c r="A4960" s="2" t="str">
        <f>IFERROR(__xludf.DUMMYFUNCTION("""COMPUTED_VALUE"""),"타임 투 새우굿")</f>
        <v>타임 투 새우굿</v>
      </c>
      <c r="B4960" s="2" t="str">
        <f>IFERROR(__xludf.DUMMYFUNCTION("""COMPUTED_VALUE"""),"할라피뇨")</f>
        <v>할라피뇨</v>
      </c>
    </row>
    <row r="4961">
      <c r="A4961" s="2" t="str">
        <f>IFERROR(__xludf.DUMMYFUNCTION("""COMPUTED_VALUE"""),"타임 투 새우굿")</f>
        <v>타임 투 새우굿</v>
      </c>
      <c r="B4961" s="2" t="str">
        <f>IFERROR(__xludf.DUMMYFUNCTION("""COMPUTED_VALUE"""),"자두")</f>
        <v>자두</v>
      </c>
    </row>
    <row r="4962">
      <c r="A4962" s="2" t="str">
        <f>IFERROR(__xludf.DUMMYFUNCTION("""COMPUTED_VALUE"""),"타임 투 새우굿")</f>
        <v>타임 투 새우굿</v>
      </c>
      <c r="B4962" s="2" t="str">
        <f>IFERROR(__xludf.DUMMYFUNCTION("""COMPUTED_VALUE"""),"굴소스")</f>
        <v>굴소스</v>
      </c>
    </row>
    <row r="4963">
      <c r="A4963" s="2" t="str">
        <f>IFERROR(__xludf.DUMMYFUNCTION("""COMPUTED_VALUE"""),"타임 투 새우굿")</f>
        <v>타임 투 새우굿</v>
      </c>
      <c r="B4963" s="2" t="str">
        <f>IFERROR(__xludf.DUMMYFUNCTION("""COMPUTED_VALUE"""),"대파")</f>
        <v>대파</v>
      </c>
    </row>
    <row r="4964">
      <c r="A4964" s="2" t="str">
        <f>IFERROR(__xludf.DUMMYFUNCTION("""COMPUTED_VALUE"""),"타임 투 새우굿")</f>
        <v>타임 투 새우굿</v>
      </c>
      <c r="B4964" s="2" t="str">
        <f>IFERROR(__xludf.DUMMYFUNCTION("""COMPUTED_VALUE"""),"양파")</f>
        <v>양파</v>
      </c>
    </row>
    <row r="4965">
      <c r="A4965" s="2" t="str">
        <f>IFERROR(__xludf.DUMMYFUNCTION("""COMPUTED_VALUE"""),"타임 투 새우굿")</f>
        <v>타임 투 새우굿</v>
      </c>
      <c r="B4965" s="2" t="str">
        <f>IFERROR(__xludf.DUMMYFUNCTION("""COMPUTED_VALUE"""),"마늘")</f>
        <v>마늘</v>
      </c>
    </row>
    <row r="4966">
      <c r="A4966" s="2" t="str">
        <f>IFERROR(__xludf.DUMMYFUNCTION("""COMPUTED_VALUE"""),"타임 투 새우굿")</f>
        <v>타임 투 새우굿</v>
      </c>
      <c r="B4966" s="2" t="str">
        <f>IFERROR(__xludf.DUMMYFUNCTION("""COMPUTED_VALUE"""),"후추")</f>
        <v>후추</v>
      </c>
    </row>
    <row r="4967">
      <c r="A4967" s="2" t="str">
        <f>IFERROR(__xludf.DUMMYFUNCTION("""COMPUTED_VALUE"""),"타임 투 새우굿")</f>
        <v>타임 투 새우굿</v>
      </c>
      <c r="B4967" s="2" t="str">
        <f>IFERROR(__xludf.DUMMYFUNCTION("""COMPUTED_VALUE"""),"밀가루")</f>
        <v>밀가루</v>
      </c>
    </row>
    <row r="4968">
      <c r="A4968" s="2" t="str">
        <f>IFERROR(__xludf.DUMMYFUNCTION("""COMPUTED_VALUE"""),"타임 투 새우굿")</f>
        <v>타임 투 새우굿</v>
      </c>
      <c r="B4968" s="2" t="str">
        <f>IFERROR(__xludf.DUMMYFUNCTION("""COMPUTED_VALUE"""),"화이트와인")</f>
        <v>화이트와인</v>
      </c>
    </row>
    <row r="4969">
      <c r="A4969" s="2" t="str">
        <f>IFERROR(__xludf.DUMMYFUNCTION("""COMPUTED_VALUE"""),"묵은지 뚝배기")</f>
        <v>묵은지 뚝배기</v>
      </c>
      <c r="B4969" s="2" t="str">
        <f>IFERROR(__xludf.DUMMYFUNCTION("""COMPUTED_VALUE"""),"묵은지")</f>
        <v>묵은지</v>
      </c>
    </row>
    <row r="4970">
      <c r="A4970" s="2" t="str">
        <f>IFERROR(__xludf.DUMMYFUNCTION("""COMPUTED_VALUE"""),"묵은지 뚝배기")</f>
        <v>묵은지 뚝배기</v>
      </c>
      <c r="B4970" s="2" t="str">
        <f>IFERROR(__xludf.DUMMYFUNCTION("""COMPUTED_VALUE"""),"소고기")</f>
        <v>소고기</v>
      </c>
    </row>
    <row r="4971">
      <c r="A4971" s="2" t="str">
        <f>IFERROR(__xludf.DUMMYFUNCTION("""COMPUTED_VALUE"""),"묵은지 뚝배기")</f>
        <v>묵은지 뚝배기</v>
      </c>
      <c r="B4971" s="2" t="str">
        <f>IFERROR(__xludf.DUMMYFUNCTION("""COMPUTED_VALUE"""),"베이컨")</f>
        <v>베이컨</v>
      </c>
    </row>
    <row r="4972">
      <c r="A4972" s="2" t="str">
        <f>IFERROR(__xludf.DUMMYFUNCTION("""COMPUTED_VALUE"""),"묵은지 뚝배기")</f>
        <v>묵은지 뚝배기</v>
      </c>
      <c r="B4972" s="2" t="str">
        <f>IFERROR(__xludf.DUMMYFUNCTION("""COMPUTED_VALUE"""),"감자")</f>
        <v>감자</v>
      </c>
    </row>
    <row r="4973">
      <c r="A4973" s="2" t="str">
        <f>IFERROR(__xludf.DUMMYFUNCTION("""COMPUTED_VALUE"""),"묵은지 뚝배기")</f>
        <v>묵은지 뚝배기</v>
      </c>
      <c r="B4973" s="2" t="str">
        <f>IFERROR(__xludf.DUMMYFUNCTION("""COMPUTED_VALUE"""),"표고버섯")</f>
        <v>표고버섯</v>
      </c>
    </row>
    <row r="4974">
      <c r="A4974" s="2" t="str">
        <f>IFERROR(__xludf.DUMMYFUNCTION("""COMPUTED_VALUE"""),"묵은지 뚝배기")</f>
        <v>묵은지 뚝배기</v>
      </c>
      <c r="B4974" s="2" t="str">
        <f>IFERROR(__xludf.DUMMYFUNCTION("""COMPUTED_VALUE"""),"애호박")</f>
        <v>애호박</v>
      </c>
    </row>
    <row r="4975">
      <c r="A4975" s="2" t="str">
        <f>IFERROR(__xludf.DUMMYFUNCTION("""COMPUTED_VALUE"""),"묵은지 뚝배기")</f>
        <v>묵은지 뚝배기</v>
      </c>
      <c r="B4975" s="2" t="str">
        <f>IFERROR(__xludf.DUMMYFUNCTION("""COMPUTED_VALUE"""),"알프레도소스")</f>
        <v>알프레도소스</v>
      </c>
    </row>
    <row r="4976">
      <c r="A4976" s="2" t="str">
        <f>IFERROR(__xludf.DUMMYFUNCTION("""COMPUTED_VALUE"""),"묵은지 뚝배기")</f>
        <v>묵은지 뚝배기</v>
      </c>
      <c r="B4976" s="2" t="str">
        <f>IFERROR(__xludf.DUMMYFUNCTION("""COMPUTED_VALUE"""),"양배추")</f>
        <v>양배추</v>
      </c>
    </row>
    <row r="4977">
      <c r="A4977" s="2" t="str">
        <f>IFERROR(__xludf.DUMMYFUNCTION("""COMPUTED_VALUE"""),"묵은지 뚝배기")</f>
        <v>묵은지 뚝배기</v>
      </c>
      <c r="B4977" s="2" t="str">
        <f>IFERROR(__xludf.DUMMYFUNCTION("""COMPUTED_VALUE"""),"달걀")</f>
        <v>달걀</v>
      </c>
    </row>
    <row r="4978">
      <c r="A4978" s="2" t="str">
        <f>IFERROR(__xludf.DUMMYFUNCTION("""COMPUTED_VALUE"""),"묵은지 뚝배기")</f>
        <v>묵은지 뚝배기</v>
      </c>
      <c r="B4978" s="2" t="str">
        <f>IFERROR(__xludf.DUMMYFUNCTION("""COMPUTED_VALUE"""),"양파")</f>
        <v>양파</v>
      </c>
    </row>
    <row r="4979">
      <c r="A4979" s="2" t="str">
        <f>IFERROR(__xludf.DUMMYFUNCTION("""COMPUTED_VALUE"""),"묵은지 뚝배기")</f>
        <v>묵은지 뚝배기</v>
      </c>
      <c r="B4979" s="2" t="str">
        <f>IFERROR(__xludf.DUMMYFUNCTION("""COMPUTED_VALUE"""),"당근")</f>
        <v>당근</v>
      </c>
    </row>
    <row r="4980">
      <c r="A4980" s="2" t="str">
        <f>IFERROR(__xludf.DUMMYFUNCTION("""COMPUTED_VALUE"""),"묵은지 뚝배기")</f>
        <v>묵은지 뚝배기</v>
      </c>
      <c r="B4980" s="2" t="str">
        <f>IFERROR(__xludf.DUMMYFUNCTION("""COMPUTED_VALUE"""),"대파")</f>
        <v>대파</v>
      </c>
    </row>
    <row r="4981">
      <c r="A4981" s="2" t="str">
        <f>IFERROR(__xludf.DUMMYFUNCTION("""COMPUTED_VALUE"""),"묵은지 뚝배기")</f>
        <v>묵은지 뚝배기</v>
      </c>
      <c r="B4981" s="2" t="str">
        <f>IFERROR(__xludf.DUMMYFUNCTION("""COMPUTED_VALUE"""),"레몬")</f>
        <v>레몬</v>
      </c>
    </row>
    <row r="4982">
      <c r="A4982" s="2" t="str">
        <f>IFERROR(__xludf.DUMMYFUNCTION("""COMPUTED_VALUE"""),"묵은지 뚝배기")</f>
        <v>묵은지 뚝배기</v>
      </c>
      <c r="B4982" s="2" t="str">
        <f>IFERROR(__xludf.DUMMYFUNCTION("""COMPUTED_VALUE"""),"후추")</f>
        <v>후추</v>
      </c>
    </row>
    <row r="4983">
      <c r="A4983" s="2" t="str">
        <f>IFERROR(__xludf.DUMMYFUNCTION("""COMPUTED_VALUE"""),"묵은지 뚝배기")</f>
        <v>묵은지 뚝배기</v>
      </c>
      <c r="B4983" s="2" t="str">
        <f>IFERROR(__xludf.DUMMYFUNCTION("""COMPUTED_VALUE"""),"고춧가루")</f>
        <v>고춧가루</v>
      </c>
    </row>
    <row r="4984">
      <c r="A4984" s="2" t="str">
        <f>IFERROR(__xludf.DUMMYFUNCTION("""COMPUTED_VALUE"""),"부자 나초")</f>
        <v>부자 나초</v>
      </c>
      <c r="B4984" s="2" t="str">
        <f>IFERROR(__xludf.DUMMYFUNCTION("""COMPUTED_VALUE"""),"김치")</f>
        <v>김치</v>
      </c>
    </row>
    <row r="4985">
      <c r="A4985" s="2" t="str">
        <f>IFERROR(__xludf.DUMMYFUNCTION("""COMPUTED_VALUE"""),"부자 나초")</f>
        <v>부자 나초</v>
      </c>
      <c r="B4985" s="2" t="str">
        <f>IFERROR(__xludf.DUMMYFUNCTION("""COMPUTED_VALUE"""),"나초")</f>
        <v>나초</v>
      </c>
    </row>
    <row r="4986">
      <c r="A4986" s="2" t="str">
        <f>IFERROR(__xludf.DUMMYFUNCTION("""COMPUTED_VALUE"""),"부자 나초")</f>
        <v>부자 나초</v>
      </c>
      <c r="B4986" s="2" t="str">
        <f>IFERROR(__xludf.DUMMYFUNCTION("""COMPUTED_VALUE"""),"떡갈비")</f>
        <v>떡갈비</v>
      </c>
    </row>
    <row r="4987">
      <c r="A4987" s="2" t="str">
        <f>IFERROR(__xludf.DUMMYFUNCTION("""COMPUTED_VALUE"""),"부자 나초")</f>
        <v>부자 나초</v>
      </c>
      <c r="B4987" s="2" t="str">
        <f>IFERROR(__xludf.DUMMYFUNCTION("""COMPUTED_VALUE"""),"토마토소스")</f>
        <v>토마토소스</v>
      </c>
    </row>
    <row r="4988">
      <c r="A4988" s="2" t="str">
        <f>IFERROR(__xludf.DUMMYFUNCTION("""COMPUTED_VALUE"""),"부자 나초")</f>
        <v>부자 나초</v>
      </c>
      <c r="B4988" s="2" t="str">
        <f>IFERROR(__xludf.DUMMYFUNCTION("""COMPUTED_VALUE"""),"피치망고잼")</f>
        <v>피치망고잼</v>
      </c>
    </row>
    <row r="4989">
      <c r="A4989" s="2" t="str">
        <f>IFERROR(__xludf.DUMMYFUNCTION("""COMPUTED_VALUE"""),"부자 나초")</f>
        <v>부자 나초</v>
      </c>
      <c r="B4989" s="2" t="str">
        <f>IFERROR(__xludf.DUMMYFUNCTION("""COMPUTED_VALUE"""),"스테이크소스")</f>
        <v>스테이크소스</v>
      </c>
    </row>
    <row r="4990">
      <c r="A4990" s="2" t="str">
        <f>IFERROR(__xludf.DUMMYFUNCTION("""COMPUTED_VALUE"""),"부자 나초")</f>
        <v>부자 나초</v>
      </c>
      <c r="B4990" s="2" t="str">
        <f>IFERROR(__xludf.DUMMYFUNCTION("""COMPUTED_VALUE"""),"고형카레")</f>
        <v>고형카레</v>
      </c>
    </row>
    <row r="4991">
      <c r="A4991" s="2" t="str">
        <f>IFERROR(__xludf.DUMMYFUNCTION("""COMPUTED_VALUE"""),"부자 나초")</f>
        <v>부자 나초</v>
      </c>
      <c r="B4991" s="2" t="str">
        <f>IFERROR(__xludf.DUMMYFUNCTION("""COMPUTED_VALUE"""),"핫소스")</f>
        <v>핫소스</v>
      </c>
    </row>
    <row r="4992">
      <c r="A4992" s="2" t="str">
        <f>IFERROR(__xludf.DUMMYFUNCTION("""COMPUTED_VALUE"""),"부자 나초")</f>
        <v>부자 나초</v>
      </c>
      <c r="B4992" s="2" t="str">
        <f>IFERROR(__xludf.DUMMYFUNCTION("""COMPUTED_VALUE"""),"유부초밥용 유부")</f>
        <v>유부초밥용 유부</v>
      </c>
    </row>
    <row r="4993">
      <c r="A4993" s="2" t="str">
        <f>IFERROR(__xludf.DUMMYFUNCTION("""COMPUTED_VALUE"""),"부자 나초")</f>
        <v>부자 나초</v>
      </c>
      <c r="B4993" s="2" t="str">
        <f>IFERROR(__xludf.DUMMYFUNCTION("""COMPUTED_VALUE"""),"모차렐라치즈")</f>
        <v>모차렐라치즈</v>
      </c>
    </row>
    <row r="4994">
      <c r="A4994" s="2" t="str">
        <f>IFERROR(__xludf.DUMMYFUNCTION("""COMPUTED_VALUE"""),"부자 나초")</f>
        <v>부자 나초</v>
      </c>
      <c r="B4994" s="2" t="str">
        <f>IFERROR(__xludf.DUMMYFUNCTION("""COMPUTED_VALUE"""),"슬라이스 체다치즈")</f>
        <v>슬라이스 체다치즈</v>
      </c>
    </row>
    <row r="4995">
      <c r="A4995" s="2" t="str">
        <f>IFERROR(__xludf.DUMMYFUNCTION("""COMPUTED_VALUE"""),"부자 나초")</f>
        <v>부자 나초</v>
      </c>
      <c r="B4995" s="2" t="str">
        <f>IFERROR(__xludf.DUMMYFUNCTION("""COMPUTED_VALUE"""),"블랙올리브")</f>
        <v>블랙올리브</v>
      </c>
    </row>
    <row r="4996">
      <c r="A4996" s="2" t="str">
        <f>IFERROR(__xludf.DUMMYFUNCTION("""COMPUTED_VALUE"""),"부자 나초")</f>
        <v>부자 나초</v>
      </c>
      <c r="B4996" s="2" t="str">
        <f>IFERROR(__xludf.DUMMYFUNCTION("""COMPUTED_VALUE"""),"양파")</f>
        <v>양파</v>
      </c>
    </row>
    <row r="4997">
      <c r="A4997" s="2" t="str">
        <f>IFERROR(__xludf.DUMMYFUNCTION("""COMPUTED_VALUE"""),"부자 나초")</f>
        <v>부자 나초</v>
      </c>
      <c r="B4997" s="2" t="str">
        <f>IFERROR(__xludf.DUMMYFUNCTION("""COMPUTED_VALUE"""),"대파")</f>
        <v>대파</v>
      </c>
    </row>
    <row r="4998">
      <c r="A4998" s="2" t="str">
        <f>IFERROR(__xludf.DUMMYFUNCTION("""COMPUTED_VALUE"""),"부자 나초")</f>
        <v>부자 나초</v>
      </c>
      <c r="B4998" s="2" t="str">
        <f>IFERROR(__xludf.DUMMYFUNCTION("""COMPUTED_VALUE"""),"청양고추")</f>
        <v>청양고추</v>
      </c>
    </row>
    <row r="4999">
      <c r="A4999" s="2" t="str">
        <f>IFERROR(__xludf.DUMMYFUNCTION("""COMPUTED_VALUE"""),"부자 나초")</f>
        <v>부자 나초</v>
      </c>
      <c r="B4999" s="2" t="str">
        <f>IFERROR(__xludf.DUMMYFUNCTION("""COMPUTED_VALUE"""),"즉석밥")</f>
        <v>즉석밥</v>
      </c>
    </row>
    <row r="5000">
      <c r="A5000" s="2" t="str">
        <f>IFERROR(__xludf.DUMMYFUNCTION("""COMPUTED_VALUE"""),"부자 나초")</f>
        <v>부자 나초</v>
      </c>
      <c r="B5000" s="2" t="str">
        <f>IFERROR(__xludf.DUMMYFUNCTION("""COMPUTED_VALUE"""),"후추")</f>
        <v>후추</v>
      </c>
    </row>
    <row r="5001">
      <c r="A5001" s="2" t="str">
        <f>IFERROR(__xludf.DUMMYFUNCTION("""COMPUTED_VALUE"""),"부자 나초")</f>
        <v>부자 나초</v>
      </c>
      <c r="B5001" s="2" t="str">
        <f>IFERROR(__xludf.DUMMYFUNCTION("""COMPUTED_VALUE"""),"화이트와인")</f>
        <v>화이트와인</v>
      </c>
    </row>
    <row r="5002">
      <c r="A5002" s="2" t="str">
        <f>IFERROR(__xludf.DUMMYFUNCTION("""COMPUTED_VALUE"""),"튀튀빵빵")</f>
        <v>튀튀빵빵</v>
      </c>
      <c r="B5002" s="2" t="str">
        <f>IFERROR(__xludf.DUMMYFUNCTION("""COMPUTED_VALUE"""),"이스트")</f>
        <v>이스트</v>
      </c>
    </row>
    <row r="5003">
      <c r="A5003" s="2" t="str">
        <f>IFERROR(__xludf.DUMMYFUNCTION("""COMPUTED_VALUE"""),"튀튀빵빵")</f>
        <v>튀튀빵빵</v>
      </c>
      <c r="B5003" s="2" t="str">
        <f>IFERROR(__xludf.DUMMYFUNCTION("""COMPUTED_VALUE"""),"코코넛오일")</f>
        <v>코코넛오일</v>
      </c>
    </row>
    <row r="5004">
      <c r="A5004" s="2" t="str">
        <f>IFERROR(__xludf.DUMMYFUNCTION("""COMPUTED_VALUE"""),"튀튀빵빵")</f>
        <v>튀튀빵빵</v>
      </c>
      <c r="B5004" s="2" t="str">
        <f>IFERROR(__xludf.DUMMYFUNCTION("""COMPUTED_VALUE"""),"사과")</f>
        <v>사과</v>
      </c>
    </row>
    <row r="5005">
      <c r="A5005" s="2" t="str">
        <f>IFERROR(__xludf.DUMMYFUNCTION("""COMPUTED_VALUE"""),"튀튀빵빵")</f>
        <v>튀튀빵빵</v>
      </c>
      <c r="B5005" s="2" t="str">
        <f>IFERROR(__xludf.DUMMYFUNCTION("""COMPUTED_VALUE"""),"자두")</f>
        <v>자두</v>
      </c>
    </row>
    <row r="5006">
      <c r="A5006" s="2" t="str">
        <f>IFERROR(__xludf.DUMMYFUNCTION("""COMPUTED_VALUE"""),"튀튀빵빵")</f>
        <v>튀튀빵빵</v>
      </c>
      <c r="B5006" s="2" t="str">
        <f>IFERROR(__xludf.DUMMYFUNCTION("""COMPUTED_VALUE"""),"오렌지")</f>
        <v>오렌지</v>
      </c>
    </row>
    <row r="5007">
      <c r="A5007" s="2" t="str">
        <f>IFERROR(__xludf.DUMMYFUNCTION("""COMPUTED_VALUE"""),"튀튀빵빵")</f>
        <v>튀튀빵빵</v>
      </c>
      <c r="B5007" s="2" t="str">
        <f>IFERROR(__xludf.DUMMYFUNCTION("""COMPUTED_VALUE"""),"연유")</f>
        <v>연유</v>
      </c>
    </row>
    <row r="5008">
      <c r="A5008" s="2" t="str">
        <f>IFERROR(__xludf.DUMMYFUNCTION("""COMPUTED_VALUE"""),"튀튀빵빵")</f>
        <v>튀튀빵빵</v>
      </c>
      <c r="B5008" s="2" t="str">
        <f>IFERROR(__xludf.DUMMYFUNCTION("""COMPUTED_VALUE"""),"꿀")</f>
        <v>꿀</v>
      </c>
    </row>
    <row r="5009">
      <c r="A5009" s="2" t="str">
        <f>IFERROR(__xludf.DUMMYFUNCTION("""COMPUTED_VALUE"""),"튀튀빵빵")</f>
        <v>튀튀빵빵</v>
      </c>
      <c r="B5009" s="2" t="str">
        <f>IFERROR(__xludf.DUMMYFUNCTION("""COMPUTED_VALUE"""),"밀가루")</f>
        <v>밀가루</v>
      </c>
    </row>
    <row r="5010">
      <c r="A5010" s="2" t="str">
        <f>IFERROR(__xludf.DUMMYFUNCTION("""COMPUTED_VALUE"""),"튀튀빵빵")</f>
        <v>튀튀빵빵</v>
      </c>
      <c r="B5010" s="2" t="str">
        <f>IFERROR(__xludf.DUMMYFUNCTION("""COMPUTED_VALUE"""),"소금")</f>
        <v>소금</v>
      </c>
    </row>
    <row r="5011">
      <c r="A5011" s="2" t="str">
        <f>IFERROR(__xludf.DUMMYFUNCTION("""COMPUTED_VALUE"""),"튀튀빵빵")</f>
        <v>튀튀빵빵</v>
      </c>
      <c r="B5011" s="2" t="str">
        <f>IFERROR(__xludf.DUMMYFUNCTION("""COMPUTED_VALUE"""),"설탕")</f>
        <v>설탕</v>
      </c>
    </row>
    <row r="5012">
      <c r="A5012" s="2" t="str">
        <f>IFERROR(__xludf.DUMMYFUNCTION("""COMPUTED_VALUE"""),"두밥두밥 두부두밥♬")</f>
        <v>두밥두밥 두부두밥♬</v>
      </c>
      <c r="B5012" s="2" t="str">
        <f>IFERROR(__xludf.DUMMYFUNCTION("""COMPUTED_VALUE"""),"두부")</f>
        <v>두부</v>
      </c>
    </row>
    <row r="5013">
      <c r="A5013" s="2" t="str">
        <f>IFERROR(__xludf.DUMMYFUNCTION("""COMPUTED_VALUE"""),"두밥두밥 두부두밥♬")</f>
        <v>두밥두밥 두부두밥♬</v>
      </c>
      <c r="B5013" s="2" t="str">
        <f>IFERROR(__xludf.DUMMYFUNCTION("""COMPUTED_VALUE"""),"아보카도")</f>
        <v>아보카도</v>
      </c>
    </row>
    <row r="5014">
      <c r="A5014" s="2" t="str">
        <f>IFERROR(__xludf.DUMMYFUNCTION("""COMPUTED_VALUE"""),"두밥두밥 두부두밥♬")</f>
        <v>두밥두밥 두부두밥♬</v>
      </c>
      <c r="B5014" s="2" t="str">
        <f>IFERROR(__xludf.DUMMYFUNCTION("""COMPUTED_VALUE"""),"불고기용 소고기")</f>
        <v>불고기용 소고기</v>
      </c>
    </row>
    <row r="5015">
      <c r="A5015" s="2" t="str">
        <f>IFERROR(__xludf.DUMMYFUNCTION("""COMPUTED_VALUE"""),"두밥두밥 두부두밥♬")</f>
        <v>두밥두밥 두부두밥♬</v>
      </c>
      <c r="B5015" s="2" t="str">
        <f>IFERROR(__xludf.DUMMYFUNCTION("""COMPUTED_VALUE"""),"적양파")</f>
        <v>적양파</v>
      </c>
    </row>
    <row r="5016">
      <c r="A5016" s="2" t="str">
        <f>IFERROR(__xludf.DUMMYFUNCTION("""COMPUTED_VALUE"""),"두밥두밥 두부두밥♬")</f>
        <v>두밥두밥 두부두밥♬</v>
      </c>
      <c r="B5016" s="2" t="str">
        <f>IFERROR(__xludf.DUMMYFUNCTION("""COMPUTED_VALUE"""),"애호박")</f>
        <v>애호박</v>
      </c>
    </row>
    <row r="5017">
      <c r="A5017" s="2" t="str">
        <f>IFERROR(__xludf.DUMMYFUNCTION("""COMPUTED_VALUE"""),"두밥두밥 두부두밥♬")</f>
        <v>두밥두밥 두부두밥♬</v>
      </c>
      <c r="B5017" s="2" t="str">
        <f>IFERROR(__xludf.DUMMYFUNCTION("""COMPUTED_VALUE"""),"표고버섯")</f>
        <v>표고버섯</v>
      </c>
    </row>
    <row r="5018">
      <c r="A5018" s="2" t="str">
        <f>IFERROR(__xludf.DUMMYFUNCTION("""COMPUTED_VALUE"""),"두밥두밥 두부두밥♬")</f>
        <v>두밥두밥 두부두밥♬</v>
      </c>
      <c r="B5018" s="2" t="str">
        <f>IFERROR(__xludf.DUMMYFUNCTION("""COMPUTED_VALUE"""),"배")</f>
        <v>배</v>
      </c>
    </row>
    <row r="5019">
      <c r="A5019" s="2" t="str">
        <f>IFERROR(__xludf.DUMMYFUNCTION("""COMPUTED_VALUE"""),"두밥두밥 두부두밥♬")</f>
        <v>두밥두밥 두부두밥♬</v>
      </c>
      <c r="B5019" s="2" t="str">
        <f>IFERROR(__xludf.DUMMYFUNCTION("""COMPUTED_VALUE"""),"김밥용 우엉")</f>
        <v>김밥용 우엉</v>
      </c>
    </row>
    <row r="5020">
      <c r="A5020" s="2" t="str">
        <f>IFERROR(__xludf.DUMMYFUNCTION("""COMPUTED_VALUE"""),"두밥두밥 두부두밥♬")</f>
        <v>두밥두밥 두부두밥♬</v>
      </c>
      <c r="B5020" s="2" t="str">
        <f>IFERROR(__xludf.DUMMYFUNCTION("""COMPUTED_VALUE"""),"매실액")</f>
        <v>매실액</v>
      </c>
    </row>
    <row r="5021">
      <c r="A5021" s="2" t="str">
        <f>IFERROR(__xludf.DUMMYFUNCTION("""COMPUTED_VALUE"""),"두밥두밥 두부두밥♬")</f>
        <v>두밥두밥 두부두밥♬</v>
      </c>
      <c r="B5021" s="2" t="str">
        <f>IFERROR(__xludf.DUMMYFUNCTION("""COMPUTED_VALUE"""),"매운 수제양념장")</f>
        <v>매운 수제양념장</v>
      </c>
    </row>
    <row r="5022">
      <c r="A5022" s="2" t="str">
        <f>IFERROR(__xludf.DUMMYFUNCTION("""COMPUTED_VALUE"""),"두밥두밥 두부두밥♬")</f>
        <v>두밥두밥 두부두밥♬</v>
      </c>
      <c r="B5022" s="2" t="str">
        <f>IFERROR(__xludf.DUMMYFUNCTION("""COMPUTED_VALUE"""),"마늘")</f>
        <v>마늘</v>
      </c>
    </row>
    <row r="5023">
      <c r="A5023" s="2" t="str">
        <f>IFERROR(__xludf.DUMMYFUNCTION("""COMPUTED_VALUE"""),"두밥두밥 두부두밥♬")</f>
        <v>두밥두밥 두부두밥♬</v>
      </c>
      <c r="B5023" s="2" t="str">
        <f>IFERROR(__xludf.DUMMYFUNCTION("""COMPUTED_VALUE"""),"청주")</f>
        <v>청주</v>
      </c>
    </row>
    <row r="5024">
      <c r="A5024" s="2" t="str">
        <f>IFERROR(__xludf.DUMMYFUNCTION("""COMPUTED_VALUE"""),"두밥두밥 두부두밥♬")</f>
        <v>두밥두밥 두부두밥♬</v>
      </c>
      <c r="B5024" s="2" t="str">
        <f>IFERROR(__xludf.DUMMYFUNCTION("""COMPUTED_VALUE"""),"맛술")</f>
        <v>맛술</v>
      </c>
    </row>
    <row r="5025">
      <c r="A5025" s="2" t="str">
        <f>IFERROR(__xludf.DUMMYFUNCTION("""COMPUTED_VALUE"""),"두밥두밥 두부두밥♬")</f>
        <v>두밥두밥 두부두밥♬</v>
      </c>
      <c r="B5025" s="2" t="str">
        <f>IFERROR(__xludf.DUMMYFUNCTION("""COMPUTED_VALUE"""),"간장")</f>
        <v>간장</v>
      </c>
    </row>
    <row r="5026">
      <c r="A5026" s="2" t="str">
        <f>IFERROR(__xludf.DUMMYFUNCTION("""COMPUTED_VALUE"""),"두밥두밥 두부두밥♬")</f>
        <v>두밥두밥 두부두밥♬</v>
      </c>
      <c r="B5026" s="2" t="str">
        <f>IFERROR(__xludf.DUMMYFUNCTION("""COMPUTED_VALUE"""),"전분")</f>
        <v>전분</v>
      </c>
    </row>
    <row r="5027">
      <c r="A5027" s="2" t="str">
        <f>IFERROR(__xludf.DUMMYFUNCTION("""COMPUTED_VALUE"""),"두밥두밥 두부두밥♬")</f>
        <v>두밥두밥 두부두밥♬</v>
      </c>
      <c r="B5027" s="2" t="str">
        <f>IFERROR(__xludf.DUMMYFUNCTION("""COMPUTED_VALUE"""),"밀가루")</f>
        <v>밀가루</v>
      </c>
    </row>
    <row r="5028">
      <c r="A5028" s="2" t="str">
        <f>IFERROR(__xludf.DUMMYFUNCTION("""COMPUTED_VALUE"""),"두밥두밥 두부두밥♬")</f>
        <v>두밥두밥 두부두밥♬</v>
      </c>
      <c r="B5028" s="2" t="str">
        <f>IFERROR(__xludf.DUMMYFUNCTION("""COMPUTED_VALUE"""),"즉석밥")</f>
        <v>즉석밥</v>
      </c>
    </row>
    <row r="5029">
      <c r="A5029" s="2" t="str">
        <f>IFERROR(__xludf.DUMMYFUNCTION("""COMPUTED_VALUE"""),"두밥두밥 두부두밥♬")</f>
        <v>두밥두밥 두부두밥♬</v>
      </c>
      <c r="B5029" s="2" t="str">
        <f>IFERROR(__xludf.DUMMYFUNCTION("""COMPUTED_VALUE"""),"설탕")</f>
        <v>설탕</v>
      </c>
    </row>
    <row r="5030">
      <c r="A5030" s="2" t="str">
        <f>IFERROR(__xludf.DUMMYFUNCTION("""COMPUTED_VALUE"""),"소주 한 잔 참치마")</f>
        <v>소주 한 잔 참치마</v>
      </c>
      <c r="B5030" s="2" t="str">
        <f>IFERROR(__xludf.DUMMYFUNCTION("""COMPUTED_VALUE"""),"참치 통조림")</f>
        <v>참치 통조림</v>
      </c>
    </row>
    <row r="5031">
      <c r="A5031" s="2" t="str">
        <f>IFERROR(__xludf.DUMMYFUNCTION("""COMPUTED_VALUE"""),"소주 한 잔 참치마")</f>
        <v>소주 한 잔 참치마</v>
      </c>
      <c r="B5031" s="2" t="str">
        <f>IFERROR(__xludf.DUMMYFUNCTION("""COMPUTED_VALUE"""),"아보카도")</f>
        <v>아보카도</v>
      </c>
    </row>
    <row r="5032">
      <c r="A5032" s="2" t="str">
        <f>IFERROR(__xludf.DUMMYFUNCTION("""COMPUTED_VALUE"""),"소주 한 잔 참치마")</f>
        <v>소주 한 잔 참치마</v>
      </c>
      <c r="B5032" s="2" t="str">
        <f>IFERROR(__xludf.DUMMYFUNCTION("""COMPUTED_VALUE"""),"적양파")</f>
        <v>적양파</v>
      </c>
    </row>
    <row r="5033">
      <c r="A5033" s="2" t="str">
        <f>IFERROR(__xludf.DUMMYFUNCTION("""COMPUTED_VALUE"""),"소주 한 잔 참치마")</f>
        <v>소주 한 잔 참치마</v>
      </c>
      <c r="B5033" s="2" t="str">
        <f>IFERROR(__xludf.DUMMYFUNCTION("""COMPUTED_VALUE"""),"라임")</f>
        <v>라임</v>
      </c>
    </row>
    <row r="5034">
      <c r="A5034" s="2" t="str">
        <f>IFERROR(__xludf.DUMMYFUNCTION("""COMPUTED_VALUE"""),"소주 한 잔 참치마")</f>
        <v>소주 한 잔 참치마</v>
      </c>
      <c r="B5034" s="2" t="str">
        <f>IFERROR(__xludf.DUMMYFUNCTION("""COMPUTED_VALUE"""),"떡볶이 떡")</f>
        <v>떡볶이 떡</v>
      </c>
    </row>
    <row r="5035">
      <c r="A5035" s="2" t="str">
        <f>IFERROR(__xludf.DUMMYFUNCTION("""COMPUTED_VALUE"""),"소주 한 잔 참치마")</f>
        <v>소주 한 잔 참치마</v>
      </c>
      <c r="B5035" s="2" t="str">
        <f>IFERROR(__xludf.DUMMYFUNCTION("""COMPUTED_VALUE"""),"청양고추")</f>
        <v>청양고추</v>
      </c>
    </row>
    <row r="5036">
      <c r="A5036" s="2" t="str">
        <f>IFERROR(__xludf.DUMMYFUNCTION("""COMPUTED_VALUE"""),"소주 한 잔 참치마")</f>
        <v>소주 한 잔 참치마</v>
      </c>
      <c r="B5036" s="2" t="str">
        <f>IFERROR(__xludf.DUMMYFUNCTION("""COMPUTED_VALUE"""),"마늘")</f>
        <v>마늘</v>
      </c>
    </row>
    <row r="5037">
      <c r="A5037" s="2" t="str">
        <f>IFERROR(__xludf.DUMMYFUNCTION("""COMPUTED_VALUE"""),"소주 한 잔 참치마")</f>
        <v>소주 한 잔 참치마</v>
      </c>
      <c r="B5037" s="2" t="str">
        <f>IFERROR(__xludf.DUMMYFUNCTION("""COMPUTED_VALUE"""),"대파")</f>
        <v>대파</v>
      </c>
    </row>
    <row r="5038">
      <c r="A5038" s="2" t="str">
        <f>IFERROR(__xludf.DUMMYFUNCTION("""COMPUTED_VALUE"""),"소주 한 잔 참치마")</f>
        <v>소주 한 잔 참치마</v>
      </c>
      <c r="B5038" s="2" t="str">
        <f>IFERROR(__xludf.DUMMYFUNCTION("""COMPUTED_VALUE"""),"간장")</f>
        <v>간장</v>
      </c>
    </row>
    <row r="5039">
      <c r="A5039" s="2" t="str">
        <f>IFERROR(__xludf.DUMMYFUNCTION("""COMPUTED_VALUE"""),"소주 한 잔 참치마")</f>
        <v>소주 한 잔 참치마</v>
      </c>
      <c r="B5039" s="2" t="str">
        <f>IFERROR(__xludf.DUMMYFUNCTION("""COMPUTED_VALUE"""),"고춧가루")</f>
        <v>고춧가루</v>
      </c>
    </row>
    <row r="5040">
      <c r="A5040" s="2" t="str">
        <f>IFERROR(__xludf.DUMMYFUNCTION("""COMPUTED_VALUE"""),"소주 한 잔 참치마")</f>
        <v>소주 한 잔 참치마</v>
      </c>
      <c r="B5040" s="2" t="str">
        <f>IFERROR(__xludf.DUMMYFUNCTION("""COMPUTED_VALUE"""),"식초")</f>
        <v>식초</v>
      </c>
    </row>
    <row r="5041">
      <c r="A5041" s="2" t="str">
        <f>IFERROR(__xludf.DUMMYFUNCTION("""COMPUTED_VALUE"""),"소주 한 잔 참치마")</f>
        <v>소주 한 잔 참치마</v>
      </c>
      <c r="B5041" s="2" t="str">
        <f>IFERROR(__xludf.DUMMYFUNCTION("""COMPUTED_VALUE"""),"설탕")</f>
        <v>설탕</v>
      </c>
    </row>
    <row r="5042">
      <c r="A5042" s="2" t="str">
        <f>IFERROR(__xludf.DUMMYFUNCTION("""COMPUTED_VALUE"""),"소주 한 잔 참치마")</f>
        <v>소주 한 잔 참치마</v>
      </c>
      <c r="B5042" s="2" t="str">
        <f>IFERROR(__xludf.DUMMYFUNCTION("""COMPUTED_VALUE"""),"밀가루")</f>
        <v>밀가루</v>
      </c>
    </row>
    <row r="5043">
      <c r="A5043" s="2" t="str">
        <f>IFERROR(__xludf.DUMMYFUNCTION("""COMPUTED_VALUE"""),"소주 한 잔 참치마")</f>
        <v>소주 한 잔 참치마</v>
      </c>
      <c r="B5043" s="2" t="str">
        <f>IFERROR(__xludf.DUMMYFUNCTION("""COMPUTED_VALUE"""),"전분")</f>
        <v>전분</v>
      </c>
    </row>
    <row r="5044">
      <c r="A5044" s="2" t="str">
        <f>IFERROR(__xludf.DUMMYFUNCTION("""COMPUTED_VALUE"""),"소주 한 잔 참치마")</f>
        <v>소주 한 잔 참치마</v>
      </c>
      <c r="B5044" s="2" t="str">
        <f>IFERROR(__xludf.DUMMYFUNCTION("""COMPUTED_VALUE"""),"소금")</f>
        <v>소금</v>
      </c>
    </row>
    <row r="5045">
      <c r="A5045" s="2" t="str">
        <f>IFERROR(__xludf.DUMMYFUNCTION("""COMPUTED_VALUE"""),"소주 한 잔 참치마")</f>
        <v>소주 한 잔 참치마</v>
      </c>
      <c r="B5045" s="2" t="str">
        <f>IFERROR(__xludf.DUMMYFUNCTION("""COMPUTED_VALUE"""),"깨")</f>
        <v>깨</v>
      </c>
    </row>
    <row r="5046">
      <c r="A5046" s="2" t="str">
        <f>IFERROR(__xludf.DUMMYFUNCTION("""COMPUTED_VALUE"""),"두부세요~ 나야♬")</f>
        <v>두부세요~ 나야♬</v>
      </c>
      <c r="B5046" s="2" t="str">
        <f>IFERROR(__xludf.DUMMYFUNCTION("""COMPUTED_VALUE"""),"두부")</f>
        <v>두부</v>
      </c>
    </row>
    <row r="5047">
      <c r="A5047" s="2" t="str">
        <f>IFERROR(__xludf.DUMMYFUNCTION("""COMPUTED_VALUE"""),"두부세요~ 나야♬")</f>
        <v>두부세요~ 나야♬</v>
      </c>
      <c r="B5047" s="2" t="str">
        <f>IFERROR(__xludf.DUMMYFUNCTION("""COMPUTED_VALUE"""),"불고기용 소고기")</f>
        <v>불고기용 소고기</v>
      </c>
    </row>
    <row r="5048">
      <c r="A5048" s="2" t="str">
        <f>IFERROR(__xludf.DUMMYFUNCTION("""COMPUTED_VALUE"""),"두부세요~ 나야♬")</f>
        <v>두부세요~ 나야♬</v>
      </c>
      <c r="B5048" s="2" t="str">
        <f>IFERROR(__xludf.DUMMYFUNCTION("""COMPUTED_VALUE"""),"표고버섯")</f>
        <v>표고버섯</v>
      </c>
    </row>
    <row r="5049">
      <c r="A5049" s="2" t="str">
        <f>IFERROR(__xludf.DUMMYFUNCTION("""COMPUTED_VALUE"""),"두부세요~ 나야♬")</f>
        <v>두부세요~ 나야♬</v>
      </c>
      <c r="B5049" s="2" t="str">
        <f>IFERROR(__xludf.DUMMYFUNCTION("""COMPUTED_VALUE"""),"떡볶이 떡")</f>
        <v>떡볶이 떡</v>
      </c>
    </row>
    <row r="5050">
      <c r="A5050" s="2" t="str">
        <f>IFERROR(__xludf.DUMMYFUNCTION("""COMPUTED_VALUE"""),"두부세요~ 나야♬")</f>
        <v>두부세요~ 나야♬</v>
      </c>
      <c r="B5050" s="2" t="str">
        <f>IFERROR(__xludf.DUMMYFUNCTION("""COMPUTED_VALUE"""),"굴소스")</f>
        <v>굴소스</v>
      </c>
    </row>
    <row r="5051">
      <c r="A5051" s="2" t="str">
        <f>IFERROR(__xludf.DUMMYFUNCTION("""COMPUTED_VALUE"""),"두부세요~ 나야♬")</f>
        <v>두부세요~ 나야♬</v>
      </c>
      <c r="B5051" s="2" t="str">
        <f>IFERROR(__xludf.DUMMYFUNCTION("""COMPUTED_VALUE"""),"새우젓")</f>
        <v>새우젓</v>
      </c>
    </row>
    <row r="5052">
      <c r="A5052" s="2" t="str">
        <f>IFERROR(__xludf.DUMMYFUNCTION("""COMPUTED_VALUE"""),"두부세요~ 나야♬")</f>
        <v>두부세요~ 나야♬</v>
      </c>
      <c r="B5052" s="2" t="str">
        <f>IFERROR(__xludf.DUMMYFUNCTION("""COMPUTED_VALUE"""),"부추")</f>
        <v>부추</v>
      </c>
    </row>
    <row r="5053">
      <c r="A5053" s="2" t="str">
        <f>IFERROR(__xludf.DUMMYFUNCTION("""COMPUTED_VALUE"""),"두부세요~ 나야♬")</f>
        <v>두부세요~ 나야♬</v>
      </c>
      <c r="B5053" s="2" t="str">
        <f>IFERROR(__xludf.DUMMYFUNCTION("""COMPUTED_VALUE"""),"적양파")</f>
        <v>적양파</v>
      </c>
    </row>
    <row r="5054">
      <c r="A5054" s="2" t="str">
        <f>IFERROR(__xludf.DUMMYFUNCTION("""COMPUTED_VALUE"""),"두부세요~ 나야♬")</f>
        <v>두부세요~ 나야♬</v>
      </c>
      <c r="B5054" s="2" t="str">
        <f>IFERROR(__xludf.DUMMYFUNCTION("""COMPUTED_VALUE"""),"태국고추")</f>
        <v>태국고추</v>
      </c>
    </row>
    <row r="5055">
      <c r="A5055" s="2" t="str">
        <f>IFERROR(__xludf.DUMMYFUNCTION("""COMPUTED_VALUE"""),"두부세요~ 나야♬")</f>
        <v>두부세요~ 나야♬</v>
      </c>
      <c r="B5055" s="2" t="str">
        <f>IFERROR(__xludf.DUMMYFUNCTION("""COMPUTED_VALUE"""),"마늘")</f>
        <v>마늘</v>
      </c>
    </row>
    <row r="5056">
      <c r="A5056" s="2" t="str">
        <f>IFERROR(__xludf.DUMMYFUNCTION("""COMPUTED_VALUE"""),"두부세요~ 나야♬")</f>
        <v>두부세요~ 나야♬</v>
      </c>
      <c r="B5056" s="2" t="str">
        <f>IFERROR(__xludf.DUMMYFUNCTION("""COMPUTED_VALUE"""),"대파")</f>
        <v>대파</v>
      </c>
    </row>
    <row r="5057">
      <c r="A5057" s="2" t="str">
        <f>IFERROR(__xludf.DUMMYFUNCTION("""COMPUTED_VALUE"""),"두부세요~ 나야♬")</f>
        <v>두부세요~ 나야♬</v>
      </c>
      <c r="B5057" s="2" t="str">
        <f>IFERROR(__xludf.DUMMYFUNCTION("""COMPUTED_VALUE"""),"청양고추")</f>
        <v>청양고추</v>
      </c>
    </row>
    <row r="5058">
      <c r="A5058" s="2" t="str">
        <f>IFERROR(__xludf.DUMMYFUNCTION("""COMPUTED_VALUE"""),"두부세요~ 나야♬")</f>
        <v>두부세요~ 나야♬</v>
      </c>
      <c r="B5058" s="2" t="str">
        <f>IFERROR(__xludf.DUMMYFUNCTION("""COMPUTED_VALUE"""),"고춧가루")</f>
        <v>고춧가루</v>
      </c>
    </row>
    <row r="5059">
      <c r="A5059" s="2" t="str">
        <f>IFERROR(__xludf.DUMMYFUNCTION("""COMPUTED_VALUE"""),"두부세요~ 나야♬")</f>
        <v>두부세요~ 나야♬</v>
      </c>
      <c r="B5059" s="2" t="str">
        <f>IFERROR(__xludf.DUMMYFUNCTION("""COMPUTED_VALUE"""),"맛술")</f>
        <v>맛술</v>
      </c>
    </row>
    <row r="5060">
      <c r="A5060" s="2" t="str">
        <f>IFERROR(__xludf.DUMMYFUNCTION("""COMPUTED_VALUE"""),"두부세요~ 나야♬")</f>
        <v>두부세요~ 나야♬</v>
      </c>
      <c r="B5060" s="2" t="str">
        <f>IFERROR(__xludf.DUMMYFUNCTION("""COMPUTED_VALUE"""),"식초")</f>
        <v>식초</v>
      </c>
    </row>
    <row r="5061">
      <c r="A5061" s="2" t="str">
        <f>IFERROR(__xludf.DUMMYFUNCTION("""COMPUTED_VALUE"""),"두부세요~ 나야♬")</f>
        <v>두부세요~ 나야♬</v>
      </c>
      <c r="B5061" s="2" t="str">
        <f>IFERROR(__xludf.DUMMYFUNCTION("""COMPUTED_VALUE"""),"소금")</f>
        <v>소금</v>
      </c>
    </row>
    <row r="5062">
      <c r="A5062" s="2" t="str">
        <f>IFERROR(__xludf.DUMMYFUNCTION("""COMPUTED_VALUE"""),"두부세요~ 나야♬")</f>
        <v>두부세요~ 나야♬</v>
      </c>
      <c r="B5062" s="2" t="str">
        <f>IFERROR(__xludf.DUMMYFUNCTION("""COMPUTED_VALUE"""),"후추")</f>
        <v>후추</v>
      </c>
    </row>
    <row r="5063">
      <c r="A5063" s="2" t="str">
        <f>IFERROR(__xludf.DUMMYFUNCTION("""COMPUTED_VALUE"""),"가위로 오리면")</f>
        <v>가위로 오리면</v>
      </c>
      <c r="B5063" s="2" t="str">
        <f>IFERROR(__xludf.DUMMYFUNCTION("""COMPUTED_VALUE"""),"훈제오리살")</f>
        <v>훈제오리살</v>
      </c>
    </row>
    <row r="5064">
      <c r="A5064" s="2" t="str">
        <f>IFERROR(__xludf.DUMMYFUNCTION("""COMPUTED_VALUE"""),"가위로 오리면")</f>
        <v>가위로 오리면</v>
      </c>
      <c r="B5064" s="2" t="str">
        <f>IFERROR(__xludf.DUMMYFUNCTION("""COMPUTED_VALUE"""),"적양파")</f>
        <v>적양파</v>
      </c>
    </row>
    <row r="5065">
      <c r="A5065" s="2" t="str">
        <f>IFERROR(__xludf.DUMMYFUNCTION("""COMPUTED_VALUE"""),"가위로 오리면")</f>
        <v>가위로 오리면</v>
      </c>
      <c r="B5065" s="2" t="str">
        <f>IFERROR(__xludf.DUMMYFUNCTION("""COMPUTED_VALUE"""),"아스파라거스")</f>
        <v>아스파라거스</v>
      </c>
    </row>
    <row r="5066">
      <c r="A5066" s="2" t="str">
        <f>IFERROR(__xludf.DUMMYFUNCTION("""COMPUTED_VALUE"""),"가위로 오리면")</f>
        <v>가위로 오리면</v>
      </c>
      <c r="B5066" s="2" t="str">
        <f>IFERROR(__xludf.DUMMYFUNCTION("""COMPUTED_VALUE"""),"표고버섯")</f>
        <v>표고버섯</v>
      </c>
    </row>
    <row r="5067">
      <c r="A5067" s="2" t="str">
        <f>IFERROR(__xludf.DUMMYFUNCTION("""COMPUTED_VALUE"""),"가위로 오리면")</f>
        <v>가위로 오리면</v>
      </c>
      <c r="B5067" s="2" t="str">
        <f>IFERROR(__xludf.DUMMYFUNCTION("""COMPUTED_VALUE"""),"연근")</f>
        <v>연근</v>
      </c>
    </row>
    <row r="5068">
      <c r="A5068" s="2" t="str">
        <f>IFERROR(__xludf.DUMMYFUNCTION("""COMPUTED_VALUE"""),"가위로 오리면")</f>
        <v>가위로 오리면</v>
      </c>
      <c r="B5068" s="2" t="str">
        <f>IFERROR(__xludf.DUMMYFUNCTION("""COMPUTED_VALUE"""),"귤")</f>
        <v>귤</v>
      </c>
    </row>
    <row r="5069">
      <c r="A5069" s="2" t="str">
        <f>IFERROR(__xludf.DUMMYFUNCTION("""COMPUTED_VALUE"""),"가위로 오리면")</f>
        <v>가위로 오리면</v>
      </c>
      <c r="B5069" s="2" t="str">
        <f>IFERROR(__xludf.DUMMYFUNCTION("""COMPUTED_VALUE"""),"돼지갈비양념")</f>
        <v>돼지갈비양념</v>
      </c>
    </row>
    <row r="5070">
      <c r="A5070" s="2" t="str">
        <f>IFERROR(__xludf.DUMMYFUNCTION("""COMPUTED_VALUE"""),"가위로 오리면")</f>
        <v>가위로 오리면</v>
      </c>
      <c r="B5070" s="2" t="str">
        <f>IFERROR(__xludf.DUMMYFUNCTION("""COMPUTED_VALUE"""),"밀가루")</f>
        <v>밀가루</v>
      </c>
    </row>
    <row r="5071">
      <c r="A5071" s="2" t="str">
        <f>IFERROR(__xludf.DUMMYFUNCTION("""COMPUTED_VALUE"""),"가위로 오리면")</f>
        <v>가위로 오리면</v>
      </c>
      <c r="B5071" s="2" t="str">
        <f>IFERROR(__xludf.DUMMYFUNCTION("""COMPUTED_VALUE"""),"소금")</f>
        <v>소금</v>
      </c>
    </row>
    <row r="5072">
      <c r="A5072" s="2" t="str">
        <f>IFERROR(__xludf.DUMMYFUNCTION("""COMPUTED_VALUE"""),"가위로 오리면")</f>
        <v>가위로 오리면</v>
      </c>
      <c r="B5072" s="2" t="str">
        <f>IFERROR(__xludf.DUMMYFUNCTION("""COMPUTED_VALUE"""),"마늘")</f>
        <v>마늘</v>
      </c>
    </row>
    <row r="5073">
      <c r="A5073" s="2" t="str">
        <f>IFERROR(__xludf.DUMMYFUNCTION("""COMPUTED_VALUE"""),"가위로 오리면")</f>
        <v>가위로 오리면</v>
      </c>
      <c r="B5073" s="2" t="str">
        <f>IFERROR(__xludf.DUMMYFUNCTION("""COMPUTED_VALUE"""),"대파")</f>
        <v>대파</v>
      </c>
    </row>
    <row r="5074">
      <c r="A5074" s="2" t="str">
        <f>IFERROR(__xludf.DUMMYFUNCTION("""COMPUTED_VALUE"""),"가위로 오리면")</f>
        <v>가위로 오리면</v>
      </c>
      <c r="B5074" s="2" t="str">
        <f>IFERROR(__xludf.DUMMYFUNCTION("""COMPUTED_VALUE"""),"후추")</f>
        <v>후추</v>
      </c>
    </row>
    <row r="5075">
      <c r="A5075" s="2" t="str">
        <f>IFERROR(__xludf.DUMMYFUNCTION("""COMPUTED_VALUE"""),"가위로 오리면")</f>
        <v>가위로 오리면</v>
      </c>
      <c r="B5075" s="2" t="str">
        <f>IFERROR(__xludf.DUMMYFUNCTION("""COMPUTED_VALUE"""),"맛술")</f>
        <v>맛술</v>
      </c>
    </row>
    <row r="5076">
      <c r="A5076" s="2" t="str">
        <f>IFERROR(__xludf.DUMMYFUNCTION("""COMPUTED_VALUE"""),"오늘부터 오리는♬")</f>
        <v>오늘부터 오리는♬</v>
      </c>
      <c r="B5076" s="2" t="str">
        <f>IFERROR(__xludf.DUMMYFUNCTION("""COMPUTED_VALUE"""),"오리고기")</f>
        <v>오리고기</v>
      </c>
    </row>
    <row r="5077">
      <c r="A5077" s="2" t="str">
        <f>IFERROR(__xludf.DUMMYFUNCTION("""COMPUTED_VALUE"""),"오늘부터 오리는♬")</f>
        <v>오늘부터 오리는♬</v>
      </c>
      <c r="B5077" s="2" t="str">
        <f>IFERROR(__xludf.DUMMYFUNCTION("""COMPUTED_VALUE"""),"아스파라거스")</f>
        <v>아스파라거스</v>
      </c>
    </row>
    <row r="5078">
      <c r="A5078" s="2" t="str">
        <f>IFERROR(__xludf.DUMMYFUNCTION("""COMPUTED_VALUE"""),"오늘부터 오리는♬")</f>
        <v>오늘부터 오리는♬</v>
      </c>
      <c r="B5078" s="2" t="str">
        <f>IFERROR(__xludf.DUMMYFUNCTION("""COMPUTED_VALUE"""),"적양파")</f>
        <v>적양파</v>
      </c>
    </row>
    <row r="5079">
      <c r="A5079" s="2" t="str">
        <f>IFERROR(__xludf.DUMMYFUNCTION("""COMPUTED_VALUE"""),"오늘부터 오리는♬")</f>
        <v>오늘부터 오리는♬</v>
      </c>
      <c r="B5079" s="2" t="str">
        <f>IFERROR(__xludf.DUMMYFUNCTION("""COMPUTED_VALUE"""),"복숭아")</f>
        <v>복숭아</v>
      </c>
    </row>
    <row r="5080">
      <c r="A5080" s="2" t="str">
        <f>IFERROR(__xludf.DUMMYFUNCTION("""COMPUTED_VALUE"""),"오늘부터 오리는♬")</f>
        <v>오늘부터 오리는♬</v>
      </c>
      <c r="B5080" s="2" t="str">
        <f>IFERROR(__xludf.DUMMYFUNCTION("""COMPUTED_VALUE"""),"귤")</f>
        <v>귤</v>
      </c>
    </row>
    <row r="5081">
      <c r="A5081" s="2" t="str">
        <f>IFERROR(__xludf.DUMMYFUNCTION("""COMPUTED_VALUE"""),"오늘부터 오리는♬")</f>
        <v>오늘부터 오리는♬</v>
      </c>
      <c r="B5081" s="2" t="str">
        <f>IFERROR(__xludf.DUMMYFUNCTION("""COMPUTED_VALUE"""),"소금")</f>
        <v>소금</v>
      </c>
    </row>
    <row r="5082">
      <c r="A5082" s="2" t="str">
        <f>IFERROR(__xludf.DUMMYFUNCTION("""COMPUTED_VALUE"""),"오늘부터 오리는♬")</f>
        <v>오늘부터 오리는♬</v>
      </c>
      <c r="B5082" s="2" t="str">
        <f>IFERROR(__xludf.DUMMYFUNCTION("""COMPUTED_VALUE"""),"후추")</f>
        <v>후추</v>
      </c>
    </row>
    <row r="5083">
      <c r="A5083" s="2" t="str">
        <f>IFERROR(__xludf.DUMMYFUNCTION("""COMPUTED_VALUE"""),"오늘부터 오리는♬")</f>
        <v>오늘부터 오리는♬</v>
      </c>
      <c r="B5083" s="2" t="str">
        <f>IFERROR(__xludf.DUMMYFUNCTION("""COMPUTED_VALUE"""),"올리브오일")</f>
        <v>올리브오일</v>
      </c>
    </row>
    <row r="5084">
      <c r="A5084" s="2" t="str">
        <f>IFERROR(__xludf.DUMMYFUNCTION("""COMPUTED_VALUE"""),"오늘부터 오리는♬")</f>
        <v>오늘부터 오리는♬</v>
      </c>
      <c r="B5084" s="2" t="str">
        <f>IFERROR(__xludf.DUMMYFUNCTION("""COMPUTED_VALUE"""),"레드와인")</f>
        <v>레드와인</v>
      </c>
    </row>
    <row r="5085">
      <c r="A5085" s="2" t="str">
        <f>IFERROR(__xludf.DUMMYFUNCTION("""COMPUTED_VALUE"""),"오늘부터 오리는♬")</f>
        <v>오늘부터 오리는♬</v>
      </c>
      <c r="B5085" s="2" t="str">
        <f>IFERROR(__xludf.DUMMYFUNCTION("""COMPUTED_VALUE"""),"레몬")</f>
        <v>레몬</v>
      </c>
    </row>
    <row r="5086">
      <c r="A5086" s="2" t="str">
        <f>IFERROR(__xludf.DUMMYFUNCTION("""COMPUTED_VALUE"""),"오늘부터 오리는♬")</f>
        <v>오늘부터 오리는♬</v>
      </c>
      <c r="B5086" s="2" t="str">
        <f>IFERROR(__xludf.DUMMYFUNCTION("""COMPUTED_VALUE"""),"버터")</f>
        <v>버터</v>
      </c>
    </row>
    <row r="5087">
      <c r="A5087" s="2" t="str">
        <f>IFERROR(__xludf.DUMMYFUNCTION("""COMPUTED_VALUE"""),"오늘부터 오리는♬")</f>
        <v>오늘부터 오리는♬</v>
      </c>
      <c r="B5087" s="2" t="str">
        <f>IFERROR(__xludf.DUMMYFUNCTION("""COMPUTED_VALUE"""),"밀가루")</f>
        <v>밀가루</v>
      </c>
    </row>
    <row r="5088">
      <c r="A5088" s="2" t="str">
        <f>IFERROR(__xludf.DUMMYFUNCTION("""COMPUTED_VALUE"""),"고등어가 놀라유")</f>
        <v>고등어가 놀라유</v>
      </c>
      <c r="B5088" s="2" t="str">
        <f>IFERROR(__xludf.DUMMYFUNCTION("""COMPUTED_VALUE"""),"고등어")</f>
        <v>고등어</v>
      </c>
    </row>
    <row r="5089">
      <c r="A5089" s="2" t="str">
        <f>IFERROR(__xludf.DUMMYFUNCTION("""COMPUTED_VALUE"""),"고등어가 놀라유")</f>
        <v>고등어가 놀라유</v>
      </c>
      <c r="B5089" s="2" t="str">
        <f>IFERROR(__xludf.DUMMYFUNCTION("""COMPUTED_VALUE"""),"매운 고춧가루")</f>
        <v>매운 고춧가루</v>
      </c>
    </row>
    <row r="5090">
      <c r="A5090" s="2" t="str">
        <f>IFERROR(__xludf.DUMMYFUNCTION("""COMPUTED_VALUE"""),"고등어가 놀라유")</f>
        <v>고등어가 놀라유</v>
      </c>
      <c r="B5090" s="2" t="str">
        <f>IFERROR(__xludf.DUMMYFUNCTION("""COMPUTED_VALUE"""),"아이스군고구마")</f>
        <v>아이스군고구마</v>
      </c>
    </row>
    <row r="5091">
      <c r="A5091" s="2" t="str">
        <f>IFERROR(__xludf.DUMMYFUNCTION("""COMPUTED_VALUE"""),"고등어가 놀라유")</f>
        <v>고등어가 놀라유</v>
      </c>
      <c r="B5091" s="2" t="str">
        <f>IFERROR(__xludf.DUMMYFUNCTION("""COMPUTED_VALUE"""),"청주")</f>
        <v>청주</v>
      </c>
    </row>
    <row r="5092">
      <c r="A5092" s="2" t="str">
        <f>IFERROR(__xludf.DUMMYFUNCTION("""COMPUTED_VALUE"""),"고등어가 놀라유")</f>
        <v>고등어가 놀라유</v>
      </c>
      <c r="B5092" s="2" t="str">
        <f>IFERROR(__xludf.DUMMYFUNCTION("""COMPUTED_VALUE"""),"다진 생강")</f>
        <v>다진 생강</v>
      </c>
    </row>
    <row r="5093">
      <c r="A5093" s="2" t="str">
        <f>IFERROR(__xludf.DUMMYFUNCTION("""COMPUTED_VALUE"""),"고등어가 놀라유")</f>
        <v>고등어가 놀라유</v>
      </c>
      <c r="B5093" s="2" t="str">
        <f>IFERROR(__xludf.DUMMYFUNCTION("""COMPUTED_VALUE"""),"고추")</f>
        <v>고추</v>
      </c>
    </row>
    <row r="5094">
      <c r="A5094" s="2" t="str">
        <f>IFERROR(__xludf.DUMMYFUNCTION("""COMPUTED_VALUE"""),"고등어가 놀라유")</f>
        <v>고등어가 놀라유</v>
      </c>
      <c r="B5094" s="2" t="str">
        <f>IFERROR(__xludf.DUMMYFUNCTION("""COMPUTED_VALUE"""),"대파")</f>
        <v>대파</v>
      </c>
    </row>
    <row r="5095">
      <c r="A5095" s="2" t="str">
        <f>IFERROR(__xludf.DUMMYFUNCTION("""COMPUTED_VALUE"""),"고등어가 놀라유")</f>
        <v>고등어가 놀라유</v>
      </c>
      <c r="B5095" s="2" t="str">
        <f>IFERROR(__xludf.DUMMYFUNCTION("""COMPUTED_VALUE"""),"간장")</f>
        <v>간장</v>
      </c>
    </row>
    <row r="5096">
      <c r="A5096" s="2" t="str">
        <f>IFERROR(__xludf.DUMMYFUNCTION("""COMPUTED_VALUE"""),"고등어가 놀라유")</f>
        <v>고등어가 놀라유</v>
      </c>
      <c r="B5096" s="2" t="str">
        <f>IFERROR(__xludf.DUMMYFUNCTION("""COMPUTED_VALUE"""),"맛술")</f>
        <v>맛술</v>
      </c>
    </row>
    <row r="5097">
      <c r="A5097" s="2" t="str">
        <f>IFERROR(__xludf.DUMMYFUNCTION("""COMPUTED_VALUE"""),"고등어가 놀라유")</f>
        <v>고등어가 놀라유</v>
      </c>
      <c r="B5097" s="2" t="str">
        <f>IFERROR(__xludf.DUMMYFUNCTION("""COMPUTED_VALUE"""),"양파")</f>
        <v>양파</v>
      </c>
    </row>
    <row r="5098">
      <c r="A5098" s="2" t="str">
        <f>IFERROR(__xludf.DUMMYFUNCTION("""COMPUTED_VALUE"""),"고등어가 놀라유")</f>
        <v>고등어가 놀라유</v>
      </c>
      <c r="B5098" s="2" t="str">
        <f>IFERROR(__xludf.DUMMYFUNCTION("""COMPUTED_VALUE"""),"즉석밥")</f>
        <v>즉석밥</v>
      </c>
    </row>
    <row r="5099">
      <c r="A5099" s="2" t="str">
        <f>IFERROR(__xludf.DUMMYFUNCTION("""COMPUTED_VALUE"""),"고등어가 놀라유")</f>
        <v>고등어가 놀라유</v>
      </c>
      <c r="B5099" s="2" t="str">
        <f>IFERROR(__xludf.DUMMYFUNCTION("""COMPUTED_VALUE"""),"설탕")</f>
        <v>설탕</v>
      </c>
    </row>
    <row r="5100">
      <c r="A5100" s="2" t="str">
        <f>IFERROR(__xludf.DUMMYFUNCTION("""COMPUTED_VALUE"""),"고등어가 놀라유")</f>
        <v>고등어가 놀라유</v>
      </c>
      <c r="B5100" s="2" t="str">
        <f>IFERROR(__xludf.DUMMYFUNCTION("""COMPUTED_VALUE"""),"물엿")</f>
        <v>물엿</v>
      </c>
    </row>
    <row r="5101">
      <c r="A5101" s="2" t="str">
        <f>IFERROR(__xludf.DUMMYFUNCTION("""COMPUTED_VALUE"""),"고등어가 놀라유")</f>
        <v>고등어가 놀라유</v>
      </c>
      <c r="B5101" s="2" t="str">
        <f>IFERROR(__xludf.DUMMYFUNCTION("""COMPUTED_VALUE"""),"카놀라유")</f>
        <v>카놀라유</v>
      </c>
    </row>
    <row r="5102">
      <c r="A5102" s="2" t="str">
        <f>IFERROR(__xludf.DUMMYFUNCTION("""COMPUTED_VALUE"""),"고등어 하나만 허락해주소서♬")</f>
        <v>고등어 하나만 허락해주소서♬</v>
      </c>
      <c r="B5102" s="2" t="str">
        <f>IFERROR(__xludf.DUMMYFUNCTION("""COMPUTED_VALUE"""),"고등어")</f>
        <v>고등어</v>
      </c>
    </row>
    <row r="5103">
      <c r="A5103" s="2" t="str">
        <f>IFERROR(__xludf.DUMMYFUNCTION("""COMPUTED_VALUE"""),"고등어 하나만 허락해주소서♬")</f>
        <v>고등어 하나만 허락해주소서♬</v>
      </c>
      <c r="B5103" s="2" t="str">
        <f>IFERROR(__xludf.DUMMYFUNCTION("""COMPUTED_VALUE"""),"감자")</f>
        <v>감자</v>
      </c>
    </row>
    <row r="5104">
      <c r="A5104" s="2" t="str">
        <f>IFERROR(__xludf.DUMMYFUNCTION("""COMPUTED_VALUE"""),"고등어 하나만 허락해주소서♬")</f>
        <v>고등어 하나만 허락해주소서♬</v>
      </c>
      <c r="B5104" s="2" t="str">
        <f>IFERROR(__xludf.DUMMYFUNCTION("""COMPUTED_VALUE"""),"명란젓")</f>
        <v>명란젓</v>
      </c>
    </row>
    <row r="5105">
      <c r="A5105" s="2" t="str">
        <f>IFERROR(__xludf.DUMMYFUNCTION("""COMPUTED_VALUE"""),"고등어 하나만 허락해주소서♬")</f>
        <v>고등어 하나만 허락해주소서♬</v>
      </c>
      <c r="B5105" s="2" t="str">
        <f>IFERROR(__xludf.DUMMYFUNCTION("""COMPUTED_VALUE"""),"옥수수 통조림")</f>
        <v>옥수수 통조림</v>
      </c>
    </row>
    <row r="5106">
      <c r="A5106" s="2" t="str">
        <f>IFERROR(__xludf.DUMMYFUNCTION("""COMPUTED_VALUE"""),"고등어 하나만 허락해주소서♬")</f>
        <v>고등어 하나만 허락해주소서♬</v>
      </c>
      <c r="B5106" s="2" t="str">
        <f>IFERROR(__xludf.DUMMYFUNCTION("""COMPUTED_VALUE"""),"아스파라거스")</f>
        <v>아스파라거스</v>
      </c>
    </row>
    <row r="5107">
      <c r="A5107" s="2" t="str">
        <f>IFERROR(__xludf.DUMMYFUNCTION("""COMPUTED_VALUE"""),"고등어 하나만 허락해주소서♬")</f>
        <v>고등어 하나만 허락해주소서♬</v>
      </c>
      <c r="B5107" s="2" t="str">
        <f>IFERROR(__xludf.DUMMYFUNCTION("""COMPUTED_VALUE"""),"청주")</f>
        <v>청주</v>
      </c>
    </row>
    <row r="5108">
      <c r="A5108" s="2" t="str">
        <f>IFERROR(__xludf.DUMMYFUNCTION("""COMPUTED_VALUE"""),"고등어 하나만 허락해주소서♬")</f>
        <v>고등어 하나만 허락해주소서♬</v>
      </c>
      <c r="B5108" s="2" t="str">
        <f>IFERROR(__xludf.DUMMYFUNCTION("""COMPUTED_VALUE"""),"맛술")</f>
        <v>맛술</v>
      </c>
    </row>
    <row r="5109">
      <c r="A5109" s="2" t="str">
        <f>IFERROR(__xludf.DUMMYFUNCTION("""COMPUTED_VALUE"""),"고등어 하나만 허락해주소서♬")</f>
        <v>고등어 하나만 허락해주소서♬</v>
      </c>
      <c r="B5109" s="2" t="str">
        <f>IFERROR(__xludf.DUMMYFUNCTION("""COMPUTED_VALUE"""),"설탕")</f>
        <v>설탕</v>
      </c>
    </row>
    <row r="5110">
      <c r="A5110" s="2" t="str">
        <f>IFERROR(__xludf.DUMMYFUNCTION("""COMPUTED_VALUE"""),"고등어 하나만 허락해주소서♬")</f>
        <v>고등어 하나만 허락해주소서♬</v>
      </c>
      <c r="B5110" s="2" t="str">
        <f>IFERROR(__xludf.DUMMYFUNCTION("""COMPUTED_VALUE"""),"소금")</f>
        <v>소금</v>
      </c>
    </row>
    <row r="5111">
      <c r="A5111" s="2" t="str">
        <f>IFERROR(__xludf.DUMMYFUNCTION("""COMPUTED_VALUE"""),"고등어 하나만 허락해주소서♬")</f>
        <v>고등어 하나만 허락해주소서♬</v>
      </c>
      <c r="B5111" s="2" t="str">
        <f>IFERROR(__xludf.DUMMYFUNCTION("""COMPUTED_VALUE"""),"버터")</f>
        <v>버터</v>
      </c>
    </row>
    <row r="5112">
      <c r="A5112" s="2" t="str">
        <f>IFERROR(__xludf.DUMMYFUNCTION("""COMPUTED_VALUE"""),"고등어 하나만 허락해주소서♬")</f>
        <v>고등어 하나만 허락해주소서♬</v>
      </c>
      <c r="B5112" s="2" t="str">
        <f>IFERROR(__xludf.DUMMYFUNCTION("""COMPUTED_VALUE"""),"깨")</f>
        <v>깨</v>
      </c>
    </row>
    <row r="5113">
      <c r="A5113" s="2" t="str">
        <f>IFERROR(__xludf.DUMMYFUNCTION("""COMPUTED_VALUE"""),"고등어 하나만 허락해주소서♬")</f>
        <v>고등어 하나만 허락해주소서♬</v>
      </c>
      <c r="B5113" s="2" t="str">
        <f>IFERROR(__xludf.DUMMYFUNCTION("""COMPUTED_VALUE"""),"참기름")</f>
        <v>참기름</v>
      </c>
    </row>
    <row r="5114">
      <c r="A5114" s="2" t="str">
        <f>IFERROR(__xludf.DUMMYFUNCTION("""COMPUTED_VALUE"""),"고등어 하나만 허락해주소서♬")</f>
        <v>고등어 하나만 허락해주소서♬</v>
      </c>
      <c r="B5114" s="2" t="str">
        <f>IFERROR(__xludf.DUMMYFUNCTION("""COMPUTED_VALUE"""),"마요네즈")</f>
        <v>마요네즈</v>
      </c>
    </row>
    <row r="5115">
      <c r="A5115" s="2" t="str">
        <f>IFERROR(__xludf.DUMMYFUNCTION("""COMPUTED_VALUE"""),"고등어 하나만 허락해주소서♬")</f>
        <v>고등어 하나만 허락해주소서♬</v>
      </c>
      <c r="B5115" s="2" t="str">
        <f>IFERROR(__xludf.DUMMYFUNCTION("""COMPUTED_VALUE"""),"다진 생강")</f>
        <v>다진 생강</v>
      </c>
    </row>
    <row r="5116">
      <c r="A5116" s="2" t="str">
        <f>IFERROR(__xludf.DUMMYFUNCTION("""COMPUTED_VALUE"""),"고등어 하나만 허락해주소서♬")</f>
        <v>고등어 하나만 허락해주소서♬</v>
      </c>
      <c r="B5116" s="2" t="str">
        <f>IFERROR(__xludf.DUMMYFUNCTION("""COMPUTED_VALUE"""),"즉석밥")</f>
        <v>즉석밥</v>
      </c>
    </row>
    <row r="5117">
      <c r="A5117" s="2" t="str">
        <f>IFERROR(__xludf.DUMMYFUNCTION("""COMPUTED_VALUE"""),"블링토볼")</f>
        <v>블링토볼</v>
      </c>
      <c r="B5117" s="2" t="str">
        <f>IFERROR(__xludf.DUMMYFUNCTION("""COMPUTED_VALUE"""),"살치살")</f>
        <v>살치살</v>
      </c>
    </row>
    <row r="5118">
      <c r="A5118" s="2" t="str">
        <f>IFERROR(__xludf.DUMMYFUNCTION("""COMPUTED_VALUE"""),"블링토볼")</f>
        <v>블링토볼</v>
      </c>
      <c r="B5118" s="2" t="str">
        <f>IFERROR(__xludf.DUMMYFUNCTION("""COMPUTED_VALUE"""),"조미료")</f>
        <v>조미료</v>
      </c>
    </row>
    <row r="5119">
      <c r="A5119" s="2" t="str">
        <f>IFERROR(__xludf.DUMMYFUNCTION("""COMPUTED_VALUE"""),"블링토볼")</f>
        <v>블링토볼</v>
      </c>
      <c r="B5119" s="2" t="str">
        <f>IFERROR(__xludf.DUMMYFUNCTION("""COMPUTED_VALUE"""),"샐러드용 채소")</f>
        <v>샐러드용 채소</v>
      </c>
    </row>
    <row r="5120">
      <c r="A5120" s="2" t="str">
        <f>IFERROR(__xludf.DUMMYFUNCTION("""COMPUTED_VALUE"""),"블링토볼")</f>
        <v>블링토볼</v>
      </c>
      <c r="B5120" s="2" t="str">
        <f>IFERROR(__xludf.DUMMYFUNCTION("""COMPUTED_VALUE"""),"토마토")</f>
        <v>토마토</v>
      </c>
    </row>
    <row r="5121">
      <c r="A5121" s="2" t="str">
        <f>IFERROR(__xludf.DUMMYFUNCTION("""COMPUTED_VALUE"""),"블링토볼")</f>
        <v>블링토볼</v>
      </c>
      <c r="B5121" s="2" t="str">
        <f>IFERROR(__xludf.DUMMYFUNCTION("""COMPUTED_VALUE"""),"양파")</f>
        <v>양파</v>
      </c>
    </row>
    <row r="5122">
      <c r="A5122" s="2" t="str">
        <f>IFERROR(__xludf.DUMMYFUNCTION("""COMPUTED_VALUE"""),"블링토볼")</f>
        <v>블링토볼</v>
      </c>
      <c r="B5122" s="2" t="str">
        <f>IFERROR(__xludf.DUMMYFUNCTION("""COMPUTED_VALUE"""),"소금")</f>
        <v>소금</v>
      </c>
    </row>
    <row r="5123">
      <c r="A5123" s="2" t="str">
        <f>IFERROR(__xludf.DUMMYFUNCTION("""COMPUTED_VALUE"""),"블링토볼")</f>
        <v>블링토볼</v>
      </c>
      <c r="B5123" s="2" t="str">
        <f>IFERROR(__xludf.DUMMYFUNCTION("""COMPUTED_VALUE"""),"식초")</f>
        <v>식초</v>
      </c>
    </row>
    <row r="5124">
      <c r="A5124" s="2" t="str">
        <f>IFERROR(__xludf.DUMMYFUNCTION("""COMPUTED_VALUE"""),"블링토볼")</f>
        <v>블링토볼</v>
      </c>
      <c r="B5124" s="2" t="str">
        <f>IFERROR(__xludf.DUMMYFUNCTION("""COMPUTED_VALUE"""),"설탕")</f>
        <v>설탕</v>
      </c>
    </row>
    <row r="5125">
      <c r="A5125" s="2" t="str">
        <f>IFERROR(__xludf.DUMMYFUNCTION("""COMPUTED_VALUE"""),"블링토볼")</f>
        <v>블링토볼</v>
      </c>
      <c r="B5125" s="2" t="str">
        <f>IFERROR(__xludf.DUMMYFUNCTION("""COMPUTED_VALUE"""),"후추")</f>
        <v>후추</v>
      </c>
    </row>
    <row r="5126">
      <c r="A5126" s="2" t="str">
        <f>IFERROR(__xludf.DUMMYFUNCTION("""COMPUTED_VALUE"""),"블링토볼")</f>
        <v>블링토볼</v>
      </c>
      <c r="B5126" s="2" t="str">
        <f>IFERROR(__xludf.DUMMYFUNCTION("""COMPUTED_VALUE"""),"올리브오일")</f>
        <v>올리브오일</v>
      </c>
    </row>
    <row r="5127">
      <c r="A5127" s="2" t="str">
        <f>IFERROR(__xludf.DUMMYFUNCTION("""COMPUTED_VALUE"""),"블링토볼")</f>
        <v>블링토볼</v>
      </c>
      <c r="B5127" s="2" t="str">
        <f>IFERROR(__xludf.DUMMYFUNCTION("""COMPUTED_VALUE"""),"마늘")</f>
        <v>마늘</v>
      </c>
    </row>
    <row r="5128">
      <c r="A5128" s="2" t="str">
        <f>IFERROR(__xludf.DUMMYFUNCTION("""COMPUTED_VALUE"""),"블링토볼")</f>
        <v>블링토볼</v>
      </c>
      <c r="B5128" s="2" t="str">
        <f>IFERROR(__xludf.DUMMYFUNCTION("""COMPUTED_VALUE"""),"고추")</f>
        <v>고추</v>
      </c>
    </row>
    <row r="5129">
      <c r="A5129" s="2" t="str">
        <f>IFERROR(__xludf.DUMMYFUNCTION("""COMPUTED_VALUE"""),"블링토볼")</f>
        <v>블링토볼</v>
      </c>
      <c r="B5129" s="2" t="str">
        <f>IFERROR(__xludf.DUMMYFUNCTION("""COMPUTED_VALUE"""),"대파")</f>
        <v>대파</v>
      </c>
    </row>
    <row r="5130">
      <c r="A5130" s="2" t="str">
        <f>IFERROR(__xludf.DUMMYFUNCTION("""COMPUTED_VALUE"""),"블링토볼")</f>
        <v>블링토볼</v>
      </c>
      <c r="B5130" s="2" t="str">
        <f>IFERROR(__xludf.DUMMYFUNCTION("""COMPUTED_VALUE"""),"식용유")</f>
        <v>식용유</v>
      </c>
    </row>
    <row r="5131">
      <c r="A5131" s="2" t="str">
        <f>IFERROR(__xludf.DUMMYFUNCTION("""COMPUTED_VALUE"""),"블링토볼")</f>
        <v>블링토볼</v>
      </c>
      <c r="B5131" s="2" t="str">
        <f>IFERROR(__xludf.DUMMYFUNCTION("""COMPUTED_VALUE"""),"달걀")</f>
        <v>달걀</v>
      </c>
    </row>
    <row r="5132">
      <c r="A5132" s="2" t="str">
        <f>IFERROR(__xludf.DUMMYFUNCTION("""COMPUTED_VALUE"""),"블링토볼")</f>
        <v>블링토볼</v>
      </c>
      <c r="B5132" s="2" t="str">
        <f>IFERROR(__xludf.DUMMYFUNCTION("""COMPUTED_VALUE"""),"즉석밥")</f>
        <v>즉석밥</v>
      </c>
    </row>
    <row r="5133">
      <c r="A5133" s="2" t="str">
        <f>IFERROR(__xludf.DUMMYFUNCTION("""COMPUTED_VALUE"""),"입맛다시징")</f>
        <v>입맛다시징</v>
      </c>
      <c r="B5133" s="2" t="str">
        <f>IFERROR(__xludf.DUMMYFUNCTION("""COMPUTED_VALUE"""),"오징어")</f>
        <v>오징어</v>
      </c>
    </row>
    <row r="5134">
      <c r="A5134" s="2" t="str">
        <f>IFERROR(__xludf.DUMMYFUNCTION("""COMPUTED_VALUE"""),"입맛다시징")</f>
        <v>입맛다시징</v>
      </c>
      <c r="B5134" s="2" t="str">
        <f>IFERROR(__xludf.DUMMYFUNCTION("""COMPUTED_VALUE"""),"조미료")</f>
        <v>조미료</v>
      </c>
    </row>
    <row r="5135">
      <c r="A5135" s="2" t="str">
        <f>IFERROR(__xludf.DUMMYFUNCTION("""COMPUTED_VALUE"""),"입맛다시징")</f>
        <v>입맛다시징</v>
      </c>
      <c r="B5135" s="2" t="str">
        <f>IFERROR(__xludf.DUMMYFUNCTION("""COMPUTED_VALUE"""),"태국고추")</f>
        <v>태국고추</v>
      </c>
    </row>
    <row r="5136">
      <c r="A5136" s="2" t="str">
        <f>IFERROR(__xludf.DUMMYFUNCTION("""COMPUTED_VALUE"""),"입맛다시징")</f>
        <v>입맛다시징</v>
      </c>
      <c r="B5136" s="2" t="str">
        <f>IFERROR(__xludf.DUMMYFUNCTION("""COMPUTED_VALUE"""),"엔다이브")</f>
        <v>엔다이브</v>
      </c>
    </row>
    <row r="5137">
      <c r="A5137" s="2" t="str">
        <f>IFERROR(__xludf.DUMMYFUNCTION("""COMPUTED_VALUE"""),"입맛다시징")</f>
        <v>입맛다시징</v>
      </c>
      <c r="B5137" s="2" t="str">
        <f>IFERROR(__xludf.DUMMYFUNCTION("""COMPUTED_VALUE"""),"대파")</f>
        <v>대파</v>
      </c>
    </row>
    <row r="5138">
      <c r="A5138" s="2" t="str">
        <f>IFERROR(__xludf.DUMMYFUNCTION("""COMPUTED_VALUE"""),"입맛다시징")</f>
        <v>입맛다시징</v>
      </c>
      <c r="B5138" s="2" t="str">
        <f>IFERROR(__xludf.DUMMYFUNCTION("""COMPUTED_VALUE"""),"양파")</f>
        <v>양파</v>
      </c>
    </row>
    <row r="5139">
      <c r="A5139" s="2" t="str">
        <f>IFERROR(__xludf.DUMMYFUNCTION("""COMPUTED_VALUE"""),"입맛다시징")</f>
        <v>입맛다시징</v>
      </c>
      <c r="B5139" s="2" t="str">
        <f>IFERROR(__xludf.DUMMYFUNCTION("""COMPUTED_VALUE"""),"청양고추")</f>
        <v>청양고추</v>
      </c>
    </row>
    <row r="5140">
      <c r="A5140" s="2" t="str">
        <f>IFERROR(__xludf.DUMMYFUNCTION("""COMPUTED_VALUE"""),"입맛다시징")</f>
        <v>입맛다시징</v>
      </c>
      <c r="B5140" s="2" t="str">
        <f>IFERROR(__xludf.DUMMYFUNCTION("""COMPUTED_VALUE"""),"마늘")</f>
        <v>마늘</v>
      </c>
    </row>
    <row r="5141">
      <c r="A5141" s="2" t="str">
        <f>IFERROR(__xludf.DUMMYFUNCTION("""COMPUTED_VALUE"""),"입맛다시징")</f>
        <v>입맛다시징</v>
      </c>
      <c r="B5141" s="2" t="str">
        <f>IFERROR(__xludf.DUMMYFUNCTION("""COMPUTED_VALUE"""),"간장")</f>
        <v>간장</v>
      </c>
    </row>
    <row r="5142">
      <c r="A5142" s="2" t="str">
        <f>IFERROR(__xludf.DUMMYFUNCTION("""COMPUTED_VALUE"""),"입맛다시징")</f>
        <v>입맛다시징</v>
      </c>
      <c r="B5142" s="2" t="str">
        <f>IFERROR(__xludf.DUMMYFUNCTION("""COMPUTED_VALUE"""),"전분")</f>
        <v>전분</v>
      </c>
    </row>
    <row r="5143">
      <c r="A5143" s="2" t="str">
        <f>IFERROR(__xludf.DUMMYFUNCTION("""COMPUTED_VALUE"""),"입맛다시징")</f>
        <v>입맛다시징</v>
      </c>
      <c r="B5143" s="2" t="str">
        <f>IFERROR(__xludf.DUMMYFUNCTION("""COMPUTED_VALUE"""),"참기름")</f>
        <v>참기름</v>
      </c>
    </row>
    <row r="5144">
      <c r="A5144" s="2" t="str">
        <f>IFERROR(__xludf.DUMMYFUNCTION("""COMPUTED_VALUE"""),"입맛다시징")</f>
        <v>입맛다시징</v>
      </c>
      <c r="B5144" s="2" t="str">
        <f>IFERROR(__xludf.DUMMYFUNCTION("""COMPUTED_VALUE"""),"즉석밥")</f>
        <v>즉석밥</v>
      </c>
    </row>
    <row r="5145">
      <c r="A5145" s="2" t="str">
        <f>IFERROR(__xludf.DUMMYFUNCTION("""COMPUTED_VALUE"""),"야들야들한~♬ 고추완자")</f>
        <v>야들야들한~♬ 고추완자</v>
      </c>
      <c r="B5145" s="2" t="str">
        <f>IFERROR(__xludf.DUMMYFUNCTION("""COMPUTED_VALUE"""),"살치살")</f>
        <v>살치살</v>
      </c>
    </row>
    <row r="5146">
      <c r="A5146" s="2" t="str">
        <f>IFERROR(__xludf.DUMMYFUNCTION("""COMPUTED_VALUE"""),"야들야들한~♬ 고추완자")</f>
        <v>야들야들한~♬ 고추완자</v>
      </c>
      <c r="B5146" s="2" t="str">
        <f>IFERROR(__xludf.DUMMYFUNCTION("""COMPUTED_VALUE"""),"닭가슴살")</f>
        <v>닭가슴살</v>
      </c>
    </row>
    <row r="5147">
      <c r="A5147" s="2" t="str">
        <f>IFERROR(__xludf.DUMMYFUNCTION("""COMPUTED_VALUE"""),"야들야들한~♬ 고추완자")</f>
        <v>야들야들한~♬ 고추완자</v>
      </c>
      <c r="B5147" s="2" t="str">
        <f>IFERROR(__xludf.DUMMYFUNCTION("""COMPUTED_VALUE"""),"애플망고")</f>
        <v>애플망고</v>
      </c>
    </row>
    <row r="5148">
      <c r="A5148" s="2" t="str">
        <f>IFERROR(__xludf.DUMMYFUNCTION("""COMPUTED_VALUE"""),"야들야들한~♬ 고추완자")</f>
        <v>야들야들한~♬ 고추완자</v>
      </c>
      <c r="B5148" s="2" t="str">
        <f>IFERROR(__xludf.DUMMYFUNCTION("""COMPUTED_VALUE"""),"아스파라거스")</f>
        <v>아스파라거스</v>
      </c>
    </row>
    <row r="5149">
      <c r="A5149" s="2" t="str">
        <f>IFERROR(__xludf.DUMMYFUNCTION("""COMPUTED_VALUE"""),"야들야들한~♬ 고추완자")</f>
        <v>야들야들한~♬ 고추완자</v>
      </c>
      <c r="B5149" s="2" t="str">
        <f>IFERROR(__xludf.DUMMYFUNCTION("""COMPUTED_VALUE"""),"매실장아찌")</f>
        <v>매실장아찌</v>
      </c>
    </row>
    <row r="5150">
      <c r="A5150" s="2" t="str">
        <f>IFERROR(__xludf.DUMMYFUNCTION("""COMPUTED_VALUE"""),"야들야들한~♬ 고추완자")</f>
        <v>야들야들한~♬ 고추완자</v>
      </c>
      <c r="B5150" s="2" t="str">
        <f>IFERROR(__xludf.DUMMYFUNCTION("""COMPUTED_VALUE"""),"양파")</f>
        <v>양파</v>
      </c>
    </row>
    <row r="5151">
      <c r="A5151" s="2" t="str">
        <f>IFERROR(__xludf.DUMMYFUNCTION("""COMPUTED_VALUE"""),"야들야들한~♬ 고추완자")</f>
        <v>야들야들한~♬ 고추완자</v>
      </c>
      <c r="B5151" s="2" t="str">
        <f>IFERROR(__xludf.DUMMYFUNCTION("""COMPUTED_VALUE"""),"청양고추")</f>
        <v>청양고추</v>
      </c>
    </row>
    <row r="5152">
      <c r="A5152" s="2" t="str">
        <f>IFERROR(__xludf.DUMMYFUNCTION("""COMPUTED_VALUE"""),"야들야들한~♬ 고추완자")</f>
        <v>야들야들한~♬ 고추완자</v>
      </c>
      <c r="B5152" s="2" t="str">
        <f>IFERROR(__xludf.DUMMYFUNCTION("""COMPUTED_VALUE"""),"달걀")</f>
        <v>달걀</v>
      </c>
    </row>
    <row r="5153">
      <c r="A5153" s="2" t="str">
        <f>IFERROR(__xludf.DUMMYFUNCTION("""COMPUTED_VALUE"""),"야들야들한~♬ 고추완자")</f>
        <v>야들야들한~♬ 고추완자</v>
      </c>
      <c r="B5153" s="2" t="str">
        <f>IFERROR(__xludf.DUMMYFUNCTION("""COMPUTED_VALUE"""),"버터")</f>
        <v>버터</v>
      </c>
    </row>
    <row r="5154">
      <c r="A5154" s="2" t="str">
        <f>IFERROR(__xludf.DUMMYFUNCTION("""COMPUTED_VALUE"""),"야들야들한~♬ 고추완자")</f>
        <v>야들야들한~♬ 고추완자</v>
      </c>
      <c r="B5154" s="2" t="str">
        <f>IFERROR(__xludf.DUMMYFUNCTION("""COMPUTED_VALUE"""),"후추")</f>
        <v>후추</v>
      </c>
    </row>
    <row r="5155">
      <c r="A5155" s="2" t="str">
        <f>IFERROR(__xludf.DUMMYFUNCTION("""COMPUTED_VALUE"""),"야들야들한~♬ 고추완자")</f>
        <v>야들야들한~♬ 고추완자</v>
      </c>
      <c r="B5155" s="2" t="str">
        <f>IFERROR(__xludf.DUMMYFUNCTION("""COMPUTED_VALUE"""),"소금")</f>
        <v>소금</v>
      </c>
    </row>
    <row r="5156">
      <c r="A5156" s="2" t="str">
        <f>IFERROR(__xludf.DUMMYFUNCTION("""COMPUTED_VALUE"""),"야들야들한~♬ 고추완자")</f>
        <v>야들야들한~♬ 고추완자</v>
      </c>
      <c r="B5156" s="2" t="str">
        <f>IFERROR(__xludf.DUMMYFUNCTION("""COMPUTED_VALUE"""),"전분")</f>
        <v>전분</v>
      </c>
    </row>
    <row r="5157">
      <c r="A5157" s="2" t="str">
        <f>IFERROR(__xludf.DUMMYFUNCTION("""COMPUTED_VALUE"""),"야들야들한~♬ 고추완자")</f>
        <v>야들야들한~♬ 고추완자</v>
      </c>
      <c r="B5157" s="2" t="str">
        <f>IFERROR(__xludf.DUMMYFUNCTION("""COMPUTED_VALUE"""),"설탕")</f>
        <v>설탕</v>
      </c>
    </row>
    <row r="5158">
      <c r="A5158" s="2" t="str">
        <f>IFERROR(__xludf.DUMMYFUNCTION("""COMPUTED_VALUE"""),"야들야들한~♬ 고추완자")</f>
        <v>야들야들한~♬ 고추완자</v>
      </c>
      <c r="B5158" s="2" t="str">
        <f>IFERROR(__xludf.DUMMYFUNCTION("""COMPUTED_VALUE"""),"레몬")</f>
        <v>레몬</v>
      </c>
    </row>
    <row r="5159">
      <c r="A5159" s="2" t="str">
        <f>IFERROR(__xludf.DUMMYFUNCTION("""COMPUTED_VALUE"""),"야들야들한~♬ 고추완자")</f>
        <v>야들야들한~♬ 고추완자</v>
      </c>
      <c r="B5159" s="2" t="str">
        <f>IFERROR(__xludf.DUMMYFUNCTION("""COMPUTED_VALUE"""),"마요네즈")</f>
        <v>마요네즈</v>
      </c>
    </row>
    <row r="5160">
      <c r="A5160" s="2" t="str">
        <f>IFERROR(__xludf.DUMMYFUNCTION("""COMPUTED_VALUE"""),"오징어 카니발♬")</f>
        <v>오징어 카니발♬</v>
      </c>
      <c r="B5160" s="2" t="str">
        <f>IFERROR(__xludf.DUMMYFUNCTION("""COMPUTED_VALUE"""),"오징어")</f>
        <v>오징어</v>
      </c>
    </row>
    <row r="5161">
      <c r="A5161" s="2" t="str">
        <f>IFERROR(__xludf.DUMMYFUNCTION("""COMPUTED_VALUE"""),"오징어 카니발♬")</f>
        <v>오징어 카니발♬</v>
      </c>
      <c r="B5161" s="2" t="str">
        <f>IFERROR(__xludf.DUMMYFUNCTION("""COMPUTED_VALUE"""),"태국고추")</f>
        <v>태국고추</v>
      </c>
    </row>
    <row r="5162">
      <c r="A5162" s="2" t="str">
        <f>IFERROR(__xludf.DUMMYFUNCTION("""COMPUTED_VALUE"""),"오징어 카니발♬")</f>
        <v>오징어 카니발♬</v>
      </c>
      <c r="B5162" s="2" t="str">
        <f>IFERROR(__xludf.DUMMYFUNCTION("""COMPUTED_VALUE"""),"달걀")</f>
        <v>달걀</v>
      </c>
    </row>
    <row r="5163">
      <c r="A5163" s="2" t="str">
        <f>IFERROR(__xludf.DUMMYFUNCTION("""COMPUTED_VALUE"""),"오징어 카니발♬")</f>
        <v>오징어 카니발♬</v>
      </c>
      <c r="B5163" s="2" t="str">
        <f>IFERROR(__xludf.DUMMYFUNCTION("""COMPUTED_VALUE"""),"전분")</f>
        <v>전분</v>
      </c>
    </row>
    <row r="5164">
      <c r="A5164" s="2" t="str">
        <f>IFERROR(__xludf.DUMMYFUNCTION("""COMPUTED_VALUE"""),"오징어 카니발♬")</f>
        <v>오징어 카니발♬</v>
      </c>
      <c r="B5164" s="2" t="str">
        <f>IFERROR(__xludf.DUMMYFUNCTION("""COMPUTED_VALUE"""),"설탕")</f>
        <v>설탕</v>
      </c>
    </row>
    <row r="5165">
      <c r="A5165" s="2" t="str">
        <f>IFERROR(__xludf.DUMMYFUNCTION("""COMPUTED_VALUE"""),"오징어 카니발♬")</f>
        <v>오징어 카니발♬</v>
      </c>
      <c r="B5165" s="2" t="str">
        <f>IFERROR(__xludf.DUMMYFUNCTION("""COMPUTED_VALUE"""),"소금")</f>
        <v>소금</v>
      </c>
    </row>
    <row r="5166">
      <c r="A5166" s="2" t="str">
        <f>IFERROR(__xludf.DUMMYFUNCTION("""COMPUTED_VALUE"""),"오징어 카니발♬")</f>
        <v>오징어 카니발♬</v>
      </c>
      <c r="B5166" s="2" t="str">
        <f>IFERROR(__xludf.DUMMYFUNCTION("""COMPUTED_VALUE"""),"버터")</f>
        <v>버터</v>
      </c>
    </row>
    <row r="5167">
      <c r="A5167" s="2" t="str">
        <f>IFERROR(__xludf.DUMMYFUNCTION("""COMPUTED_VALUE"""),"오징어 카니발♬")</f>
        <v>오징어 카니발♬</v>
      </c>
      <c r="B5167" s="2" t="str">
        <f>IFERROR(__xludf.DUMMYFUNCTION("""COMPUTED_VALUE"""),"마늘")</f>
        <v>마늘</v>
      </c>
    </row>
    <row r="5168">
      <c r="A5168" s="2" t="str">
        <f>IFERROR(__xludf.DUMMYFUNCTION("""COMPUTED_VALUE"""),"오징어 카니발♬")</f>
        <v>오징어 카니발♬</v>
      </c>
      <c r="B5168" s="2" t="str">
        <f>IFERROR(__xludf.DUMMYFUNCTION("""COMPUTED_VALUE"""),"식용유")</f>
        <v>식용유</v>
      </c>
    </row>
    <row r="5169">
      <c r="A5169" s="2" t="str">
        <f>IFERROR(__xludf.DUMMYFUNCTION("""COMPUTED_VALUE"""),"오징어 카니발♬")</f>
        <v>오징어 카니발♬</v>
      </c>
      <c r="B5169" s="2" t="str">
        <f>IFERROR(__xludf.DUMMYFUNCTION("""COMPUTED_VALUE"""),"고춧가루")</f>
        <v>고춧가루</v>
      </c>
    </row>
    <row r="5170">
      <c r="A5170" s="2" t="str">
        <f>IFERROR(__xludf.DUMMYFUNCTION("""COMPUTED_VALUE"""),"오징어 카니발♬")</f>
        <v>오징어 카니발♬</v>
      </c>
      <c r="B5170" s="2" t="str">
        <f>IFERROR(__xludf.DUMMYFUNCTION("""COMPUTED_VALUE"""),"청양고추")</f>
        <v>청양고추</v>
      </c>
    </row>
    <row r="5171">
      <c r="A5171" s="2" t="str">
        <f>IFERROR(__xludf.DUMMYFUNCTION("""COMPUTED_VALUE"""),"오징어 카니발♬")</f>
        <v>오징어 카니발♬</v>
      </c>
      <c r="B5171" s="2" t="str">
        <f>IFERROR(__xludf.DUMMYFUNCTION("""COMPUTED_VALUE"""),"대파")</f>
        <v>대파</v>
      </c>
    </row>
    <row r="5172">
      <c r="A5172" s="2" t="str">
        <f>IFERROR(__xludf.DUMMYFUNCTION("""COMPUTED_VALUE"""),"오징어 카니발♬")</f>
        <v>오징어 카니발♬</v>
      </c>
      <c r="B5172" s="2" t="str">
        <f>IFERROR(__xludf.DUMMYFUNCTION("""COMPUTED_VALUE"""),"케첩")</f>
        <v>케첩</v>
      </c>
    </row>
    <row r="5173">
      <c r="A5173" s="2" t="str">
        <f>IFERROR(__xludf.DUMMYFUNCTION("""COMPUTED_VALUE"""),"짐승롤")</f>
        <v>짐승롤</v>
      </c>
      <c r="B5173" s="2" t="str">
        <f>IFERROR(__xludf.DUMMYFUNCTION("""COMPUTED_VALUE"""),"돼지고기")</f>
        <v>돼지고기</v>
      </c>
    </row>
    <row r="5174">
      <c r="A5174" s="2" t="str">
        <f>IFERROR(__xludf.DUMMYFUNCTION("""COMPUTED_VALUE"""),"짐승롤")</f>
        <v>짐승롤</v>
      </c>
      <c r="B5174" s="2" t="str">
        <f>IFERROR(__xludf.DUMMYFUNCTION("""COMPUTED_VALUE"""),"인스턴트 LA갈비")</f>
        <v>인스턴트 LA갈비</v>
      </c>
    </row>
    <row r="5175">
      <c r="A5175" s="2" t="str">
        <f>IFERROR(__xludf.DUMMYFUNCTION("""COMPUTED_VALUE"""),"짐승롤")</f>
        <v>짐승롤</v>
      </c>
      <c r="B5175" s="2" t="str">
        <f>IFERROR(__xludf.DUMMYFUNCTION("""COMPUTED_VALUE"""),"크림치즈")</f>
        <v>크림치즈</v>
      </c>
    </row>
    <row r="5176">
      <c r="A5176" s="2" t="str">
        <f>IFERROR(__xludf.DUMMYFUNCTION("""COMPUTED_VALUE"""),"짐승롤")</f>
        <v>짐승롤</v>
      </c>
      <c r="B5176" s="2" t="str">
        <f>IFERROR(__xludf.DUMMYFUNCTION("""COMPUTED_VALUE"""),"우유")</f>
        <v>우유</v>
      </c>
    </row>
    <row r="5177">
      <c r="A5177" s="2" t="str">
        <f>IFERROR(__xludf.DUMMYFUNCTION("""COMPUTED_VALUE"""),"짐승롤")</f>
        <v>짐승롤</v>
      </c>
      <c r="B5177" s="2" t="str">
        <f>IFERROR(__xludf.DUMMYFUNCTION("""COMPUTED_VALUE"""),"토마토소스")</f>
        <v>토마토소스</v>
      </c>
    </row>
    <row r="5178">
      <c r="A5178" s="2" t="str">
        <f>IFERROR(__xludf.DUMMYFUNCTION("""COMPUTED_VALUE"""),"짐승롤")</f>
        <v>짐승롤</v>
      </c>
      <c r="B5178" s="2" t="str">
        <f>IFERROR(__xludf.DUMMYFUNCTION("""COMPUTED_VALUE"""),"달걀")</f>
        <v>달걀</v>
      </c>
    </row>
    <row r="5179">
      <c r="A5179" s="2" t="str">
        <f>IFERROR(__xludf.DUMMYFUNCTION("""COMPUTED_VALUE"""),"짐승롤")</f>
        <v>짐승롤</v>
      </c>
      <c r="B5179" s="2" t="str">
        <f>IFERROR(__xludf.DUMMYFUNCTION("""COMPUTED_VALUE"""),"표고버섯")</f>
        <v>표고버섯</v>
      </c>
    </row>
    <row r="5180">
      <c r="A5180" s="2" t="str">
        <f>IFERROR(__xludf.DUMMYFUNCTION("""COMPUTED_VALUE"""),"짐승롤")</f>
        <v>짐승롤</v>
      </c>
      <c r="B5180" s="2" t="str">
        <f>IFERROR(__xludf.DUMMYFUNCTION("""COMPUTED_VALUE"""),"휘핑크림")</f>
        <v>휘핑크림</v>
      </c>
    </row>
    <row r="5181">
      <c r="A5181" s="2" t="str">
        <f>IFERROR(__xludf.DUMMYFUNCTION("""COMPUTED_VALUE"""),"짐승롤")</f>
        <v>짐승롤</v>
      </c>
      <c r="B5181" s="2" t="str">
        <f>IFERROR(__xludf.DUMMYFUNCTION("""COMPUTED_VALUE"""),"대파")</f>
        <v>대파</v>
      </c>
    </row>
    <row r="5182">
      <c r="A5182" s="2" t="str">
        <f>IFERROR(__xludf.DUMMYFUNCTION("""COMPUTED_VALUE"""),"짐승롤")</f>
        <v>짐승롤</v>
      </c>
      <c r="B5182" s="2" t="str">
        <f>IFERROR(__xludf.DUMMYFUNCTION("""COMPUTED_VALUE"""),"양파")</f>
        <v>양파</v>
      </c>
    </row>
    <row r="5183">
      <c r="A5183" s="2" t="str">
        <f>IFERROR(__xludf.DUMMYFUNCTION("""COMPUTED_VALUE"""),"짐승롤")</f>
        <v>짐승롤</v>
      </c>
      <c r="B5183" s="2" t="str">
        <f>IFERROR(__xludf.DUMMYFUNCTION("""COMPUTED_VALUE"""),"레몬")</f>
        <v>레몬</v>
      </c>
    </row>
    <row r="5184">
      <c r="A5184" s="2" t="str">
        <f>IFERROR(__xludf.DUMMYFUNCTION("""COMPUTED_VALUE"""),"짐승롤")</f>
        <v>짐승롤</v>
      </c>
      <c r="B5184" s="2" t="str">
        <f>IFERROR(__xludf.DUMMYFUNCTION("""COMPUTED_VALUE"""),"밀가루")</f>
        <v>밀가루</v>
      </c>
    </row>
    <row r="5185">
      <c r="A5185" s="2" t="str">
        <f>IFERROR(__xludf.DUMMYFUNCTION("""COMPUTED_VALUE"""),"짐승롤")</f>
        <v>짐승롤</v>
      </c>
      <c r="B5185" s="2" t="str">
        <f>IFERROR(__xludf.DUMMYFUNCTION("""COMPUTED_VALUE"""),"소금")</f>
        <v>소금</v>
      </c>
    </row>
    <row r="5186">
      <c r="A5186" s="2" t="str">
        <f>IFERROR(__xludf.DUMMYFUNCTION("""COMPUTED_VALUE"""),"스바라시멘")</f>
        <v>스바라시멘</v>
      </c>
      <c r="B5186" s="2" t="str">
        <f>IFERROR(__xludf.DUMMYFUNCTION("""COMPUTED_VALUE"""),"돼지고기")</f>
        <v>돼지고기</v>
      </c>
    </row>
    <row r="5187">
      <c r="A5187" s="2" t="str">
        <f>IFERROR(__xludf.DUMMYFUNCTION("""COMPUTED_VALUE"""),"스바라시멘")</f>
        <v>스바라시멘</v>
      </c>
      <c r="B5187" s="2" t="str">
        <f>IFERROR(__xludf.DUMMYFUNCTION("""COMPUTED_VALUE"""),"컵라면")</f>
        <v>컵라면</v>
      </c>
    </row>
    <row r="5188">
      <c r="A5188" s="2" t="str">
        <f>IFERROR(__xludf.DUMMYFUNCTION("""COMPUTED_VALUE"""),"스바라시멘")</f>
        <v>스바라시멘</v>
      </c>
      <c r="B5188" s="2" t="str">
        <f>IFERROR(__xludf.DUMMYFUNCTION("""COMPUTED_VALUE"""),"애호박")</f>
        <v>애호박</v>
      </c>
    </row>
    <row r="5189">
      <c r="A5189" s="2" t="str">
        <f>IFERROR(__xludf.DUMMYFUNCTION("""COMPUTED_VALUE"""),"스바라시멘")</f>
        <v>스바라시멘</v>
      </c>
      <c r="B5189" s="2" t="str">
        <f>IFERROR(__xludf.DUMMYFUNCTION("""COMPUTED_VALUE"""),"깻잎")</f>
        <v>깻잎</v>
      </c>
    </row>
    <row r="5190">
      <c r="A5190" s="2" t="str">
        <f>IFERROR(__xludf.DUMMYFUNCTION("""COMPUTED_VALUE"""),"스바라시멘")</f>
        <v>스바라시멘</v>
      </c>
      <c r="B5190" s="2" t="str">
        <f>IFERROR(__xludf.DUMMYFUNCTION("""COMPUTED_VALUE"""),"견과류")</f>
        <v>견과류</v>
      </c>
    </row>
    <row r="5191">
      <c r="A5191" s="2" t="str">
        <f>IFERROR(__xludf.DUMMYFUNCTION("""COMPUTED_VALUE"""),"스바라시멘")</f>
        <v>스바라시멘</v>
      </c>
      <c r="B5191" s="2" t="str">
        <f>IFERROR(__xludf.DUMMYFUNCTION("""COMPUTED_VALUE"""),"표고버섯")</f>
        <v>표고버섯</v>
      </c>
    </row>
    <row r="5192">
      <c r="A5192" s="2" t="str">
        <f>IFERROR(__xludf.DUMMYFUNCTION("""COMPUTED_VALUE"""),"스바라시멘")</f>
        <v>스바라시멘</v>
      </c>
      <c r="B5192" s="2" t="str">
        <f>IFERROR(__xludf.DUMMYFUNCTION("""COMPUTED_VALUE"""),"갓김치")</f>
        <v>갓김치</v>
      </c>
    </row>
    <row r="5193">
      <c r="A5193" s="2" t="str">
        <f>IFERROR(__xludf.DUMMYFUNCTION("""COMPUTED_VALUE"""),"스바라시멘")</f>
        <v>스바라시멘</v>
      </c>
      <c r="B5193" s="2" t="str">
        <f>IFERROR(__xludf.DUMMYFUNCTION("""COMPUTED_VALUE"""),"냉면면")</f>
        <v>냉면면</v>
      </c>
    </row>
    <row r="5194">
      <c r="A5194" s="2" t="str">
        <f>IFERROR(__xludf.DUMMYFUNCTION("""COMPUTED_VALUE"""),"스바라시멘")</f>
        <v>스바라시멘</v>
      </c>
      <c r="B5194" s="2" t="str">
        <f>IFERROR(__xludf.DUMMYFUNCTION("""COMPUTED_VALUE"""),"청포도")</f>
        <v>청포도</v>
      </c>
    </row>
    <row r="5195">
      <c r="A5195" s="2" t="str">
        <f>IFERROR(__xludf.DUMMYFUNCTION("""COMPUTED_VALUE"""),"스바라시멘")</f>
        <v>스바라시멘</v>
      </c>
      <c r="B5195" s="2" t="str">
        <f>IFERROR(__xludf.DUMMYFUNCTION("""COMPUTED_VALUE"""),"명란젓")</f>
        <v>명란젓</v>
      </c>
    </row>
    <row r="5196">
      <c r="A5196" s="2" t="str">
        <f>IFERROR(__xludf.DUMMYFUNCTION("""COMPUTED_VALUE"""),"스바라시멘")</f>
        <v>스바라시멘</v>
      </c>
      <c r="B5196" s="2" t="str">
        <f>IFERROR(__xludf.DUMMYFUNCTION("""COMPUTED_VALUE"""),"멸치볶음")</f>
        <v>멸치볶음</v>
      </c>
    </row>
    <row r="5197">
      <c r="A5197" s="2" t="str">
        <f>IFERROR(__xludf.DUMMYFUNCTION("""COMPUTED_VALUE"""),"스바라시멘")</f>
        <v>스바라시멘</v>
      </c>
      <c r="B5197" s="2" t="str">
        <f>IFERROR(__xludf.DUMMYFUNCTION("""COMPUTED_VALUE"""),"달걀")</f>
        <v>달걀</v>
      </c>
    </row>
    <row r="5198">
      <c r="A5198" s="2" t="str">
        <f>IFERROR(__xludf.DUMMYFUNCTION("""COMPUTED_VALUE"""),"스바라시멘")</f>
        <v>스바라시멘</v>
      </c>
      <c r="B5198" s="2" t="str">
        <f>IFERROR(__xludf.DUMMYFUNCTION("""COMPUTED_VALUE"""),"전분")</f>
        <v>전분</v>
      </c>
    </row>
    <row r="5199">
      <c r="A5199" s="2" t="str">
        <f>IFERROR(__xludf.DUMMYFUNCTION("""COMPUTED_VALUE"""),"스바라시멘")</f>
        <v>스바라시멘</v>
      </c>
      <c r="B5199" s="2" t="str">
        <f>IFERROR(__xludf.DUMMYFUNCTION("""COMPUTED_VALUE"""),"올리브오일")</f>
        <v>올리브오일</v>
      </c>
    </row>
    <row r="5200">
      <c r="A5200" s="2" t="str">
        <f>IFERROR(__xludf.DUMMYFUNCTION("""COMPUTED_VALUE"""),"스바라시멘")</f>
        <v>스바라시멘</v>
      </c>
      <c r="B5200" s="2" t="str">
        <f>IFERROR(__xludf.DUMMYFUNCTION("""COMPUTED_VALUE"""),"소금")</f>
        <v>소금</v>
      </c>
    </row>
    <row r="5201">
      <c r="A5201" s="2" t="str">
        <f>IFERROR(__xludf.DUMMYFUNCTION("""COMPUTED_VALUE"""),"스바라시멘")</f>
        <v>스바라시멘</v>
      </c>
      <c r="B5201" s="2" t="str">
        <f>IFERROR(__xludf.DUMMYFUNCTION("""COMPUTED_VALUE"""),"간장")</f>
        <v>간장</v>
      </c>
    </row>
    <row r="5202">
      <c r="A5202" s="2" t="str">
        <f>IFERROR(__xludf.DUMMYFUNCTION("""COMPUTED_VALUE"""),"스바라시멘")</f>
        <v>스바라시멘</v>
      </c>
      <c r="B5202" s="2" t="str">
        <f>IFERROR(__xludf.DUMMYFUNCTION("""COMPUTED_VALUE"""),"맛술")</f>
        <v>맛술</v>
      </c>
    </row>
    <row r="5203">
      <c r="A5203" s="2" t="str">
        <f>IFERROR(__xludf.DUMMYFUNCTION("""COMPUTED_VALUE"""),"스바라시멘")</f>
        <v>스바라시멘</v>
      </c>
      <c r="B5203" s="2" t="str">
        <f>IFERROR(__xludf.DUMMYFUNCTION("""COMPUTED_VALUE"""),"후추")</f>
        <v>후추</v>
      </c>
    </row>
    <row r="5204">
      <c r="A5204" s="2" t="str">
        <f>IFERROR(__xludf.DUMMYFUNCTION("""COMPUTED_VALUE"""),"스바라시멘")</f>
        <v>스바라시멘</v>
      </c>
      <c r="B5204" s="2" t="str">
        <f>IFERROR(__xludf.DUMMYFUNCTION("""COMPUTED_VALUE"""),"고춧가루")</f>
        <v>고춧가루</v>
      </c>
    </row>
    <row r="5205">
      <c r="A5205" s="2" t="str">
        <f>IFERROR(__xludf.DUMMYFUNCTION("""COMPUTED_VALUE"""),"단결! 곰탕이지말입니다")</f>
        <v>단결! 곰탕이지말입니다</v>
      </c>
      <c r="B5205" s="2" t="str">
        <f>IFERROR(__xludf.DUMMYFUNCTION("""COMPUTED_VALUE"""),"인스턴트 곰탕")</f>
        <v>인스턴트 곰탕</v>
      </c>
    </row>
    <row r="5206">
      <c r="A5206" s="2" t="str">
        <f>IFERROR(__xludf.DUMMYFUNCTION("""COMPUTED_VALUE"""),"단결! 곰탕이지말입니다")</f>
        <v>단결! 곰탕이지말입니다</v>
      </c>
      <c r="B5206" s="2" t="str">
        <f>IFERROR(__xludf.DUMMYFUNCTION("""COMPUTED_VALUE"""),"불고기용 돼지고기")</f>
        <v>불고기용 돼지고기</v>
      </c>
    </row>
    <row r="5207">
      <c r="A5207" s="2" t="str">
        <f>IFERROR(__xludf.DUMMYFUNCTION("""COMPUTED_VALUE"""),"단결! 곰탕이지말입니다")</f>
        <v>단결! 곰탕이지말입니다</v>
      </c>
      <c r="B5207" s="2" t="str">
        <f>IFERROR(__xludf.DUMMYFUNCTION("""COMPUTED_VALUE"""),"통오징어")</f>
        <v>통오징어</v>
      </c>
    </row>
    <row r="5208">
      <c r="A5208" s="2" t="str">
        <f>IFERROR(__xludf.DUMMYFUNCTION("""COMPUTED_VALUE"""),"단결! 곰탕이지말입니다")</f>
        <v>단결! 곰탕이지말입니다</v>
      </c>
      <c r="B5208" s="2" t="str">
        <f>IFERROR(__xludf.DUMMYFUNCTION("""COMPUTED_VALUE"""),"애호박")</f>
        <v>애호박</v>
      </c>
    </row>
    <row r="5209">
      <c r="A5209" s="2" t="str">
        <f>IFERROR(__xludf.DUMMYFUNCTION("""COMPUTED_VALUE"""),"단결! 곰탕이지말입니다")</f>
        <v>단결! 곰탕이지말입니다</v>
      </c>
      <c r="B5209" s="2" t="str">
        <f>IFERROR(__xludf.DUMMYFUNCTION("""COMPUTED_VALUE"""),"깻잎")</f>
        <v>깻잎</v>
      </c>
    </row>
    <row r="5210">
      <c r="A5210" s="2" t="str">
        <f>IFERROR(__xludf.DUMMYFUNCTION("""COMPUTED_VALUE"""),"단결! 곰탕이지말입니다")</f>
        <v>단결! 곰탕이지말입니다</v>
      </c>
      <c r="B5210" s="2" t="str">
        <f>IFERROR(__xludf.DUMMYFUNCTION("""COMPUTED_VALUE"""),"미니파프리카")</f>
        <v>미니파프리카</v>
      </c>
    </row>
    <row r="5211">
      <c r="A5211" s="2" t="str">
        <f>IFERROR(__xludf.DUMMYFUNCTION("""COMPUTED_VALUE"""),"단결! 곰탕이지말입니다")</f>
        <v>단결! 곰탕이지말입니다</v>
      </c>
      <c r="B5211" s="2" t="str">
        <f>IFERROR(__xludf.DUMMYFUNCTION("""COMPUTED_VALUE"""),"양파")</f>
        <v>양파</v>
      </c>
    </row>
    <row r="5212">
      <c r="A5212" s="2" t="str">
        <f>IFERROR(__xludf.DUMMYFUNCTION("""COMPUTED_VALUE"""),"단결! 곰탕이지말입니다")</f>
        <v>단결! 곰탕이지말입니다</v>
      </c>
      <c r="B5212" s="2" t="str">
        <f>IFERROR(__xludf.DUMMYFUNCTION("""COMPUTED_VALUE"""),"다진 마늘")</f>
        <v>다진 마늘</v>
      </c>
    </row>
    <row r="5213">
      <c r="A5213" s="2" t="str">
        <f>IFERROR(__xludf.DUMMYFUNCTION("""COMPUTED_VALUE"""),"단결! 곰탕이지말입니다")</f>
        <v>단결! 곰탕이지말입니다</v>
      </c>
      <c r="B5213" s="2" t="str">
        <f>IFERROR(__xludf.DUMMYFUNCTION("""COMPUTED_VALUE"""),"레몬")</f>
        <v>레몬</v>
      </c>
    </row>
    <row r="5214">
      <c r="A5214" s="2" t="str">
        <f>IFERROR(__xludf.DUMMYFUNCTION("""COMPUTED_VALUE"""),"단결! 곰탕이지말입니다")</f>
        <v>단결! 곰탕이지말입니다</v>
      </c>
      <c r="B5214" s="2" t="str">
        <f>IFERROR(__xludf.DUMMYFUNCTION("""COMPUTED_VALUE"""),"고추")</f>
        <v>고추</v>
      </c>
    </row>
    <row r="5215">
      <c r="A5215" s="2" t="str">
        <f>IFERROR(__xludf.DUMMYFUNCTION("""COMPUTED_VALUE"""),"단결! 곰탕이지말입니다")</f>
        <v>단결! 곰탕이지말입니다</v>
      </c>
      <c r="B5215" s="2" t="str">
        <f>IFERROR(__xludf.DUMMYFUNCTION("""COMPUTED_VALUE"""),"고춧가루")</f>
        <v>고춧가루</v>
      </c>
    </row>
    <row r="5216">
      <c r="A5216" s="2" t="str">
        <f>IFERROR(__xludf.DUMMYFUNCTION("""COMPUTED_VALUE"""),"단결! 곰탕이지말입니다")</f>
        <v>단결! 곰탕이지말입니다</v>
      </c>
      <c r="B5216" s="2" t="str">
        <f>IFERROR(__xludf.DUMMYFUNCTION("""COMPUTED_VALUE"""),"고추장")</f>
        <v>고추장</v>
      </c>
    </row>
    <row r="5217">
      <c r="A5217" s="2" t="str">
        <f>IFERROR(__xludf.DUMMYFUNCTION("""COMPUTED_VALUE"""),"단결! 곰탕이지말입니다")</f>
        <v>단결! 곰탕이지말입니다</v>
      </c>
      <c r="B5217" s="2" t="str">
        <f>IFERROR(__xludf.DUMMYFUNCTION("""COMPUTED_VALUE"""),"참기름")</f>
        <v>참기름</v>
      </c>
    </row>
    <row r="5218">
      <c r="A5218" s="2" t="str">
        <f>IFERROR(__xludf.DUMMYFUNCTION("""COMPUTED_VALUE"""),"단결! 곰탕이지말입니다")</f>
        <v>단결! 곰탕이지말입니다</v>
      </c>
      <c r="B5218" s="2" t="str">
        <f>IFERROR(__xludf.DUMMYFUNCTION("""COMPUTED_VALUE"""),"간장")</f>
        <v>간장</v>
      </c>
    </row>
    <row r="5219">
      <c r="A5219" s="2" t="str">
        <f>IFERROR(__xludf.DUMMYFUNCTION("""COMPUTED_VALUE"""),"단결! 곰탕이지말입니다")</f>
        <v>단결! 곰탕이지말입니다</v>
      </c>
      <c r="B5219" s="2" t="str">
        <f>IFERROR(__xludf.DUMMYFUNCTION("""COMPUTED_VALUE"""),"물엿")</f>
        <v>물엿</v>
      </c>
    </row>
    <row r="5220">
      <c r="A5220" s="2" t="str">
        <f>IFERROR(__xludf.DUMMYFUNCTION("""COMPUTED_VALUE"""),"단결! 곰탕이지말입니다")</f>
        <v>단결! 곰탕이지말입니다</v>
      </c>
      <c r="B5220" s="2" t="str">
        <f>IFERROR(__xludf.DUMMYFUNCTION("""COMPUTED_VALUE"""),"맛술")</f>
        <v>맛술</v>
      </c>
    </row>
    <row r="5221">
      <c r="A5221" s="2" t="str">
        <f>IFERROR(__xludf.DUMMYFUNCTION("""COMPUTED_VALUE"""),"단결! 곰탕이지말입니다")</f>
        <v>단결! 곰탕이지말입니다</v>
      </c>
      <c r="B5221" s="2" t="str">
        <f>IFERROR(__xludf.DUMMYFUNCTION("""COMPUTED_VALUE"""),"후추")</f>
        <v>후추</v>
      </c>
    </row>
    <row r="5222">
      <c r="A5222" s="2" t="str">
        <f>IFERROR(__xludf.DUMMYFUNCTION("""COMPUTED_VALUE"""),"단결! 곰탕이지말입니다")</f>
        <v>단결! 곰탕이지말입니다</v>
      </c>
      <c r="B5222" s="2" t="str">
        <f>IFERROR(__xludf.DUMMYFUNCTION("""COMPUTED_VALUE"""),"화이트와인")</f>
        <v>화이트와인</v>
      </c>
    </row>
    <row r="5223">
      <c r="A5223" s="2" t="str">
        <f>IFERROR(__xludf.DUMMYFUNCTION("""COMPUTED_VALUE"""),"단결! 곰탕이지말입니다")</f>
        <v>단결! 곰탕이지말입니다</v>
      </c>
      <c r="B5223" s="2" t="str">
        <f>IFERROR(__xludf.DUMMYFUNCTION("""COMPUTED_VALUE"""),"버터")</f>
        <v>버터</v>
      </c>
    </row>
    <row r="5224">
      <c r="A5224" s="2" t="str">
        <f>IFERROR(__xludf.DUMMYFUNCTION("""COMPUTED_VALUE"""),"I'll be back♬")</f>
        <v>I'll be back♬</v>
      </c>
      <c r="B5224" s="2" t="str">
        <f>IFERROR(__xludf.DUMMYFUNCTION("""COMPUTED_VALUE"""),"돼지목살")</f>
        <v>돼지목살</v>
      </c>
    </row>
    <row r="5225">
      <c r="A5225" s="2" t="str">
        <f>IFERROR(__xludf.DUMMYFUNCTION("""COMPUTED_VALUE"""),"I'll be back♬")</f>
        <v>I'll be back♬</v>
      </c>
      <c r="B5225" s="2" t="str">
        <f>IFERROR(__xludf.DUMMYFUNCTION("""COMPUTED_VALUE"""),"훈제오리")</f>
        <v>훈제오리</v>
      </c>
    </row>
    <row r="5226">
      <c r="A5226" s="2" t="str">
        <f>IFERROR(__xludf.DUMMYFUNCTION("""COMPUTED_VALUE"""),"I'll be back♬")</f>
        <v>I'll be back♬</v>
      </c>
      <c r="B5226" s="2" t="str">
        <f>IFERROR(__xludf.DUMMYFUNCTION("""COMPUTED_VALUE"""),"수비드치킨")</f>
        <v>수비드치킨</v>
      </c>
    </row>
    <row r="5227">
      <c r="A5227" s="2" t="str">
        <f>IFERROR(__xludf.DUMMYFUNCTION("""COMPUTED_VALUE"""),"I'll be back♬")</f>
        <v>I'll be back♬</v>
      </c>
      <c r="B5227" s="2" t="str">
        <f>IFERROR(__xludf.DUMMYFUNCTION("""COMPUTED_VALUE"""),"감자")</f>
        <v>감자</v>
      </c>
    </row>
    <row r="5228">
      <c r="A5228" s="2" t="str">
        <f>IFERROR(__xludf.DUMMYFUNCTION("""COMPUTED_VALUE"""),"I'll be back♬")</f>
        <v>I'll be back♬</v>
      </c>
      <c r="B5228" s="2" t="str">
        <f>IFERROR(__xludf.DUMMYFUNCTION("""COMPUTED_VALUE"""),"미니파프리카")</f>
        <v>미니파프리카</v>
      </c>
    </row>
    <row r="5229">
      <c r="A5229" s="2" t="str">
        <f>IFERROR(__xludf.DUMMYFUNCTION("""COMPUTED_VALUE"""),"I'll be back♬")</f>
        <v>I'll be back♬</v>
      </c>
      <c r="B5229" s="2" t="str">
        <f>IFERROR(__xludf.DUMMYFUNCTION("""COMPUTED_VALUE"""),"애호박")</f>
        <v>애호박</v>
      </c>
    </row>
    <row r="5230">
      <c r="A5230" s="2" t="str">
        <f>IFERROR(__xludf.DUMMYFUNCTION("""COMPUTED_VALUE"""),"I'll be back♬")</f>
        <v>I'll be back♬</v>
      </c>
      <c r="B5230" s="2" t="str">
        <f>IFERROR(__xludf.DUMMYFUNCTION("""COMPUTED_VALUE"""),"청양고추")</f>
        <v>청양고추</v>
      </c>
    </row>
    <row r="5231">
      <c r="A5231" s="2" t="str">
        <f>IFERROR(__xludf.DUMMYFUNCTION("""COMPUTED_VALUE"""),"I'll be back♬")</f>
        <v>I'll be back♬</v>
      </c>
      <c r="B5231" s="2" t="str">
        <f>IFERROR(__xludf.DUMMYFUNCTION("""COMPUTED_VALUE"""),"그린올리브")</f>
        <v>그린올리브</v>
      </c>
    </row>
    <row r="5232">
      <c r="A5232" s="2" t="str">
        <f>IFERROR(__xludf.DUMMYFUNCTION("""COMPUTED_VALUE"""),"I'll be back♬")</f>
        <v>I'll be back♬</v>
      </c>
      <c r="B5232" s="2" t="str">
        <f>IFERROR(__xludf.DUMMYFUNCTION("""COMPUTED_VALUE"""),"방울토마토")</f>
        <v>방울토마토</v>
      </c>
    </row>
    <row r="5233">
      <c r="A5233" s="2" t="str">
        <f>IFERROR(__xludf.DUMMYFUNCTION("""COMPUTED_VALUE"""),"I'll be back♬")</f>
        <v>I'll be back♬</v>
      </c>
      <c r="B5233" s="2" t="str">
        <f>IFERROR(__xludf.DUMMYFUNCTION("""COMPUTED_VALUE"""),"휘핑크림")</f>
        <v>휘핑크림</v>
      </c>
    </row>
    <row r="5234">
      <c r="A5234" s="2" t="str">
        <f>IFERROR(__xludf.DUMMYFUNCTION("""COMPUTED_VALUE"""),"I'll be back♬")</f>
        <v>I'll be back♬</v>
      </c>
      <c r="B5234" s="2" t="str">
        <f>IFERROR(__xludf.DUMMYFUNCTION("""COMPUTED_VALUE"""),"인스턴트 곰탕")</f>
        <v>인스턴트 곰탕</v>
      </c>
    </row>
    <row r="5235">
      <c r="A5235" s="2" t="str">
        <f>IFERROR(__xludf.DUMMYFUNCTION("""COMPUTED_VALUE"""),"I'll be back♬")</f>
        <v>I'll be back♬</v>
      </c>
      <c r="B5235" s="2" t="str">
        <f>IFERROR(__xludf.DUMMYFUNCTION("""COMPUTED_VALUE"""),"모차렐라&amp;체다 치즈")</f>
        <v>모차렐라&amp;체다 치즈</v>
      </c>
    </row>
    <row r="5236">
      <c r="A5236" s="2" t="str">
        <f>IFERROR(__xludf.DUMMYFUNCTION("""COMPUTED_VALUE"""),"I'll be back♬")</f>
        <v>I'll be back♬</v>
      </c>
      <c r="B5236" s="2" t="str">
        <f>IFERROR(__xludf.DUMMYFUNCTION("""COMPUTED_VALUE"""),"토마토소스")</f>
        <v>토마토소스</v>
      </c>
    </row>
    <row r="5237">
      <c r="A5237" s="2" t="str">
        <f>IFERROR(__xludf.DUMMYFUNCTION("""COMPUTED_VALUE"""),"I'll be back♬")</f>
        <v>I'll be back♬</v>
      </c>
      <c r="B5237" s="2" t="str">
        <f>IFERROR(__xludf.DUMMYFUNCTION("""COMPUTED_VALUE"""),"양파")</f>
        <v>양파</v>
      </c>
    </row>
    <row r="5238">
      <c r="A5238" s="2" t="str">
        <f>IFERROR(__xludf.DUMMYFUNCTION("""COMPUTED_VALUE"""),"I'll be back♬")</f>
        <v>I'll be back♬</v>
      </c>
      <c r="B5238" s="2" t="str">
        <f>IFERROR(__xludf.DUMMYFUNCTION("""COMPUTED_VALUE"""),"마늘")</f>
        <v>마늘</v>
      </c>
    </row>
    <row r="5239">
      <c r="A5239" s="2" t="str">
        <f>IFERROR(__xludf.DUMMYFUNCTION("""COMPUTED_VALUE"""),"I'll be back♬")</f>
        <v>I'll be back♬</v>
      </c>
      <c r="B5239" s="2" t="str">
        <f>IFERROR(__xludf.DUMMYFUNCTION("""COMPUTED_VALUE"""),"소금")</f>
        <v>소금</v>
      </c>
    </row>
    <row r="5240">
      <c r="A5240" s="2" t="str">
        <f>IFERROR(__xludf.DUMMYFUNCTION("""COMPUTED_VALUE"""),"I'll be back♬")</f>
        <v>I'll be back♬</v>
      </c>
      <c r="B5240" s="2" t="str">
        <f>IFERROR(__xludf.DUMMYFUNCTION("""COMPUTED_VALUE"""),"고춧가루")</f>
        <v>고춧가루</v>
      </c>
    </row>
    <row r="5241">
      <c r="A5241" s="2" t="str">
        <f>IFERROR(__xludf.DUMMYFUNCTION("""COMPUTED_VALUE"""),"하룻강아지 복 무서운 줄 알고 오삼")</f>
        <v>하룻강아지 복 무서운 줄 알고 오삼</v>
      </c>
      <c r="B5241" s="2" t="str">
        <f>IFERROR(__xludf.DUMMYFUNCTION("""COMPUTED_VALUE"""),"삼겹살")</f>
        <v>삼겹살</v>
      </c>
    </row>
    <row r="5242">
      <c r="A5242" s="2" t="str">
        <f>IFERROR(__xludf.DUMMYFUNCTION("""COMPUTED_VALUE"""),"하룻강아지 복 무서운 줄 알고 오삼")</f>
        <v>하룻강아지 복 무서운 줄 알고 오삼</v>
      </c>
      <c r="B5242" s="2" t="str">
        <f>IFERROR(__xludf.DUMMYFUNCTION("""COMPUTED_VALUE"""),"오징어")</f>
        <v>오징어</v>
      </c>
    </row>
    <row r="5243">
      <c r="A5243" s="2" t="str">
        <f>IFERROR(__xludf.DUMMYFUNCTION("""COMPUTED_VALUE"""),"하룻강아지 복 무서운 줄 알고 오삼")</f>
        <v>하룻강아지 복 무서운 줄 알고 오삼</v>
      </c>
      <c r="B5243" s="2" t="str">
        <f>IFERROR(__xludf.DUMMYFUNCTION("""COMPUTED_VALUE"""),"명란젓")</f>
        <v>명란젓</v>
      </c>
    </row>
    <row r="5244">
      <c r="A5244" s="2" t="str">
        <f>IFERROR(__xludf.DUMMYFUNCTION("""COMPUTED_VALUE"""),"하룻강아지 복 무서운 줄 알고 오삼")</f>
        <v>하룻강아지 복 무서운 줄 알고 오삼</v>
      </c>
      <c r="B5244" s="2" t="str">
        <f>IFERROR(__xludf.DUMMYFUNCTION("""COMPUTED_VALUE"""),"케첩")</f>
        <v>케첩</v>
      </c>
    </row>
    <row r="5245">
      <c r="A5245" s="2" t="str">
        <f>IFERROR(__xludf.DUMMYFUNCTION("""COMPUTED_VALUE"""),"하룻강아지 복 무서운 줄 알고 오삼")</f>
        <v>하룻강아지 복 무서운 줄 알고 오삼</v>
      </c>
      <c r="B5245" s="2" t="str">
        <f>IFERROR(__xludf.DUMMYFUNCTION("""COMPUTED_VALUE"""),"허니머스터드")</f>
        <v>허니머스터드</v>
      </c>
    </row>
    <row r="5246">
      <c r="A5246" s="2" t="str">
        <f>IFERROR(__xludf.DUMMYFUNCTION("""COMPUTED_VALUE"""),"하룻강아지 복 무서운 줄 알고 오삼")</f>
        <v>하룻강아지 복 무서운 줄 알고 오삼</v>
      </c>
      <c r="B5246" s="2" t="str">
        <f>IFERROR(__xludf.DUMMYFUNCTION("""COMPUTED_VALUE"""),"달걀")</f>
        <v>달걀</v>
      </c>
    </row>
    <row r="5247">
      <c r="A5247" s="2" t="str">
        <f>IFERROR(__xludf.DUMMYFUNCTION("""COMPUTED_VALUE"""),"하룻강아지 복 무서운 줄 알고 오삼")</f>
        <v>하룻강아지 복 무서운 줄 알고 오삼</v>
      </c>
      <c r="B5247" s="2" t="str">
        <f>IFERROR(__xludf.DUMMYFUNCTION("""COMPUTED_VALUE"""),"양파")</f>
        <v>양파</v>
      </c>
    </row>
    <row r="5248">
      <c r="A5248" s="2" t="str">
        <f>IFERROR(__xludf.DUMMYFUNCTION("""COMPUTED_VALUE"""),"하룻강아지 복 무서운 줄 알고 오삼")</f>
        <v>하룻강아지 복 무서운 줄 알고 오삼</v>
      </c>
      <c r="B5248" s="2" t="str">
        <f>IFERROR(__xludf.DUMMYFUNCTION("""COMPUTED_VALUE"""),"대파")</f>
        <v>대파</v>
      </c>
    </row>
    <row r="5249">
      <c r="A5249" s="2" t="str">
        <f>IFERROR(__xludf.DUMMYFUNCTION("""COMPUTED_VALUE"""),"하룻강아지 복 무서운 줄 알고 오삼")</f>
        <v>하룻강아지 복 무서운 줄 알고 오삼</v>
      </c>
      <c r="B5249" s="2" t="str">
        <f>IFERROR(__xludf.DUMMYFUNCTION("""COMPUTED_VALUE"""),"마늘")</f>
        <v>마늘</v>
      </c>
    </row>
    <row r="5250">
      <c r="A5250" s="2" t="str">
        <f>IFERROR(__xludf.DUMMYFUNCTION("""COMPUTED_VALUE"""),"하룻강아지 복 무서운 줄 알고 오삼")</f>
        <v>하룻강아지 복 무서운 줄 알고 오삼</v>
      </c>
      <c r="B5250" s="2" t="str">
        <f>IFERROR(__xludf.DUMMYFUNCTION("""COMPUTED_VALUE"""),"소금")</f>
        <v>소금</v>
      </c>
    </row>
    <row r="5251">
      <c r="A5251" s="2" t="str">
        <f>IFERROR(__xludf.DUMMYFUNCTION("""COMPUTED_VALUE"""),"하룻강아지 복 무서운 줄 알고 오삼")</f>
        <v>하룻강아지 복 무서운 줄 알고 오삼</v>
      </c>
      <c r="B5251" s="2" t="str">
        <f>IFERROR(__xludf.DUMMYFUNCTION("""COMPUTED_VALUE"""),"후추")</f>
        <v>후추</v>
      </c>
    </row>
    <row r="5252">
      <c r="A5252" s="2" t="str">
        <f>IFERROR(__xludf.DUMMYFUNCTION("""COMPUTED_VALUE"""),"하룻강아지 복 무서운 줄 알고 오삼")</f>
        <v>하룻강아지 복 무서운 줄 알고 오삼</v>
      </c>
      <c r="B5252" s="2" t="str">
        <f>IFERROR(__xludf.DUMMYFUNCTION("""COMPUTED_VALUE"""),"밀가루")</f>
        <v>밀가루</v>
      </c>
    </row>
    <row r="5253">
      <c r="A5253" s="2" t="str">
        <f>IFERROR(__xludf.DUMMYFUNCTION("""COMPUTED_VALUE"""),"하룻강아지 복 무서운 줄 알고 오삼")</f>
        <v>하룻강아지 복 무서운 줄 알고 오삼</v>
      </c>
      <c r="B5253" s="2" t="str">
        <f>IFERROR(__xludf.DUMMYFUNCTION("""COMPUTED_VALUE"""),"전분")</f>
        <v>전분</v>
      </c>
    </row>
    <row r="5254">
      <c r="A5254" s="2" t="str">
        <f>IFERROR(__xludf.DUMMYFUNCTION("""COMPUTED_VALUE"""),"하룻강아지 복 무서운 줄 알고 오삼")</f>
        <v>하룻강아지 복 무서운 줄 알고 오삼</v>
      </c>
      <c r="B5254" s="2" t="str">
        <f>IFERROR(__xludf.DUMMYFUNCTION("""COMPUTED_VALUE"""),"식용유")</f>
        <v>식용유</v>
      </c>
    </row>
    <row r="5255">
      <c r="A5255" s="2" t="str">
        <f>IFERROR(__xludf.DUMMYFUNCTION("""COMPUTED_VALUE"""),"하룻강아지 복 무서운 줄 알고 오삼")</f>
        <v>하룻강아지 복 무서운 줄 알고 오삼</v>
      </c>
      <c r="B5255" s="2" t="str">
        <f>IFERROR(__xludf.DUMMYFUNCTION("""COMPUTED_VALUE"""),"고춧가루")</f>
        <v>고춧가루</v>
      </c>
    </row>
    <row r="5256">
      <c r="A5256" s="2" t="str">
        <f>IFERROR(__xludf.DUMMYFUNCTION("""COMPUTED_VALUE"""),"황금탕수육")</f>
        <v>황금탕수육</v>
      </c>
      <c r="B5256" s="2" t="str">
        <f>IFERROR(__xludf.DUMMYFUNCTION("""COMPUTED_VALUE"""),"돼지목살")</f>
        <v>돼지목살</v>
      </c>
    </row>
    <row r="5257">
      <c r="A5257" s="2" t="str">
        <f>IFERROR(__xludf.DUMMYFUNCTION("""COMPUTED_VALUE"""),"황금탕수육")</f>
        <v>황금탕수육</v>
      </c>
      <c r="B5257" s="2" t="str">
        <f>IFERROR(__xludf.DUMMYFUNCTION("""COMPUTED_VALUE"""),"청포도")</f>
        <v>청포도</v>
      </c>
    </row>
    <row r="5258">
      <c r="A5258" s="2" t="str">
        <f>IFERROR(__xludf.DUMMYFUNCTION("""COMPUTED_VALUE"""),"황금탕수육")</f>
        <v>황금탕수육</v>
      </c>
      <c r="B5258" s="2" t="str">
        <f>IFERROR(__xludf.DUMMYFUNCTION("""COMPUTED_VALUE"""),"사과")</f>
        <v>사과</v>
      </c>
    </row>
    <row r="5259">
      <c r="A5259" s="2" t="str">
        <f>IFERROR(__xludf.DUMMYFUNCTION("""COMPUTED_VALUE"""),"황금탕수육")</f>
        <v>황금탕수육</v>
      </c>
      <c r="B5259" s="2" t="str">
        <f>IFERROR(__xludf.DUMMYFUNCTION("""COMPUTED_VALUE"""),"견과류")</f>
        <v>견과류</v>
      </c>
    </row>
    <row r="5260">
      <c r="A5260" s="2" t="str">
        <f>IFERROR(__xludf.DUMMYFUNCTION("""COMPUTED_VALUE"""),"황금탕수육")</f>
        <v>황금탕수육</v>
      </c>
      <c r="B5260" s="2" t="str">
        <f>IFERROR(__xludf.DUMMYFUNCTION("""COMPUTED_VALUE"""),"복분자즙")</f>
        <v>복분자즙</v>
      </c>
    </row>
    <row r="5261">
      <c r="A5261" s="2" t="str">
        <f>IFERROR(__xludf.DUMMYFUNCTION("""COMPUTED_VALUE"""),"황금탕수육")</f>
        <v>황금탕수육</v>
      </c>
      <c r="B5261" s="2" t="str">
        <f>IFERROR(__xludf.DUMMYFUNCTION("""COMPUTED_VALUE"""),"양파")</f>
        <v>양파</v>
      </c>
    </row>
    <row r="5262">
      <c r="A5262" s="2" t="str">
        <f>IFERROR(__xludf.DUMMYFUNCTION("""COMPUTED_VALUE"""),"황금탕수육")</f>
        <v>황금탕수육</v>
      </c>
      <c r="B5262" s="2" t="str">
        <f>IFERROR(__xludf.DUMMYFUNCTION("""COMPUTED_VALUE"""),"대파")</f>
        <v>대파</v>
      </c>
    </row>
    <row r="5263">
      <c r="A5263" s="2" t="str">
        <f>IFERROR(__xludf.DUMMYFUNCTION("""COMPUTED_VALUE"""),"황금탕수육")</f>
        <v>황금탕수육</v>
      </c>
      <c r="B5263" s="2" t="str">
        <f>IFERROR(__xludf.DUMMYFUNCTION("""COMPUTED_VALUE"""),"고추")</f>
        <v>고추</v>
      </c>
    </row>
    <row r="5264">
      <c r="A5264" s="2" t="str">
        <f>IFERROR(__xludf.DUMMYFUNCTION("""COMPUTED_VALUE"""),"황금탕수육")</f>
        <v>황금탕수육</v>
      </c>
      <c r="B5264" s="2" t="str">
        <f>IFERROR(__xludf.DUMMYFUNCTION("""COMPUTED_VALUE"""),"레몬")</f>
        <v>레몬</v>
      </c>
    </row>
    <row r="5265">
      <c r="A5265" s="2" t="str">
        <f>IFERROR(__xludf.DUMMYFUNCTION("""COMPUTED_VALUE"""),"황금탕수육")</f>
        <v>황금탕수육</v>
      </c>
      <c r="B5265" s="2" t="str">
        <f>IFERROR(__xludf.DUMMYFUNCTION("""COMPUTED_VALUE"""),"다진 생강")</f>
        <v>다진 생강</v>
      </c>
    </row>
    <row r="5266">
      <c r="A5266" s="2" t="str">
        <f>IFERROR(__xludf.DUMMYFUNCTION("""COMPUTED_VALUE"""),"황금탕수육")</f>
        <v>황금탕수육</v>
      </c>
      <c r="B5266" s="2" t="str">
        <f>IFERROR(__xludf.DUMMYFUNCTION("""COMPUTED_VALUE"""),"밀가루")</f>
        <v>밀가루</v>
      </c>
    </row>
    <row r="5267">
      <c r="A5267" s="2" t="str">
        <f>IFERROR(__xludf.DUMMYFUNCTION("""COMPUTED_VALUE"""),"황금탕수육")</f>
        <v>황금탕수육</v>
      </c>
      <c r="B5267" s="2" t="str">
        <f>IFERROR(__xludf.DUMMYFUNCTION("""COMPUTED_VALUE"""),"전분")</f>
        <v>전분</v>
      </c>
    </row>
    <row r="5268">
      <c r="A5268" s="2" t="str">
        <f>IFERROR(__xludf.DUMMYFUNCTION("""COMPUTED_VALUE"""),"황금탕수육")</f>
        <v>황금탕수육</v>
      </c>
      <c r="B5268" s="2" t="str">
        <f>IFERROR(__xludf.DUMMYFUNCTION("""COMPUTED_VALUE"""),"식용유")</f>
        <v>식용유</v>
      </c>
    </row>
    <row r="5269">
      <c r="A5269" s="2" t="str">
        <f>IFERROR(__xludf.DUMMYFUNCTION("""COMPUTED_VALUE"""),"황금탕수육")</f>
        <v>황금탕수육</v>
      </c>
      <c r="B5269" s="2" t="str">
        <f>IFERROR(__xludf.DUMMYFUNCTION("""COMPUTED_VALUE"""),"간장")</f>
        <v>간장</v>
      </c>
    </row>
    <row r="5270">
      <c r="A5270" s="2" t="str">
        <f>IFERROR(__xludf.DUMMYFUNCTION("""COMPUTED_VALUE"""),"황금탕수육")</f>
        <v>황금탕수육</v>
      </c>
      <c r="B5270" s="2" t="str">
        <f>IFERROR(__xludf.DUMMYFUNCTION("""COMPUTED_VALUE"""),"식초")</f>
        <v>식초</v>
      </c>
    </row>
    <row r="5271">
      <c r="A5271" s="2" t="str">
        <f>IFERROR(__xludf.DUMMYFUNCTION("""COMPUTED_VALUE"""),"황금탕수육")</f>
        <v>황금탕수육</v>
      </c>
      <c r="B5271" s="2" t="str">
        <f>IFERROR(__xludf.DUMMYFUNCTION("""COMPUTED_VALUE"""),"설탕")</f>
        <v>설탕</v>
      </c>
    </row>
    <row r="5272">
      <c r="A5272" s="2" t="str">
        <f>IFERROR(__xludf.DUMMYFUNCTION("""COMPUTED_VALUE"""),"청고마비")</f>
        <v>청고마비</v>
      </c>
      <c r="B5272" s="2" t="str">
        <f>IFERROR(__xludf.DUMMYFUNCTION("""COMPUTED_VALUE"""),"고등어")</f>
        <v>고등어</v>
      </c>
    </row>
    <row r="5273">
      <c r="A5273" s="2" t="str">
        <f>IFERROR(__xludf.DUMMYFUNCTION("""COMPUTED_VALUE"""),"청고마비")</f>
        <v>청고마비</v>
      </c>
      <c r="B5273" s="2" t="str">
        <f>IFERROR(__xludf.DUMMYFUNCTION("""COMPUTED_VALUE"""),"청포도")</f>
        <v>청포도</v>
      </c>
    </row>
    <row r="5274">
      <c r="A5274" s="2" t="str">
        <f>IFERROR(__xludf.DUMMYFUNCTION("""COMPUTED_VALUE"""),"청고마비")</f>
        <v>청고마비</v>
      </c>
      <c r="B5274" s="2" t="str">
        <f>IFERROR(__xludf.DUMMYFUNCTION("""COMPUTED_VALUE"""),"사과주스")</f>
        <v>사과주스</v>
      </c>
    </row>
    <row r="5275">
      <c r="A5275" s="2" t="str">
        <f>IFERROR(__xludf.DUMMYFUNCTION("""COMPUTED_VALUE"""),"청고마비")</f>
        <v>청고마비</v>
      </c>
      <c r="B5275" s="2" t="str">
        <f>IFERROR(__xludf.DUMMYFUNCTION("""COMPUTED_VALUE"""),"레몬")</f>
        <v>레몬</v>
      </c>
    </row>
    <row r="5276">
      <c r="A5276" s="2" t="str">
        <f>IFERROR(__xludf.DUMMYFUNCTION("""COMPUTED_VALUE"""),"청고마비")</f>
        <v>청고마비</v>
      </c>
      <c r="B5276" s="2" t="str">
        <f>IFERROR(__xludf.DUMMYFUNCTION("""COMPUTED_VALUE"""),"대파")</f>
        <v>대파</v>
      </c>
    </row>
    <row r="5277">
      <c r="A5277" s="2" t="str">
        <f>IFERROR(__xludf.DUMMYFUNCTION("""COMPUTED_VALUE"""),"청고마비")</f>
        <v>청고마비</v>
      </c>
      <c r="B5277" s="2" t="str">
        <f>IFERROR(__xludf.DUMMYFUNCTION("""COMPUTED_VALUE"""),"다진 생강")</f>
        <v>다진 생강</v>
      </c>
    </row>
    <row r="5278">
      <c r="A5278" s="2" t="str">
        <f>IFERROR(__xludf.DUMMYFUNCTION("""COMPUTED_VALUE"""),"청고마비")</f>
        <v>청고마비</v>
      </c>
      <c r="B5278" s="2" t="str">
        <f>IFERROR(__xludf.DUMMYFUNCTION("""COMPUTED_VALUE"""),"버터")</f>
        <v>버터</v>
      </c>
    </row>
    <row r="5279">
      <c r="A5279" s="2" t="str">
        <f>IFERROR(__xludf.DUMMYFUNCTION("""COMPUTED_VALUE"""),"청고마비")</f>
        <v>청고마비</v>
      </c>
      <c r="B5279" s="2" t="str">
        <f>IFERROR(__xludf.DUMMYFUNCTION("""COMPUTED_VALUE"""),"소금")</f>
        <v>소금</v>
      </c>
    </row>
    <row r="5280">
      <c r="A5280" s="2" t="str">
        <f>IFERROR(__xludf.DUMMYFUNCTION("""COMPUTED_VALUE"""),"청고마비")</f>
        <v>청고마비</v>
      </c>
      <c r="B5280" s="2" t="str">
        <f>IFERROR(__xludf.DUMMYFUNCTION("""COMPUTED_VALUE"""),"후추")</f>
        <v>후추</v>
      </c>
    </row>
    <row r="5281">
      <c r="A5281" s="2" t="str">
        <f>IFERROR(__xludf.DUMMYFUNCTION("""COMPUTED_VALUE"""),"청고마비")</f>
        <v>청고마비</v>
      </c>
      <c r="B5281" s="2" t="str">
        <f>IFERROR(__xludf.DUMMYFUNCTION("""COMPUTED_VALUE"""),"밀가루")</f>
        <v>밀가루</v>
      </c>
    </row>
    <row r="5282">
      <c r="A5282" s="2" t="str">
        <f>IFERROR(__xludf.DUMMYFUNCTION("""COMPUTED_VALUE"""),"나비효과")</f>
        <v>나비효과</v>
      </c>
      <c r="B5282" s="2" t="str">
        <f>IFERROR(__xludf.DUMMYFUNCTION("""COMPUTED_VALUE"""),"오징어")</f>
        <v>오징어</v>
      </c>
    </row>
    <row r="5283">
      <c r="A5283" s="2" t="str">
        <f>IFERROR(__xludf.DUMMYFUNCTION("""COMPUTED_VALUE"""),"나비효과")</f>
        <v>나비효과</v>
      </c>
      <c r="B5283" s="2" t="str">
        <f>IFERROR(__xludf.DUMMYFUNCTION("""COMPUTED_VALUE"""),"전복")</f>
        <v>전복</v>
      </c>
    </row>
    <row r="5284">
      <c r="A5284" s="2" t="str">
        <f>IFERROR(__xludf.DUMMYFUNCTION("""COMPUTED_VALUE"""),"나비효과")</f>
        <v>나비효과</v>
      </c>
      <c r="B5284" s="2" t="str">
        <f>IFERROR(__xludf.DUMMYFUNCTION("""COMPUTED_VALUE"""),"명란젓")</f>
        <v>명란젓</v>
      </c>
    </row>
    <row r="5285">
      <c r="A5285" s="2" t="str">
        <f>IFERROR(__xludf.DUMMYFUNCTION("""COMPUTED_VALUE"""),"나비효과")</f>
        <v>나비효과</v>
      </c>
      <c r="B5285" s="2" t="str">
        <f>IFERROR(__xludf.DUMMYFUNCTION("""COMPUTED_VALUE"""),"멸치볶음")</f>
        <v>멸치볶음</v>
      </c>
    </row>
    <row r="5286">
      <c r="A5286" s="2" t="str">
        <f>IFERROR(__xludf.DUMMYFUNCTION("""COMPUTED_VALUE"""),"나비효과")</f>
        <v>나비효과</v>
      </c>
      <c r="B5286" s="2" t="str">
        <f>IFERROR(__xludf.DUMMYFUNCTION("""COMPUTED_VALUE"""),"두부")</f>
        <v>두부</v>
      </c>
    </row>
    <row r="5287">
      <c r="A5287" s="2" t="str">
        <f>IFERROR(__xludf.DUMMYFUNCTION("""COMPUTED_VALUE"""),"나비효과")</f>
        <v>나비효과</v>
      </c>
      <c r="B5287" s="2" t="str">
        <f>IFERROR(__xludf.DUMMYFUNCTION("""COMPUTED_VALUE"""),"조미김")</f>
        <v>조미김</v>
      </c>
    </row>
    <row r="5288">
      <c r="A5288" s="2" t="str">
        <f>IFERROR(__xludf.DUMMYFUNCTION("""COMPUTED_VALUE"""),"나비효과")</f>
        <v>나비효과</v>
      </c>
      <c r="B5288" s="2" t="str">
        <f>IFERROR(__xludf.DUMMYFUNCTION("""COMPUTED_VALUE"""),"인스턴트 맛조개국")</f>
        <v>인스턴트 맛조개국</v>
      </c>
    </row>
    <row r="5289">
      <c r="A5289" s="2" t="str">
        <f>IFERROR(__xludf.DUMMYFUNCTION("""COMPUTED_VALUE"""),"나비효과")</f>
        <v>나비효과</v>
      </c>
      <c r="B5289" s="2" t="str">
        <f>IFERROR(__xludf.DUMMYFUNCTION("""COMPUTED_VALUE"""),"깻잎장아찌")</f>
        <v>깻잎장아찌</v>
      </c>
    </row>
    <row r="5290">
      <c r="A5290" s="2" t="str">
        <f>IFERROR(__xludf.DUMMYFUNCTION("""COMPUTED_VALUE"""),"나비효과")</f>
        <v>나비효과</v>
      </c>
      <c r="B5290" s="2" t="str">
        <f>IFERROR(__xludf.DUMMYFUNCTION("""COMPUTED_VALUE"""),"마늘")</f>
        <v>마늘</v>
      </c>
    </row>
    <row r="5291">
      <c r="A5291" s="2" t="str">
        <f>IFERROR(__xludf.DUMMYFUNCTION("""COMPUTED_VALUE"""),"나비효과")</f>
        <v>나비효과</v>
      </c>
      <c r="B5291" s="2" t="str">
        <f>IFERROR(__xludf.DUMMYFUNCTION("""COMPUTED_VALUE"""),"양파")</f>
        <v>양파</v>
      </c>
    </row>
    <row r="5292">
      <c r="A5292" s="2" t="str">
        <f>IFERROR(__xludf.DUMMYFUNCTION("""COMPUTED_VALUE"""),"나비효과")</f>
        <v>나비효과</v>
      </c>
      <c r="B5292" s="2" t="str">
        <f>IFERROR(__xludf.DUMMYFUNCTION("""COMPUTED_VALUE"""),"대파")</f>
        <v>대파</v>
      </c>
    </row>
    <row r="5293">
      <c r="A5293" s="2" t="str">
        <f>IFERROR(__xludf.DUMMYFUNCTION("""COMPUTED_VALUE"""),"나비효과")</f>
        <v>나비효과</v>
      </c>
      <c r="B5293" s="2" t="str">
        <f>IFERROR(__xludf.DUMMYFUNCTION("""COMPUTED_VALUE"""),"달걀")</f>
        <v>달걀</v>
      </c>
    </row>
    <row r="5294">
      <c r="A5294" s="2" t="str">
        <f>IFERROR(__xludf.DUMMYFUNCTION("""COMPUTED_VALUE"""),"나비효과")</f>
        <v>나비효과</v>
      </c>
      <c r="B5294" s="2" t="str">
        <f>IFERROR(__xludf.DUMMYFUNCTION("""COMPUTED_VALUE"""),"화이트와인")</f>
        <v>화이트와인</v>
      </c>
    </row>
    <row r="5295">
      <c r="A5295" s="2" t="str">
        <f>IFERROR(__xludf.DUMMYFUNCTION("""COMPUTED_VALUE"""),"나비효과")</f>
        <v>나비효과</v>
      </c>
      <c r="B5295" s="2" t="str">
        <f>IFERROR(__xludf.DUMMYFUNCTION("""COMPUTED_VALUE"""),"즉석밥")</f>
        <v>즉석밥</v>
      </c>
    </row>
    <row r="5296">
      <c r="A5296" s="2" t="str">
        <f>IFERROR(__xludf.DUMMYFUNCTION("""COMPUTED_VALUE"""),"나비효과")</f>
        <v>나비효과</v>
      </c>
      <c r="B5296" s="2" t="str">
        <f>IFERROR(__xludf.DUMMYFUNCTION("""COMPUTED_VALUE"""),"밀가루")</f>
        <v>밀가루</v>
      </c>
    </row>
    <row r="5297">
      <c r="A5297" s="2" t="str">
        <f>IFERROR(__xludf.DUMMYFUNCTION("""COMPUTED_VALUE"""),"나비효과")</f>
        <v>나비효과</v>
      </c>
      <c r="B5297" s="2" t="str">
        <f>IFERROR(__xludf.DUMMYFUNCTION("""COMPUTED_VALUE"""),"전분")</f>
        <v>전분</v>
      </c>
    </row>
    <row r="5298">
      <c r="A5298" s="2" t="str">
        <f>IFERROR(__xludf.DUMMYFUNCTION("""COMPUTED_VALUE"""),"나비효과")</f>
        <v>나비효과</v>
      </c>
      <c r="B5298" s="2" t="str">
        <f>IFERROR(__xludf.DUMMYFUNCTION("""COMPUTED_VALUE"""),"올리브오일")</f>
        <v>올리브오일</v>
      </c>
    </row>
    <row r="5299">
      <c r="A5299" s="2" t="str">
        <f>IFERROR(__xludf.DUMMYFUNCTION("""COMPUTED_VALUE"""),"나비효과")</f>
        <v>나비효과</v>
      </c>
      <c r="B5299" s="2" t="str">
        <f>IFERROR(__xludf.DUMMYFUNCTION("""COMPUTED_VALUE"""),"소금")</f>
        <v>소금</v>
      </c>
    </row>
    <row r="5300">
      <c r="A5300" s="2" t="str">
        <f>IFERROR(__xludf.DUMMYFUNCTION("""COMPUTED_VALUE"""),"나비효과")</f>
        <v>나비효과</v>
      </c>
      <c r="B5300" s="2" t="str">
        <f>IFERROR(__xludf.DUMMYFUNCTION("""COMPUTED_VALUE"""),"후추")</f>
        <v>후추</v>
      </c>
    </row>
    <row r="5301">
      <c r="A5301" s="2" t="str">
        <f>IFERROR(__xludf.DUMMYFUNCTION("""COMPUTED_VALUE"""),"나비효과")</f>
        <v>나비효과</v>
      </c>
      <c r="B5301" s="2" t="str">
        <f>IFERROR(__xludf.DUMMYFUNCTION("""COMPUTED_VALUE"""),"고추냉이")</f>
        <v>고추냉이</v>
      </c>
    </row>
    <row r="5302">
      <c r="A5302" s="2" t="str">
        <f>IFERROR(__xludf.DUMMYFUNCTION("""COMPUTED_VALUE"""),"샘통이다")</f>
        <v>샘통이다</v>
      </c>
      <c r="B5302" s="2" t="str">
        <f>IFERROR(__xludf.DUMMYFUNCTION("""COMPUTED_VALUE"""),"오징어")</f>
        <v>오징어</v>
      </c>
    </row>
    <row r="5303">
      <c r="A5303" s="2" t="str">
        <f>IFERROR(__xludf.DUMMYFUNCTION("""COMPUTED_VALUE"""),"샘통이다")</f>
        <v>샘통이다</v>
      </c>
      <c r="B5303" s="2" t="str">
        <f>IFERROR(__xludf.DUMMYFUNCTION("""COMPUTED_VALUE"""),"낙지")</f>
        <v>낙지</v>
      </c>
    </row>
    <row r="5304">
      <c r="A5304" s="2" t="str">
        <f>IFERROR(__xludf.DUMMYFUNCTION("""COMPUTED_VALUE"""),"샘통이다")</f>
        <v>샘통이다</v>
      </c>
      <c r="B5304" s="2" t="str">
        <f>IFERROR(__xludf.DUMMYFUNCTION("""COMPUTED_VALUE"""),"소고기 양지")</f>
        <v>소고기 양지</v>
      </c>
    </row>
    <row r="5305">
      <c r="A5305" s="2" t="str">
        <f>IFERROR(__xludf.DUMMYFUNCTION("""COMPUTED_VALUE"""),"샘통이다")</f>
        <v>샘통이다</v>
      </c>
      <c r="B5305" s="2" t="str">
        <f>IFERROR(__xludf.DUMMYFUNCTION("""COMPUTED_VALUE"""),"골뱅이 통조림")</f>
        <v>골뱅이 통조림</v>
      </c>
    </row>
    <row r="5306">
      <c r="A5306" s="2" t="str">
        <f>IFERROR(__xludf.DUMMYFUNCTION("""COMPUTED_VALUE"""),"샘통이다")</f>
        <v>샘통이다</v>
      </c>
      <c r="B5306" s="2" t="str">
        <f>IFERROR(__xludf.DUMMYFUNCTION("""COMPUTED_VALUE"""),"애호박")</f>
        <v>애호박</v>
      </c>
    </row>
    <row r="5307">
      <c r="A5307" s="2" t="str">
        <f>IFERROR(__xludf.DUMMYFUNCTION("""COMPUTED_VALUE"""),"샘통이다")</f>
        <v>샘통이다</v>
      </c>
      <c r="B5307" s="2" t="str">
        <f>IFERROR(__xludf.DUMMYFUNCTION("""COMPUTED_VALUE"""),"허니머스터드")</f>
        <v>허니머스터드</v>
      </c>
    </row>
    <row r="5308">
      <c r="A5308" s="2" t="str">
        <f>IFERROR(__xludf.DUMMYFUNCTION("""COMPUTED_VALUE"""),"샘통이다")</f>
        <v>샘통이다</v>
      </c>
      <c r="B5308" s="2" t="str">
        <f>IFERROR(__xludf.DUMMYFUNCTION("""COMPUTED_VALUE"""),"감자")</f>
        <v>감자</v>
      </c>
    </row>
    <row r="5309">
      <c r="A5309" s="2" t="str">
        <f>IFERROR(__xludf.DUMMYFUNCTION("""COMPUTED_VALUE"""),"샘통이다")</f>
        <v>샘통이다</v>
      </c>
      <c r="B5309" s="2" t="str">
        <f>IFERROR(__xludf.DUMMYFUNCTION("""COMPUTED_VALUE"""),"송이버섯")</f>
        <v>송이버섯</v>
      </c>
    </row>
    <row r="5310">
      <c r="A5310" s="2" t="str">
        <f>IFERROR(__xludf.DUMMYFUNCTION("""COMPUTED_VALUE"""),"샘통이다")</f>
        <v>샘통이다</v>
      </c>
      <c r="B5310" s="2" t="str">
        <f>IFERROR(__xludf.DUMMYFUNCTION("""COMPUTED_VALUE"""),"파르메산 치즈가루")</f>
        <v>파르메산 치즈가루</v>
      </c>
    </row>
    <row r="5311">
      <c r="A5311" s="2" t="str">
        <f>IFERROR(__xludf.DUMMYFUNCTION("""COMPUTED_VALUE"""),"샘통이다")</f>
        <v>샘통이다</v>
      </c>
      <c r="B5311" s="2" t="str">
        <f>IFERROR(__xludf.DUMMYFUNCTION("""COMPUTED_VALUE"""),"무")</f>
        <v>무</v>
      </c>
    </row>
    <row r="5312">
      <c r="A5312" s="2" t="str">
        <f>IFERROR(__xludf.DUMMYFUNCTION("""COMPUTED_VALUE"""),"샘통이다")</f>
        <v>샘통이다</v>
      </c>
      <c r="B5312" s="2" t="str">
        <f>IFERROR(__xludf.DUMMYFUNCTION("""COMPUTED_VALUE"""),"대파")</f>
        <v>대파</v>
      </c>
    </row>
    <row r="5313">
      <c r="A5313" s="2" t="str">
        <f>IFERROR(__xludf.DUMMYFUNCTION("""COMPUTED_VALUE"""),"샘통이다")</f>
        <v>샘통이다</v>
      </c>
      <c r="B5313" s="2" t="str">
        <f>IFERROR(__xludf.DUMMYFUNCTION("""COMPUTED_VALUE"""),"마늘")</f>
        <v>마늘</v>
      </c>
    </row>
    <row r="5314">
      <c r="A5314" s="2" t="str">
        <f>IFERROR(__xludf.DUMMYFUNCTION("""COMPUTED_VALUE"""),"샘통이다")</f>
        <v>샘통이다</v>
      </c>
      <c r="B5314" s="2" t="str">
        <f>IFERROR(__xludf.DUMMYFUNCTION("""COMPUTED_VALUE"""),"레몬")</f>
        <v>레몬</v>
      </c>
    </row>
    <row r="5315">
      <c r="A5315" s="2" t="str">
        <f>IFERROR(__xludf.DUMMYFUNCTION("""COMPUTED_VALUE"""),"샘통이다")</f>
        <v>샘통이다</v>
      </c>
      <c r="B5315" s="2" t="str">
        <f>IFERROR(__xludf.DUMMYFUNCTION("""COMPUTED_VALUE"""),"소금")</f>
        <v>소금</v>
      </c>
    </row>
    <row r="5316">
      <c r="A5316" s="2" t="str">
        <f>IFERROR(__xludf.DUMMYFUNCTION("""COMPUTED_VALUE"""),"샘통이다")</f>
        <v>샘통이다</v>
      </c>
      <c r="B5316" s="2" t="str">
        <f>IFERROR(__xludf.DUMMYFUNCTION("""COMPUTED_VALUE"""),"참기름")</f>
        <v>참기름</v>
      </c>
    </row>
    <row r="5317">
      <c r="A5317" s="2" t="str">
        <f>IFERROR(__xludf.DUMMYFUNCTION("""COMPUTED_VALUE"""),"샘통이다")</f>
        <v>샘통이다</v>
      </c>
      <c r="B5317" s="2" t="str">
        <f>IFERROR(__xludf.DUMMYFUNCTION("""COMPUTED_VALUE"""),"간장")</f>
        <v>간장</v>
      </c>
    </row>
    <row r="5318">
      <c r="A5318" s="2" t="str">
        <f>IFERROR(__xludf.DUMMYFUNCTION("""COMPUTED_VALUE"""),"샘통이다")</f>
        <v>샘통이다</v>
      </c>
      <c r="B5318" s="2" t="str">
        <f>IFERROR(__xludf.DUMMYFUNCTION("""COMPUTED_VALUE"""),"후추")</f>
        <v>후추</v>
      </c>
    </row>
    <row r="5319">
      <c r="A5319" s="2" t="str">
        <f>IFERROR(__xludf.DUMMYFUNCTION("""COMPUTED_VALUE"""),"샘통이다")</f>
        <v>샘통이다</v>
      </c>
      <c r="B5319" s="2" t="str">
        <f>IFERROR(__xludf.DUMMYFUNCTION("""COMPUTED_VALUE"""),"마요네즈")</f>
        <v>마요네즈</v>
      </c>
    </row>
    <row r="5320">
      <c r="A5320" s="2" t="str">
        <f>IFERROR(__xludf.DUMMYFUNCTION("""COMPUTED_VALUE"""),"샘통이다")</f>
        <v>샘통이다</v>
      </c>
      <c r="B5320" s="2" t="str">
        <f>IFERROR(__xludf.DUMMYFUNCTION("""COMPUTED_VALUE"""),"올리브오일")</f>
        <v>올리브오일</v>
      </c>
    </row>
    <row r="5321">
      <c r="A5321" s="2" t="str">
        <f>IFERROR(__xludf.DUMMYFUNCTION("""COMPUTED_VALUE"""),"낙장불입")</f>
        <v>낙장불입</v>
      </c>
      <c r="B5321" s="2" t="str">
        <f>IFERROR(__xludf.DUMMYFUNCTION("""COMPUTED_VALUE"""),"낙지")</f>
        <v>낙지</v>
      </c>
    </row>
    <row r="5322">
      <c r="A5322" s="2" t="str">
        <f>IFERROR(__xludf.DUMMYFUNCTION("""COMPUTED_VALUE"""),"낙장불입")</f>
        <v>낙장불입</v>
      </c>
      <c r="B5322" s="2" t="str">
        <f>IFERROR(__xludf.DUMMYFUNCTION("""COMPUTED_VALUE"""),"장어")</f>
        <v>장어</v>
      </c>
    </row>
    <row r="5323">
      <c r="A5323" s="2" t="str">
        <f>IFERROR(__xludf.DUMMYFUNCTION("""COMPUTED_VALUE"""),"낙장불입")</f>
        <v>낙장불입</v>
      </c>
      <c r="B5323" s="2" t="str">
        <f>IFERROR(__xludf.DUMMYFUNCTION("""COMPUTED_VALUE"""),"인삼뿌리")</f>
        <v>인삼뿌리</v>
      </c>
    </row>
    <row r="5324">
      <c r="A5324" s="2" t="str">
        <f>IFERROR(__xludf.DUMMYFUNCTION("""COMPUTED_VALUE"""),"낙장불입")</f>
        <v>낙장불입</v>
      </c>
      <c r="B5324" s="2" t="str">
        <f>IFERROR(__xludf.DUMMYFUNCTION("""COMPUTED_VALUE"""),"위스키")</f>
        <v>위스키</v>
      </c>
    </row>
    <row r="5325">
      <c r="A5325" s="2" t="str">
        <f>IFERROR(__xludf.DUMMYFUNCTION("""COMPUTED_VALUE"""),"낙장불입")</f>
        <v>낙장불입</v>
      </c>
      <c r="B5325" s="2" t="str">
        <f>IFERROR(__xludf.DUMMYFUNCTION("""COMPUTED_VALUE"""),"인삼음료")</f>
        <v>인삼음료</v>
      </c>
    </row>
    <row r="5326">
      <c r="A5326" s="2" t="str">
        <f>IFERROR(__xludf.DUMMYFUNCTION("""COMPUTED_VALUE"""),"낙장불입")</f>
        <v>낙장불입</v>
      </c>
      <c r="B5326" s="2" t="str">
        <f>IFERROR(__xludf.DUMMYFUNCTION("""COMPUTED_VALUE"""),"영양부추")</f>
        <v>영양부추</v>
      </c>
    </row>
    <row r="5327">
      <c r="A5327" s="2" t="str">
        <f>IFERROR(__xludf.DUMMYFUNCTION("""COMPUTED_VALUE"""),"낙장불입")</f>
        <v>낙장불입</v>
      </c>
      <c r="B5327" s="2" t="str">
        <f>IFERROR(__xludf.DUMMYFUNCTION("""COMPUTED_VALUE"""),"파르메산 치즈가루")</f>
        <v>파르메산 치즈가루</v>
      </c>
    </row>
    <row r="5328">
      <c r="A5328" s="2" t="str">
        <f>IFERROR(__xludf.DUMMYFUNCTION("""COMPUTED_VALUE"""),"낙장불입")</f>
        <v>낙장불입</v>
      </c>
      <c r="B5328" s="2" t="str">
        <f>IFERROR(__xludf.DUMMYFUNCTION("""COMPUTED_VALUE"""),"양파")</f>
        <v>양파</v>
      </c>
    </row>
    <row r="5329">
      <c r="A5329" s="2" t="str">
        <f>IFERROR(__xludf.DUMMYFUNCTION("""COMPUTED_VALUE"""),"낙장불입")</f>
        <v>낙장불입</v>
      </c>
      <c r="B5329" s="2" t="str">
        <f>IFERROR(__xludf.DUMMYFUNCTION("""COMPUTED_VALUE"""),"마늘")</f>
        <v>마늘</v>
      </c>
    </row>
    <row r="5330">
      <c r="A5330" s="2" t="str">
        <f>IFERROR(__xludf.DUMMYFUNCTION("""COMPUTED_VALUE"""),"낙장불입")</f>
        <v>낙장불입</v>
      </c>
      <c r="B5330" s="2" t="str">
        <f>IFERROR(__xludf.DUMMYFUNCTION("""COMPUTED_VALUE"""),"밀가루")</f>
        <v>밀가루</v>
      </c>
    </row>
    <row r="5331">
      <c r="A5331" s="2" t="str">
        <f>IFERROR(__xludf.DUMMYFUNCTION("""COMPUTED_VALUE"""),"낙장불입")</f>
        <v>낙장불입</v>
      </c>
      <c r="B5331" s="2" t="str">
        <f>IFERROR(__xludf.DUMMYFUNCTION("""COMPUTED_VALUE"""),"식용유")</f>
        <v>식용유</v>
      </c>
    </row>
    <row r="5332">
      <c r="A5332" s="2" t="str">
        <f>IFERROR(__xludf.DUMMYFUNCTION("""COMPUTED_VALUE"""),"낙장불입")</f>
        <v>낙장불입</v>
      </c>
      <c r="B5332" s="2" t="str">
        <f>IFERROR(__xludf.DUMMYFUNCTION("""COMPUTED_VALUE"""),"마요네즈")</f>
        <v>마요네즈</v>
      </c>
    </row>
    <row r="5333">
      <c r="A5333" s="2" t="str">
        <f>IFERROR(__xludf.DUMMYFUNCTION("""COMPUTED_VALUE"""),"낙장불입")</f>
        <v>낙장불입</v>
      </c>
      <c r="B5333" s="2" t="str">
        <f>IFERROR(__xludf.DUMMYFUNCTION("""COMPUTED_VALUE"""),"고추냉이")</f>
        <v>고추냉이</v>
      </c>
    </row>
    <row r="5334">
      <c r="A5334" s="2" t="str">
        <f>IFERROR(__xludf.DUMMYFUNCTION("""COMPUTED_VALUE"""),"낙장불입")</f>
        <v>낙장불입</v>
      </c>
      <c r="B5334" s="2" t="str">
        <f>IFERROR(__xludf.DUMMYFUNCTION("""COMPUTED_VALUE"""),"소금")</f>
        <v>소금</v>
      </c>
    </row>
    <row r="5335">
      <c r="A5335" s="2" t="str">
        <f>IFERROR(__xludf.DUMMYFUNCTION("""COMPUTED_VALUE"""),"낙장불입")</f>
        <v>낙장불입</v>
      </c>
      <c r="B5335" s="2" t="str">
        <f>IFERROR(__xludf.DUMMYFUNCTION("""COMPUTED_VALUE"""),"고춧가루")</f>
        <v>고춧가루</v>
      </c>
    </row>
    <row r="5336">
      <c r="A5336" s="2" t="str">
        <f>IFERROR(__xludf.DUMMYFUNCTION("""COMPUTED_VALUE"""),"낙장불입")</f>
        <v>낙장불입</v>
      </c>
      <c r="B5336" s="2" t="str">
        <f>IFERROR(__xludf.DUMMYFUNCTION("""COMPUTED_VALUE"""),"즉석밥")</f>
        <v>즉석밥</v>
      </c>
    </row>
    <row r="5337">
      <c r="A5337" s="2" t="str">
        <f>IFERROR(__xludf.DUMMYFUNCTION("""COMPUTED_VALUE"""),"깨지겠탕")</f>
        <v>깨지겠탕</v>
      </c>
      <c r="B5337" s="2" t="str">
        <f>IFERROR(__xludf.DUMMYFUNCTION("""COMPUTED_VALUE"""),"소고기 양지")</f>
        <v>소고기 양지</v>
      </c>
    </row>
    <row r="5338">
      <c r="A5338" s="2" t="str">
        <f>IFERROR(__xludf.DUMMYFUNCTION("""COMPUTED_VALUE"""),"깨지겠탕")</f>
        <v>깨지겠탕</v>
      </c>
      <c r="B5338" s="2" t="str">
        <f>IFERROR(__xludf.DUMMYFUNCTION("""COMPUTED_VALUE"""),"황태채")</f>
        <v>황태채</v>
      </c>
    </row>
    <row r="5339">
      <c r="A5339" s="2" t="str">
        <f>IFERROR(__xludf.DUMMYFUNCTION("""COMPUTED_VALUE"""),"깨지겠탕")</f>
        <v>깨지겠탕</v>
      </c>
      <c r="B5339" s="2" t="str">
        <f>IFERROR(__xludf.DUMMYFUNCTION("""COMPUTED_VALUE"""),"들깨가루")</f>
        <v>들깨가루</v>
      </c>
    </row>
    <row r="5340">
      <c r="A5340" s="2" t="str">
        <f>IFERROR(__xludf.DUMMYFUNCTION("""COMPUTED_VALUE"""),"깨지겠탕")</f>
        <v>깨지겠탕</v>
      </c>
      <c r="B5340" s="2" t="str">
        <f>IFERROR(__xludf.DUMMYFUNCTION("""COMPUTED_VALUE"""),"굴소스")</f>
        <v>굴소스</v>
      </c>
    </row>
    <row r="5341">
      <c r="A5341" s="2" t="str">
        <f>IFERROR(__xludf.DUMMYFUNCTION("""COMPUTED_VALUE"""),"깨지겠탕")</f>
        <v>깨지겠탕</v>
      </c>
      <c r="B5341" s="2" t="str">
        <f>IFERROR(__xludf.DUMMYFUNCTION("""COMPUTED_VALUE"""),"쌈추")</f>
        <v>쌈추</v>
      </c>
    </row>
    <row r="5342">
      <c r="A5342" s="2" t="str">
        <f>IFERROR(__xludf.DUMMYFUNCTION("""COMPUTED_VALUE"""),"깨지겠탕")</f>
        <v>깨지겠탕</v>
      </c>
      <c r="B5342" s="2" t="str">
        <f>IFERROR(__xludf.DUMMYFUNCTION("""COMPUTED_VALUE"""),"부추")</f>
        <v>부추</v>
      </c>
    </row>
    <row r="5343">
      <c r="A5343" s="2" t="str">
        <f>IFERROR(__xludf.DUMMYFUNCTION("""COMPUTED_VALUE"""),"깨지겠탕")</f>
        <v>깨지겠탕</v>
      </c>
      <c r="B5343" s="2" t="str">
        <f>IFERROR(__xludf.DUMMYFUNCTION("""COMPUTED_VALUE"""),"팽이버섯")</f>
        <v>팽이버섯</v>
      </c>
    </row>
    <row r="5344">
      <c r="A5344" s="2" t="str">
        <f>IFERROR(__xludf.DUMMYFUNCTION("""COMPUTED_VALUE"""),"깨지겠탕")</f>
        <v>깨지겠탕</v>
      </c>
      <c r="B5344" s="2" t="str">
        <f>IFERROR(__xludf.DUMMYFUNCTION("""COMPUTED_VALUE"""),"감자")</f>
        <v>감자</v>
      </c>
    </row>
    <row r="5345">
      <c r="A5345" s="2" t="str">
        <f>IFERROR(__xludf.DUMMYFUNCTION("""COMPUTED_VALUE"""),"깨지겠탕")</f>
        <v>깨지겠탕</v>
      </c>
      <c r="B5345" s="2" t="str">
        <f>IFERROR(__xludf.DUMMYFUNCTION("""COMPUTED_VALUE"""),"마늘")</f>
        <v>마늘</v>
      </c>
    </row>
    <row r="5346">
      <c r="A5346" s="2" t="str">
        <f>IFERROR(__xludf.DUMMYFUNCTION("""COMPUTED_VALUE"""),"깨지겠탕")</f>
        <v>깨지겠탕</v>
      </c>
      <c r="B5346" s="2" t="str">
        <f>IFERROR(__xludf.DUMMYFUNCTION("""COMPUTED_VALUE"""),"청양고추")</f>
        <v>청양고추</v>
      </c>
    </row>
    <row r="5347">
      <c r="A5347" s="2" t="str">
        <f>IFERROR(__xludf.DUMMYFUNCTION("""COMPUTED_VALUE"""),"깨지겠탕")</f>
        <v>깨지겠탕</v>
      </c>
      <c r="B5347" s="2" t="str">
        <f>IFERROR(__xludf.DUMMYFUNCTION("""COMPUTED_VALUE"""),"참기름")</f>
        <v>참기름</v>
      </c>
    </row>
    <row r="5348">
      <c r="A5348" s="2" t="str">
        <f>IFERROR(__xludf.DUMMYFUNCTION("""COMPUTED_VALUE"""),"깨지겠탕")</f>
        <v>깨지겠탕</v>
      </c>
      <c r="B5348" s="2" t="str">
        <f>IFERROR(__xludf.DUMMYFUNCTION("""COMPUTED_VALUE"""),"소금")</f>
        <v>소금</v>
      </c>
    </row>
    <row r="5349">
      <c r="A5349" s="2" t="str">
        <f>IFERROR(__xludf.DUMMYFUNCTION("""COMPUTED_VALUE"""),"깨지겠탕")</f>
        <v>깨지겠탕</v>
      </c>
      <c r="B5349" s="2" t="str">
        <f>IFERROR(__xludf.DUMMYFUNCTION("""COMPUTED_VALUE"""),"식초")</f>
        <v>식초</v>
      </c>
    </row>
    <row r="5350">
      <c r="A5350" s="2" t="str">
        <f>IFERROR(__xludf.DUMMYFUNCTION("""COMPUTED_VALUE"""),"깨지겠탕")</f>
        <v>깨지겠탕</v>
      </c>
      <c r="B5350" s="2" t="str">
        <f>IFERROR(__xludf.DUMMYFUNCTION("""COMPUTED_VALUE"""),"즉석밥")</f>
        <v>즉석밥</v>
      </c>
    </row>
    <row r="5351">
      <c r="A5351" s="2" t="str">
        <f>IFERROR(__xludf.DUMMYFUNCTION("""COMPUTED_VALUE"""),"콩닭거렸쌈")</f>
        <v>콩닭거렸쌈</v>
      </c>
      <c r="B5351" s="2" t="str">
        <f>IFERROR(__xludf.DUMMYFUNCTION("""COMPUTED_VALUE"""),"인스턴트 닭발")</f>
        <v>인스턴트 닭발</v>
      </c>
    </row>
    <row r="5352">
      <c r="A5352" s="2" t="str">
        <f>IFERROR(__xludf.DUMMYFUNCTION("""COMPUTED_VALUE"""),"콩닭거렸쌈")</f>
        <v>콩닭거렸쌈</v>
      </c>
      <c r="B5352" s="2" t="str">
        <f>IFERROR(__xludf.DUMMYFUNCTION("""COMPUTED_VALUE"""),"송편")</f>
        <v>송편</v>
      </c>
    </row>
    <row r="5353">
      <c r="A5353" s="2" t="str">
        <f>IFERROR(__xludf.DUMMYFUNCTION("""COMPUTED_VALUE"""),"콩닭거렸쌈")</f>
        <v>콩닭거렸쌈</v>
      </c>
      <c r="B5353" s="2" t="str">
        <f>IFERROR(__xludf.DUMMYFUNCTION("""COMPUTED_VALUE"""),"곶감")</f>
        <v>곶감</v>
      </c>
    </row>
    <row r="5354">
      <c r="A5354" s="2" t="str">
        <f>IFERROR(__xludf.DUMMYFUNCTION("""COMPUTED_VALUE"""),"콩닭거렸쌈")</f>
        <v>콩닭거렸쌈</v>
      </c>
      <c r="B5354" s="2" t="str">
        <f>IFERROR(__xludf.DUMMYFUNCTION("""COMPUTED_VALUE"""),"블루베리")</f>
        <v>블루베리</v>
      </c>
    </row>
    <row r="5355">
      <c r="A5355" s="2" t="str">
        <f>IFERROR(__xludf.DUMMYFUNCTION("""COMPUTED_VALUE"""),"콩닭거렸쌈")</f>
        <v>콩닭거렸쌈</v>
      </c>
      <c r="B5355" s="2" t="str">
        <f>IFERROR(__xludf.DUMMYFUNCTION("""COMPUTED_VALUE"""),"꿀에 절인 인삼")</f>
        <v>꿀에 절인 인삼</v>
      </c>
    </row>
    <row r="5356">
      <c r="A5356" s="2" t="str">
        <f>IFERROR(__xludf.DUMMYFUNCTION("""COMPUTED_VALUE"""),"콩닭거렸쌈")</f>
        <v>콩닭거렸쌈</v>
      </c>
      <c r="B5356" s="2" t="str">
        <f>IFERROR(__xludf.DUMMYFUNCTION("""COMPUTED_VALUE"""),"인삼음료")</f>
        <v>인삼음료</v>
      </c>
    </row>
    <row r="5357">
      <c r="A5357" s="2" t="str">
        <f>IFERROR(__xludf.DUMMYFUNCTION("""COMPUTED_VALUE"""),"콩닭거렸쌈")</f>
        <v>콩닭거렸쌈</v>
      </c>
      <c r="B5357" s="2" t="str">
        <f>IFERROR(__xludf.DUMMYFUNCTION("""COMPUTED_VALUE"""),"마누카 꿀")</f>
        <v>마누카 꿀</v>
      </c>
    </row>
    <row r="5358">
      <c r="A5358" s="2" t="str">
        <f>IFERROR(__xludf.DUMMYFUNCTION("""COMPUTED_VALUE"""),"콩닭거렸쌈")</f>
        <v>콩닭거렸쌈</v>
      </c>
      <c r="B5358" s="2" t="str">
        <f>IFERROR(__xludf.DUMMYFUNCTION("""COMPUTED_VALUE"""),"흑마늘액")</f>
        <v>흑마늘액</v>
      </c>
    </row>
    <row r="5359">
      <c r="A5359" s="2" t="str">
        <f>IFERROR(__xludf.DUMMYFUNCTION("""COMPUTED_VALUE"""),"콩닭거렸쌈")</f>
        <v>콩닭거렸쌈</v>
      </c>
      <c r="B5359" s="2" t="str">
        <f>IFERROR(__xludf.DUMMYFUNCTION("""COMPUTED_VALUE"""),"능이버섯 달인 물")</f>
        <v>능이버섯 달인 물</v>
      </c>
    </row>
    <row r="5360">
      <c r="A5360" s="2" t="str">
        <f>IFERROR(__xludf.DUMMYFUNCTION("""COMPUTED_VALUE"""),"콩닭거렸쌈")</f>
        <v>콩닭거렸쌈</v>
      </c>
      <c r="B5360" s="2" t="str">
        <f>IFERROR(__xludf.DUMMYFUNCTION("""COMPUTED_VALUE"""),"땅콩")</f>
        <v>땅콩</v>
      </c>
    </row>
    <row r="5361">
      <c r="A5361" s="2" t="str">
        <f>IFERROR(__xludf.DUMMYFUNCTION("""COMPUTED_VALUE"""),"콩닭거렸쌈")</f>
        <v>콩닭거렸쌈</v>
      </c>
      <c r="B5361" s="2" t="str">
        <f>IFERROR(__xludf.DUMMYFUNCTION("""COMPUTED_VALUE"""),"콩잎장아찌")</f>
        <v>콩잎장아찌</v>
      </c>
    </row>
    <row r="5362">
      <c r="A5362" s="2" t="str">
        <f>IFERROR(__xludf.DUMMYFUNCTION("""COMPUTED_VALUE"""),"콩닭거렸쌈")</f>
        <v>콩닭거렸쌈</v>
      </c>
      <c r="B5362" s="2" t="str">
        <f>IFERROR(__xludf.DUMMYFUNCTION("""COMPUTED_VALUE"""),"증류소주")</f>
        <v>증류소주</v>
      </c>
    </row>
    <row r="5363">
      <c r="A5363" s="2" t="str">
        <f>IFERROR(__xludf.DUMMYFUNCTION("""COMPUTED_VALUE"""),"콩닭거렸쌈")</f>
        <v>콩닭거렸쌈</v>
      </c>
      <c r="B5363" s="2" t="str">
        <f>IFERROR(__xludf.DUMMYFUNCTION("""COMPUTED_VALUE"""),"영양부추")</f>
        <v>영양부추</v>
      </c>
    </row>
    <row r="5364">
      <c r="A5364" s="2" t="str">
        <f>IFERROR(__xludf.DUMMYFUNCTION("""COMPUTED_VALUE"""),"콩닭거렸쌈")</f>
        <v>콩닭거렸쌈</v>
      </c>
      <c r="B5364" s="2" t="str">
        <f>IFERROR(__xludf.DUMMYFUNCTION("""COMPUTED_VALUE"""),"레몬")</f>
        <v>레몬</v>
      </c>
    </row>
    <row r="5365">
      <c r="A5365" s="2" t="str">
        <f>IFERROR(__xludf.DUMMYFUNCTION("""COMPUTED_VALUE"""),"콩닭거렸쌈")</f>
        <v>콩닭거렸쌈</v>
      </c>
      <c r="B5365" s="2" t="str">
        <f>IFERROR(__xludf.DUMMYFUNCTION("""COMPUTED_VALUE"""),"설탕")</f>
        <v>설탕</v>
      </c>
    </row>
    <row r="5366">
      <c r="A5366" s="2" t="str">
        <f>IFERROR(__xludf.DUMMYFUNCTION("""COMPUTED_VALUE"""),"콩닭거렸쌈")</f>
        <v>콩닭거렸쌈</v>
      </c>
      <c r="B5366" s="2" t="str">
        <f>IFERROR(__xludf.DUMMYFUNCTION("""COMPUTED_VALUE"""),"물엿")</f>
        <v>물엿</v>
      </c>
    </row>
    <row r="5367">
      <c r="A5367" s="2" t="str">
        <f>IFERROR(__xludf.DUMMYFUNCTION("""COMPUTED_VALUE"""),"콩닭거렸쌈")</f>
        <v>콩닭거렸쌈</v>
      </c>
      <c r="B5367" s="2" t="str">
        <f>IFERROR(__xludf.DUMMYFUNCTION("""COMPUTED_VALUE"""),"참기름")</f>
        <v>참기름</v>
      </c>
    </row>
    <row r="5368">
      <c r="A5368" s="2" t="str">
        <f>IFERROR(__xludf.DUMMYFUNCTION("""COMPUTED_VALUE"""),"콩닭거렸쌈")</f>
        <v>콩닭거렸쌈</v>
      </c>
      <c r="B5368" s="2" t="str">
        <f>IFERROR(__xludf.DUMMYFUNCTION("""COMPUTED_VALUE"""),"깨")</f>
        <v>깨</v>
      </c>
    </row>
    <row r="5369">
      <c r="A5369" s="2" t="str">
        <f>IFERROR(__xludf.DUMMYFUNCTION("""COMPUTED_VALUE"""),"콩닭거렸쌈")</f>
        <v>콩닭거렸쌈</v>
      </c>
      <c r="B5369" s="2" t="str">
        <f>IFERROR(__xludf.DUMMYFUNCTION("""COMPUTED_VALUE"""),"소금")</f>
        <v>소금</v>
      </c>
    </row>
    <row r="5370">
      <c r="A5370" s="2" t="str">
        <f>IFERROR(__xludf.DUMMYFUNCTION("""COMPUTED_VALUE"""),"콩닭거렸쌈")</f>
        <v>콩닭거렸쌈</v>
      </c>
      <c r="B5370" s="2" t="str">
        <f>IFERROR(__xludf.DUMMYFUNCTION("""COMPUTED_VALUE"""),"겨자")</f>
        <v>겨자</v>
      </c>
    </row>
    <row r="5371">
      <c r="A5371" s="2" t="str">
        <f>IFERROR(__xludf.DUMMYFUNCTION("""COMPUTED_VALUE"""),"콩닭거렸쌈")</f>
        <v>콩닭거렸쌈</v>
      </c>
      <c r="B5371" s="2" t="str">
        <f>IFERROR(__xludf.DUMMYFUNCTION("""COMPUTED_VALUE"""),"즉석밥")</f>
        <v>즉석밥</v>
      </c>
    </row>
    <row r="5372">
      <c r="A5372" s="2" t="str">
        <f>IFERROR(__xludf.DUMMYFUNCTION("""COMPUTED_VALUE"""),"오마이갓코스")</f>
        <v>오마이갓코스</v>
      </c>
      <c r="B5372" s="2" t="str">
        <f>IFERROR(__xludf.DUMMYFUNCTION("""COMPUTED_VALUE"""),"소고기 등심")</f>
        <v>소고기 등심</v>
      </c>
    </row>
    <row r="5373">
      <c r="A5373" s="2" t="str">
        <f>IFERROR(__xludf.DUMMYFUNCTION("""COMPUTED_VALUE"""),"오마이갓코스")</f>
        <v>오마이갓코스</v>
      </c>
      <c r="B5373" s="2" t="str">
        <f>IFERROR(__xludf.DUMMYFUNCTION("""COMPUTED_VALUE"""),"수비드 닭가슴살")</f>
        <v>수비드 닭가슴살</v>
      </c>
    </row>
    <row r="5374">
      <c r="A5374" s="2" t="str">
        <f>IFERROR(__xludf.DUMMYFUNCTION("""COMPUTED_VALUE"""),"오마이갓코스")</f>
        <v>오마이갓코스</v>
      </c>
      <c r="B5374" s="2" t="str">
        <f>IFERROR(__xludf.DUMMYFUNCTION("""COMPUTED_VALUE"""),"바닐라 아이스크림")</f>
        <v>바닐라 아이스크림</v>
      </c>
    </row>
    <row r="5375">
      <c r="A5375" s="2" t="str">
        <f>IFERROR(__xludf.DUMMYFUNCTION("""COMPUTED_VALUE"""),"오마이갓코스")</f>
        <v>오마이갓코스</v>
      </c>
      <c r="B5375" s="2" t="str">
        <f>IFERROR(__xludf.DUMMYFUNCTION("""COMPUTED_VALUE"""),"크림치즈")</f>
        <v>크림치즈</v>
      </c>
    </row>
    <row r="5376">
      <c r="A5376" s="2" t="str">
        <f>IFERROR(__xludf.DUMMYFUNCTION("""COMPUTED_VALUE"""),"오마이갓코스")</f>
        <v>오마이갓코스</v>
      </c>
      <c r="B5376" s="2" t="str">
        <f>IFERROR(__xludf.DUMMYFUNCTION("""COMPUTED_VALUE"""),"우유")</f>
        <v>우유</v>
      </c>
    </row>
    <row r="5377">
      <c r="A5377" s="2" t="str">
        <f>IFERROR(__xludf.DUMMYFUNCTION("""COMPUTED_VALUE"""),"오마이갓코스")</f>
        <v>오마이갓코스</v>
      </c>
      <c r="B5377" s="2" t="str">
        <f>IFERROR(__xludf.DUMMYFUNCTION("""COMPUTED_VALUE"""),"웨하스 초콜릿")</f>
        <v>웨하스 초콜릿</v>
      </c>
    </row>
    <row r="5378">
      <c r="A5378" s="2" t="str">
        <f>IFERROR(__xludf.DUMMYFUNCTION("""COMPUTED_VALUE"""),"오마이갓코스")</f>
        <v>오마이갓코스</v>
      </c>
      <c r="B5378" s="2" t="str">
        <f>IFERROR(__xludf.DUMMYFUNCTION("""COMPUTED_VALUE"""),"아몬드")</f>
        <v>아몬드</v>
      </c>
    </row>
    <row r="5379">
      <c r="A5379" s="2" t="str">
        <f>IFERROR(__xludf.DUMMYFUNCTION("""COMPUTED_VALUE"""),"오마이갓코스")</f>
        <v>오마이갓코스</v>
      </c>
      <c r="B5379" s="2" t="str">
        <f>IFERROR(__xludf.DUMMYFUNCTION("""COMPUTED_VALUE"""),"유자청")</f>
        <v>유자청</v>
      </c>
    </row>
    <row r="5380">
      <c r="A5380" s="2" t="str">
        <f>IFERROR(__xludf.DUMMYFUNCTION("""COMPUTED_VALUE"""),"오마이갓코스")</f>
        <v>오마이갓코스</v>
      </c>
      <c r="B5380" s="2" t="str">
        <f>IFERROR(__xludf.DUMMYFUNCTION("""COMPUTED_VALUE"""),"체다치즈")</f>
        <v>체다치즈</v>
      </c>
    </row>
    <row r="5381">
      <c r="A5381" s="2" t="str">
        <f>IFERROR(__xludf.DUMMYFUNCTION("""COMPUTED_VALUE"""),"오마이갓코스")</f>
        <v>오마이갓코스</v>
      </c>
      <c r="B5381" s="2" t="str">
        <f>IFERROR(__xludf.DUMMYFUNCTION("""COMPUTED_VALUE"""),"굴소스")</f>
        <v>굴소스</v>
      </c>
    </row>
    <row r="5382">
      <c r="A5382" s="2" t="str">
        <f>IFERROR(__xludf.DUMMYFUNCTION("""COMPUTED_VALUE"""),"오마이갓코스")</f>
        <v>오마이갓코스</v>
      </c>
      <c r="B5382" s="2" t="str">
        <f>IFERROR(__xludf.DUMMYFUNCTION("""COMPUTED_VALUE"""),"레몬")</f>
        <v>레몬</v>
      </c>
    </row>
    <row r="5383">
      <c r="A5383" s="2" t="str">
        <f>IFERROR(__xludf.DUMMYFUNCTION("""COMPUTED_VALUE"""),"오마이갓코스")</f>
        <v>오마이갓코스</v>
      </c>
      <c r="B5383" s="2" t="str">
        <f>IFERROR(__xludf.DUMMYFUNCTION("""COMPUTED_VALUE"""),"양파")</f>
        <v>양파</v>
      </c>
    </row>
    <row r="5384">
      <c r="A5384" s="2" t="str">
        <f>IFERROR(__xludf.DUMMYFUNCTION("""COMPUTED_VALUE"""),"오마이갓코스")</f>
        <v>오마이갓코스</v>
      </c>
      <c r="B5384" s="2" t="str">
        <f>IFERROR(__xludf.DUMMYFUNCTION("""COMPUTED_VALUE"""),"대파")</f>
        <v>대파</v>
      </c>
    </row>
    <row r="5385">
      <c r="A5385" s="2" t="str">
        <f>IFERROR(__xludf.DUMMYFUNCTION("""COMPUTED_VALUE"""),"오마이갓코스")</f>
        <v>오마이갓코스</v>
      </c>
      <c r="B5385" s="2" t="str">
        <f>IFERROR(__xludf.DUMMYFUNCTION("""COMPUTED_VALUE"""),"당근")</f>
        <v>당근</v>
      </c>
    </row>
    <row r="5386">
      <c r="A5386" s="2" t="str">
        <f>IFERROR(__xludf.DUMMYFUNCTION("""COMPUTED_VALUE"""),"오마이갓코스")</f>
        <v>오마이갓코스</v>
      </c>
      <c r="B5386" s="2" t="str">
        <f>IFERROR(__xludf.DUMMYFUNCTION("""COMPUTED_VALUE"""),"달걀")</f>
        <v>달걀</v>
      </c>
    </row>
    <row r="5387">
      <c r="A5387" s="2" t="str">
        <f>IFERROR(__xludf.DUMMYFUNCTION("""COMPUTED_VALUE"""),"오마이갓코스")</f>
        <v>오마이갓코스</v>
      </c>
      <c r="B5387" s="2" t="str">
        <f>IFERROR(__xludf.DUMMYFUNCTION("""COMPUTED_VALUE"""),"간장")</f>
        <v>간장</v>
      </c>
    </row>
    <row r="5388">
      <c r="A5388" s="2" t="str">
        <f>IFERROR(__xludf.DUMMYFUNCTION("""COMPUTED_VALUE"""),"오마이갓코스")</f>
        <v>오마이갓코스</v>
      </c>
      <c r="B5388" s="2" t="str">
        <f>IFERROR(__xludf.DUMMYFUNCTION("""COMPUTED_VALUE"""),"올리브오일")</f>
        <v>올리브오일</v>
      </c>
    </row>
    <row r="5389">
      <c r="A5389" s="2" t="str">
        <f>IFERROR(__xludf.DUMMYFUNCTION("""COMPUTED_VALUE"""),"오마이갓코스")</f>
        <v>오마이갓코스</v>
      </c>
      <c r="B5389" s="2" t="str">
        <f>IFERROR(__xludf.DUMMYFUNCTION("""COMPUTED_VALUE"""),"버터")</f>
        <v>버터</v>
      </c>
    </row>
    <row r="5390">
      <c r="A5390" s="2" t="str">
        <f>IFERROR(__xludf.DUMMYFUNCTION("""COMPUTED_VALUE"""),"오마이갓코스")</f>
        <v>오마이갓코스</v>
      </c>
      <c r="B5390" s="2" t="str">
        <f>IFERROR(__xludf.DUMMYFUNCTION("""COMPUTED_VALUE"""),"밀가루")</f>
        <v>밀가루</v>
      </c>
    </row>
    <row r="5391">
      <c r="A5391" s="2" t="str">
        <f>IFERROR(__xludf.DUMMYFUNCTION("""COMPUTED_VALUE"""),"오마이갓코스")</f>
        <v>오마이갓코스</v>
      </c>
      <c r="B5391" s="2" t="str">
        <f>IFERROR(__xludf.DUMMYFUNCTION("""COMPUTED_VALUE"""),"소금")</f>
        <v>소금</v>
      </c>
    </row>
    <row r="5392">
      <c r="A5392" s="2" t="str">
        <f>IFERROR(__xludf.DUMMYFUNCTION("""COMPUTED_VALUE"""),"미식풀코스")</f>
        <v>미식풀코스</v>
      </c>
      <c r="B5392" s="2" t="str">
        <f>IFERROR(__xludf.DUMMYFUNCTION("""COMPUTED_VALUE"""),"수비드 닭가슴살")</f>
        <v>수비드 닭가슴살</v>
      </c>
    </row>
    <row r="5393">
      <c r="A5393" s="2" t="str">
        <f>IFERROR(__xludf.DUMMYFUNCTION("""COMPUTED_VALUE"""),"미식풀코스")</f>
        <v>미식풀코스</v>
      </c>
      <c r="B5393" s="2" t="str">
        <f>IFERROR(__xludf.DUMMYFUNCTION("""COMPUTED_VALUE"""),"바닐라 아이스크림")</f>
        <v>바닐라 아이스크림</v>
      </c>
    </row>
    <row r="5394">
      <c r="A5394" s="2" t="str">
        <f>IFERROR(__xludf.DUMMYFUNCTION("""COMPUTED_VALUE"""),"미식풀코스")</f>
        <v>미식풀코스</v>
      </c>
      <c r="B5394" s="2" t="str">
        <f>IFERROR(__xludf.DUMMYFUNCTION("""COMPUTED_VALUE"""),"아몬드")</f>
        <v>아몬드</v>
      </c>
    </row>
    <row r="5395">
      <c r="A5395" s="2" t="str">
        <f>IFERROR(__xludf.DUMMYFUNCTION("""COMPUTED_VALUE"""),"미식풀코스")</f>
        <v>미식풀코스</v>
      </c>
      <c r="B5395" s="2" t="str">
        <f>IFERROR(__xludf.DUMMYFUNCTION("""COMPUTED_VALUE"""),"초콜릿")</f>
        <v>초콜릿</v>
      </c>
    </row>
    <row r="5396">
      <c r="A5396" s="2" t="str">
        <f>IFERROR(__xludf.DUMMYFUNCTION("""COMPUTED_VALUE"""),"미식풀코스")</f>
        <v>미식풀코스</v>
      </c>
      <c r="B5396" s="2" t="str">
        <f>IFERROR(__xludf.DUMMYFUNCTION("""COMPUTED_VALUE"""),"짬뽕라면")</f>
        <v>짬뽕라면</v>
      </c>
    </row>
    <row r="5397">
      <c r="A5397" s="2" t="str">
        <f>IFERROR(__xludf.DUMMYFUNCTION("""COMPUTED_VALUE"""),"미식풀코스")</f>
        <v>미식풀코스</v>
      </c>
      <c r="B5397" s="2" t="str">
        <f>IFERROR(__xludf.DUMMYFUNCTION("""COMPUTED_VALUE"""),"깍두기")</f>
        <v>깍두기</v>
      </c>
    </row>
    <row r="5398">
      <c r="A5398" s="2" t="str">
        <f>IFERROR(__xludf.DUMMYFUNCTION("""COMPUTED_VALUE"""),"미식풀코스")</f>
        <v>미식풀코스</v>
      </c>
      <c r="B5398" s="2" t="str">
        <f>IFERROR(__xludf.DUMMYFUNCTION("""COMPUTED_VALUE"""),"양배추즙")</f>
        <v>양배추즙</v>
      </c>
    </row>
    <row r="5399">
      <c r="A5399" s="2" t="str">
        <f>IFERROR(__xludf.DUMMYFUNCTION("""COMPUTED_VALUE"""),"미식풀코스")</f>
        <v>미식풀코스</v>
      </c>
      <c r="B5399" s="2" t="str">
        <f>IFERROR(__xludf.DUMMYFUNCTION("""COMPUTED_VALUE"""),"대파")</f>
        <v>대파</v>
      </c>
    </row>
    <row r="5400">
      <c r="A5400" s="2" t="str">
        <f>IFERROR(__xludf.DUMMYFUNCTION("""COMPUTED_VALUE"""),"미식풀코스")</f>
        <v>미식풀코스</v>
      </c>
      <c r="B5400" s="2" t="str">
        <f>IFERROR(__xludf.DUMMYFUNCTION("""COMPUTED_VALUE"""),"당근")</f>
        <v>당근</v>
      </c>
    </row>
    <row r="5401">
      <c r="A5401" s="2" t="str">
        <f>IFERROR(__xludf.DUMMYFUNCTION("""COMPUTED_VALUE"""),"미식풀코스")</f>
        <v>미식풀코스</v>
      </c>
      <c r="B5401" s="2" t="str">
        <f>IFERROR(__xludf.DUMMYFUNCTION("""COMPUTED_VALUE"""),"양파")</f>
        <v>양파</v>
      </c>
    </row>
    <row r="5402">
      <c r="A5402" s="2" t="str">
        <f>IFERROR(__xludf.DUMMYFUNCTION("""COMPUTED_VALUE"""),"미식풀코스")</f>
        <v>미식풀코스</v>
      </c>
      <c r="B5402" s="2" t="str">
        <f>IFERROR(__xludf.DUMMYFUNCTION("""COMPUTED_VALUE"""),"레몬")</f>
        <v>레몬</v>
      </c>
    </row>
    <row r="5403">
      <c r="A5403" s="2" t="str">
        <f>IFERROR(__xludf.DUMMYFUNCTION("""COMPUTED_VALUE"""),"미식풀코스")</f>
        <v>미식풀코스</v>
      </c>
      <c r="B5403" s="2" t="str">
        <f>IFERROR(__xludf.DUMMYFUNCTION("""COMPUTED_VALUE"""),"달걀")</f>
        <v>달걀</v>
      </c>
    </row>
    <row r="5404">
      <c r="A5404" s="2" t="str">
        <f>IFERROR(__xludf.DUMMYFUNCTION("""COMPUTED_VALUE"""),"미식풀코스")</f>
        <v>미식풀코스</v>
      </c>
      <c r="B5404" s="2" t="str">
        <f>IFERROR(__xludf.DUMMYFUNCTION("""COMPUTED_VALUE"""),"올리브오일")</f>
        <v>올리브오일</v>
      </c>
    </row>
    <row r="5405">
      <c r="A5405" s="2" t="str">
        <f>IFERROR(__xludf.DUMMYFUNCTION("""COMPUTED_VALUE"""),"미식풀코스")</f>
        <v>미식풀코스</v>
      </c>
      <c r="B5405" s="2" t="str">
        <f>IFERROR(__xludf.DUMMYFUNCTION("""COMPUTED_VALUE"""),"식초")</f>
        <v>식초</v>
      </c>
    </row>
    <row r="5406">
      <c r="A5406" s="2" t="str">
        <f>IFERROR(__xludf.DUMMYFUNCTION("""COMPUTED_VALUE"""),"미식풀코스")</f>
        <v>미식풀코스</v>
      </c>
      <c r="B5406" s="2" t="str">
        <f>IFERROR(__xludf.DUMMYFUNCTION("""COMPUTED_VALUE"""),"소금")</f>
        <v>소금</v>
      </c>
    </row>
    <row r="5407">
      <c r="A5407" s="2" t="str">
        <f>IFERROR(__xludf.DUMMYFUNCTION("""COMPUTED_VALUE"""),"미식풀코스")</f>
        <v>미식풀코스</v>
      </c>
      <c r="B5407" s="2" t="str">
        <f>IFERROR(__xludf.DUMMYFUNCTION("""COMPUTED_VALUE"""),"후추")</f>
        <v>후추</v>
      </c>
    </row>
    <row r="5408">
      <c r="A5408" s="2" t="str">
        <f>IFERROR(__xludf.DUMMYFUNCTION("""COMPUTED_VALUE"""),"잭슨 앤 치즈스테이크")</f>
        <v>잭슨 앤 치즈스테이크</v>
      </c>
      <c r="B5408" s="2" t="str">
        <f>IFERROR(__xludf.DUMMYFUNCTION("""COMPUTED_VALUE"""),"소고기 등심")</f>
        <v>소고기 등심</v>
      </c>
    </row>
    <row r="5409">
      <c r="A5409" s="2" t="str">
        <f>IFERROR(__xludf.DUMMYFUNCTION("""COMPUTED_VALUE"""),"잭슨 앤 치즈스테이크")</f>
        <v>잭슨 앤 치즈스테이크</v>
      </c>
      <c r="B5409" s="2" t="str">
        <f>IFERROR(__xludf.DUMMYFUNCTION("""COMPUTED_VALUE"""),"수비드 닭가슴살")</f>
        <v>수비드 닭가슴살</v>
      </c>
    </row>
    <row r="5410">
      <c r="A5410" s="2" t="str">
        <f>IFERROR(__xludf.DUMMYFUNCTION("""COMPUTED_VALUE"""),"잭슨 앤 치즈스테이크")</f>
        <v>잭슨 앤 치즈스테이크</v>
      </c>
      <c r="B5410" s="2" t="str">
        <f>IFERROR(__xludf.DUMMYFUNCTION("""COMPUTED_VALUE"""),"크림치즈")</f>
        <v>크림치즈</v>
      </c>
    </row>
    <row r="5411">
      <c r="A5411" s="2" t="str">
        <f>IFERROR(__xludf.DUMMYFUNCTION("""COMPUTED_VALUE"""),"잭슨 앤 치즈스테이크")</f>
        <v>잭슨 앤 치즈스테이크</v>
      </c>
      <c r="B5411" s="2" t="str">
        <f>IFERROR(__xludf.DUMMYFUNCTION("""COMPUTED_VALUE"""),"체다치즈")</f>
        <v>체다치즈</v>
      </c>
    </row>
    <row r="5412">
      <c r="A5412" s="2" t="str">
        <f>IFERROR(__xludf.DUMMYFUNCTION("""COMPUTED_VALUE"""),"잭슨 앤 치즈스테이크")</f>
        <v>잭슨 앤 치즈스테이크</v>
      </c>
      <c r="B5412" s="2" t="str">
        <f>IFERROR(__xludf.DUMMYFUNCTION("""COMPUTED_VALUE"""),"우유")</f>
        <v>우유</v>
      </c>
    </row>
    <row r="5413">
      <c r="A5413" s="2" t="str">
        <f>IFERROR(__xludf.DUMMYFUNCTION("""COMPUTED_VALUE"""),"잭슨 앤 치즈스테이크")</f>
        <v>잭슨 앤 치즈스테이크</v>
      </c>
      <c r="B5413" s="2" t="str">
        <f>IFERROR(__xludf.DUMMYFUNCTION("""COMPUTED_VALUE"""),"아몬드")</f>
        <v>아몬드</v>
      </c>
    </row>
    <row r="5414">
      <c r="A5414" s="2" t="str">
        <f>IFERROR(__xludf.DUMMYFUNCTION("""COMPUTED_VALUE"""),"잭슨 앤 치즈스테이크")</f>
        <v>잭슨 앤 치즈스테이크</v>
      </c>
      <c r="B5414" s="2" t="str">
        <f>IFERROR(__xludf.DUMMYFUNCTION("""COMPUTED_VALUE"""),"양파")</f>
        <v>양파</v>
      </c>
    </row>
    <row r="5415">
      <c r="A5415" s="2" t="str">
        <f>IFERROR(__xludf.DUMMYFUNCTION("""COMPUTED_VALUE"""),"잭슨 앤 치즈스테이크")</f>
        <v>잭슨 앤 치즈스테이크</v>
      </c>
      <c r="B5415" s="2" t="str">
        <f>IFERROR(__xludf.DUMMYFUNCTION("""COMPUTED_VALUE"""),"레몬")</f>
        <v>레몬</v>
      </c>
    </row>
    <row r="5416">
      <c r="A5416" s="2" t="str">
        <f>IFERROR(__xludf.DUMMYFUNCTION("""COMPUTED_VALUE"""),"잭슨 앤 치즈스테이크")</f>
        <v>잭슨 앤 치즈스테이크</v>
      </c>
      <c r="B5416" s="2" t="str">
        <f>IFERROR(__xludf.DUMMYFUNCTION("""COMPUTED_VALUE"""),"소금")</f>
        <v>소금</v>
      </c>
    </row>
    <row r="5417">
      <c r="A5417" s="2" t="str">
        <f>IFERROR(__xludf.DUMMYFUNCTION("""COMPUTED_VALUE"""),"잭슨 앤 치즈스테이크")</f>
        <v>잭슨 앤 치즈스테이크</v>
      </c>
      <c r="B5417" s="2" t="str">
        <f>IFERROR(__xludf.DUMMYFUNCTION("""COMPUTED_VALUE"""),"후추")</f>
        <v>후추</v>
      </c>
    </row>
    <row r="5418">
      <c r="A5418" s="2" t="str">
        <f>IFERROR(__xludf.DUMMYFUNCTION("""COMPUTED_VALUE"""),"잭슨 앤 치즈스테이크")</f>
        <v>잭슨 앤 치즈스테이크</v>
      </c>
      <c r="B5418" s="2" t="str">
        <f>IFERROR(__xludf.DUMMYFUNCTION("""COMPUTED_VALUE"""),"밀가루")</f>
        <v>밀가루</v>
      </c>
    </row>
    <row r="5419">
      <c r="A5419" s="2" t="str">
        <f>IFERROR(__xludf.DUMMYFUNCTION("""COMPUTED_VALUE"""),"잭슨 앤 치즈스테이크")</f>
        <v>잭슨 앤 치즈스테이크</v>
      </c>
      <c r="B5419" s="2" t="str">
        <f>IFERROR(__xludf.DUMMYFUNCTION("""COMPUTED_VALUE"""),"버터")</f>
        <v>버터</v>
      </c>
    </row>
    <row r="5420">
      <c r="A5420" s="2" t="str">
        <f>IFERROR(__xludf.DUMMYFUNCTION("""COMPUTED_VALUE"""),"소울을 느끼소")</f>
        <v>소울을 느끼소</v>
      </c>
      <c r="B5420" s="2" t="str">
        <f>IFERROR(__xludf.DUMMYFUNCTION("""COMPUTED_VALUE"""),"소고기 등심")</f>
        <v>소고기 등심</v>
      </c>
    </row>
    <row r="5421">
      <c r="A5421" s="2" t="str">
        <f>IFERROR(__xludf.DUMMYFUNCTION("""COMPUTED_VALUE"""),"소울을 느끼소")</f>
        <v>소울을 느끼소</v>
      </c>
      <c r="B5421" s="2" t="str">
        <f>IFERROR(__xludf.DUMMYFUNCTION("""COMPUTED_VALUE"""),"크림치즈")</f>
        <v>크림치즈</v>
      </c>
    </row>
    <row r="5422">
      <c r="A5422" s="2" t="str">
        <f>IFERROR(__xludf.DUMMYFUNCTION("""COMPUTED_VALUE"""),"소울을 느끼소")</f>
        <v>소울을 느끼소</v>
      </c>
      <c r="B5422" s="2" t="str">
        <f>IFERROR(__xludf.DUMMYFUNCTION("""COMPUTED_VALUE"""),"우유")</f>
        <v>우유</v>
      </c>
    </row>
    <row r="5423">
      <c r="A5423" s="2" t="str">
        <f>IFERROR(__xludf.DUMMYFUNCTION("""COMPUTED_VALUE"""),"소울을 느끼소")</f>
        <v>소울을 느끼소</v>
      </c>
      <c r="B5423" s="2" t="str">
        <f>IFERROR(__xludf.DUMMYFUNCTION("""COMPUTED_VALUE"""),"양파")</f>
        <v>양파</v>
      </c>
    </row>
    <row r="5424">
      <c r="A5424" s="2" t="str">
        <f>IFERROR(__xludf.DUMMYFUNCTION("""COMPUTED_VALUE"""),"소울을 느끼소")</f>
        <v>소울을 느끼소</v>
      </c>
      <c r="B5424" s="2" t="str">
        <f>IFERROR(__xludf.DUMMYFUNCTION("""COMPUTED_VALUE"""),"대파")</f>
        <v>대파</v>
      </c>
    </row>
    <row r="5425">
      <c r="A5425" s="2" t="str">
        <f>IFERROR(__xludf.DUMMYFUNCTION("""COMPUTED_VALUE"""),"소울을 느끼소")</f>
        <v>소울을 느끼소</v>
      </c>
      <c r="B5425" s="2" t="str">
        <f>IFERROR(__xludf.DUMMYFUNCTION("""COMPUTED_VALUE"""),"달걀")</f>
        <v>달걀</v>
      </c>
    </row>
    <row r="5426">
      <c r="A5426" s="2" t="str">
        <f>IFERROR(__xludf.DUMMYFUNCTION("""COMPUTED_VALUE"""),"소울을 느끼소")</f>
        <v>소울을 느끼소</v>
      </c>
      <c r="B5426" s="2" t="str">
        <f>IFERROR(__xludf.DUMMYFUNCTION("""COMPUTED_VALUE"""),"즉석밥")</f>
        <v>즉석밥</v>
      </c>
    </row>
    <row r="5427">
      <c r="A5427" s="2" t="str">
        <f>IFERROR(__xludf.DUMMYFUNCTION("""COMPUTED_VALUE"""),"소울을 느끼소")</f>
        <v>소울을 느끼소</v>
      </c>
      <c r="B5427" s="2" t="str">
        <f>IFERROR(__xludf.DUMMYFUNCTION("""COMPUTED_VALUE"""),"레드와인")</f>
        <v>레드와인</v>
      </c>
    </row>
    <row r="5428">
      <c r="A5428" s="2" t="str">
        <f>IFERROR(__xludf.DUMMYFUNCTION("""COMPUTED_VALUE"""),"소울을 느끼소")</f>
        <v>소울을 느끼소</v>
      </c>
      <c r="B5428" s="2" t="str">
        <f>IFERROR(__xludf.DUMMYFUNCTION("""COMPUTED_VALUE"""),"버터")</f>
        <v>버터</v>
      </c>
    </row>
    <row r="5429">
      <c r="A5429" s="2" t="str">
        <f>IFERROR(__xludf.DUMMYFUNCTION("""COMPUTED_VALUE"""),"소울을 느끼소")</f>
        <v>소울을 느끼소</v>
      </c>
      <c r="B5429" s="2" t="str">
        <f>IFERROR(__xludf.DUMMYFUNCTION("""COMPUTED_VALUE"""),"밀가루")</f>
        <v>밀가루</v>
      </c>
    </row>
    <row r="5430">
      <c r="A5430" s="2" t="str">
        <f>IFERROR(__xludf.DUMMYFUNCTION("""COMPUTED_VALUE"""),"소울을 느끼소")</f>
        <v>소울을 느끼소</v>
      </c>
      <c r="B5430" s="2" t="str">
        <f>IFERROR(__xludf.DUMMYFUNCTION("""COMPUTED_VALUE"""),"소금")</f>
        <v>소금</v>
      </c>
    </row>
    <row r="5431">
      <c r="A5431" s="2" t="str">
        <f>IFERROR(__xludf.DUMMYFUNCTION("""COMPUTED_VALUE"""),"소울을 느끼소")</f>
        <v>소울을 느끼소</v>
      </c>
      <c r="B5431" s="2" t="str">
        <f>IFERROR(__xludf.DUMMYFUNCTION("""COMPUTED_VALUE"""),"간장")</f>
        <v>간장</v>
      </c>
    </row>
    <row r="5432">
      <c r="A5432" s="2" t="str">
        <f>IFERROR(__xludf.DUMMYFUNCTION("""COMPUTED_VALUE"""),"소울을 느끼소")</f>
        <v>소울을 느끼소</v>
      </c>
      <c r="B5432" s="2" t="str">
        <f>IFERROR(__xludf.DUMMYFUNCTION("""COMPUTED_VALUE"""),"겨자")</f>
        <v>겨자</v>
      </c>
    </row>
    <row r="5433">
      <c r="A5433" s="2" t="str">
        <f>IFERROR(__xludf.DUMMYFUNCTION("""COMPUTED_VALUE"""),"만두에 대한 경례")</f>
        <v>만두에 대한 경례</v>
      </c>
      <c r="B5433" s="2" t="str">
        <f>IFERROR(__xludf.DUMMYFUNCTION("""COMPUTED_VALUE"""),"삼겹살")</f>
        <v>삼겹살</v>
      </c>
    </row>
    <row r="5434">
      <c r="A5434" s="2" t="str">
        <f>IFERROR(__xludf.DUMMYFUNCTION("""COMPUTED_VALUE"""),"만두에 대한 경례")</f>
        <v>만두에 대한 경례</v>
      </c>
      <c r="B5434" s="2" t="str">
        <f>IFERROR(__xludf.DUMMYFUNCTION("""COMPUTED_VALUE"""),"팽이버섯")</f>
        <v>팽이버섯</v>
      </c>
    </row>
    <row r="5435">
      <c r="A5435" s="2" t="str">
        <f>IFERROR(__xludf.DUMMYFUNCTION("""COMPUTED_VALUE"""),"만두에 대한 경례")</f>
        <v>만두에 대한 경례</v>
      </c>
      <c r="B5435" s="2" t="str">
        <f>IFERROR(__xludf.DUMMYFUNCTION("""COMPUTED_VALUE"""),"파프리카")</f>
        <v>파프리카</v>
      </c>
    </row>
    <row r="5436">
      <c r="A5436" s="2" t="str">
        <f>IFERROR(__xludf.DUMMYFUNCTION("""COMPUTED_VALUE"""),"만두에 대한 경례")</f>
        <v>만두에 대한 경례</v>
      </c>
      <c r="B5436" s="2" t="str">
        <f>IFERROR(__xludf.DUMMYFUNCTION("""COMPUTED_VALUE"""),"굴소스")</f>
        <v>굴소스</v>
      </c>
    </row>
    <row r="5437">
      <c r="A5437" s="2" t="str">
        <f>IFERROR(__xludf.DUMMYFUNCTION("""COMPUTED_VALUE"""),"만두에 대한 경례")</f>
        <v>만두에 대한 경례</v>
      </c>
      <c r="B5437" s="2" t="str">
        <f>IFERROR(__xludf.DUMMYFUNCTION("""COMPUTED_VALUE"""),"양파")</f>
        <v>양파</v>
      </c>
    </row>
    <row r="5438">
      <c r="A5438" s="2" t="str">
        <f>IFERROR(__xludf.DUMMYFUNCTION("""COMPUTED_VALUE"""),"만두에 대한 경례")</f>
        <v>만두에 대한 경례</v>
      </c>
      <c r="B5438" s="2" t="str">
        <f>IFERROR(__xludf.DUMMYFUNCTION("""COMPUTED_VALUE"""),"대파")</f>
        <v>대파</v>
      </c>
    </row>
    <row r="5439">
      <c r="A5439" s="2" t="str">
        <f>IFERROR(__xludf.DUMMYFUNCTION("""COMPUTED_VALUE"""),"만두에 대한 경례")</f>
        <v>만두에 대한 경례</v>
      </c>
      <c r="B5439" s="2" t="str">
        <f>IFERROR(__xludf.DUMMYFUNCTION("""COMPUTED_VALUE"""),"레몬")</f>
        <v>레몬</v>
      </c>
    </row>
    <row r="5440">
      <c r="A5440" s="2" t="str">
        <f>IFERROR(__xludf.DUMMYFUNCTION("""COMPUTED_VALUE"""),"만두에 대한 경례")</f>
        <v>만두에 대한 경례</v>
      </c>
      <c r="B5440" s="2" t="str">
        <f>IFERROR(__xludf.DUMMYFUNCTION("""COMPUTED_VALUE"""),"마늘")</f>
        <v>마늘</v>
      </c>
    </row>
    <row r="5441">
      <c r="A5441" s="2" t="str">
        <f>IFERROR(__xludf.DUMMYFUNCTION("""COMPUTED_VALUE"""),"만두에 대한 경례")</f>
        <v>만두에 대한 경례</v>
      </c>
      <c r="B5441" s="2" t="str">
        <f>IFERROR(__xludf.DUMMYFUNCTION("""COMPUTED_VALUE"""),"다진 생강")</f>
        <v>다진 생강</v>
      </c>
    </row>
    <row r="5442">
      <c r="A5442" s="2" t="str">
        <f>IFERROR(__xludf.DUMMYFUNCTION("""COMPUTED_VALUE"""),"만두에 대한 경례")</f>
        <v>만두에 대한 경례</v>
      </c>
      <c r="B5442" s="2" t="str">
        <f>IFERROR(__xludf.DUMMYFUNCTION("""COMPUTED_VALUE"""),"버터")</f>
        <v>버터</v>
      </c>
    </row>
    <row r="5443">
      <c r="A5443" s="2" t="str">
        <f>IFERROR(__xludf.DUMMYFUNCTION("""COMPUTED_VALUE"""),"만두에 대한 경례")</f>
        <v>만두에 대한 경례</v>
      </c>
      <c r="B5443" s="2" t="str">
        <f>IFERROR(__xludf.DUMMYFUNCTION("""COMPUTED_VALUE"""),"맛술")</f>
        <v>맛술</v>
      </c>
    </row>
    <row r="5444">
      <c r="A5444" s="2" t="str">
        <f>IFERROR(__xludf.DUMMYFUNCTION("""COMPUTED_VALUE"""),"만두에 대한 경례")</f>
        <v>만두에 대한 경례</v>
      </c>
      <c r="B5444" s="2" t="str">
        <f>IFERROR(__xludf.DUMMYFUNCTION("""COMPUTED_VALUE"""),"간장")</f>
        <v>간장</v>
      </c>
    </row>
    <row r="5445">
      <c r="A5445" s="2" t="str">
        <f>IFERROR(__xludf.DUMMYFUNCTION("""COMPUTED_VALUE"""),"만두에 대한 경례")</f>
        <v>만두에 대한 경례</v>
      </c>
      <c r="B5445" s="2" t="str">
        <f>IFERROR(__xludf.DUMMYFUNCTION("""COMPUTED_VALUE"""),"참기름")</f>
        <v>참기름</v>
      </c>
    </row>
    <row r="5446">
      <c r="A5446" s="2" t="str">
        <f>IFERROR(__xludf.DUMMYFUNCTION("""COMPUTED_VALUE"""),"만두에 대한 경례")</f>
        <v>만두에 대한 경례</v>
      </c>
      <c r="B5446" s="2" t="str">
        <f>IFERROR(__xludf.DUMMYFUNCTION("""COMPUTED_VALUE"""),"밀가루")</f>
        <v>밀가루</v>
      </c>
    </row>
    <row r="5447">
      <c r="A5447" s="2" t="str">
        <f>IFERROR(__xludf.DUMMYFUNCTION("""COMPUTED_VALUE"""),"만두에 대한 경례")</f>
        <v>만두에 대한 경례</v>
      </c>
      <c r="B5447" s="2" t="str">
        <f>IFERROR(__xludf.DUMMYFUNCTION("""COMPUTED_VALUE"""),"설탕")</f>
        <v>설탕</v>
      </c>
    </row>
    <row r="5448">
      <c r="A5448" s="2" t="str">
        <f>IFERROR(__xludf.DUMMYFUNCTION("""COMPUTED_VALUE"""),"복 잡으러 왔단닭")</f>
        <v>복 잡으러 왔단닭</v>
      </c>
      <c r="B5448" s="2" t="str">
        <f>IFERROR(__xludf.DUMMYFUNCTION("""COMPUTED_VALUE"""),"고추맛 닭가슴살볼")</f>
        <v>고추맛 닭가슴살볼</v>
      </c>
    </row>
    <row r="5449">
      <c r="A5449" s="2" t="str">
        <f>IFERROR(__xludf.DUMMYFUNCTION("""COMPUTED_VALUE"""),"복 잡으러 왔단닭")</f>
        <v>복 잡으러 왔단닭</v>
      </c>
      <c r="B5449" s="2" t="str">
        <f>IFERROR(__xludf.DUMMYFUNCTION("""COMPUTED_VALUE"""),"삼겹살")</f>
        <v>삼겹살</v>
      </c>
    </row>
    <row r="5450">
      <c r="A5450" s="2" t="str">
        <f>IFERROR(__xludf.DUMMYFUNCTION("""COMPUTED_VALUE"""),"복 잡으러 왔단닭")</f>
        <v>복 잡으러 왔단닭</v>
      </c>
      <c r="B5450" s="2" t="str">
        <f>IFERROR(__xludf.DUMMYFUNCTION("""COMPUTED_VALUE"""),"표고버섯")</f>
        <v>표고버섯</v>
      </c>
    </row>
    <row r="5451">
      <c r="A5451" s="2" t="str">
        <f>IFERROR(__xludf.DUMMYFUNCTION("""COMPUTED_VALUE"""),"복 잡으러 왔단닭")</f>
        <v>복 잡으러 왔단닭</v>
      </c>
      <c r="B5451" s="2" t="str">
        <f>IFERROR(__xludf.DUMMYFUNCTION("""COMPUTED_VALUE"""),"굴소스")</f>
        <v>굴소스</v>
      </c>
    </row>
    <row r="5452">
      <c r="A5452" s="2" t="str">
        <f>IFERROR(__xludf.DUMMYFUNCTION("""COMPUTED_VALUE"""),"복 잡으러 왔단닭")</f>
        <v>복 잡으러 왔단닭</v>
      </c>
      <c r="B5452" s="2" t="str">
        <f>IFERROR(__xludf.DUMMYFUNCTION("""COMPUTED_VALUE"""),"레몬")</f>
        <v>레몬</v>
      </c>
    </row>
    <row r="5453">
      <c r="A5453" s="2" t="str">
        <f>IFERROR(__xludf.DUMMYFUNCTION("""COMPUTED_VALUE"""),"복 잡으러 왔단닭")</f>
        <v>복 잡으러 왔단닭</v>
      </c>
      <c r="B5453" s="2" t="str">
        <f>IFERROR(__xludf.DUMMYFUNCTION("""COMPUTED_VALUE"""),"양파")</f>
        <v>양파</v>
      </c>
    </row>
    <row r="5454">
      <c r="A5454" s="2" t="str">
        <f>IFERROR(__xludf.DUMMYFUNCTION("""COMPUTED_VALUE"""),"복 잡으러 왔단닭")</f>
        <v>복 잡으러 왔단닭</v>
      </c>
      <c r="B5454" s="2" t="str">
        <f>IFERROR(__xludf.DUMMYFUNCTION("""COMPUTED_VALUE"""),"달걀")</f>
        <v>달걀</v>
      </c>
    </row>
    <row r="5455">
      <c r="A5455" s="2" t="str">
        <f>IFERROR(__xludf.DUMMYFUNCTION("""COMPUTED_VALUE"""),"복 잡으러 왔단닭")</f>
        <v>복 잡으러 왔단닭</v>
      </c>
      <c r="B5455" s="2" t="str">
        <f>IFERROR(__xludf.DUMMYFUNCTION("""COMPUTED_VALUE"""),"청주")</f>
        <v>청주</v>
      </c>
    </row>
    <row r="5456">
      <c r="A5456" s="2" t="str">
        <f>IFERROR(__xludf.DUMMYFUNCTION("""COMPUTED_VALUE"""),"복 잡으러 왔단닭")</f>
        <v>복 잡으러 왔단닭</v>
      </c>
      <c r="B5456" s="2" t="str">
        <f>IFERROR(__xludf.DUMMYFUNCTION("""COMPUTED_VALUE"""),"케첩")</f>
        <v>케첩</v>
      </c>
    </row>
    <row r="5457">
      <c r="A5457" s="2" t="str">
        <f>IFERROR(__xludf.DUMMYFUNCTION("""COMPUTED_VALUE"""),"복 잡으러 왔단닭")</f>
        <v>복 잡으러 왔단닭</v>
      </c>
      <c r="B5457" s="2" t="str">
        <f>IFERROR(__xludf.DUMMYFUNCTION("""COMPUTED_VALUE"""),"설탕")</f>
        <v>설탕</v>
      </c>
    </row>
    <row r="5458">
      <c r="A5458" s="2" t="str">
        <f>IFERROR(__xludf.DUMMYFUNCTION("""COMPUTED_VALUE"""),"복 잡으러 왔단닭")</f>
        <v>복 잡으러 왔단닭</v>
      </c>
      <c r="B5458" s="2" t="str">
        <f>IFERROR(__xludf.DUMMYFUNCTION("""COMPUTED_VALUE"""),"식초")</f>
        <v>식초</v>
      </c>
    </row>
    <row r="5459">
      <c r="A5459" s="2" t="str">
        <f>IFERROR(__xludf.DUMMYFUNCTION("""COMPUTED_VALUE"""),"풍절판")</f>
        <v>풍절판</v>
      </c>
      <c r="B5459" s="2" t="str">
        <f>IFERROR(__xludf.DUMMYFUNCTION("""COMPUTED_VALUE"""),"삼겹살")</f>
        <v>삼겹살</v>
      </c>
    </row>
    <row r="5460">
      <c r="A5460" s="2" t="str">
        <f>IFERROR(__xludf.DUMMYFUNCTION("""COMPUTED_VALUE"""),"풍절판")</f>
        <v>풍절판</v>
      </c>
      <c r="B5460" s="2" t="str">
        <f>IFERROR(__xludf.DUMMYFUNCTION("""COMPUTED_VALUE"""),"새송이버섯")</f>
        <v>새송이버섯</v>
      </c>
    </row>
    <row r="5461">
      <c r="A5461" s="2" t="str">
        <f>IFERROR(__xludf.DUMMYFUNCTION("""COMPUTED_VALUE"""),"풍절판")</f>
        <v>풍절판</v>
      </c>
      <c r="B5461" s="2" t="str">
        <f>IFERROR(__xludf.DUMMYFUNCTION("""COMPUTED_VALUE"""),"팽이버섯")</f>
        <v>팽이버섯</v>
      </c>
    </row>
    <row r="5462">
      <c r="A5462" s="2" t="str">
        <f>IFERROR(__xludf.DUMMYFUNCTION("""COMPUTED_VALUE"""),"풍절판")</f>
        <v>풍절판</v>
      </c>
      <c r="B5462" s="2" t="str">
        <f>IFERROR(__xludf.DUMMYFUNCTION("""COMPUTED_VALUE"""),"브로콜리")</f>
        <v>브로콜리</v>
      </c>
    </row>
    <row r="5463">
      <c r="A5463" s="2" t="str">
        <f>IFERROR(__xludf.DUMMYFUNCTION("""COMPUTED_VALUE"""),"풍절판")</f>
        <v>풍절판</v>
      </c>
      <c r="B5463" s="2" t="str">
        <f>IFERROR(__xludf.DUMMYFUNCTION("""COMPUTED_VALUE"""),"파프리카")</f>
        <v>파프리카</v>
      </c>
    </row>
    <row r="5464">
      <c r="A5464" s="2" t="str">
        <f>IFERROR(__xludf.DUMMYFUNCTION("""COMPUTED_VALUE"""),"풍절판")</f>
        <v>풍절판</v>
      </c>
      <c r="B5464" s="2" t="str">
        <f>IFERROR(__xludf.DUMMYFUNCTION("""COMPUTED_VALUE"""),"감자")</f>
        <v>감자</v>
      </c>
    </row>
    <row r="5465">
      <c r="A5465" s="2" t="str">
        <f>IFERROR(__xludf.DUMMYFUNCTION("""COMPUTED_VALUE"""),"풍절판")</f>
        <v>풍절판</v>
      </c>
      <c r="B5465" s="2" t="str">
        <f>IFERROR(__xludf.DUMMYFUNCTION("""COMPUTED_VALUE"""),"굴소스")</f>
        <v>굴소스</v>
      </c>
    </row>
    <row r="5466">
      <c r="A5466" s="2" t="str">
        <f>IFERROR(__xludf.DUMMYFUNCTION("""COMPUTED_VALUE"""),"풍절판")</f>
        <v>풍절판</v>
      </c>
      <c r="B5466" s="2" t="str">
        <f>IFERROR(__xludf.DUMMYFUNCTION("""COMPUTED_VALUE"""),"다진 마늘")</f>
        <v>다진 마늘</v>
      </c>
    </row>
    <row r="5467">
      <c r="A5467" s="2" t="str">
        <f>IFERROR(__xludf.DUMMYFUNCTION("""COMPUTED_VALUE"""),"풍절판")</f>
        <v>풍절판</v>
      </c>
      <c r="B5467" s="2" t="str">
        <f>IFERROR(__xludf.DUMMYFUNCTION("""COMPUTED_VALUE"""),"다진 생강")</f>
        <v>다진 생강</v>
      </c>
    </row>
    <row r="5468">
      <c r="A5468" s="2" t="str">
        <f>IFERROR(__xludf.DUMMYFUNCTION("""COMPUTED_VALUE"""),"풍절판")</f>
        <v>풍절판</v>
      </c>
      <c r="B5468" s="2" t="str">
        <f>IFERROR(__xludf.DUMMYFUNCTION("""COMPUTED_VALUE"""),"소금")</f>
        <v>소금</v>
      </c>
    </row>
    <row r="5469">
      <c r="A5469" s="2" t="str">
        <f>IFERROR(__xludf.DUMMYFUNCTION("""COMPUTED_VALUE"""),"풍절판")</f>
        <v>풍절판</v>
      </c>
      <c r="B5469" s="2" t="str">
        <f>IFERROR(__xludf.DUMMYFUNCTION("""COMPUTED_VALUE"""),"밀가루")</f>
        <v>밀가루</v>
      </c>
    </row>
    <row r="5470">
      <c r="A5470" s="2" t="str">
        <f>IFERROR(__xludf.DUMMYFUNCTION("""COMPUTED_VALUE"""),"풍절판")</f>
        <v>풍절판</v>
      </c>
      <c r="B5470" s="2" t="str">
        <f>IFERROR(__xludf.DUMMYFUNCTION("""COMPUTED_VALUE"""),"설탕")</f>
        <v>설탕</v>
      </c>
    </row>
    <row r="5471">
      <c r="A5471" s="2" t="str">
        <f>IFERROR(__xludf.DUMMYFUNCTION("""COMPUTED_VALUE"""),"풍절판")</f>
        <v>풍절판</v>
      </c>
      <c r="B5471" s="2" t="str">
        <f>IFERROR(__xludf.DUMMYFUNCTION("""COMPUTED_VALUE"""),"맛술")</f>
        <v>맛술</v>
      </c>
    </row>
    <row r="5472">
      <c r="A5472" s="2" t="str">
        <f>IFERROR(__xludf.DUMMYFUNCTION("""COMPUTED_VALUE"""),"풍절판")</f>
        <v>풍절판</v>
      </c>
      <c r="B5472" s="2" t="str">
        <f>IFERROR(__xludf.DUMMYFUNCTION("""COMPUTED_VALUE"""),"깨")</f>
        <v>깨</v>
      </c>
    </row>
    <row r="5473">
      <c r="A5473" s="2" t="str">
        <f>IFERROR(__xludf.DUMMYFUNCTION("""COMPUTED_VALUE"""),"풍절판")</f>
        <v>풍절판</v>
      </c>
      <c r="B5473" s="2" t="str">
        <f>IFERROR(__xludf.DUMMYFUNCTION("""COMPUTED_VALUE"""),"간장")</f>
        <v>간장</v>
      </c>
    </row>
    <row r="5474">
      <c r="A5474" s="2" t="str">
        <f>IFERROR(__xludf.DUMMYFUNCTION("""COMPUTED_VALUE"""),"풍절판")</f>
        <v>풍절판</v>
      </c>
      <c r="B5474" s="2" t="str">
        <f>IFERROR(__xludf.DUMMYFUNCTION("""COMPUTED_VALUE"""),"식초")</f>
        <v>식초</v>
      </c>
    </row>
    <row r="5475">
      <c r="A5475" s="2" t="str">
        <f>IFERROR(__xludf.DUMMYFUNCTION("""COMPUTED_VALUE"""),"풍절판")</f>
        <v>풍절판</v>
      </c>
      <c r="B5475" s="2" t="str">
        <f>IFERROR(__xludf.DUMMYFUNCTION("""COMPUTED_VALUE"""),"참기름")</f>
        <v>참기름</v>
      </c>
    </row>
    <row r="5476">
      <c r="A5476" s="2" t="str">
        <f>IFERROR(__xludf.DUMMYFUNCTION("""COMPUTED_VALUE"""),"으르렁 으르렁 돼지불백♬")</f>
        <v>으르렁 으르렁 돼지불백♬</v>
      </c>
      <c r="B5476" s="2" t="str">
        <f>IFERROR(__xludf.DUMMYFUNCTION("""COMPUTED_VALUE"""),"삼겹살")</f>
        <v>삼겹살</v>
      </c>
    </row>
    <row r="5477">
      <c r="A5477" s="2" t="str">
        <f>IFERROR(__xludf.DUMMYFUNCTION("""COMPUTED_VALUE"""),"으르렁 으르렁 돼지불백♬")</f>
        <v>으르렁 으르렁 돼지불백♬</v>
      </c>
      <c r="B5477" s="2" t="str">
        <f>IFERROR(__xludf.DUMMYFUNCTION("""COMPUTED_VALUE"""),"감자")</f>
        <v>감자</v>
      </c>
    </row>
    <row r="5478">
      <c r="A5478" s="2" t="str">
        <f>IFERROR(__xludf.DUMMYFUNCTION("""COMPUTED_VALUE"""),"으르렁 으르렁 돼지불백♬")</f>
        <v>으르렁 으르렁 돼지불백♬</v>
      </c>
      <c r="B5478" s="2" t="str">
        <f>IFERROR(__xludf.DUMMYFUNCTION("""COMPUTED_VALUE"""),"굴소스")</f>
        <v>굴소스</v>
      </c>
    </row>
    <row r="5479">
      <c r="A5479" s="2" t="str">
        <f>IFERROR(__xludf.DUMMYFUNCTION("""COMPUTED_VALUE"""),"으르렁 으르렁 돼지불백♬")</f>
        <v>으르렁 으르렁 돼지불백♬</v>
      </c>
      <c r="B5479" s="2" t="str">
        <f>IFERROR(__xludf.DUMMYFUNCTION("""COMPUTED_VALUE"""),"대파")</f>
        <v>대파</v>
      </c>
    </row>
    <row r="5480">
      <c r="A5480" s="2" t="str">
        <f>IFERROR(__xludf.DUMMYFUNCTION("""COMPUTED_VALUE"""),"으르렁 으르렁 돼지불백♬")</f>
        <v>으르렁 으르렁 돼지불백♬</v>
      </c>
      <c r="B5480" s="2" t="str">
        <f>IFERROR(__xludf.DUMMYFUNCTION("""COMPUTED_VALUE"""),"당근")</f>
        <v>당근</v>
      </c>
    </row>
    <row r="5481">
      <c r="A5481" s="2" t="str">
        <f>IFERROR(__xludf.DUMMYFUNCTION("""COMPUTED_VALUE"""),"으르렁 으르렁 돼지불백♬")</f>
        <v>으르렁 으르렁 돼지불백♬</v>
      </c>
      <c r="B5481" s="2" t="str">
        <f>IFERROR(__xludf.DUMMYFUNCTION("""COMPUTED_VALUE"""),"마늘")</f>
        <v>마늘</v>
      </c>
    </row>
    <row r="5482">
      <c r="A5482" s="2" t="str">
        <f>IFERROR(__xludf.DUMMYFUNCTION("""COMPUTED_VALUE"""),"으르렁 으르렁 돼지불백♬")</f>
        <v>으르렁 으르렁 돼지불백♬</v>
      </c>
      <c r="B5482" s="2" t="str">
        <f>IFERROR(__xludf.DUMMYFUNCTION("""COMPUTED_VALUE"""),"양파")</f>
        <v>양파</v>
      </c>
    </row>
    <row r="5483">
      <c r="A5483" s="2" t="str">
        <f>IFERROR(__xludf.DUMMYFUNCTION("""COMPUTED_VALUE"""),"으르렁 으르렁 돼지불백♬")</f>
        <v>으르렁 으르렁 돼지불백♬</v>
      </c>
      <c r="B5483" s="2" t="str">
        <f>IFERROR(__xludf.DUMMYFUNCTION("""COMPUTED_VALUE"""),"다진 마늘")</f>
        <v>다진 마늘</v>
      </c>
    </row>
    <row r="5484">
      <c r="A5484" s="2" t="str">
        <f>IFERROR(__xludf.DUMMYFUNCTION("""COMPUTED_VALUE"""),"으르렁 으르렁 돼지불백♬")</f>
        <v>으르렁 으르렁 돼지불백♬</v>
      </c>
      <c r="B5484" s="2" t="str">
        <f>IFERROR(__xludf.DUMMYFUNCTION("""COMPUTED_VALUE"""),"간장")</f>
        <v>간장</v>
      </c>
    </row>
    <row r="5485">
      <c r="A5485" s="2" t="str">
        <f>IFERROR(__xludf.DUMMYFUNCTION("""COMPUTED_VALUE"""),"으르렁 으르렁 돼지불백♬")</f>
        <v>으르렁 으르렁 돼지불백♬</v>
      </c>
      <c r="B5485" s="2" t="str">
        <f>IFERROR(__xludf.DUMMYFUNCTION("""COMPUTED_VALUE"""),"설탕")</f>
        <v>설탕</v>
      </c>
    </row>
    <row r="5486">
      <c r="A5486" s="2" t="str">
        <f>IFERROR(__xludf.DUMMYFUNCTION("""COMPUTED_VALUE"""),"으르렁 으르렁 돼지불백♬")</f>
        <v>으르렁 으르렁 돼지불백♬</v>
      </c>
      <c r="B5486" s="2" t="str">
        <f>IFERROR(__xludf.DUMMYFUNCTION("""COMPUTED_VALUE"""),"물엿")</f>
        <v>물엿</v>
      </c>
    </row>
    <row r="5487">
      <c r="A5487" s="2" t="str">
        <f>IFERROR(__xludf.DUMMYFUNCTION("""COMPUTED_VALUE"""),"으르렁 으르렁 돼지불백♬")</f>
        <v>으르렁 으르렁 돼지불백♬</v>
      </c>
      <c r="B5487" s="2" t="str">
        <f>IFERROR(__xludf.DUMMYFUNCTION("""COMPUTED_VALUE"""),"맛술")</f>
        <v>맛술</v>
      </c>
    </row>
    <row r="5488">
      <c r="A5488" s="2" t="str">
        <f>IFERROR(__xludf.DUMMYFUNCTION("""COMPUTED_VALUE"""),"으르렁 으르렁 돼지불백♬")</f>
        <v>으르렁 으르렁 돼지불백♬</v>
      </c>
      <c r="B5488" s="2" t="str">
        <f>IFERROR(__xludf.DUMMYFUNCTION("""COMPUTED_VALUE"""),"소금")</f>
        <v>소금</v>
      </c>
    </row>
    <row r="5489">
      <c r="A5489" s="2" t="str">
        <f>IFERROR(__xludf.DUMMYFUNCTION("""COMPUTED_VALUE"""),"으르렁 으르렁 돼지불백♬")</f>
        <v>으르렁 으르렁 돼지불백♬</v>
      </c>
      <c r="B5489" s="2" t="str">
        <f>IFERROR(__xludf.DUMMYFUNCTION("""COMPUTED_VALUE"""),"후추")</f>
        <v>후추</v>
      </c>
    </row>
    <row r="5490">
      <c r="A5490" s="2" t="str">
        <f>IFERROR(__xludf.DUMMYFUNCTION("""COMPUTED_VALUE"""),"으르렁 으르렁 돼지불백♬")</f>
        <v>으르렁 으르렁 돼지불백♬</v>
      </c>
      <c r="B5490" s="2" t="str">
        <f>IFERROR(__xludf.DUMMYFUNCTION("""COMPUTED_VALUE"""),"식초")</f>
        <v>식초</v>
      </c>
    </row>
    <row r="5491">
      <c r="A5491" s="2" t="str">
        <f>IFERROR(__xludf.DUMMYFUNCTION("""COMPUTED_VALUE"""),"으르렁 으르렁 돼지불백♬")</f>
        <v>으르렁 으르렁 돼지불백♬</v>
      </c>
      <c r="B5491" s="2" t="str">
        <f>IFERROR(__xludf.DUMMYFUNCTION("""COMPUTED_VALUE"""),"참기름")</f>
        <v>참기름</v>
      </c>
    </row>
    <row r="5492">
      <c r="A5492" s="2" t="str">
        <f>IFERROR(__xludf.DUMMYFUNCTION("""COMPUTED_VALUE"""),"으르렁 으르렁 돼지불백♬")</f>
        <v>으르렁 으르렁 돼지불백♬</v>
      </c>
      <c r="B5492" s="2" t="str">
        <f>IFERROR(__xludf.DUMMYFUNCTION("""COMPUTED_VALUE"""),"깨")</f>
        <v>깨</v>
      </c>
    </row>
    <row r="5493">
      <c r="A5493" s="2" t="str">
        <f>IFERROR(__xludf.DUMMYFUNCTION("""COMPUTED_VALUE"""),"으르렁 으르렁 돼지불백♬")</f>
        <v>으르렁 으르렁 돼지불백♬</v>
      </c>
      <c r="B5493" s="2" t="str">
        <f>IFERROR(__xludf.DUMMYFUNCTION("""COMPUTED_VALUE"""),"즉석밥")</f>
        <v>즉석밥</v>
      </c>
    </row>
    <row r="5494">
      <c r="A5494" s="2" t="str">
        <f>IFERROR(__xludf.DUMMYFUNCTION("""COMPUTED_VALUE"""),"으르렁 으르렁 돼지불백♬")</f>
        <v>으르렁 으르렁 돼지불백♬</v>
      </c>
      <c r="B5494" s="2" t="str">
        <f>IFERROR(__xludf.DUMMYFUNCTION("""COMPUTED_VALUE"""),"달걀")</f>
        <v>달걀</v>
      </c>
    </row>
    <row r="5495">
      <c r="A5495" s="2" t="str">
        <f>IFERROR(__xludf.DUMMYFUNCTION("""COMPUTED_VALUE"""),"오빠 한번 믿어봐♬")</f>
        <v>오빠 한번 믿어봐♬</v>
      </c>
      <c r="B5495" s="2" t="str">
        <f>IFERROR(__xludf.DUMMYFUNCTION("""COMPUTED_VALUE"""),"사과")</f>
        <v>사과</v>
      </c>
    </row>
    <row r="5496">
      <c r="A5496" s="2" t="str">
        <f>IFERROR(__xludf.DUMMYFUNCTION("""COMPUTED_VALUE"""),"오빠 한번 믿어봐♬")</f>
        <v>오빠 한번 믿어봐♬</v>
      </c>
      <c r="B5496" s="2" t="str">
        <f>IFERROR(__xludf.DUMMYFUNCTION("""COMPUTED_VALUE"""),"견과류")</f>
        <v>견과류</v>
      </c>
    </row>
    <row r="5497">
      <c r="A5497" s="2" t="str">
        <f>IFERROR(__xludf.DUMMYFUNCTION("""COMPUTED_VALUE"""),"오빠 한번 믿어봐♬")</f>
        <v>오빠 한번 믿어봐♬</v>
      </c>
      <c r="B5497" s="2" t="str">
        <f>IFERROR(__xludf.DUMMYFUNCTION("""COMPUTED_VALUE"""),"건크랜베리")</f>
        <v>건크랜베리</v>
      </c>
    </row>
    <row r="5498">
      <c r="A5498" s="2" t="str">
        <f>IFERROR(__xludf.DUMMYFUNCTION("""COMPUTED_VALUE"""),"오빠 한번 믿어봐♬")</f>
        <v>오빠 한번 믿어봐♬</v>
      </c>
      <c r="B5498" s="2" t="str">
        <f>IFERROR(__xludf.DUMMYFUNCTION("""COMPUTED_VALUE"""),"발사믹소스")</f>
        <v>발사믹소스</v>
      </c>
    </row>
    <row r="5499">
      <c r="A5499" s="2" t="str">
        <f>IFERROR(__xludf.DUMMYFUNCTION("""COMPUTED_VALUE"""),"오빠 한번 믿어봐♬")</f>
        <v>오빠 한번 믿어봐♬</v>
      </c>
      <c r="B5499" s="2" t="str">
        <f>IFERROR(__xludf.DUMMYFUNCTION("""COMPUTED_VALUE"""),"딸기잼")</f>
        <v>딸기잼</v>
      </c>
    </row>
    <row r="5500">
      <c r="A5500" s="2" t="str">
        <f>IFERROR(__xludf.DUMMYFUNCTION("""COMPUTED_VALUE"""),"오빠 한번 믿어봐♬")</f>
        <v>오빠 한번 믿어봐♬</v>
      </c>
      <c r="B5500" s="2" t="str">
        <f>IFERROR(__xludf.DUMMYFUNCTION("""COMPUTED_VALUE"""),"오미자 원액")</f>
        <v>오미자 원액</v>
      </c>
    </row>
    <row r="5501">
      <c r="A5501" s="2" t="str">
        <f>IFERROR(__xludf.DUMMYFUNCTION("""COMPUTED_VALUE"""),"오빠 한번 믿어봐♬")</f>
        <v>오빠 한번 믿어봐♬</v>
      </c>
      <c r="B5501" s="2" t="str">
        <f>IFERROR(__xludf.DUMMYFUNCTION("""COMPUTED_VALUE"""),"딸기맛 요거트")</f>
        <v>딸기맛 요거트</v>
      </c>
    </row>
    <row r="5502">
      <c r="A5502" s="2" t="str">
        <f>IFERROR(__xludf.DUMMYFUNCTION("""COMPUTED_VALUE"""),"오빠 한번 믿어봐♬")</f>
        <v>오빠 한번 믿어봐♬</v>
      </c>
      <c r="B5502" s="2" t="str">
        <f>IFERROR(__xludf.DUMMYFUNCTION("""COMPUTED_VALUE"""),"버터")</f>
        <v>버터</v>
      </c>
    </row>
    <row r="5503">
      <c r="A5503" s="2" t="str">
        <f>IFERROR(__xludf.DUMMYFUNCTION("""COMPUTED_VALUE"""),"오빠 한번 믿어봐♬")</f>
        <v>오빠 한번 믿어봐♬</v>
      </c>
      <c r="B5503" s="2" t="str">
        <f>IFERROR(__xludf.DUMMYFUNCTION("""COMPUTED_VALUE"""),"설탕")</f>
        <v>설탕</v>
      </c>
    </row>
    <row r="5504">
      <c r="A5504" s="2" t="str">
        <f>IFERROR(__xludf.DUMMYFUNCTION("""COMPUTED_VALUE"""),"오빠 한번 믿어봐♬")</f>
        <v>오빠 한번 믿어봐♬</v>
      </c>
      <c r="B5504" s="2" t="str">
        <f>IFERROR(__xludf.DUMMYFUNCTION("""COMPUTED_VALUE"""),"밀가루")</f>
        <v>밀가루</v>
      </c>
    </row>
    <row r="5505">
      <c r="A5505" s="2" t="str">
        <f>IFERROR(__xludf.DUMMYFUNCTION("""COMPUTED_VALUE"""),"오빠 한번 믿어봐♬")</f>
        <v>오빠 한번 믿어봐♬</v>
      </c>
      <c r="B5505" s="2" t="str">
        <f>IFERROR(__xludf.DUMMYFUNCTION("""COMPUTED_VALUE"""),"달걀")</f>
        <v>달걀</v>
      </c>
    </row>
    <row r="5506">
      <c r="A5506" s="2" t="str">
        <f>IFERROR(__xludf.DUMMYFUNCTION("""COMPUTED_VALUE"""),"오빠 한번 믿어봐♬")</f>
        <v>오빠 한번 믿어봐♬</v>
      </c>
      <c r="B5506" s="2" t="str">
        <f>IFERROR(__xludf.DUMMYFUNCTION("""COMPUTED_VALUE"""),"소금")</f>
        <v>소금</v>
      </c>
    </row>
    <row r="5507">
      <c r="A5507" s="2" t="str">
        <f>IFERROR(__xludf.DUMMYFUNCTION("""COMPUTED_VALUE"""),"오빠 한번 믿어봐♬")</f>
        <v>오빠 한번 믿어봐♬</v>
      </c>
      <c r="B5507" s="2" t="str">
        <f>IFERROR(__xludf.DUMMYFUNCTION("""COMPUTED_VALUE"""),"전분")</f>
        <v>전분</v>
      </c>
    </row>
    <row r="5508">
      <c r="A5508" s="2" t="str">
        <f>IFERROR(__xludf.DUMMYFUNCTION("""COMPUTED_VALUE"""),"머랭둥둥")</f>
        <v>머랭둥둥</v>
      </c>
      <c r="B5508" s="2" t="str">
        <f>IFERROR(__xludf.DUMMYFUNCTION("""COMPUTED_VALUE"""),"우유")</f>
        <v>우유</v>
      </c>
    </row>
    <row r="5509">
      <c r="A5509" s="2" t="str">
        <f>IFERROR(__xludf.DUMMYFUNCTION("""COMPUTED_VALUE"""),"머랭둥둥")</f>
        <v>머랭둥둥</v>
      </c>
      <c r="B5509" s="2" t="str">
        <f>IFERROR(__xludf.DUMMYFUNCTION("""COMPUTED_VALUE"""),"크림치즈")</f>
        <v>크림치즈</v>
      </c>
    </row>
    <row r="5510">
      <c r="A5510" s="2" t="str">
        <f>IFERROR(__xludf.DUMMYFUNCTION("""COMPUTED_VALUE"""),"머랭둥둥")</f>
        <v>머랭둥둥</v>
      </c>
      <c r="B5510" s="2" t="str">
        <f>IFERROR(__xludf.DUMMYFUNCTION("""COMPUTED_VALUE"""),"체다치즈")</f>
        <v>체다치즈</v>
      </c>
    </row>
    <row r="5511">
      <c r="A5511" s="2" t="str">
        <f>IFERROR(__xludf.DUMMYFUNCTION("""COMPUTED_VALUE"""),"머랭둥둥")</f>
        <v>머랭둥둥</v>
      </c>
      <c r="B5511" s="2" t="str">
        <f>IFERROR(__xludf.DUMMYFUNCTION("""COMPUTED_VALUE"""),"코코아가루")</f>
        <v>코코아가루</v>
      </c>
    </row>
    <row r="5512">
      <c r="A5512" s="2" t="str">
        <f>IFERROR(__xludf.DUMMYFUNCTION("""COMPUTED_VALUE"""),"머랭둥둥")</f>
        <v>머랭둥둥</v>
      </c>
      <c r="B5512" s="2" t="str">
        <f>IFERROR(__xludf.DUMMYFUNCTION("""COMPUTED_VALUE"""),"자몽")</f>
        <v>자몽</v>
      </c>
    </row>
    <row r="5513">
      <c r="A5513" s="2" t="str">
        <f>IFERROR(__xludf.DUMMYFUNCTION("""COMPUTED_VALUE"""),"머랭둥둥")</f>
        <v>머랭둥둥</v>
      </c>
      <c r="B5513" s="2" t="str">
        <f>IFERROR(__xludf.DUMMYFUNCTION("""COMPUTED_VALUE"""),"달걀")</f>
        <v>달걀</v>
      </c>
    </row>
    <row r="5514">
      <c r="A5514" s="2" t="str">
        <f>IFERROR(__xludf.DUMMYFUNCTION("""COMPUTED_VALUE"""),"머랭둥둥")</f>
        <v>머랭둥둥</v>
      </c>
      <c r="B5514" s="2" t="str">
        <f>IFERROR(__xludf.DUMMYFUNCTION("""COMPUTED_VALUE"""),"설탕")</f>
        <v>설탕</v>
      </c>
    </row>
    <row r="5515">
      <c r="A5515" s="2" t="str">
        <f>IFERROR(__xludf.DUMMYFUNCTION("""COMPUTED_VALUE"""),"머랭둥둥")</f>
        <v>머랭둥둥</v>
      </c>
      <c r="B5515" s="2" t="str">
        <f>IFERROR(__xludf.DUMMYFUNCTION("""COMPUTED_VALUE"""),"레몬")</f>
        <v>레몬</v>
      </c>
    </row>
    <row r="5516">
      <c r="A5516" s="2" t="str">
        <f>IFERROR(__xludf.DUMMYFUNCTION("""COMPUTED_VALUE"""),"식스센스")</f>
        <v>식스센스</v>
      </c>
      <c r="B5516" s="2" t="str">
        <f>IFERROR(__xludf.DUMMYFUNCTION("""COMPUTED_VALUE"""),"바게트")</f>
        <v>바게트</v>
      </c>
    </row>
    <row r="5517">
      <c r="A5517" s="2" t="str">
        <f>IFERROR(__xludf.DUMMYFUNCTION("""COMPUTED_VALUE"""),"식스센스")</f>
        <v>식스센스</v>
      </c>
      <c r="B5517" s="2" t="str">
        <f>IFERROR(__xludf.DUMMYFUNCTION("""COMPUTED_VALUE"""),"자숙새우")</f>
        <v>자숙새우</v>
      </c>
    </row>
    <row r="5518">
      <c r="A5518" s="2" t="str">
        <f>IFERROR(__xludf.DUMMYFUNCTION("""COMPUTED_VALUE"""),"식스센스")</f>
        <v>식스센스</v>
      </c>
      <c r="B5518" s="2" t="str">
        <f>IFERROR(__xludf.DUMMYFUNCTION("""COMPUTED_VALUE"""),"우유")</f>
        <v>우유</v>
      </c>
    </row>
    <row r="5519">
      <c r="A5519" s="2" t="str">
        <f>IFERROR(__xludf.DUMMYFUNCTION("""COMPUTED_VALUE"""),"식스센스")</f>
        <v>식스센스</v>
      </c>
      <c r="B5519" s="2" t="str">
        <f>IFERROR(__xludf.DUMMYFUNCTION("""COMPUTED_VALUE"""),"레드와인식초")</f>
        <v>레드와인식초</v>
      </c>
    </row>
    <row r="5520">
      <c r="A5520" s="2" t="str">
        <f>IFERROR(__xludf.DUMMYFUNCTION("""COMPUTED_VALUE"""),"식스센스")</f>
        <v>식스센스</v>
      </c>
      <c r="B5520" s="2" t="str">
        <f>IFERROR(__xludf.DUMMYFUNCTION("""COMPUTED_VALUE"""),"불고기용 소고기")</f>
        <v>불고기용 소고기</v>
      </c>
    </row>
    <row r="5521">
      <c r="A5521" s="2" t="str">
        <f>IFERROR(__xludf.DUMMYFUNCTION("""COMPUTED_VALUE"""),"식스센스")</f>
        <v>식스센스</v>
      </c>
      <c r="B5521" s="2" t="str">
        <f>IFERROR(__xludf.DUMMYFUNCTION("""COMPUTED_VALUE"""),"아보카도")</f>
        <v>아보카도</v>
      </c>
    </row>
    <row r="5522">
      <c r="A5522" s="2" t="str">
        <f>IFERROR(__xludf.DUMMYFUNCTION("""COMPUTED_VALUE"""),"식스센스")</f>
        <v>식스센스</v>
      </c>
      <c r="B5522" s="2" t="str">
        <f>IFERROR(__xludf.DUMMYFUNCTION("""COMPUTED_VALUE"""),"전복장")</f>
        <v>전복장</v>
      </c>
    </row>
    <row r="5523">
      <c r="A5523" s="2" t="str">
        <f>IFERROR(__xludf.DUMMYFUNCTION("""COMPUTED_VALUE"""),"식스센스")</f>
        <v>식스센스</v>
      </c>
      <c r="B5523" s="2" t="str">
        <f>IFERROR(__xludf.DUMMYFUNCTION("""COMPUTED_VALUE"""),"토마토")</f>
        <v>토마토</v>
      </c>
    </row>
    <row r="5524">
      <c r="A5524" s="2" t="str">
        <f>IFERROR(__xludf.DUMMYFUNCTION("""COMPUTED_VALUE"""),"식스센스")</f>
        <v>식스센스</v>
      </c>
      <c r="B5524" s="2" t="str">
        <f>IFERROR(__xludf.DUMMYFUNCTION("""COMPUTED_VALUE"""),"루콜라")</f>
        <v>루콜라</v>
      </c>
    </row>
    <row r="5525">
      <c r="A5525" s="2" t="str">
        <f>IFERROR(__xludf.DUMMYFUNCTION("""COMPUTED_VALUE"""),"식스센스")</f>
        <v>식스센스</v>
      </c>
      <c r="B5525" s="2" t="str">
        <f>IFERROR(__xludf.DUMMYFUNCTION("""COMPUTED_VALUE"""),"자몽")</f>
        <v>자몽</v>
      </c>
    </row>
    <row r="5526">
      <c r="A5526" s="2" t="str">
        <f>IFERROR(__xludf.DUMMYFUNCTION("""COMPUTED_VALUE"""),"식스센스")</f>
        <v>식스센스</v>
      </c>
      <c r="B5526" s="2" t="str">
        <f>IFERROR(__xludf.DUMMYFUNCTION("""COMPUTED_VALUE"""),"크림치즈")</f>
        <v>크림치즈</v>
      </c>
    </row>
    <row r="5527">
      <c r="A5527" s="2" t="str">
        <f>IFERROR(__xludf.DUMMYFUNCTION("""COMPUTED_VALUE"""),"식스센스")</f>
        <v>식스센스</v>
      </c>
      <c r="B5527" s="2" t="str">
        <f>IFERROR(__xludf.DUMMYFUNCTION("""COMPUTED_VALUE"""),"주꾸미")</f>
        <v>주꾸미</v>
      </c>
    </row>
    <row r="5528">
      <c r="A5528" s="2" t="str">
        <f>IFERROR(__xludf.DUMMYFUNCTION("""COMPUTED_VALUE"""),"식스센스")</f>
        <v>식스센스</v>
      </c>
      <c r="B5528" s="2" t="str">
        <f>IFERROR(__xludf.DUMMYFUNCTION("""COMPUTED_VALUE"""),"토마토소스")</f>
        <v>토마토소스</v>
      </c>
    </row>
    <row r="5529">
      <c r="A5529" s="2" t="str">
        <f>IFERROR(__xludf.DUMMYFUNCTION("""COMPUTED_VALUE"""),"식스센스")</f>
        <v>식스센스</v>
      </c>
      <c r="B5529" s="2" t="str">
        <f>IFERROR(__xludf.DUMMYFUNCTION("""COMPUTED_VALUE"""),"사과")</f>
        <v>사과</v>
      </c>
    </row>
    <row r="5530">
      <c r="A5530" s="2" t="str">
        <f>IFERROR(__xludf.DUMMYFUNCTION("""COMPUTED_VALUE"""),"식스센스")</f>
        <v>식스센스</v>
      </c>
      <c r="B5530" s="2" t="str">
        <f>IFERROR(__xludf.DUMMYFUNCTION("""COMPUTED_VALUE"""),"발사믹소스")</f>
        <v>발사믹소스</v>
      </c>
    </row>
    <row r="5531">
      <c r="A5531" s="2" t="str">
        <f>IFERROR(__xludf.DUMMYFUNCTION("""COMPUTED_VALUE"""),"식스센스")</f>
        <v>식스센스</v>
      </c>
      <c r="B5531" s="2" t="str">
        <f>IFERROR(__xludf.DUMMYFUNCTION("""COMPUTED_VALUE"""),"마요네즈")</f>
        <v>마요네즈</v>
      </c>
    </row>
    <row r="5532">
      <c r="A5532" s="2" t="str">
        <f>IFERROR(__xludf.DUMMYFUNCTION("""COMPUTED_VALUE"""),"식스센스")</f>
        <v>식스센스</v>
      </c>
      <c r="B5532" s="2" t="str">
        <f>IFERROR(__xludf.DUMMYFUNCTION("""COMPUTED_VALUE"""),"올리브오일")</f>
        <v>올리브오일</v>
      </c>
    </row>
    <row r="5533">
      <c r="A5533" s="2" t="str">
        <f>IFERROR(__xludf.DUMMYFUNCTION("""COMPUTED_VALUE"""),"식스센스")</f>
        <v>식스센스</v>
      </c>
      <c r="B5533" s="2" t="str">
        <f>IFERROR(__xludf.DUMMYFUNCTION("""COMPUTED_VALUE"""),"후추")</f>
        <v>후추</v>
      </c>
    </row>
    <row r="5534">
      <c r="A5534" s="2" t="str">
        <f>IFERROR(__xludf.DUMMYFUNCTION("""COMPUTED_VALUE"""),"식스센스")</f>
        <v>식스센스</v>
      </c>
      <c r="B5534" s="2" t="str">
        <f>IFERROR(__xludf.DUMMYFUNCTION("""COMPUTED_VALUE"""),"버터")</f>
        <v>버터</v>
      </c>
    </row>
    <row r="5535">
      <c r="A5535" s="2" t="str">
        <f>IFERROR(__xludf.DUMMYFUNCTION("""COMPUTED_VALUE"""),"식스센스")</f>
        <v>식스센스</v>
      </c>
      <c r="B5535" s="2" t="str">
        <f>IFERROR(__xludf.DUMMYFUNCTION("""COMPUTED_VALUE"""),"밀가루")</f>
        <v>밀가루</v>
      </c>
    </row>
    <row r="5536">
      <c r="A5536" s="2" t="str">
        <f>IFERROR(__xludf.DUMMYFUNCTION("""COMPUTED_VALUE"""),"식스센스")</f>
        <v>식스센스</v>
      </c>
      <c r="B5536" s="2" t="str">
        <f>IFERROR(__xludf.DUMMYFUNCTION("""COMPUTED_VALUE"""),"소금")</f>
        <v>소금</v>
      </c>
    </row>
    <row r="5537">
      <c r="A5537" s="2" t="str">
        <f>IFERROR(__xludf.DUMMYFUNCTION("""COMPUTED_VALUE"""),"식스센스")</f>
        <v>식스센스</v>
      </c>
      <c r="B5537" s="2" t="str">
        <f>IFERROR(__xludf.DUMMYFUNCTION("""COMPUTED_VALUE"""),"레몬")</f>
        <v>레몬</v>
      </c>
    </row>
    <row r="5538">
      <c r="A5538" s="2" t="str">
        <f>IFERROR(__xludf.DUMMYFUNCTION("""COMPUTED_VALUE"""),"리듬채소")</f>
        <v>리듬채소</v>
      </c>
      <c r="B5538" s="2" t="str">
        <f>IFERROR(__xludf.DUMMYFUNCTION("""COMPUTED_VALUE"""),"파프리카")</f>
        <v>파프리카</v>
      </c>
    </row>
    <row r="5539">
      <c r="A5539" s="2" t="str">
        <f>IFERROR(__xludf.DUMMYFUNCTION("""COMPUTED_VALUE"""),"리듬채소")</f>
        <v>리듬채소</v>
      </c>
      <c r="B5539" s="2" t="str">
        <f>IFERROR(__xludf.DUMMYFUNCTION("""COMPUTED_VALUE"""),"아보카도")</f>
        <v>아보카도</v>
      </c>
    </row>
    <row r="5540">
      <c r="A5540" s="2" t="str">
        <f>IFERROR(__xludf.DUMMYFUNCTION("""COMPUTED_VALUE"""),"리듬채소")</f>
        <v>리듬채소</v>
      </c>
      <c r="B5540" s="2" t="str">
        <f>IFERROR(__xludf.DUMMYFUNCTION("""COMPUTED_VALUE"""),"복숭아맛 요거트")</f>
        <v>복숭아맛 요거트</v>
      </c>
    </row>
    <row r="5541">
      <c r="A5541" s="2" t="str">
        <f>IFERROR(__xludf.DUMMYFUNCTION("""COMPUTED_VALUE"""),"리듬채소")</f>
        <v>리듬채소</v>
      </c>
      <c r="B5541" s="2" t="str">
        <f>IFERROR(__xludf.DUMMYFUNCTION("""COMPUTED_VALUE"""),"발사믹소스")</f>
        <v>발사믹소스</v>
      </c>
    </row>
    <row r="5542">
      <c r="A5542" s="2" t="str">
        <f>IFERROR(__xludf.DUMMYFUNCTION("""COMPUTED_VALUE"""),"리듬채소")</f>
        <v>리듬채소</v>
      </c>
      <c r="B5542" s="2" t="str">
        <f>IFERROR(__xludf.DUMMYFUNCTION("""COMPUTED_VALUE"""),"미숫가루")</f>
        <v>미숫가루</v>
      </c>
    </row>
    <row r="5543">
      <c r="A5543" s="2" t="str">
        <f>IFERROR(__xludf.DUMMYFUNCTION("""COMPUTED_VALUE"""),"리듬채소")</f>
        <v>리듬채소</v>
      </c>
      <c r="B5543" s="2" t="str">
        <f>IFERROR(__xludf.DUMMYFUNCTION("""COMPUTED_VALUE"""),"양배추")</f>
        <v>양배추</v>
      </c>
    </row>
    <row r="5544">
      <c r="A5544" s="2" t="str">
        <f>IFERROR(__xludf.DUMMYFUNCTION("""COMPUTED_VALUE"""),"리듬채소")</f>
        <v>리듬채소</v>
      </c>
      <c r="B5544" s="2" t="str">
        <f>IFERROR(__xludf.DUMMYFUNCTION("""COMPUTED_VALUE"""),"불고기용 소고기")</f>
        <v>불고기용 소고기</v>
      </c>
    </row>
    <row r="5545">
      <c r="A5545" s="2" t="str">
        <f>IFERROR(__xludf.DUMMYFUNCTION("""COMPUTED_VALUE"""),"리듬채소")</f>
        <v>리듬채소</v>
      </c>
      <c r="B5545" s="2" t="str">
        <f>IFERROR(__xludf.DUMMYFUNCTION("""COMPUTED_VALUE"""),"루콜라")</f>
        <v>루콜라</v>
      </c>
    </row>
    <row r="5546">
      <c r="A5546" s="2" t="str">
        <f>IFERROR(__xludf.DUMMYFUNCTION("""COMPUTED_VALUE"""),"리듬채소")</f>
        <v>리듬채소</v>
      </c>
      <c r="B5546" s="2" t="str">
        <f>IFERROR(__xludf.DUMMYFUNCTION("""COMPUTED_VALUE"""),"레드와인식초")</f>
        <v>레드와인식초</v>
      </c>
    </row>
    <row r="5547">
      <c r="A5547" s="2" t="str">
        <f>IFERROR(__xludf.DUMMYFUNCTION("""COMPUTED_VALUE"""),"리듬채소")</f>
        <v>리듬채소</v>
      </c>
      <c r="B5547" s="2" t="str">
        <f>IFERROR(__xludf.DUMMYFUNCTION("""COMPUTED_VALUE"""),"양파")</f>
        <v>양파</v>
      </c>
    </row>
    <row r="5548">
      <c r="A5548" s="2" t="str">
        <f>IFERROR(__xludf.DUMMYFUNCTION("""COMPUTED_VALUE"""),"리듬채소")</f>
        <v>리듬채소</v>
      </c>
      <c r="B5548" s="2" t="str">
        <f>IFERROR(__xludf.DUMMYFUNCTION("""COMPUTED_VALUE"""),"당근")</f>
        <v>당근</v>
      </c>
    </row>
    <row r="5549">
      <c r="A5549" s="2" t="str">
        <f>IFERROR(__xludf.DUMMYFUNCTION("""COMPUTED_VALUE"""),"리듬채소")</f>
        <v>리듬채소</v>
      </c>
      <c r="B5549" s="2" t="str">
        <f>IFERROR(__xludf.DUMMYFUNCTION("""COMPUTED_VALUE"""),"대파")</f>
        <v>대파</v>
      </c>
    </row>
    <row r="5550">
      <c r="A5550" s="2" t="str">
        <f>IFERROR(__xludf.DUMMYFUNCTION("""COMPUTED_VALUE"""),"리듬채소")</f>
        <v>리듬채소</v>
      </c>
      <c r="B5550" s="2" t="str">
        <f>IFERROR(__xludf.DUMMYFUNCTION("""COMPUTED_VALUE"""),"마늘")</f>
        <v>마늘</v>
      </c>
    </row>
    <row r="5551">
      <c r="A5551" s="2" t="str">
        <f>IFERROR(__xludf.DUMMYFUNCTION("""COMPUTED_VALUE"""),"리듬채소")</f>
        <v>리듬채소</v>
      </c>
      <c r="B5551" s="2" t="str">
        <f>IFERROR(__xludf.DUMMYFUNCTION("""COMPUTED_VALUE"""),"설탕")</f>
        <v>설탕</v>
      </c>
    </row>
    <row r="5552">
      <c r="A5552" s="2" t="str">
        <f>IFERROR(__xludf.DUMMYFUNCTION("""COMPUTED_VALUE"""),"리듬채소")</f>
        <v>리듬채소</v>
      </c>
      <c r="B5552" s="2" t="str">
        <f>IFERROR(__xludf.DUMMYFUNCTION("""COMPUTED_VALUE"""),"맛술")</f>
        <v>맛술</v>
      </c>
    </row>
    <row r="5553">
      <c r="A5553" s="2" t="str">
        <f>IFERROR(__xludf.DUMMYFUNCTION("""COMPUTED_VALUE"""),"리듬채소")</f>
        <v>리듬채소</v>
      </c>
      <c r="B5553" s="2" t="str">
        <f>IFERROR(__xludf.DUMMYFUNCTION("""COMPUTED_VALUE"""),"청주")</f>
        <v>청주</v>
      </c>
    </row>
    <row r="5554">
      <c r="A5554" s="2" t="str">
        <f>IFERROR(__xludf.DUMMYFUNCTION("""COMPUTED_VALUE"""),"리듬채소")</f>
        <v>리듬채소</v>
      </c>
      <c r="B5554" s="2" t="str">
        <f>IFERROR(__xludf.DUMMYFUNCTION("""COMPUTED_VALUE"""),"간장")</f>
        <v>간장</v>
      </c>
    </row>
    <row r="5555">
      <c r="A5555" s="2" t="str">
        <f>IFERROR(__xludf.DUMMYFUNCTION("""COMPUTED_VALUE"""),"리듬채소")</f>
        <v>리듬채소</v>
      </c>
      <c r="B5555" s="2" t="str">
        <f>IFERROR(__xludf.DUMMYFUNCTION("""COMPUTED_VALUE"""),"마요네즈")</f>
        <v>마요네즈</v>
      </c>
    </row>
    <row r="5556">
      <c r="A5556" s="2" t="str">
        <f>IFERROR(__xludf.DUMMYFUNCTION("""COMPUTED_VALUE"""),"리듬채소")</f>
        <v>리듬채소</v>
      </c>
      <c r="B5556" s="2" t="str">
        <f>IFERROR(__xludf.DUMMYFUNCTION("""COMPUTED_VALUE"""),"올리브오일")</f>
        <v>올리브오일</v>
      </c>
    </row>
    <row r="5557">
      <c r="A5557" s="2" t="str">
        <f>IFERROR(__xludf.DUMMYFUNCTION("""COMPUTED_VALUE"""),"리듬채소")</f>
        <v>리듬채소</v>
      </c>
      <c r="B5557" s="2" t="str">
        <f>IFERROR(__xludf.DUMMYFUNCTION("""COMPUTED_VALUE"""),"케첩")</f>
        <v>케첩</v>
      </c>
    </row>
    <row r="5558">
      <c r="A5558" s="2" t="str">
        <f>IFERROR(__xludf.DUMMYFUNCTION("""COMPUTED_VALUE"""),"리듬채소")</f>
        <v>리듬채소</v>
      </c>
      <c r="B5558" s="2" t="str">
        <f>IFERROR(__xludf.DUMMYFUNCTION("""COMPUTED_VALUE"""),"소금")</f>
        <v>소금</v>
      </c>
    </row>
    <row r="5559">
      <c r="A5559" s="2" t="str">
        <f>IFERROR(__xludf.DUMMYFUNCTION("""COMPUTED_VALUE"""),"리듬채소")</f>
        <v>리듬채소</v>
      </c>
      <c r="B5559" s="2" t="str">
        <f>IFERROR(__xludf.DUMMYFUNCTION("""COMPUTED_VALUE"""),"버터")</f>
        <v>버터</v>
      </c>
    </row>
    <row r="5560">
      <c r="A5560" s="2" t="str">
        <f>IFERROR(__xludf.DUMMYFUNCTION("""COMPUTED_VALUE"""),"쉿테이크")</f>
        <v>쉿테이크</v>
      </c>
      <c r="B5560" s="2" t="str">
        <f>IFERROR(__xludf.DUMMYFUNCTION("""COMPUTED_VALUE"""),"돼지목살")</f>
        <v>돼지목살</v>
      </c>
    </row>
    <row r="5561">
      <c r="A5561" s="2" t="str">
        <f>IFERROR(__xludf.DUMMYFUNCTION("""COMPUTED_VALUE"""),"쉿테이크")</f>
        <v>쉿테이크</v>
      </c>
      <c r="B5561" s="2" t="str">
        <f>IFERROR(__xludf.DUMMYFUNCTION("""COMPUTED_VALUE"""),"새우")</f>
        <v>새우</v>
      </c>
    </row>
    <row r="5562">
      <c r="A5562" s="2" t="str">
        <f>IFERROR(__xludf.DUMMYFUNCTION("""COMPUTED_VALUE"""),"쉿테이크")</f>
        <v>쉿테이크</v>
      </c>
      <c r="B5562" s="2" t="str">
        <f>IFERROR(__xludf.DUMMYFUNCTION("""COMPUTED_VALUE"""),"두부")</f>
        <v>두부</v>
      </c>
    </row>
    <row r="5563">
      <c r="A5563" s="2" t="str">
        <f>IFERROR(__xludf.DUMMYFUNCTION("""COMPUTED_VALUE"""),"쉿테이크")</f>
        <v>쉿테이크</v>
      </c>
      <c r="B5563" s="2" t="str">
        <f>IFERROR(__xludf.DUMMYFUNCTION("""COMPUTED_VALUE"""),"새송이버섯")</f>
        <v>새송이버섯</v>
      </c>
    </row>
    <row r="5564">
      <c r="A5564" s="2" t="str">
        <f>IFERROR(__xludf.DUMMYFUNCTION("""COMPUTED_VALUE"""),"쉿테이크")</f>
        <v>쉿테이크</v>
      </c>
      <c r="B5564" s="2" t="str">
        <f>IFERROR(__xludf.DUMMYFUNCTION("""COMPUTED_VALUE"""),"아스파라거스")</f>
        <v>아스파라거스</v>
      </c>
    </row>
    <row r="5565">
      <c r="A5565" s="2" t="str">
        <f>IFERROR(__xludf.DUMMYFUNCTION("""COMPUTED_VALUE"""),"쉿테이크")</f>
        <v>쉿테이크</v>
      </c>
      <c r="B5565" s="2" t="str">
        <f>IFERROR(__xludf.DUMMYFUNCTION("""COMPUTED_VALUE"""),"요거트")</f>
        <v>요거트</v>
      </c>
    </row>
    <row r="5566">
      <c r="A5566" s="2" t="str">
        <f>IFERROR(__xludf.DUMMYFUNCTION("""COMPUTED_VALUE"""),"쉿테이크")</f>
        <v>쉿테이크</v>
      </c>
      <c r="B5566" s="2" t="str">
        <f>IFERROR(__xludf.DUMMYFUNCTION("""COMPUTED_VALUE"""),"명이나물 장아찌")</f>
        <v>명이나물 장아찌</v>
      </c>
    </row>
    <row r="5567">
      <c r="A5567" s="2" t="str">
        <f>IFERROR(__xludf.DUMMYFUNCTION("""COMPUTED_VALUE"""),"쉿테이크")</f>
        <v>쉿테이크</v>
      </c>
      <c r="B5567" s="2" t="str">
        <f>IFERROR(__xludf.DUMMYFUNCTION("""COMPUTED_VALUE"""),"완두콩")</f>
        <v>완두콩</v>
      </c>
    </row>
    <row r="5568">
      <c r="A5568" s="2" t="str">
        <f>IFERROR(__xludf.DUMMYFUNCTION("""COMPUTED_VALUE"""),"쉿테이크")</f>
        <v>쉿테이크</v>
      </c>
      <c r="B5568" s="2" t="str">
        <f>IFERROR(__xludf.DUMMYFUNCTION("""COMPUTED_VALUE"""),"오이")</f>
        <v>오이</v>
      </c>
    </row>
    <row r="5569">
      <c r="A5569" s="2" t="str">
        <f>IFERROR(__xludf.DUMMYFUNCTION("""COMPUTED_VALUE"""),"쉿테이크")</f>
        <v>쉿테이크</v>
      </c>
      <c r="B5569" s="2" t="str">
        <f>IFERROR(__xludf.DUMMYFUNCTION("""COMPUTED_VALUE"""),"알배추")</f>
        <v>알배추</v>
      </c>
    </row>
    <row r="5570">
      <c r="A5570" s="2" t="str">
        <f>IFERROR(__xludf.DUMMYFUNCTION("""COMPUTED_VALUE"""),"쉿테이크")</f>
        <v>쉿테이크</v>
      </c>
      <c r="B5570" s="2" t="str">
        <f>IFERROR(__xludf.DUMMYFUNCTION("""COMPUTED_VALUE"""),"당근")</f>
        <v>당근</v>
      </c>
    </row>
    <row r="5571">
      <c r="A5571" s="2" t="str">
        <f>IFERROR(__xludf.DUMMYFUNCTION("""COMPUTED_VALUE"""),"쉿테이크")</f>
        <v>쉿테이크</v>
      </c>
      <c r="B5571" s="2" t="str">
        <f>IFERROR(__xludf.DUMMYFUNCTION("""COMPUTED_VALUE"""),"양파")</f>
        <v>양파</v>
      </c>
    </row>
    <row r="5572">
      <c r="A5572" s="2" t="str">
        <f>IFERROR(__xludf.DUMMYFUNCTION("""COMPUTED_VALUE"""),"쉿테이크")</f>
        <v>쉿테이크</v>
      </c>
      <c r="B5572" s="2" t="str">
        <f>IFERROR(__xludf.DUMMYFUNCTION("""COMPUTED_VALUE"""),"대파")</f>
        <v>대파</v>
      </c>
    </row>
    <row r="5573">
      <c r="A5573" s="2" t="str">
        <f>IFERROR(__xludf.DUMMYFUNCTION("""COMPUTED_VALUE"""),"쉿테이크")</f>
        <v>쉿테이크</v>
      </c>
      <c r="B5573" s="2" t="str">
        <f>IFERROR(__xludf.DUMMYFUNCTION("""COMPUTED_VALUE"""),"레몬")</f>
        <v>레몬</v>
      </c>
    </row>
    <row r="5574">
      <c r="A5574" s="2" t="str">
        <f>IFERROR(__xludf.DUMMYFUNCTION("""COMPUTED_VALUE"""),"쉿테이크")</f>
        <v>쉿테이크</v>
      </c>
      <c r="B5574" s="2" t="str">
        <f>IFERROR(__xludf.DUMMYFUNCTION("""COMPUTED_VALUE"""),"달걀")</f>
        <v>달걀</v>
      </c>
    </row>
    <row r="5575">
      <c r="A5575" s="2" t="str">
        <f>IFERROR(__xludf.DUMMYFUNCTION("""COMPUTED_VALUE"""),"쉿테이크")</f>
        <v>쉿테이크</v>
      </c>
      <c r="B5575" s="2" t="str">
        <f>IFERROR(__xludf.DUMMYFUNCTION("""COMPUTED_VALUE"""),"소금")</f>
        <v>소금</v>
      </c>
    </row>
    <row r="5576">
      <c r="A5576" s="2" t="str">
        <f>IFERROR(__xludf.DUMMYFUNCTION("""COMPUTED_VALUE"""),"쉿테이크")</f>
        <v>쉿테이크</v>
      </c>
      <c r="B5576" s="2" t="str">
        <f>IFERROR(__xludf.DUMMYFUNCTION("""COMPUTED_VALUE"""),"후추")</f>
        <v>후추</v>
      </c>
    </row>
    <row r="5577">
      <c r="A5577" s="2" t="str">
        <f>IFERROR(__xludf.DUMMYFUNCTION("""COMPUTED_VALUE"""),"쉿테이크")</f>
        <v>쉿테이크</v>
      </c>
      <c r="B5577" s="2" t="str">
        <f>IFERROR(__xludf.DUMMYFUNCTION("""COMPUTED_VALUE"""),"밀가루")</f>
        <v>밀가루</v>
      </c>
    </row>
    <row r="5578">
      <c r="A5578" s="2" t="str">
        <f>IFERROR(__xludf.DUMMYFUNCTION("""COMPUTED_VALUE"""),"쉿테이크")</f>
        <v>쉿테이크</v>
      </c>
      <c r="B5578" s="2" t="str">
        <f>IFERROR(__xludf.DUMMYFUNCTION("""COMPUTED_VALUE"""),"참기름")</f>
        <v>참기름</v>
      </c>
    </row>
    <row r="5579">
      <c r="A5579" s="2" t="str">
        <f>IFERROR(__xludf.DUMMYFUNCTION("""COMPUTED_VALUE"""),"쉿테이크")</f>
        <v>쉿테이크</v>
      </c>
      <c r="B5579" s="2" t="str">
        <f>IFERROR(__xludf.DUMMYFUNCTION("""COMPUTED_VALUE"""),"간장")</f>
        <v>간장</v>
      </c>
    </row>
    <row r="5580">
      <c r="A5580" s="2" t="str">
        <f>IFERROR(__xludf.DUMMYFUNCTION("""COMPUTED_VALUE"""),"꼭꼭 숨겼디야")</f>
        <v>꼭꼭 숨겼디야</v>
      </c>
      <c r="B5580" s="2" t="str">
        <f>IFERROR(__xludf.DUMMYFUNCTION("""COMPUTED_VALUE"""),"돼지목살")</f>
        <v>돼지목살</v>
      </c>
    </row>
    <row r="5581">
      <c r="A5581" s="2" t="str">
        <f>IFERROR(__xludf.DUMMYFUNCTION("""COMPUTED_VALUE"""),"꼭꼭 숨겼디야")</f>
        <v>꼭꼭 숨겼디야</v>
      </c>
      <c r="B5581" s="2" t="str">
        <f>IFERROR(__xludf.DUMMYFUNCTION("""COMPUTED_VALUE"""),"토르티야")</f>
        <v>토르티야</v>
      </c>
    </row>
    <row r="5582">
      <c r="A5582" s="2" t="str">
        <f>IFERROR(__xludf.DUMMYFUNCTION("""COMPUTED_VALUE"""),"꼭꼭 숨겼디야")</f>
        <v>꼭꼭 숨겼디야</v>
      </c>
      <c r="B5582" s="2" t="str">
        <f>IFERROR(__xludf.DUMMYFUNCTION("""COMPUTED_VALUE"""),"모차렐라치즈")</f>
        <v>모차렐라치즈</v>
      </c>
    </row>
    <row r="5583">
      <c r="A5583" s="2" t="str">
        <f>IFERROR(__xludf.DUMMYFUNCTION("""COMPUTED_VALUE"""),"꼭꼭 숨겼디야")</f>
        <v>꼭꼭 숨겼디야</v>
      </c>
      <c r="B5583" s="2" t="str">
        <f>IFERROR(__xludf.DUMMYFUNCTION("""COMPUTED_VALUE"""),"슬라이스 치즈")</f>
        <v>슬라이스 치즈</v>
      </c>
    </row>
    <row r="5584">
      <c r="A5584" s="2" t="str">
        <f>IFERROR(__xludf.DUMMYFUNCTION("""COMPUTED_VALUE"""),"꼭꼭 숨겼디야")</f>
        <v>꼭꼭 숨겼디야</v>
      </c>
      <c r="B5584" s="2" t="str">
        <f>IFERROR(__xludf.DUMMYFUNCTION("""COMPUTED_VALUE"""),"요거트")</f>
        <v>요거트</v>
      </c>
    </row>
    <row r="5585">
      <c r="A5585" s="2" t="str">
        <f>IFERROR(__xludf.DUMMYFUNCTION("""COMPUTED_VALUE"""),"꼭꼭 숨겼디야")</f>
        <v>꼭꼭 숨겼디야</v>
      </c>
      <c r="B5585" s="2" t="str">
        <f>IFERROR(__xludf.DUMMYFUNCTION("""COMPUTED_VALUE"""),"두부")</f>
        <v>두부</v>
      </c>
    </row>
    <row r="5586">
      <c r="A5586" s="2" t="str">
        <f>IFERROR(__xludf.DUMMYFUNCTION("""COMPUTED_VALUE"""),"꼭꼭 숨겼디야")</f>
        <v>꼭꼭 숨겼디야</v>
      </c>
      <c r="B5586" s="2" t="str">
        <f>IFERROR(__xludf.DUMMYFUNCTION("""COMPUTED_VALUE"""),"아스파라거스")</f>
        <v>아스파라거스</v>
      </c>
    </row>
    <row r="5587">
      <c r="A5587" s="2" t="str">
        <f>IFERROR(__xludf.DUMMYFUNCTION("""COMPUTED_VALUE"""),"꼭꼭 숨겼디야")</f>
        <v>꼭꼭 숨겼디야</v>
      </c>
      <c r="B5587" s="2" t="str">
        <f>IFERROR(__xludf.DUMMYFUNCTION("""COMPUTED_VALUE"""),"양상추")</f>
        <v>양상추</v>
      </c>
    </row>
    <row r="5588">
      <c r="A5588" s="2" t="str">
        <f>IFERROR(__xludf.DUMMYFUNCTION("""COMPUTED_VALUE"""),"꼭꼭 숨겼디야")</f>
        <v>꼭꼭 숨겼디야</v>
      </c>
      <c r="B5588" s="2" t="str">
        <f>IFERROR(__xludf.DUMMYFUNCTION("""COMPUTED_VALUE"""),"살사소스")</f>
        <v>살사소스</v>
      </c>
    </row>
    <row r="5589">
      <c r="A5589" s="2" t="str">
        <f>IFERROR(__xludf.DUMMYFUNCTION("""COMPUTED_VALUE"""),"꼭꼭 숨겼디야")</f>
        <v>꼭꼭 숨겼디야</v>
      </c>
      <c r="B5589" s="2" t="str">
        <f>IFERROR(__xludf.DUMMYFUNCTION("""COMPUTED_VALUE"""),"아보카도")</f>
        <v>아보카도</v>
      </c>
    </row>
    <row r="5590">
      <c r="A5590" s="2" t="str">
        <f>IFERROR(__xludf.DUMMYFUNCTION("""COMPUTED_VALUE"""),"꼭꼭 숨겼디야")</f>
        <v>꼭꼭 숨겼디야</v>
      </c>
      <c r="B5590" s="2" t="str">
        <f>IFERROR(__xludf.DUMMYFUNCTION("""COMPUTED_VALUE"""),"방울토마토")</f>
        <v>방울토마토</v>
      </c>
    </row>
    <row r="5591">
      <c r="A5591" s="2" t="str">
        <f>IFERROR(__xludf.DUMMYFUNCTION("""COMPUTED_VALUE"""),"꼭꼭 숨겼디야")</f>
        <v>꼭꼭 숨겼디야</v>
      </c>
      <c r="B5591" s="2" t="str">
        <f>IFERROR(__xludf.DUMMYFUNCTION("""COMPUTED_VALUE"""),"양파")</f>
        <v>양파</v>
      </c>
    </row>
    <row r="5592">
      <c r="A5592" s="2" t="str">
        <f>IFERROR(__xludf.DUMMYFUNCTION("""COMPUTED_VALUE"""),"꼭꼭 숨겼디야")</f>
        <v>꼭꼭 숨겼디야</v>
      </c>
      <c r="B5592" s="2" t="str">
        <f>IFERROR(__xludf.DUMMYFUNCTION("""COMPUTED_VALUE"""),"당근")</f>
        <v>당근</v>
      </c>
    </row>
    <row r="5593">
      <c r="A5593" s="2" t="str">
        <f>IFERROR(__xludf.DUMMYFUNCTION("""COMPUTED_VALUE"""),"꼭꼭 숨겼디야")</f>
        <v>꼭꼭 숨겼디야</v>
      </c>
      <c r="B5593" s="2" t="str">
        <f>IFERROR(__xludf.DUMMYFUNCTION("""COMPUTED_VALUE"""),"소금")</f>
        <v>소금</v>
      </c>
    </row>
    <row r="5594">
      <c r="A5594" s="2" t="str">
        <f>IFERROR(__xludf.DUMMYFUNCTION("""COMPUTED_VALUE"""),"꼭꼭 숨겼디야")</f>
        <v>꼭꼭 숨겼디야</v>
      </c>
      <c r="B5594" s="2" t="str">
        <f>IFERROR(__xludf.DUMMYFUNCTION("""COMPUTED_VALUE"""),"후추")</f>
        <v>후추</v>
      </c>
    </row>
    <row r="5595">
      <c r="A5595" s="2" t="str">
        <f>IFERROR(__xludf.DUMMYFUNCTION("""COMPUTED_VALUE"""),"복불복")</f>
        <v>복불복</v>
      </c>
      <c r="B5595" s="2" t="str">
        <f>IFERROR(__xludf.DUMMYFUNCTION("""COMPUTED_VALUE"""),"복어")</f>
        <v>복어</v>
      </c>
    </row>
    <row r="5596">
      <c r="A5596" s="2" t="str">
        <f>IFERROR(__xludf.DUMMYFUNCTION("""COMPUTED_VALUE"""),"복불복")</f>
        <v>복불복</v>
      </c>
      <c r="B5596" s="2" t="str">
        <f>IFERROR(__xludf.DUMMYFUNCTION("""COMPUTED_VALUE"""),"새우")</f>
        <v>새우</v>
      </c>
    </row>
    <row r="5597">
      <c r="A5597" s="2" t="str">
        <f>IFERROR(__xludf.DUMMYFUNCTION("""COMPUTED_VALUE"""),"복불복")</f>
        <v>복불복</v>
      </c>
      <c r="B5597" s="2" t="str">
        <f>IFERROR(__xludf.DUMMYFUNCTION("""COMPUTED_VALUE"""),"아스파라거스")</f>
        <v>아스파라거스</v>
      </c>
    </row>
    <row r="5598">
      <c r="A5598" s="2" t="str">
        <f>IFERROR(__xludf.DUMMYFUNCTION("""COMPUTED_VALUE"""),"복불복")</f>
        <v>복불복</v>
      </c>
      <c r="B5598" s="2" t="str">
        <f>IFERROR(__xludf.DUMMYFUNCTION("""COMPUTED_VALUE"""),"느타리버섯")</f>
        <v>느타리버섯</v>
      </c>
    </row>
    <row r="5599">
      <c r="A5599" s="2" t="str">
        <f>IFERROR(__xludf.DUMMYFUNCTION("""COMPUTED_VALUE"""),"복불복")</f>
        <v>복불복</v>
      </c>
      <c r="B5599" s="2" t="str">
        <f>IFERROR(__xludf.DUMMYFUNCTION("""COMPUTED_VALUE"""),"표고버섯")</f>
        <v>표고버섯</v>
      </c>
    </row>
    <row r="5600">
      <c r="A5600" s="2" t="str">
        <f>IFERROR(__xludf.DUMMYFUNCTION("""COMPUTED_VALUE"""),"복불복")</f>
        <v>복불복</v>
      </c>
      <c r="B5600" s="2" t="str">
        <f>IFERROR(__xludf.DUMMYFUNCTION("""COMPUTED_VALUE"""),"굴소스")</f>
        <v>굴소스</v>
      </c>
    </row>
    <row r="5601">
      <c r="A5601" s="2" t="str">
        <f>IFERROR(__xludf.DUMMYFUNCTION("""COMPUTED_VALUE"""),"복불복")</f>
        <v>복불복</v>
      </c>
      <c r="B5601" s="2" t="str">
        <f>IFERROR(__xludf.DUMMYFUNCTION("""COMPUTED_VALUE"""),"양파")</f>
        <v>양파</v>
      </c>
    </row>
    <row r="5602">
      <c r="A5602" s="2" t="str">
        <f>IFERROR(__xludf.DUMMYFUNCTION("""COMPUTED_VALUE"""),"복불복")</f>
        <v>복불복</v>
      </c>
      <c r="B5602" s="2" t="str">
        <f>IFERROR(__xludf.DUMMYFUNCTION("""COMPUTED_VALUE"""),"대파")</f>
        <v>대파</v>
      </c>
    </row>
    <row r="5603">
      <c r="A5603" s="2" t="str">
        <f>IFERROR(__xludf.DUMMYFUNCTION("""COMPUTED_VALUE"""),"복불복")</f>
        <v>복불복</v>
      </c>
      <c r="B5603" s="2" t="str">
        <f>IFERROR(__xludf.DUMMYFUNCTION("""COMPUTED_VALUE"""),"달걀")</f>
        <v>달걀</v>
      </c>
    </row>
    <row r="5604">
      <c r="A5604" s="2" t="str">
        <f>IFERROR(__xludf.DUMMYFUNCTION("""COMPUTED_VALUE"""),"복불복")</f>
        <v>복불복</v>
      </c>
      <c r="B5604" s="2" t="str">
        <f>IFERROR(__xludf.DUMMYFUNCTION("""COMPUTED_VALUE"""),"밀가루")</f>
        <v>밀가루</v>
      </c>
    </row>
    <row r="5605">
      <c r="A5605" s="2" t="str">
        <f>IFERROR(__xludf.DUMMYFUNCTION("""COMPUTED_VALUE"""),"복불복")</f>
        <v>복불복</v>
      </c>
      <c r="B5605" s="2" t="str">
        <f>IFERROR(__xludf.DUMMYFUNCTION("""COMPUTED_VALUE"""),"전분")</f>
        <v>전분</v>
      </c>
    </row>
    <row r="5606">
      <c r="A5606" s="2" t="str">
        <f>IFERROR(__xludf.DUMMYFUNCTION("""COMPUTED_VALUE"""),"복불복")</f>
        <v>복불복</v>
      </c>
      <c r="B5606" s="2" t="str">
        <f>IFERROR(__xludf.DUMMYFUNCTION("""COMPUTED_VALUE"""),"식용유")</f>
        <v>식용유</v>
      </c>
    </row>
    <row r="5607">
      <c r="A5607" s="2" t="str">
        <f>IFERROR(__xludf.DUMMYFUNCTION("""COMPUTED_VALUE"""),"복불복")</f>
        <v>복불복</v>
      </c>
      <c r="B5607" s="2" t="str">
        <f>IFERROR(__xludf.DUMMYFUNCTION("""COMPUTED_VALUE"""),"간장")</f>
        <v>간장</v>
      </c>
    </row>
    <row r="5608">
      <c r="A5608" s="2" t="str">
        <f>IFERROR(__xludf.DUMMYFUNCTION("""COMPUTED_VALUE"""),"복불복")</f>
        <v>복불복</v>
      </c>
      <c r="B5608" s="2" t="str">
        <f>IFERROR(__xludf.DUMMYFUNCTION("""COMPUTED_VALUE"""),"맛술")</f>
        <v>맛술</v>
      </c>
    </row>
    <row r="5609">
      <c r="A5609" s="2" t="str">
        <f>IFERROR(__xludf.DUMMYFUNCTION("""COMPUTED_VALUE"""),"복불복")</f>
        <v>복불복</v>
      </c>
      <c r="B5609" s="2" t="str">
        <f>IFERROR(__xludf.DUMMYFUNCTION("""COMPUTED_VALUE"""),"참기름")</f>
        <v>참기름</v>
      </c>
    </row>
    <row r="5610">
      <c r="A5610" s="2" t="str">
        <f>IFERROR(__xludf.DUMMYFUNCTION("""COMPUTED_VALUE"""),"복어~싶다♬")</f>
        <v>복어~싶다♬</v>
      </c>
      <c r="B5610" s="2" t="str">
        <f>IFERROR(__xludf.DUMMYFUNCTION("""COMPUTED_VALUE"""),"복어")</f>
        <v>복어</v>
      </c>
    </row>
    <row r="5611">
      <c r="A5611" s="2" t="str">
        <f>IFERROR(__xludf.DUMMYFUNCTION("""COMPUTED_VALUE"""),"복어~싶다♬")</f>
        <v>복어~싶다♬</v>
      </c>
      <c r="B5611" s="2" t="str">
        <f>IFERROR(__xludf.DUMMYFUNCTION("""COMPUTED_VALUE"""),"게")</f>
        <v>게</v>
      </c>
    </row>
    <row r="5612">
      <c r="A5612" s="2" t="str">
        <f>IFERROR(__xludf.DUMMYFUNCTION("""COMPUTED_VALUE"""),"복어~싶다♬")</f>
        <v>복어~싶다♬</v>
      </c>
      <c r="B5612" s="2" t="str">
        <f>IFERROR(__xludf.DUMMYFUNCTION("""COMPUTED_VALUE"""),"아스파라거스")</f>
        <v>아스파라거스</v>
      </c>
    </row>
    <row r="5613">
      <c r="A5613" s="2" t="str">
        <f>IFERROR(__xludf.DUMMYFUNCTION("""COMPUTED_VALUE"""),"복어~싶다♬")</f>
        <v>복어~싶다♬</v>
      </c>
      <c r="B5613" s="2" t="str">
        <f>IFERROR(__xludf.DUMMYFUNCTION("""COMPUTED_VALUE"""),"알배추")</f>
        <v>알배추</v>
      </c>
    </row>
    <row r="5614">
      <c r="A5614" s="2" t="str">
        <f>IFERROR(__xludf.DUMMYFUNCTION("""COMPUTED_VALUE"""),"복어~싶다♬")</f>
        <v>복어~싶다♬</v>
      </c>
      <c r="B5614" s="2" t="str">
        <f>IFERROR(__xludf.DUMMYFUNCTION("""COMPUTED_VALUE"""),"대파")</f>
        <v>대파</v>
      </c>
    </row>
    <row r="5615">
      <c r="A5615" s="2" t="str">
        <f>IFERROR(__xludf.DUMMYFUNCTION("""COMPUTED_VALUE"""),"복어~싶다♬")</f>
        <v>복어~싶다♬</v>
      </c>
      <c r="B5615" s="2" t="str">
        <f>IFERROR(__xludf.DUMMYFUNCTION("""COMPUTED_VALUE"""),"양파")</f>
        <v>양파</v>
      </c>
    </row>
    <row r="5616">
      <c r="A5616" s="2" t="str">
        <f>IFERROR(__xludf.DUMMYFUNCTION("""COMPUTED_VALUE"""),"복어~싶다♬")</f>
        <v>복어~싶다♬</v>
      </c>
      <c r="B5616" s="2" t="str">
        <f>IFERROR(__xludf.DUMMYFUNCTION("""COMPUTED_VALUE"""),"즉석밥")</f>
        <v>즉석밥</v>
      </c>
    </row>
    <row r="5617">
      <c r="A5617" s="2" t="str">
        <f>IFERROR(__xludf.DUMMYFUNCTION("""COMPUTED_VALUE"""),"복어~싶다♬")</f>
        <v>복어~싶다♬</v>
      </c>
      <c r="B5617" s="2" t="str">
        <f>IFERROR(__xludf.DUMMYFUNCTION("""COMPUTED_VALUE"""),"달걀")</f>
        <v>달걀</v>
      </c>
    </row>
    <row r="5618">
      <c r="A5618" s="2" t="str">
        <f>IFERROR(__xludf.DUMMYFUNCTION("""COMPUTED_VALUE"""),"복어~싶다♬")</f>
        <v>복어~싶다♬</v>
      </c>
      <c r="B5618" s="2" t="str">
        <f>IFERROR(__xludf.DUMMYFUNCTION("""COMPUTED_VALUE"""),"간장")</f>
        <v>간장</v>
      </c>
    </row>
    <row r="5619">
      <c r="A5619" s="2" t="str">
        <f>IFERROR(__xludf.DUMMYFUNCTION("""COMPUTED_VALUE"""),"복어~싶다♬")</f>
        <v>복어~싶다♬</v>
      </c>
      <c r="B5619" s="2" t="str">
        <f>IFERROR(__xludf.DUMMYFUNCTION("""COMPUTED_VALUE"""),"식초")</f>
        <v>식초</v>
      </c>
    </row>
    <row r="5620">
      <c r="A5620" s="2" t="str">
        <f>IFERROR(__xludf.DUMMYFUNCTION("""COMPUTED_VALUE"""),"복어~싶다♬")</f>
        <v>복어~싶다♬</v>
      </c>
      <c r="B5620" s="2" t="str">
        <f>IFERROR(__xludf.DUMMYFUNCTION("""COMPUTED_VALUE"""),"설탕")</f>
        <v>설탕</v>
      </c>
    </row>
    <row r="5621">
      <c r="A5621" s="2" t="str">
        <f>IFERROR(__xludf.DUMMYFUNCTION("""COMPUTED_VALUE"""),"복어~싶다♬")</f>
        <v>복어~싶다♬</v>
      </c>
      <c r="B5621" s="2" t="str">
        <f>IFERROR(__xludf.DUMMYFUNCTION("""COMPUTED_VALUE"""),"맛술")</f>
        <v>맛술</v>
      </c>
    </row>
    <row r="5622">
      <c r="A5622" s="2" t="str">
        <f>IFERROR(__xludf.DUMMYFUNCTION("""COMPUTED_VALUE"""),"복어~싶다♬")</f>
        <v>복어~싶다♬</v>
      </c>
      <c r="B5622" s="2" t="str">
        <f>IFERROR(__xludf.DUMMYFUNCTION("""COMPUTED_VALUE"""),"전분")</f>
        <v>전분</v>
      </c>
    </row>
    <row r="5623">
      <c r="A5623" s="2" t="str">
        <f>IFERROR(__xludf.DUMMYFUNCTION("""COMPUTED_VALUE"""),"복어~싶다♬")</f>
        <v>복어~싶다♬</v>
      </c>
      <c r="B5623" s="2" t="str">
        <f>IFERROR(__xludf.DUMMYFUNCTION("""COMPUTED_VALUE"""),"청주")</f>
        <v>청주</v>
      </c>
    </row>
    <row r="5624">
      <c r="A5624" s="2" t="str">
        <f>IFERROR(__xludf.DUMMYFUNCTION("""COMPUTED_VALUE"""),"복어~싶다♬")</f>
        <v>복어~싶다♬</v>
      </c>
      <c r="B5624" s="2" t="str">
        <f>IFERROR(__xludf.DUMMYFUNCTION("""COMPUTED_VALUE"""),"소금")</f>
        <v>소금</v>
      </c>
    </row>
    <row r="5625">
      <c r="A5625" s="2" t="str">
        <f>IFERROR(__xludf.DUMMYFUNCTION("""COMPUTED_VALUE"""),"복어~싶다♬")</f>
        <v>복어~싶다♬</v>
      </c>
      <c r="B5625" s="2" t="str">
        <f>IFERROR(__xludf.DUMMYFUNCTION("""COMPUTED_VALUE"""),"깨")</f>
        <v>깨</v>
      </c>
    </row>
    <row r="5626">
      <c r="A5626" s="2" t="str">
        <f>IFERROR(__xludf.DUMMYFUNCTION("""COMPUTED_VALUE"""),"복어~싶다♬")</f>
        <v>복어~싶다♬</v>
      </c>
      <c r="B5626" s="2" t="str">
        <f>IFERROR(__xludf.DUMMYFUNCTION("""COMPUTED_VALUE"""),"고춧가루")</f>
        <v>고춧가루</v>
      </c>
    </row>
    <row r="5627">
      <c r="A5627" s="2" t="str">
        <f>IFERROR(__xludf.DUMMYFUNCTION("""COMPUTED_VALUE"""),"고르고 고른 파스타")</f>
        <v>고르고 고른 파스타</v>
      </c>
      <c r="B5627" s="2" t="str">
        <f>IFERROR(__xludf.DUMMYFUNCTION("""COMPUTED_VALUE"""),"호두")</f>
        <v>호두</v>
      </c>
    </row>
    <row r="5628">
      <c r="A5628" s="2" t="str">
        <f>IFERROR(__xludf.DUMMYFUNCTION("""COMPUTED_VALUE"""),"고르고 고른 파스타")</f>
        <v>고르고 고른 파스타</v>
      </c>
      <c r="B5628" s="2" t="str">
        <f>IFERROR(__xludf.DUMMYFUNCTION("""COMPUTED_VALUE"""),"무화과")</f>
        <v>무화과</v>
      </c>
    </row>
    <row r="5629">
      <c r="A5629" s="2" t="str">
        <f>IFERROR(__xludf.DUMMYFUNCTION("""COMPUTED_VALUE"""),"고르고 고른 파스타")</f>
        <v>고르고 고른 파스타</v>
      </c>
      <c r="B5629" s="2" t="str">
        <f>IFERROR(__xludf.DUMMYFUNCTION("""COMPUTED_VALUE"""),"양송이버섯")</f>
        <v>양송이버섯</v>
      </c>
    </row>
    <row r="5630">
      <c r="A5630" s="2" t="str">
        <f>IFERROR(__xludf.DUMMYFUNCTION("""COMPUTED_VALUE"""),"고르고 고른 파스타")</f>
        <v>고르고 고른 파스타</v>
      </c>
      <c r="B5630" s="2" t="str">
        <f>IFERROR(__xludf.DUMMYFUNCTION("""COMPUTED_VALUE"""),"새송이버섯")</f>
        <v>새송이버섯</v>
      </c>
    </row>
    <row r="5631">
      <c r="A5631" s="2" t="str">
        <f>IFERROR(__xludf.DUMMYFUNCTION("""COMPUTED_VALUE"""),"고르고 고른 파스타")</f>
        <v>고르고 고른 파스타</v>
      </c>
      <c r="B5631" s="2" t="str">
        <f>IFERROR(__xludf.DUMMYFUNCTION("""COMPUTED_VALUE"""),"느타리버섯")</f>
        <v>느타리버섯</v>
      </c>
    </row>
    <row r="5632">
      <c r="A5632" s="2" t="str">
        <f>IFERROR(__xludf.DUMMYFUNCTION("""COMPUTED_VALUE"""),"고르고 고른 파스타")</f>
        <v>고르고 고른 파스타</v>
      </c>
      <c r="B5632" s="2" t="str">
        <f>IFERROR(__xludf.DUMMYFUNCTION("""COMPUTED_VALUE"""),"표고버섯")</f>
        <v>표고버섯</v>
      </c>
    </row>
    <row r="5633">
      <c r="A5633" s="2" t="str">
        <f>IFERROR(__xludf.DUMMYFUNCTION("""COMPUTED_VALUE"""),"고르고 고른 파스타")</f>
        <v>고르고 고른 파스타</v>
      </c>
      <c r="B5633" s="2" t="str">
        <f>IFERROR(__xludf.DUMMYFUNCTION("""COMPUTED_VALUE"""),"생크림")</f>
        <v>생크림</v>
      </c>
    </row>
    <row r="5634">
      <c r="A5634" s="2" t="str">
        <f>IFERROR(__xludf.DUMMYFUNCTION("""COMPUTED_VALUE"""),"고르고 고른 파스타")</f>
        <v>고르고 고른 파스타</v>
      </c>
      <c r="B5634" s="2" t="str">
        <f>IFERROR(__xludf.DUMMYFUNCTION("""COMPUTED_VALUE"""),"고르곤졸라 치즈")</f>
        <v>고르곤졸라 치즈</v>
      </c>
    </row>
    <row r="5635">
      <c r="A5635" s="2" t="str">
        <f>IFERROR(__xludf.DUMMYFUNCTION("""COMPUTED_VALUE"""),"고르고 고른 파스타")</f>
        <v>고르고 고른 파스타</v>
      </c>
      <c r="B5635" s="2" t="str">
        <f>IFERROR(__xludf.DUMMYFUNCTION("""COMPUTED_VALUE"""),"다진 마늘")</f>
        <v>다진 마늘</v>
      </c>
    </row>
    <row r="5636">
      <c r="A5636" s="2" t="str">
        <f>IFERROR(__xludf.DUMMYFUNCTION("""COMPUTED_VALUE"""),"고르고 고른 파스타")</f>
        <v>고르고 고른 파스타</v>
      </c>
      <c r="B5636" s="2" t="str">
        <f>IFERROR(__xludf.DUMMYFUNCTION("""COMPUTED_VALUE"""),"설탕")</f>
        <v>설탕</v>
      </c>
    </row>
    <row r="5637">
      <c r="A5637" s="2" t="str">
        <f>IFERROR(__xludf.DUMMYFUNCTION("""COMPUTED_VALUE"""),"고르고 고른 파스타")</f>
        <v>고르고 고른 파스타</v>
      </c>
      <c r="B5637" s="2" t="str">
        <f>IFERROR(__xludf.DUMMYFUNCTION("""COMPUTED_VALUE"""),"밀가루")</f>
        <v>밀가루</v>
      </c>
    </row>
    <row r="5638">
      <c r="A5638" s="2" t="str">
        <f>IFERROR(__xludf.DUMMYFUNCTION("""COMPUTED_VALUE"""),"고르고 고른 파스타")</f>
        <v>고르고 고른 파스타</v>
      </c>
      <c r="B5638" s="2" t="str">
        <f>IFERROR(__xludf.DUMMYFUNCTION("""COMPUTED_VALUE"""),"달걀")</f>
        <v>달걀</v>
      </c>
    </row>
    <row r="5639">
      <c r="A5639" s="2" t="str">
        <f>IFERROR(__xludf.DUMMYFUNCTION("""COMPUTED_VALUE"""),"고르고 고른 파스타")</f>
        <v>고르고 고른 파스타</v>
      </c>
      <c r="B5639" s="2" t="str">
        <f>IFERROR(__xludf.DUMMYFUNCTION("""COMPUTED_VALUE"""),"소금")</f>
        <v>소금</v>
      </c>
    </row>
    <row r="5640">
      <c r="A5640" s="2" t="str">
        <f>IFERROR(__xludf.DUMMYFUNCTION("""COMPUTED_VALUE"""),"고르고 고른 파스타")</f>
        <v>고르고 고른 파스타</v>
      </c>
      <c r="B5640" s="2" t="str">
        <f>IFERROR(__xludf.DUMMYFUNCTION("""COMPUTED_VALUE"""),"후추")</f>
        <v>후추</v>
      </c>
    </row>
    <row r="5641">
      <c r="A5641" s="2" t="str">
        <f>IFERROR(__xludf.DUMMYFUNCTION("""COMPUTED_VALUE"""),"고르고 고른 파스타")</f>
        <v>고르고 고른 파스타</v>
      </c>
      <c r="B5641" s="2" t="str">
        <f>IFERROR(__xludf.DUMMYFUNCTION("""COMPUTED_VALUE"""),"버터")</f>
        <v>버터</v>
      </c>
    </row>
    <row r="5642">
      <c r="A5642" s="2" t="str">
        <f>IFERROR(__xludf.DUMMYFUNCTION("""COMPUTED_VALUE"""),"고르고 고른 파스타")</f>
        <v>고르고 고른 파스타</v>
      </c>
      <c r="B5642" s="2" t="str">
        <f>IFERROR(__xludf.DUMMYFUNCTION("""COMPUTED_VALUE"""),"화이트와인")</f>
        <v>화이트와인</v>
      </c>
    </row>
    <row r="5643">
      <c r="A5643" s="2" t="str">
        <f>IFERROR(__xludf.DUMMYFUNCTION("""COMPUTED_VALUE"""),"고르고 고른 파스타")</f>
        <v>고르고 고른 파스타</v>
      </c>
      <c r="B5643" s="2" t="str">
        <f>IFERROR(__xludf.DUMMYFUNCTION("""COMPUTED_VALUE"""),"올리브오일")</f>
        <v>올리브오일</v>
      </c>
    </row>
    <row r="5644">
      <c r="A5644" s="2" t="str">
        <f>IFERROR(__xludf.DUMMYFUNCTION("""COMPUTED_VALUE"""),"조선의 파스타자")</f>
        <v>조선의 파스타자</v>
      </c>
      <c r="B5644" s="2" t="str">
        <f>IFERROR(__xludf.DUMMYFUNCTION("""COMPUTED_VALUE"""),"바지락")</f>
        <v>바지락</v>
      </c>
    </row>
    <row r="5645">
      <c r="A5645" s="2" t="str">
        <f>IFERROR(__xludf.DUMMYFUNCTION("""COMPUTED_VALUE"""),"조선의 파스타자")</f>
        <v>조선의 파스타자</v>
      </c>
      <c r="B5645" s="2" t="str">
        <f>IFERROR(__xludf.DUMMYFUNCTION("""COMPUTED_VALUE"""),"시금치")</f>
        <v>시금치</v>
      </c>
    </row>
    <row r="5646">
      <c r="A5646" s="2" t="str">
        <f>IFERROR(__xludf.DUMMYFUNCTION("""COMPUTED_VALUE"""),"조선의 파스타자")</f>
        <v>조선의 파스타자</v>
      </c>
      <c r="B5646" s="2" t="str">
        <f>IFERROR(__xludf.DUMMYFUNCTION("""COMPUTED_VALUE"""),"관자")</f>
        <v>관자</v>
      </c>
    </row>
    <row r="5647">
      <c r="A5647" s="2" t="str">
        <f>IFERROR(__xludf.DUMMYFUNCTION("""COMPUTED_VALUE"""),"조선의 파스타자")</f>
        <v>조선의 파스타자</v>
      </c>
      <c r="B5647" s="2" t="str">
        <f>IFERROR(__xludf.DUMMYFUNCTION("""COMPUTED_VALUE"""),"전복")</f>
        <v>전복</v>
      </c>
    </row>
    <row r="5648">
      <c r="A5648" s="2" t="str">
        <f>IFERROR(__xludf.DUMMYFUNCTION("""COMPUTED_VALUE"""),"조선의 파스타자")</f>
        <v>조선의 파스타자</v>
      </c>
      <c r="B5648" s="2" t="str">
        <f>IFERROR(__xludf.DUMMYFUNCTION("""COMPUTED_VALUE"""),"새우")</f>
        <v>새우</v>
      </c>
    </row>
    <row r="5649">
      <c r="A5649" s="2" t="str">
        <f>IFERROR(__xludf.DUMMYFUNCTION("""COMPUTED_VALUE"""),"조선의 파스타자")</f>
        <v>조선의 파스타자</v>
      </c>
      <c r="B5649" s="2" t="str">
        <f>IFERROR(__xludf.DUMMYFUNCTION("""COMPUTED_VALUE"""),"고추")</f>
        <v>고추</v>
      </c>
    </row>
    <row r="5650">
      <c r="A5650" s="2" t="str">
        <f>IFERROR(__xludf.DUMMYFUNCTION("""COMPUTED_VALUE"""),"조선의 파스타자")</f>
        <v>조선의 파스타자</v>
      </c>
      <c r="B5650" s="2" t="str">
        <f>IFERROR(__xludf.DUMMYFUNCTION("""COMPUTED_VALUE"""),"마늘")</f>
        <v>마늘</v>
      </c>
    </row>
    <row r="5651">
      <c r="A5651" s="2" t="str">
        <f>IFERROR(__xludf.DUMMYFUNCTION("""COMPUTED_VALUE"""),"조선의 파스타자")</f>
        <v>조선의 파스타자</v>
      </c>
      <c r="B5651" s="2" t="str">
        <f>IFERROR(__xludf.DUMMYFUNCTION("""COMPUTED_VALUE"""),"달걀")</f>
        <v>달걀</v>
      </c>
    </row>
    <row r="5652">
      <c r="A5652" s="2" t="str">
        <f>IFERROR(__xludf.DUMMYFUNCTION("""COMPUTED_VALUE"""),"조선의 파스타자")</f>
        <v>조선의 파스타자</v>
      </c>
      <c r="B5652" s="2" t="str">
        <f>IFERROR(__xludf.DUMMYFUNCTION("""COMPUTED_VALUE"""),"밀가루")</f>
        <v>밀가루</v>
      </c>
    </row>
    <row r="5653">
      <c r="A5653" s="2" t="str">
        <f>IFERROR(__xludf.DUMMYFUNCTION("""COMPUTED_VALUE"""),"조선의 파스타자")</f>
        <v>조선의 파스타자</v>
      </c>
      <c r="B5653" s="2" t="str">
        <f>IFERROR(__xludf.DUMMYFUNCTION("""COMPUTED_VALUE"""),"소금")</f>
        <v>소금</v>
      </c>
    </row>
    <row r="5654">
      <c r="A5654" s="2" t="str">
        <f>IFERROR(__xludf.DUMMYFUNCTION("""COMPUTED_VALUE"""),"조선의 파스타자")</f>
        <v>조선의 파스타자</v>
      </c>
      <c r="B5654" s="2" t="str">
        <f>IFERROR(__xludf.DUMMYFUNCTION("""COMPUTED_VALUE"""),"후추")</f>
        <v>후추</v>
      </c>
    </row>
    <row r="5655">
      <c r="A5655" s="2" t="str">
        <f>IFERROR(__xludf.DUMMYFUNCTION("""COMPUTED_VALUE"""),"조선의 파스타자")</f>
        <v>조선의 파스타자</v>
      </c>
      <c r="B5655" s="2" t="str">
        <f>IFERROR(__xludf.DUMMYFUNCTION("""COMPUTED_VALUE"""),"화이트와인")</f>
        <v>화이트와인</v>
      </c>
    </row>
    <row r="5656">
      <c r="A5656" s="2" t="str">
        <f>IFERROR(__xludf.DUMMYFUNCTION("""COMPUTED_VALUE"""),"조선의 파스타자")</f>
        <v>조선의 파스타자</v>
      </c>
      <c r="B5656" s="2" t="str">
        <f>IFERROR(__xludf.DUMMYFUNCTION("""COMPUTED_VALUE"""),"올리브오일")</f>
        <v>올리브오일</v>
      </c>
    </row>
    <row r="5657">
      <c r="A5657" s="2" t="str">
        <f>IFERROR(__xludf.DUMMYFUNCTION("""COMPUTED_VALUE"""),"마이 무따아이가")</f>
        <v>마이 무따아이가</v>
      </c>
      <c r="B5657" s="2" t="str">
        <f>IFERROR(__xludf.DUMMYFUNCTION("""COMPUTED_VALUE"""),"구이용 소고기")</f>
        <v>구이용 소고기</v>
      </c>
    </row>
    <row r="5658">
      <c r="A5658" s="2" t="str">
        <f>IFERROR(__xludf.DUMMYFUNCTION("""COMPUTED_VALUE"""),"마이 무따아이가")</f>
        <v>마이 무따아이가</v>
      </c>
      <c r="B5658" s="2" t="str">
        <f>IFERROR(__xludf.DUMMYFUNCTION("""COMPUTED_VALUE"""),"불고기용 소고기")</f>
        <v>불고기용 소고기</v>
      </c>
    </row>
    <row r="5659">
      <c r="A5659" s="2" t="str">
        <f>IFERROR(__xludf.DUMMYFUNCTION("""COMPUTED_VALUE"""),"마이 무따아이가")</f>
        <v>마이 무따아이가</v>
      </c>
      <c r="B5659" s="2" t="str">
        <f>IFERROR(__xludf.DUMMYFUNCTION("""COMPUTED_VALUE"""),"적양파")</f>
        <v>적양파</v>
      </c>
    </row>
    <row r="5660">
      <c r="A5660" s="2" t="str">
        <f>IFERROR(__xludf.DUMMYFUNCTION("""COMPUTED_VALUE"""),"마이 무따아이가")</f>
        <v>마이 무따아이가</v>
      </c>
      <c r="B5660" s="2" t="str">
        <f>IFERROR(__xludf.DUMMYFUNCTION("""COMPUTED_VALUE"""),"맥주")</f>
        <v>맥주</v>
      </c>
    </row>
    <row r="5661">
      <c r="A5661" s="2" t="str">
        <f>IFERROR(__xludf.DUMMYFUNCTION("""COMPUTED_VALUE"""),"마이 무따아이가")</f>
        <v>마이 무따아이가</v>
      </c>
      <c r="B5661" s="2" t="str">
        <f>IFERROR(__xludf.DUMMYFUNCTION("""COMPUTED_VALUE"""),"무화과")</f>
        <v>무화과</v>
      </c>
    </row>
    <row r="5662">
      <c r="A5662" s="2" t="str">
        <f>IFERROR(__xludf.DUMMYFUNCTION("""COMPUTED_VALUE"""),"마이 무따아이가")</f>
        <v>마이 무따아이가</v>
      </c>
      <c r="B5662" s="2" t="str">
        <f>IFERROR(__xludf.DUMMYFUNCTION("""COMPUTED_VALUE"""),"모차렐라 치즈")</f>
        <v>모차렐라 치즈</v>
      </c>
    </row>
    <row r="5663">
      <c r="A5663" s="2" t="str">
        <f>IFERROR(__xludf.DUMMYFUNCTION("""COMPUTED_VALUE"""),"마이 무따아이가")</f>
        <v>마이 무따아이가</v>
      </c>
      <c r="B5663" s="2" t="str">
        <f>IFERROR(__xludf.DUMMYFUNCTION("""COMPUTED_VALUE"""),"고르곤졸라 치즈")</f>
        <v>고르곤졸라 치즈</v>
      </c>
    </row>
    <row r="5664">
      <c r="A5664" s="2" t="str">
        <f>IFERROR(__xludf.DUMMYFUNCTION("""COMPUTED_VALUE"""),"마이 무따아이가")</f>
        <v>마이 무따아이가</v>
      </c>
      <c r="B5664" s="2" t="str">
        <f>IFERROR(__xludf.DUMMYFUNCTION("""COMPUTED_VALUE"""),"감자")</f>
        <v>감자</v>
      </c>
    </row>
    <row r="5665">
      <c r="A5665" s="2" t="str">
        <f>IFERROR(__xludf.DUMMYFUNCTION("""COMPUTED_VALUE"""),"마이 무따아이가")</f>
        <v>마이 무따아이가</v>
      </c>
      <c r="B5665" s="2" t="str">
        <f>IFERROR(__xludf.DUMMYFUNCTION("""COMPUTED_VALUE"""),"레몬청")</f>
        <v>레몬청</v>
      </c>
    </row>
    <row r="5666">
      <c r="A5666" s="2" t="str">
        <f>IFERROR(__xludf.DUMMYFUNCTION("""COMPUTED_VALUE"""),"마이 무따아이가")</f>
        <v>마이 무따아이가</v>
      </c>
      <c r="B5666" s="2" t="str">
        <f>IFERROR(__xludf.DUMMYFUNCTION("""COMPUTED_VALUE"""),"생크림")</f>
        <v>생크림</v>
      </c>
    </row>
    <row r="5667">
      <c r="A5667" s="2" t="str">
        <f>IFERROR(__xludf.DUMMYFUNCTION("""COMPUTED_VALUE"""),"마이 무따아이가")</f>
        <v>마이 무따아이가</v>
      </c>
      <c r="B5667" s="2" t="str">
        <f>IFERROR(__xludf.DUMMYFUNCTION("""COMPUTED_VALUE"""),"머스터드소스")</f>
        <v>머스터드소스</v>
      </c>
    </row>
    <row r="5668">
      <c r="A5668" s="2" t="str">
        <f>IFERROR(__xludf.DUMMYFUNCTION("""COMPUTED_VALUE"""),"마이 무따아이가")</f>
        <v>마이 무따아이가</v>
      </c>
      <c r="B5668" s="2" t="str">
        <f>IFERROR(__xludf.DUMMYFUNCTION("""COMPUTED_VALUE"""),"달걀")</f>
        <v>달걀</v>
      </c>
    </row>
    <row r="5669">
      <c r="A5669" s="2" t="str">
        <f>IFERROR(__xludf.DUMMYFUNCTION("""COMPUTED_VALUE"""),"마이 무따아이가")</f>
        <v>마이 무따아이가</v>
      </c>
      <c r="B5669" s="2" t="str">
        <f>IFERROR(__xludf.DUMMYFUNCTION("""COMPUTED_VALUE"""),"소금")</f>
        <v>소금</v>
      </c>
    </row>
    <row r="5670">
      <c r="A5670" s="2" t="str">
        <f>IFERROR(__xludf.DUMMYFUNCTION("""COMPUTED_VALUE"""),"마이 무따아이가")</f>
        <v>마이 무따아이가</v>
      </c>
      <c r="B5670" s="2" t="str">
        <f>IFERROR(__xludf.DUMMYFUNCTION("""COMPUTED_VALUE"""),"후추")</f>
        <v>후추</v>
      </c>
    </row>
    <row r="5671">
      <c r="A5671" s="2" t="str">
        <f>IFERROR(__xludf.DUMMYFUNCTION("""COMPUTED_VALUE"""),"모시 돼진디?")</f>
        <v>모시 돼진디?</v>
      </c>
      <c r="B5671" s="2" t="str">
        <f>IFERROR(__xludf.DUMMYFUNCTION("""COMPUTED_VALUE"""),"적양파")</f>
        <v>적양파</v>
      </c>
    </row>
    <row r="5672">
      <c r="A5672" s="2" t="str">
        <f>IFERROR(__xludf.DUMMYFUNCTION("""COMPUTED_VALUE"""),"모시 돼진디?")</f>
        <v>모시 돼진디?</v>
      </c>
      <c r="B5672" s="2" t="str">
        <f>IFERROR(__xludf.DUMMYFUNCTION("""COMPUTED_VALUE"""),"항정살")</f>
        <v>항정살</v>
      </c>
    </row>
    <row r="5673">
      <c r="A5673" s="2" t="str">
        <f>IFERROR(__xludf.DUMMYFUNCTION("""COMPUTED_VALUE"""),"모시 돼진디?")</f>
        <v>모시 돼진디?</v>
      </c>
      <c r="B5673" s="2" t="str">
        <f>IFERROR(__xludf.DUMMYFUNCTION("""COMPUTED_VALUE"""),"삼겹살")</f>
        <v>삼겹살</v>
      </c>
    </row>
    <row r="5674">
      <c r="A5674" s="2" t="str">
        <f>IFERROR(__xludf.DUMMYFUNCTION("""COMPUTED_VALUE"""),"모시 돼진디?")</f>
        <v>모시 돼진디?</v>
      </c>
      <c r="B5674" s="2" t="str">
        <f>IFERROR(__xludf.DUMMYFUNCTION("""COMPUTED_VALUE"""),"달래")</f>
        <v>달래</v>
      </c>
    </row>
    <row r="5675">
      <c r="A5675" s="2" t="str">
        <f>IFERROR(__xludf.DUMMYFUNCTION("""COMPUTED_VALUE"""),"모시 돼진디?")</f>
        <v>모시 돼진디?</v>
      </c>
      <c r="B5675" s="2" t="str">
        <f>IFERROR(__xludf.DUMMYFUNCTION("""COMPUTED_VALUE"""),"모시조개")</f>
        <v>모시조개</v>
      </c>
    </row>
    <row r="5676">
      <c r="A5676" s="2" t="str">
        <f>IFERROR(__xludf.DUMMYFUNCTION("""COMPUTED_VALUE"""),"모시 돼진디?")</f>
        <v>모시 돼진디?</v>
      </c>
      <c r="B5676" s="2" t="str">
        <f>IFERROR(__xludf.DUMMYFUNCTION("""COMPUTED_VALUE"""),"동죽")</f>
        <v>동죽</v>
      </c>
    </row>
    <row r="5677">
      <c r="A5677" s="2" t="str">
        <f>IFERROR(__xludf.DUMMYFUNCTION("""COMPUTED_VALUE"""),"모시 돼진디?")</f>
        <v>모시 돼진디?</v>
      </c>
      <c r="B5677" s="2" t="str">
        <f>IFERROR(__xludf.DUMMYFUNCTION("""COMPUTED_VALUE"""),"바지락")</f>
        <v>바지락</v>
      </c>
    </row>
    <row r="5678">
      <c r="A5678" s="2" t="str">
        <f>IFERROR(__xludf.DUMMYFUNCTION("""COMPUTED_VALUE"""),"모시 돼진디?")</f>
        <v>모시 돼진디?</v>
      </c>
      <c r="B5678" s="2" t="str">
        <f>IFERROR(__xludf.DUMMYFUNCTION("""COMPUTED_VALUE"""),"굴소스")</f>
        <v>굴소스</v>
      </c>
    </row>
    <row r="5679">
      <c r="A5679" s="2" t="str">
        <f>IFERROR(__xludf.DUMMYFUNCTION("""COMPUTED_VALUE"""),"모시 돼진디?")</f>
        <v>모시 돼진디?</v>
      </c>
      <c r="B5679" s="2" t="str">
        <f>IFERROR(__xludf.DUMMYFUNCTION("""COMPUTED_VALUE"""),"맥주")</f>
        <v>맥주</v>
      </c>
    </row>
    <row r="5680">
      <c r="A5680" s="2" t="str">
        <f>IFERROR(__xludf.DUMMYFUNCTION("""COMPUTED_VALUE"""),"모시 돼진디?")</f>
        <v>모시 돼진디?</v>
      </c>
      <c r="B5680" s="2" t="str">
        <f>IFERROR(__xludf.DUMMYFUNCTION("""COMPUTED_VALUE"""),"대파")</f>
        <v>대파</v>
      </c>
    </row>
    <row r="5681">
      <c r="A5681" s="2" t="str">
        <f>IFERROR(__xludf.DUMMYFUNCTION("""COMPUTED_VALUE"""),"모시 돼진디?")</f>
        <v>모시 돼진디?</v>
      </c>
      <c r="B5681" s="2" t="str">
        <f>IFERROR(__xludf.DUMMYFUNCTION("""COMPUTED_VALUE"""),"마늘")</f>
        <v>마늘</v>
      </c>
    </row>
    <row r="5682">
      <c r="A5682" s="2" t="str">
        <f>IFERROR(__xludf.DUMMYFUNCTION("""COMPUTED_VALUE"""),"모시 돼진디?")</f>
        <v>모시 돼진디?</v>
      </c>
      <c r="B5682" s="2" t="str">
        <f>IFERROR(__xludf.DUMMYFUNCTION("""COMPUTED_VALUE"""),"고추")</f>
        <v>고추</v>
      </c>
    </row>
    <row r="5683">
      <c r="A5683" s="2" t="str">
        <f>IFERROR(__xludf.DUMMYFUNCTION("""COMPUTED_VALUE"""),"모시 돼진디?")</f>
        <v>모시 돼진디?</v>
      </c>
      <c r="B5683" s="2" t="str">
        <f>IFERROR(__xludf.DUMMYFUNCTION("""COMPUTED_VALUE"""),"다진 마늘")</f>
        <v>다진 마늘</v>
      </c>
    </row>
    <row r="5684">
      <c r="A5684" s="2" t="str">
        <f>IFERROR(__xludf.DUMMYFUNCTION("""COMPUTED_VALUE"""),"모시 돼진디?")</f>
        <v>모시 돼진디?</v>
      </c>
      <c r="B5684" s="2" t="str">
        <f>IFERROR(__xludf.DUMMYFUNCTION("""COMPUTED_VALUE"""),"레몬")</f>
        <v>레몬</v>
      </c>
    </row>
    <row r="5685">
      <c r="A5685" s="2" t="str">
        <f>IFERROR(__xludf.DUMMYFUNCTION("""COMPUTED_VALUE"""),"모시 돼진디?")</f>
        <v>모시 돼진디?</v>
      </c>
      <c r="B5685" s="2" t="str">
        <f>IFERROR(__xludf.DUMMYFUNCTION("""COMPUTED_VALUE"""),"고춧가루")</f>
        <v>고춧가루</v>
      </c>
    </row>
    <row r="5686">
      <c r="A5686" s="2" t="str">
        <f>IFERROR(__xludf.DUMMYFUNCTION("""COMPUTED_VALUE"""),"모시 돼진디?")</f>
        <v>모시 돼진디?</v>
      </c>
      <c r="B5686" s="2" t="str">
        <f>IFERROR(__xludf.DUMMYFUNCTION("""COMPUTED_VALUE"""),"화이트와인")</f>
        <v>화이트와인</v>
      </c>
    </row>
    <row r="5687">
      <c r="A5687" s="2" t="str">
        <f>IFERROR(__xludf.DUMMYFUNCTION("""COMPUTED_VALUE"""),"풍비박산")</f>
        <v>풍비박산</v>
      </c>
      <c r="B5687" s="2" t="str">
        <f>IFERROR(__xludf.DUMMYFUNCTION("""COMPUTED_VALUE"""),"베이컨용 삼겹살")</f>
        <v>베이컨용 삼겹살</v>
      </c>
    </row>
    <row r="5688">
      <c r="A5688" s="2" t="str">
        <f>IFERROR(__xludf.DUMMYFUNCTION("""COMPUTED_VALUE"""),"풍비박산")</f>
        <v>풍비박산</v>
      </c>
      <c r="B5688" s="2" t="str">
        <f>IFERROR(__xludf.DUMMYFUNCTION("""COMPUTED_VALUE"""),"오징어")</f>
        <v>오징어</v>
      </c>
    </row>
    <row r="5689">
      <c r="A5689" s="2" t="str">
        <f>IFERROR(__xludf.DUMMYFUNCTION("""COMPUTED_VALUE"""),"풍비박산")</f>
        <v>풍비박산</v>
      </c>
      <c r="B5689" s="2" t="str">
        <f>IFERROR(__xludf.DUMMYFUNCTION("""COMPUTED_VALUE"""),"게맛살")</f>
        <v>게맛살</v>
      </c>
    </row>
    <row r="5690">
      <c r="A5690" s="2" t="str">
        <f>IFERROR(__xludf.DUMMYFUNCTION("""COMPUTED_VALUE"""),"풍비박산")</f>
        <v>풍비박산</v>
      </c>
      <c r="B5690" s="2" t="str">
        <f>IFERROR(__xludf.DUMMYFUNCTION("""COMPUTED_VALUE"""),"게살장")</f>
        <v>게살장</v>
      </c>
    </row>
    <row r="5691">
      <c r="A5691" s="2" t="str">
        <f>IFERROR(__xludf.DUMMYFUNCTION("""COMPUTED_VALUE"""),"풍비박산")</f>
        <v>풍비박산</v>
      </c>
      <c r="B5691" s="2" t="str">
        <f>IFERROR(__xludf.DUMMYFUNCTION("""COMPUTED_VALUE"""),"소시지")</f>
        <v>소시지</v>
      </c>
    </row>
    <row r="5692">
      <c r="A5692" s="2" t="str">
        <f>IFERROR(__xludf.DUMMYFUNCTION("""COMPUTED_VALUE"""),"풍비박산")</f>
        <v>풍비박산</v>
      </c>
      <c r="B5692" s="2" t="str">
        <f>IFERROR(__xludf.DUMMYFUNCTION("""COMPUTED_VALUE"""),"두부")</f>
        <v>두부</v>
      </c>
    </row>
    <row r="5693">
      <c r="A5693" s="2" t="str">
        <f>IFERROR(__xludf.DUMMYFUNCTION("""COMPUTED_VALUE"""),"풍비박산")</f>
        <v>풍비박산</v>
      </c>
      <c r="B5693" s="2" t="str">
        <f>IFERROR(__xludf.DUMMYFUNCTION("""COMPUTED_VALUE"""),"애호박")</f>
        <v>애호박</v>
      </c>
    </row>
    <row r="5694">
      <c r="A5694" s="2" t="str">
        <f>IFERROR(__xludf.DUMMYFUNCTION("""COMPUTED_VALUE"""),"풍비박산")</f>
        <v>풍비박산</v>
      </c>
      <c r="B5694" s="2" t="str">
        <f>IFERROR(__xludf.DUMMYFUNCTION("""COMPUTED_VALUE"""),"팽이버섯")</f>
        <v>팽이버섯</v>
      </c>
    </row>
    <row r="5695">
      <c r="A5695" s="2" t="str">
        <f>IFERROR(__xludf.DUMMYFUNCTION("""COMPUTED_VALUE"""),"풍비박산")</f>
        <v>풍비박산</v>
      </c>
      <c r="B5695" s="2" t="str">
        <f>IFERROR(__xludf.DUMMYFUNCTION("""COMPUTED_VALUE"""),"미니새송이버섯")</f>
        <v>미니새송이버섯</v>
      </c>
    </row>
    <row r="5696">
      <c r="A5696" s="2" t="str">
        <f>IFERROR(__xludf.DUMMYFUNCTION("""COMPUTED_VALUE"""),"풍비박산")</f>
        <v>풍비박산</v>
      </c>
      <c r="B5696" s="2" t="str">
        <f>IFERROR(__xludf.DUMMYFUNCTION("""COMPUTED_VALUE"""),"미니파프리카")</f>
        <v>미니파프리카</v>
      </c>
    </row>
    <row r="5697">
      <c r="A5697" s="2" t="str">
        <f>IFERROR(__xludf.DUMMYFUNCTION("""COMPUTED_VALUE"""),"풍비박산")</f>
        <v>풍비박산</v>
      </c>
      <c r="B5697" s="2" t="str">
        <f>IFERROR(__xludf.DUMMYFUNCTION("""COMPUTED_VALUE"""),"일본간장")</f>
        <v>일본간장</v>
      </c>
    </row>
    <row r="5698">
      <c r="A5698" s="2" t="str">
        <f>IFERROR(__xludf.DUMMYFUNCTION("""COMPUTED_VALUE"""),"풍비박산")</f>
        <v>풍비박산</v>
      </c>
      <c r="B5698" s="2" t="str">
        <f>IFERROR(__xludf.DUMMYFUNCTION("""COMPUTED_VALUE"""),"유자후추")</f>
        <v>유자후추</v>
      </c>
    </row>
    <row r="5699">
      <c r="A5699" s="2" t="str">
        <f>IFERROR(__xludf.DUMMYFUNCTION("""COMPUTED_VALUE"""),"풍비박산")</f>
        <v>풍비박산</v>
      </c>
      <c r="B5699" s="2" t="str">
        <f>IFERROR(__xludf.DUMMYFUNCTION("""COMPUTED_VALUE"""),"꽈리고추")</f>
        <v>꽈리고추</v>
      </c>
    </row>
    <row r="5700">
      <c r="A5700" s="2" t="str">
        <f>IFERROR(__xludf.DUMMYFUNCTION("""COMPUTED_VALUE"""),"풍비박산")</f>
        <v>풍비박산</v>
      </c>
      <c r="B5700" s="2" t="str">
        <f>IFERROR(__xludf.DUMMYFUNCTION("""COMPUTED_VALUE"""),"양파")</f>
        <v>양파</v>
      </c>
    </row>
    <row r="5701">
      <c r="A5701" s="2" t="str">
        <f>IFERROR(__xludf.DUMMYFUNCTION("""COMPUTED_VALUE"""),"풍비박산")</f>
        <v>풍비박산</v>
      </c>
      <c r="B5701" s="2" t="str">
        <f>IFERROR(__xludf.DUMMYFUNCTION("""COMPUTED_VALUE"""),"마늘")</f>
        <v>마늘</v>
      </c>
    </row>
    <row r="5702">
      <c r="A5702" s="2" t="str">
        <f>IFERROR(__xludf.DUMMYFUNCTION("""COMPUTED_VALUE"""),"풍비박산")</f>
        <v>풍비박산</v>
      </c>
      <c r="B5702" s="2" t="str">
        <f>IFERROR(__xludf.DUMMYFUNCTION("""COMPUTED_VALUE"""),"대파")</f>
        <v>대파</v>
      </c>
    </row>
    <row r="5703">
      <c r="A5703" s="2" t="str">
        <f>IFERROR(__xludf.DUMMYFUNCTION("""COMPUTED_VALUE"""),"풍비박산")</f>
        <v>풍비박산</v>
      </c>
      <c r="B5703" s="2" t="str">
        <f>IFERROR(__xludf.DUMMYFUNCTION("""COMPUTED_VALUE"""),"케첩")</f>
        <v>케첩</v>
      </c>
    </row>
    <row r="5704">
      <c r="A5704" s="2" t="str">
        <f>IFERROR(__xludf.DUMMYFUNCTION("""COMPUTED_VALUE"""),"풍비박산")</f>
        <v>풍비박산</v>
      </c>
      <c r="B5704" s="2" t="str">
        <f>IFERROR(__xludf.DUMMYFUNCTION("""COMPUTED_VALUE"""),"고추장")</f>
        <v>고추장</v>
      </c>
    </row>
    <row r="5705">
      <c r="A5705" s="2" t="str">
        <f>IFERROR(__xludf.DUMMYFUNCTION("""COMPUTED_VALUE"""),"풍비박산")</f>
        <v>풍비박산</v>
      </c>
      <c r="B5705" s="2" t="str">
        <f>IFERROR(__xludf.DUMMYFUNCTION("""COMPUTED_VALUE"""),"깨")</f>
        <v>깨</v>
      </c>
    </row>
    <row r="5706">
      <c r="A5706" s="2" t="str">
        <f>IFERROR(__xludf.DUMMYFUNCTION("""COMPUTED_VALUE"""),"풍비박산")</f>
        <v>풍비박산</v>
      </c>
      <c r="B5706" s="2" t="str">
        <f>IFERROR(__xludf.DUMMYFUNCTION("""COMPUTED_VALUE"""),"전분")</f>
        <v>전분</v>
      </c>
    </row>
    <row r="5707">
      <c r="A5707" s="2" t="str">
        <f>IFERROR(__xludf.DUMMYFUNCTION("""COMPUTED_VALUE"""),"풍비박산")</f>
        <v>풍비박산</v>
      </c>
      <c r="B5707" s="2" t="str">
        <f>IFERROR(__xludf.DUMMYFUNCTION("""COMPUTED_VALUE"""),"달걀")</f>
        <v>달걀</v>
      </c>
    </row>
    <row r="5708">
      <c r="A5708" s="2" t="str">
        <f>IFERROR(__xludf.DUMMYFUNCTION("""COMPUTED_VALUE"""),"치즈듬풍만두")</f>
        <v>치즈듬풍만두</v>
      </c>
      <c r="B5708" s="2" t="str">
        <f>IFERROR(__xludf.DUMMYFUNCTION("""COMPUTED_VALUE"""),"베이컨용 삼겹살")</f>
        <v>베이컨용 삼겹살</v>
      </c>
    </row>
    <row r="5709">
      <c r="A5709" s="2" t="str">
        <f>IFERROR(__xludf.DUMMYFUNCTION("""COMPUTED_VALUE"""),"치즈듬풍만두")</f>
        <v>치즈듬풍만두</v>
      </c>
      <c r="B5709" s="2" t="str">
        <f>IFERROR(__xludf.DUMMYFUNCTION("""COMPUTED_VALUE"""),"크림치즈")</f>
        <v>크림치즈</v>
      </c>
    </row>
    <row r="5710">
      <c r="A5710" s="2" t="str">
        <f>IFERROR(__xludf.DUMMYFUNCTION("""COMPUTED_VALUE"""),"치즈듬풍만두")</f>
        <v>치즈듬풍만두</v>
      </c>
      <c r="B5710" s="2" t="str">
        <f>IFERROR(__xludf.DUMMYFUNCTION("""COMPUTED_VALUE"""),"모차렐라치즈")</f>
        <v>모차렐라치즈</v>
      </c>
    </row>
    <row r="5711">
      <c r="A5711" s="2" t="str">
        <f>IFERROR(__xludf.DUMMYFUNCTION("""COMPUTED_VALUE"""),"치즈듬풍만두")</f>
        <v>치즈듬풍만두</v>
      </c>
      <c r="B5711" s="2" t="str">
        <f>IFERROR(__xludf.DUMMYFUNCTION("""COMPUTED_VALUE"""),"고다치즈")</f>
        <v>고다치즈</v>
      </c>
    </row>
    <row r="5712">
      <c r="A5712" s="2" t="str">
        <f>IFERROR(__xludf.DUMMYFUNCTION("""COMPUTED_VALUE"""),"치즈듬풍만두")</f>
        <v>치즈듬풍만두</v>
      </c>
      <c r="B5712" s="2" t="str">
        <f>IFERROR(__xludf.DUMMYFUNCTION("""COMPUTED_VALUE"""),"리코타치즈")</f>
        <v>리코타치즈</v>
      </c>
    </row>
    <row r="5713">
      <c r="A5713" s="2" t="str">
        <f>IFERROR(__xludf.DUMMYFUNCTION("""COMPUTED_VALUE"""),"치즈듬풍만두")</f>
        <v>치즈듬풍만두</v>
      </c>
      <c r="B5713" s="2" t="str">
        <f>IFERROR(__xludf.DUMMYFUNCTION("""COMPUTED_VALUE"""),"새우젓")</f>
        <v>새우젓</v>
      </c>
    </row>
    <row r="5714">
      <c r="A5714" s="2" t="str">
        <f>IFERROR(__xludf.DUMMYFUNCTION("""COMPUTED_VALUE"""),"치즈듬풍만두")</f>
        <v>치즈듬풍만두</v>
      </c>
      <c r="B5714" s="2" t="str">
        <f>IFERROR(__xludf.DUMMYFUNCTION("""COMPUTED_VALUE"""),"팽이버섯")</f>
        <v>팽이버섯</v>
      </c>
    </row>
    <row r="5715">
      <c r="A5715" s="2" t="str">
        <f>IFERROR(__xludf.DUMMYFUNCTION("""COMPUTED_VALUE"""),"치즈듬풍만두")</f>
        <v>치즈듬풍만두</v>
      </c>
      <c r="B5715" s="2" t="str">
        <f>IFERROR(__xludf.DUMMYFUNCTION("""COMPUTED_VALUE"""),"딸기잼")</f>
        <v>딸기잼</v>
      </c>
    </row>
    <row r="5716">
      <c r="A5716" s="2" t="str">
        <f>IFERROR(__xludf.DUMMYFUNCTION("""COMPUTED_VALUE"""),"치즈듬풍만두")</f>
        <v>치즈듬풍만두</v>
      </c>
      <c r="B5716" s="2" t="str">
        <f>IFERROR(__xludf.DUMMYFUNCTION("""COMPUTED_VALUE"""),"양파")</f>
        <v>양파</v>
      </c>
    </row>
    <row r="5717">
      <c r="A5717" s="2" t="str">
        <f>IFERROR(__xludf.DUMMYFUNCTION("""COMPUTED_VALUE"""),"치즈듬풍만두")</f>
        <v>치즈듬풍만두</v>
      </c>
      <c r="B5717" s="2" t="str">
        <f>IFERROR(__xludf.DUMMYFUNCTION("""COMPUTED_VALUE"""),"청양고추")</f>
        <v>청양고추</v>
      </c>
    </row>
    <row r="5718">
      <c r="A5718" s="2" t="str">
        <f>IFERROR(__xludf.DUMMYFUNCTION("""COMPUTED_VALUE"""),"치즈듬풍만두")</f>
        <v>치즈듬풍만두</v>
      </c>
      <c r="B5718" s="2" t="str">
        <f>IFERROR(__xludf.DUMMYFUNCTION("""COMPUTED_VALUE"""),"마늘")</f>
        <v>마늘</v>
      </c>
    </row>
    <row r="5719">
      <c r="A5719" s="2" t="str">
        <f>IFERROR(__xludf.DUMMYFUNCTION("""COMPUTED_VALUE"""),"치즈듬풍만두")</f>
        <v>치즈듬풍만두</v>
      </c>
      <c r="B5719" s="2" t="str">
        <f>IFERROR(__xludf.DUMMYFUNCTION("""COMPUTED_VALUE"""),"레몬")</f>
        <v>레몬</v>
      </c>
    </row>
    <row r="5720">
      <c r="A5720" s="2" t="str">
        <f>IFERROR(__xludf.DUMMYFUNCTION("""COMPUTED_VALUE"""),"치즈듬풍만두")</f>
        <v>치즈듬풍만두</v>
      </c>
      <c r="B5720" s="2" t="str">
        <f>IFERROR(__xludf.DUMMYFUNCTION("""COMPUTED_VALUE"""),"밀가루")</f>
        <v>밀가루</v>
      </c>
    </row>
    <row r="5721">
      <c r="A5721" s="2" t="str">
        <f>IFERROR(__xludf.DUMMYFUNCTION("""COMPUTED_VALUE"""),"치즈듬풍만두")</f>
        <v>치즈듬풍만두</v>
      </c>
      <c r="B5721" s="2" t="str">
        <f>IFERROR(__xludf.DUMMYFUNCTION("""COMPUTED_VALUE"""),"전분")</f>
        <v>전분</v>
      </c>
    </row>
    <row r="5722">
      <c r="A5722" s="2" t="str">
        <f>IFERROR(__xludf.DUMMYFUNCTION("""COMPUTED_VALUE"""),"치즈듬풍만두")</f>
        <v>치즈듬풍만두</v>
      </c>
      <c r="B5722" s="2" t="str">
        <f>IFERROR(__xludf.DUMMYFUNCTION("""COMPUTED_VALUE"""),"식용유")</f>
        <v>식용유</v>
      </c>
    </row>
    <row r="5723">
      <c r="A5723" s="2" t="str">
        <f>IFERROR(__xludf.DUMMYFUNCTION("""COMPUTED_VALUE"""),"치즈듬풍만두")</f>
        <v>치즈듬풍만두</v>
      </c>
      <c r="B5723" s="2" t="str">
        <f>IFERROR(__xludf.DUMMYFUNCTION("""COMPUTED_VALUE"""),"버터")</f>
        <v>버터</v>
      </c>
    </row>
    <row r="5724">
      <c r="A5724" s="2" t="str">
        <f>IFERROR(__xludf.DUMMYFUNCTION("""COMPUTED_VALUE"""),"치즈듬풍만두")</f>
        <v>치즈듬풍만두</v>
      </c>
      <c r="B5724" s="2" t="str">
        <f>IFERROR(__xludf.DUMMYFUNCTION("""COMPUTED_VALUE"""),"후추")</f>
        <v>후추</v>
      </c>
    </row>
    <row r="5725">
      <c r="A5725" s="2" t="str">
        <f>IFERROR(__xludf.DUMMYFUNCTION("""COMPUTED_VALUE"""),"치즈듬풍만두")</f>
        <v>치즈듬풍만두</v>
      </c>
      <c r="B5725" s="2" t="str">
        <f>IFERROR(__xludf.DUMMYFUNCTION("""COMPUTED_VALUE"""),"마요네즈")</f>
        <v>마요네즈</v>
      </c>
    </row>
    <row r="5726">
      <c r="A5726" s="2" t="str">
        <f>IFERROR(__xludf.DUMMYFUNCTION("""COMPUTED_VALUE"""),"치즈듬풍만두")</f>
        <v>치즈듬풍만두</v>
      </c>
      <c r="B5726" s="2" t="str">
        <f>IFERROR(__xludf.DUMMYFUNCTION("""COMPUTED_VALUE"""),"간장")</f>
        <v>간장</v>
      </c>
    </row>
    <row r="5727">
      <c r="A5727" s="2" t="str">
        <f>IFERROR(__xludf.DUMMYFUNCTION("""COMPUTED_VALUE"""),"치즈듬풍만두")</f>
        <v>치즈듬풍만두</v>
      </c>
      <c r="B5727" s="2" t="str">
        <f>IFERROR(__xludf.DUMMYFUNCTION("""COMPUTED_VALUE"""),"달걀")</f>
        <v>달걀</v>
      </c>
    </row>
    <row r="5728">
      <c r="A5728" s="2" t="str">
        <f>IFERROR(__xludf.DUMMYFUNCTION("""COMPUTED_VALUE"""),"낫띵배럴~♬")</f>
        <v>낫띵배럴~♬</v>
      </c>
      <c r="B5728" s="2" t="str">
        <f>IFERROR(__xludf.DUMMYFUNCTION("""COMPUTED_VALUE"""),"칼국수면")</f>
        <v>칼국수면</v>
      </c>
    </row>
    <row r="5729">
      <c r="A5729" s="2" t="str">
        <f>IFERROR(__xludf.DUMMYFUNCTION("""COMPUTED_VALUE"""),"낫띵배럴~♬")</f>
        <v>낫띵배럴~♬</v>
      </c>
      <c r="B5729" s="2" t="str">
        <f>IFERROR(__xludf.DUMMYFUNCTION("""COMPUTED_VALUE"""),"낫토")</f>
        <v>낫토</v>
      </c>
    </row>
    <row r="5730">
      <c r="A5730" s="2" t="str">
        <f>IFERROR(__xludf.DUMMYFUNCTION("""COMPUTED_VALUE"""),"낫띵배럴~♬")</f>
        <v>낫띵배럴~♬</v>
      </c>
      <c r="B5730" s="2" t="str">
        <f>IFERROR(__xludf.DUMMYFUNCTION("""COMPUTED_VALUE"""),"된장")</f>
        <v>된장</v>
      </c>
    </row>
    <row r="5731">
      <c r="A5731" s="2" t="str">
        <f>IFERROR(__xludf.DUMMYFUNCTION("""COMPUTED_VALUE"""),"낫띵배럴~♬")</f>
        <v>낫띵배럴~♬</v>
      </c>
      <c r="B5731" s="2" t="str">
        <f>IFERROR(__xludf.DUMMYFUNCTION("""COMPUTED_VALUE"""),"카망베르치즈")</f>
        <v>카망베르치즈</v>
      </c>
    </row>
    <row r="5732">
      <c r="A5732" s="2" t="str">
        <f>IFERROR(__xludf.DUMMYFUNCTION("""COMPUTED_VALUE"""),"낫띵배럴~♬")</f>
        <v>낫띵배럴~♬</v>
      </c>
      <c r="B5732" s="2" t="str">
        <f>IFERROR(__xludf.DUMMYFUNCTION("""COMPUTED_VALUE"""),"체다치즈")</f>
        <v>체다치즈</v>
      </c>
    </row>
    <row r="5733">
      <c r="A5733" s="2" t="str">
        <f>IFERROR(__xludf.DUMMYFUNCTION("""COMPUTED_VALUE"""),"낫띵배럴~♬")</f>
        <v>낫띵배럴~♬</v>
      </c>
      <c r="B5733" s="2" t="str">
        <f>IFERROR(__xludf.DUMMYFUNCTION("""COMPUTED_VALUE"""),"인스턴트 육개장")</f>
        <v>인스턴트 육개장</v>
      </c>
    </row>
    <row r="5734">
      <c r="A5734" s="2" t="str">
        <f>IFERROR(__xludf.DUMMYFUNCTION("""COMPUTED_VALUE"""),"낫띵배럴~♬")</f>
        <v>낫띵배럴~♬</v>
      </c>
      <c r="B5734" s="2" t="str">
        <f>IFERROR(__xludf.DUMMYFUNCTION("""COMPUTED_VALUE"""),"총각김치")</f>
        <v>총각김치</v>
      </c>
    </row>
    <row r="5735">
      <c r="A5735" s="2" t="str">
        <f>IFERROR(__xludf.DUMMYFUNCTION("""COMPUTED_VALUE"""),"낫띵배럴~♬")</f>
        <v>낫띵배럴~♬</v>
      </c>
      <c r="B5735" s="2" t="str">
        <f>IFERROR(__xludf.DUMMYFUNCTION("""COMPUTED_VALUE"""),"참기름")</f>
        <v>참기름</v>
      </c>
    </row>
    <row r="5736">
      <c r="A5736" s="2" t="str">
        <f>IFERROR(__xludf.DUMMYFUNCTION("""COMPUTED_VALUE"""),"낫띵배럴~♬")</f>
        <v>낫띵배럴~♬</v>
      </c>
      <c r="B5736" s="2" t="str">
        <f>IFERROR(__xludf.DUMMYFUNCTION("""COMPUTED_VALUE"""),"베이컨용 삼겹살")</f>
        <v>베이컨용 삼겹살</v>
      </c>
    </row>
    <row r="5737">
      <c r="A5737" s="2" t="str">
        <f>IFERROR(__xludf.DUMMYFUNCTION("""COMPUTED_VALUE"""),"낫띵배럴~♬")</f>
        <v>낫띵배럴~♬</v>
      </c>
      <c r="B5737" s="2" t="str">
        <f>IFERROR(__xludf.DUMMYFUNCTION("""COMPUTED_VALUE"""),"양파")</f>
        <v>양파</v>
      </c>
    </row>
    <row r="5738">
      <c r="A5738" s="2" t="str">
        <f>IFERROR(__xludf.DUMMYFUNCTION("""COMPUTED_VALUE"""),"낫띵배럴~♬")</f>
        <v>낫띵배럴~♬</v>
      </c>
      <c r="B5738" s="2" t="str">
        <f>IFERROR(__xludf.DUMMYFUNCTION("""COMPUTED_VALUE"""),"대파")</f>
        <v>대파</v>
      </c>
    </row>
    <row r="5739">
      <c r="A5739" s="2" t="str">
        <f>IFERROR(__xludf.DUMMYFUNCTION("""COMPUTED_VALUE"""),"낫띵배럴~♬")</f>
        <v>낫띵배럴~♬</v>
      </c>
      <c r="B5739" s="2" t="str">
        <f>IFERROR(__xludf.DUMMYFUNCTION("""COMPUTED_VALUE"""),"고추")</f>
        <v>고추</v>
      </c>
    </row>
    <row r="5740">
      <c r="A5740" s="2" t="str">
        <f>IFERROR(__xludf.DUMMYFUNCTION("""COMPUTED_VALUE"""),"낫띵배럴~♬")</f>
        <v>낫띵배럴~♬</v>
      </c>
      <c r="B5740" s="2" t="str">
        <f>IFERROR(__xludf.DUMMYFUNCTION("""COMPUTED_VALUE"""),"다진 마늘")</f>
        <v>다진 마늘</v>
      </c>
    </row>
    <row r="5741">
      <c r="A5741" s="2" t="str">
        <f>IFERROR(__xludf.DUMMYFUNCTION("""COMPUTED_VALUE"""),"낫띵배럴~♬")</f>
        <v>낫띵배럴~♬</v>
      </c>
      <c r="B5741" s="2" t="str">
        <f>IFERROR(__xludf.DUMMYFUNCTION("""COMPUTED_VALUE"""),"후추")</f>
        <v>후추</v>
      </c>
    </row>
    <row r="5742">
      <c r="A5742" s="2" t="str">
        <f>IFERROR(__xludf.DUMMYFUNCTION("""COMPUTED_VALUE"""),"낫띵배럴~♬")</f>
        <v>낫띵배럴~♬</v>
      </c>
      <c r="B5742" s="2" t="str">
        <f>IFERROR(__xludf.DUMMYFUNCTION("""COMPUTED_VALUE"""),"고춧가루")</f>
        <v>고춧가루</v>
      </c>
    </row>
    <row r="5743">
      <c r="A5743" s="2" t="str">
        <f>IFERROR(__xludf.DUMMYFUNCTION("""COMPUTED_VALUE"""),"낫띵배럴~♬")</f>
        <v>낫띵배럴~♬</v>
      </c>
      <c r="B5743" s="2" t="str">
        <f>IFERROR(__xludf.DUMMYFUNCTION("""COMPUTED_VALUE"""),"전분")</f>
        <v>전분</v>
      </c>
    </row>
    <row r="5744">
      <c r="A5744" s="2" t="str">
        <f>IFERROR(__xludf.DUMMYFUNCTION("""COMPUTED_VALUE"""),"낫띵배럴~♬")</f>
        <v>낫띵배럴~♬</v>
      </c>
      <c r="B5744" s="2" t="str">
        <f>IFERROR(__xludf.DUMMYFUNCTION("""COMPUTED_VALUE"""),"깨")</f>
        <v>깨</v>
      </c>
    </row>
    <row r="5745">
      <c r="A5745" s="2" t="str">
        <f>IFERROR(__xludf.DUMMYFUNCTION("""COMPUTED_VALUE"""),"낫띵배럴~♬")</f>
        <v>낫띵배럴~♬</v>
      </c>
      <c r="B5745" s="2" t="str">
        <f>IFERROR(__xludf.DUMMYFUNCTION("""COMPUTED_VALUE"""),"달걀")</f>
        <v>달걀</v>
      </c>
    </row>
    <row r="5746">
      <c r="A5746" s="2" t="str">
        <f>IFERROR(__xludf.DUMMYFUNCTION("""COMPUTED_VALUE"""),"낫띵배럴~♬")</f>
        <v>낫띵배럴~♬</v>
      </c>
      <c r="B5746" s="2" t="str">
        <f>IFERROR(__xludf.DUMMYFUNCTION("""COMPUTED_VALUE"""),"라면")</f>
        <v>라면</v>
      </c>
    </row>
    <row r="5747">
      <c r="A5747" s="2" t="str">
        <f>IFERROR(__xludf.DUMMYFUNCTION("""COMPUTED_VALUE"""),"낫띵배럴~♬")</f>
        <v>낫띵배럴~♬</v>
      </c>
      <c r="B5747" s="2" t="str">
        <f>IFERROR(__xludf.DUMMYFUNCTION("""COMPUTED_VALUE"""),"즉석밥")</f>
        <v>즉석밥</v>
      </c>
    </row>
    <row r="5748">
      <c r="A5748" s="2" t="str">
        <f>IFERROR(__xludf.DUMMYFUNCTION("""COMPUTED_VALUE"""),"연게우동")</f>
        <v>연게우동</v>
      </c>
      <c r="B5748" s="2" t="str">
        <f>IFERROR(__xludf.DUMMYFUNCTION("""COMPUTED_VALUE"""),"우동면")</f>
        <v>우동면</v>
      </c>
    </row>
    <row r="5749">
      <c r="A5749" s="2" t="str">
        <f>IFERROR(__xludf.DUMMYFUNCTION("""COMPUTED_VALUE"""),"연게우동")</f>
        <v>연게우동</v>
      </c>
      <c r="B5749" s="2" t="str">
        <f>IFERROR(__xludf.DUMMYFUNCTION("""COMPUTED_VALUE"""),"연근")</f>
        <v>연근</v>
      </c>
    </row>
    <row r="5750">
      <c r="A5750" s="2" t="str">
        <f>IFERROR(__xludf.DUMMYFUNCTION("""COMPUTED_VALUE"""),"연게우동")</f>
        <v>연게우동</v>
      </c>
      <c r="B5750" s="2" t="str">
        <f>IFERROR(__xludf.DUMMYFUNCTION("""COMPUTED_VALUE"""),"게살통조림")</f>
        <v>게살통조림</v>
      </c>
    </row>
    <row r="5751">
      <c r="A5751" s="2" t="str">
        <f>IFERROR(__xludf.DUMMYFUNCTION("""COMPUTED_VALUE"""),"연게우동")</f>
        <v>연게우동</v>
      </c>
      <c r="B5751" s="2" t="str">
        <f>IFERROR(__xludf.DUMMYFUNCTION("""COMPUTED_VALUE"""),"게맛살")</f>
        <v>게맛살</v>
      </c>
    </row>
    <row r="5752">
      <c r="A5752" s="2" t="str">
        <f>IFERROR(__xludf.DUMMYFUNCTION("""COMPUTED_VALUE"""),"연게우동")</f>
        <v>연게우동</v>
      </c>
      <c r="B5752" s="2" t="str">
        <f>IFERROR(__xludf.DUMMYFUNCTION("""COMPUTED_VALUE"""),"게살장")</f>
        <v>게살장</v>
      </c>
    </row>
    <row r="5753">
      <c r="A5753" s="2" t="str">
        <f>IFERROR(__xludf.DUMMYFUNCTION("""COMPUTED_VALUE"""),"연게우동")</f>
        <v>연게우동</v>
      </c>
      <c r="B5753" s="2" t="str">
        <f>IFERROR(__xludf.DUMMYFUNCTION("""COMPUTED_VALUE"""),"크림치즈")</f>
        <v>크림치즈</v>
      </c>
    </row>
    <row r="5754">
      <c r="A5754" s="2" t="str">
        <f>IFERROR(__xludf.DUMMYFUNCTION("""COMPUTED_VALUE"""),"연게우동")</f>
        <v>연게우동</v>
      </c>
      <c r="B5754" s="2" t="str">
        <f>IFERROR(__xludf.DUMMYFUNCTION("""COMPUTED_VALUE"""),"오징어")</f>
        <v>오징어</v>
      </c>
    </row>
    <row r="5755">
      <c r="A5755" s="2" t="str">
        <f>IFERROR(__xludf.DUMMYFUNCTION("""COMPUTED_VALUE"""),"연게우동")</f>
        <v>연게우동</v>
      </c>
      <c r="B5755" s="2" t="str">
        <f>IFERROR(__xludf.DUMMYFUNCTION("""COMPUTED_VALUE"""),"애호박")</f>
        <v>애호박</v>
      </c>
    </row>
    <row r="5756">
      <c r="A5756" s="2" t="str">
        <f>IFERROR(__xludf.DUMMYFUNCTION("""COMPUTED_VALUE"""),"연게우동")</f>
        <v>연게우동</v>
      </c>
      <c r="B5756" s="2" t="str">
        <f>IFERROR(__xludf.DUMMYFUNCTION("""COMPUTED_VALUE"""),"일본간장")</f>
        <v>일본간장</v>
      </c>
    </row>
    <row r="5757">
      <c r="A5757" s="2" t="str">
        <f>IFERROR(__xludf.DUMMYFUNCTION("""COMPUTED_VALUE"""),"연게우동")</f>
        <v>연게우동</v>
      </c>
      <c r="B5757" s="2" t="str">
        <f>IFERROR(__xludf.DUMMYFUNCTION("""COMPUTED_VALUE"""),"유자후추")</f>
        <v>유자후추</v>
      </c>
    </row>
    <row r="5758">
      <c r="A5758" s="2" t="str">
        <f>IFERROR(__xludf.DUMMYFUNCTION("""COMPUTED_VALUE"""),"연게우동")</f>
        <v>연게우동</v>
      </c>
      <c r="B5758" s="2" t="str">
        <f>IFERROR(__xludf.DUMMYFUNCTION("""COMPUTED_VALUE"""),"육수용 티백")</f>
        <v>육수용 티백</v>
      </c>
    </row>
    <row r="5759">
      <c r="A5759" s="2" t="str">
        <f>IFERROR(__xludf.DUMMYFUNCTION("""COMPUTED_VALUE"""),"연게우동")</f>
        <v>연게우동</v>
      </c>
      <c r="B5759" s="2" t="str">
        <f>IFERROR(__xludf.DUMMYFUNCTION("""COMPUTED_VALUE"""),"대파")</f>
        <v>대파</v>
      </c>
    </row>
    <row r="5760">
      <c r="A5760" s="2" t="str">
        <f>IFERROR(__xludf.DUMMYFUNCTION("""COMPUTED_VALUE"""),"연게우동")</f>
        <v>연게우동</v>
      </c>
      <c r="B5760" s="2" t="str">
        <f>IFERROR(__xludf.DUMMYFUNCTION("""COMPUTED_VALUE"""),"소금")</f>
        <v>소금</v>
      </c>
    </row>
    <row r="5761">
      <c r="A5761" s="2" t="str">
        <f>IFERROR(__xludf.DUMMYFUNCTION("""COMPUTED_VALUE"""),"연게우동")</f>
        <v>연게우동</v>
      </c>
      <c r="B5761" s="2" t="str">
        <f>IFERROR(__xludf.DUMMYFUNCTION("""COMPUTED_VALUE"""),"전분")</f>
        <v>전분</v>
      </c>
    </row>
    <row r="5762">
      <c r="A5762" s="2" t="str">
        <f>IFERROR(__xludf.DUMMYFUNCTION("""COMPUTED_VALUE"""),"연게우동")</f>
        <v>연게우동</v>
      </c>
      <c r="B5762" s="2" t="str">
        <f>IFERROR(__xludf.DUMMYFUNCTION("""COMPUTED_VALUE"""),"설탕")</f>
        <v>설탕</v>
      </c>
    </row>
    <row r="5763">
      <c r="A5763" s="2" t="str">
        <f>IFERROR(__xludf.DUMMYFUNCTION("""COMPUTED_VALUE"""),"연게우동")</f>
        <v>연게우동</v>
      </c>
      <c r="B5763" s="2" t="str">
        <f>IFERROR(__xludf.DUMMYFUNCTION("""COMPUTED_VALUE"""),"후추")</f>
        <v>후추</v>
      </c>
    </row>
    <row r="5764">
      <c r="A5764" s="2" t="str">
        <f>IFERROR(__xludf.DUMMYFUNCTION("""COMPUTED_VALUE"""),"연게우동")</f>
        <v>연게우동</v>
      </c>
      <c r="B5764" s="2" t="str">
        <f>IFERROR(__xludf.DUMMYFUNCTION("""COMPUTED_VALUE"""),"맛술")</f>
        <v>맛술</v>
      </c>
    </row>
    <row r="5765">
      <c r="A5765" s="2" t="str">
        <f>IFERROR(__xludf.DUMMYFUNCTION("""COMPUTED_VALUE"""),"연게우동")</f>
        <v>연게우동</v>
      </c>
      <c r="B5765" s="2" t="str">
        <f>IFERROR(__xludf.DUMMYFUNCTION("""COMPUTED_VALUE"""),"청주")</f>
        <v>청주</v>
      </c>
    </row>
    <row r="5766">
      <c r="A5766" s="2" t="str">
        <f>IFERROR(__xludf.DUMMYFUNCTION("""COMPUTED_VALUE"""),"아돔케어")</f>
        <v>아돔케어</v>
      </c>
      <c r="B5766" s="2" t="str">
        <f>IFERROR(__xludf.DUMMYFUNCTION("""COMPUTED_VALUE"""),"갈치")</f>
        <v>갈치</v>
      </c>
    </row>
    <row r="5767">
      <c r="A5767" s="2" t="str">
        <f>IFERROR(__xludf.DUMMYFUNCTION("""COMPUTED_VALUE"""),"아돔케어")</f>
        <v>아돔케어</v>
      </c>
      <c r="B5767" s="2" t="str">
        <f>IFERROR(__xludf.DUMMYFUNCTION("""COMPUTED_VALUE"""),"명란젓")</f>
        <v>명란젓</v>
      </c>
    </row>
    <row r="5768">
      <c r="A5768" s="2" t="str">
        <f>IFERROR(__xludf.DUMMYFUNCTION("""COMPUTED_VALUE"""),"아돔케어")</f>
        <v>아돔케어</v>
      </c>
      <c r="B5768" s="2" t="str">
        <f>IFERROR(__xludf.DUMMYFUNCTION("""COMPUTED_VALUE"""),"자숙새우")</f>
        <v>자숙새우</v>
      </c>
    </row>
    <row r="5769">
      <c r="A5769" s="2" t="str">
        <f>IFERROR(__xludf.DUMMYFUNCTION("""COMPUTED_VALUE"""),"아돔케어")</f>
        <v>아돔케어</v>
      </c>
      <c r="B5769" s="2" t="str">
        <f>IFERROR(__xludf.DUMMYFUNCTION("""COMPUTED_VALUE"""),"시금치")</f>
        <v>시금치</v>
      </c>
    </row>
    <row r="5770">
      <c r="A5770" s="2" t="str">
        <f>IFERROR(__xludf.DUMMYFUNCTION("""COMPUTED_VALUE"""),"아돔케어")</f>
        <v>아돔케어</v>
      </c>
      <c r="B5770" s="2" t="str">
        <f>IFERROR(__xludf.DUMMYFUNCTION("""COMPUTED_VALUE"""),"아보카도")</f>
        <v>아보카도</v>
      </c>
    </row>
    <row r="5771">
      <c r="A5771" s="2" t="str">
        <f>IFERROR(__xludf.DUMMYFUNCTION("""COMPUTED_VALUE"""),"아돔케어")</f>
        <v>아돔케어</v>
      </c>
      <c r="B5771" s="2" t="str">
        <f>IFERROR(__xludf.DUMMYFUNCTION("""COMPUTED_VALUE"""),"브로콜리")</f>
        <v>브로콜리</v>
      </c>
    </row>
    <row r="5772">
      <c r="A5772" s="2" t="str">
        <f>IFERROR(__xludf.DUMMYFUNCTION("""COMPUTED_VALUE"""),"아돔케어")</f>
        <v>아돔케어</v>
      </c>
      <c r="B5772" s="2" t="str">
        <f>IFERROR(__xludf.DUMMYFUNCTION("""COMPUTED_VALUE"""),"시금치딥")</f>
        <v>시금치딥</v>
      </c>
    </row>
    <row r="5773">
      <c r="A5773" s="2" t="str">
        <f>IFERROR(__xludf.DUMMYFUNCTION("""COMPUTED_VALUE"""),"아돔케어")</f>
        <v>아돔케어</v>
      </c>
      <c r="B5773" s="2" t="str">
        <f>IFERROR(__xludf.DUMMYFUNCTION("""COMPUTED_VALUE"""),"황도")</f>
        <v>황도</v>
      </c>
    </row>
    <row r="5774">
      <c r="A5774" s="2" t="str">
        <f>IFERROR(__xludf.DUMMYFUNCTION("""COMPUTED_VALUE"""),"아돔케어")</f>
        <v>아돔케어</v>
      </c>
      <c r="B5774" s="2" t="str">
        <f>IFERROR(__xludf.DUMMYFUNCTION("""COMPUTED_VALUE"""),"블랙올리브")</f>
        <v>블랙올리브</v>
      </c>
    </row>
    <row r="5775">
      <c r="A5775" s="2" t="str">
        <f>IFERROR(__xludf.DUMMYFUNCTION("""COMPUTED_VALUE"""),"아돔케어")</f>
        <v>아돔케어</v>
      </c>
      <c r="B5775" s="2" t="str">
        <f>IFERROR(__xludf.DUMMYFUNCTION("""COMPUTED_VALUE"""),"우유")</f>
        <v>우유</v>
      </c>
    </row>
    <row r="5776">
      <c r="A5776" s="2" t="str">
        <f>IFERROR(__xludf.DUMMYFUNCTION("""COMPUTED_VALUE"""),"아돔케어")</f>
        <v>아돔케어</v>
      </c>
      <c r="B5776" s="2" t="str">
        <f>IFERROR(__xludf.DUMMYFUNCTION("""COMPUTED_VALUE"""),"후추")</f>
        <v>후추</v>
      </c>
    </row>
    <row r="5777">
      <c r="A5777" s="2" t="str">
        <f>IFERROR(__xludf.DUMMYFUNCTION("""COMPUTED_VALUE"""),"아돔케어")</f>
        <v>아돔케어</v>
      </c>
      <c r="B5777" s="2" t="str">
        <f>IFERROR(__xludf.DUMMYFUNCTION("""COMPUTED_VALUE"""),"레몬")</f>
        <v>레몬</v>
      </c>
    </row>
    <row r="5778">
      <c r="A5778" s="2" t="str">
        <f>IFERROR(__xludf.DUMMYFUNCTION("""COMPUTED_VALUE"""),"아돔케어")</f>
        <v>아돔케어</v>
      </c>
      <c r="B5778" s="2" t="str">
        <f>IFERROR(__xludf.DUMMYFUNCTION("""COMPUTED_VALUE"""),"버터")</f>
        <v>버터</v>
      </c>
    </row>
    <row r="5779">
      <c r="A5779" s="2" t="str">
        <f>IFERROR(__xludf.DUMMYFUNCTION("""COMPUTED_VALUE"""),"아보카도롤모델")</f>
        <v>아보카도롤모델</v>
      </c>
      <c r="B5779" s="2" t="str">
        <f>IFERROR(__xludf.DUMMYFUNCTION("""COMPUTED_VALUE"""),"아보카도")</f>
        <v>아보카도</v>
      </c>
    </row>
    <row r="5780">
      <c r="A5780" s="2" t="str">
        <f>IFERROR(__xludf.DUMMYFUNCTION("""COMPUTED_VALUE"""),"아보카도롤모델")</f>
        <v>아보카도롤모델</v>
      </c>
      <c r="B5780" s="2" t="str">
        <f>IFERROR(__xludf.DUMMYFUNCTION("""COMPUTED_VALUE"""),"안창살")</f>
        <v>안창살</v>
      </c>
    </row>
    <row r="5781">
      <c r="A5781" s="2" t="str">
        <f>IFERROR(__xludf.DUMMYFUNCTION("""COMPUTED_VALUE"""),"아보카도롤모델")</f>
        <v>아보카도롤모델</v>
      </c>
      <c r="B5781" s="2" t="str">
        <f>IFERROR(__xludf.DUMMYFUNCTION("""COMPUTED_VALUE"""),"자숙새우")</f>
        <v>자숙새우</v>
      </c>
    </row>
    <row r="5782">
      <c r="A5782" s="2" t="str">
        <f>IFERROR(__xludf.DUMMYFUNCTION("""COMPUTED_VALUE"""),"아보카도롤모델")</f>
        <v>아보카도롤모델</v>
      </c>
      <c r="B5782" s="2" t="str">
        <f>IFERROR(__xludf.DUMMYFUNCTION("""COMPUTED_VALUE"""),"훈제연어")</f>
        <v>훈제연어</v>
      </c>
    </row>
    <row r="5783">
      <c r="A5783" s="2" t="str">
        <f>IFERROR(__xludf.DUMMYFUNCTION("""COMPUTED_VALUE"""),"아보카도롤모델")</f>
        <v>아보카도롤모델</v>
      </c>
      <c r="B5783" s="2" t="str">
        <f>IFERROR(__xludf.DUMMYFUNCTION("""COMPUTED_VALUE"""),"파프리카")</f>
        <v>파프리카</v>
      </c>
    </row>
    <row r="5784">
      <c r="A5784" s="2" t="str">
        <f>IFERROR(__xludf.DUMMYFUNCTION("""COMPUTED_VALUE"""),"아보카도롤모델")</f>
        <v>아보카도롤모델</v>
      </c>
      <c r="B5784" s="2" t="str">
        <f>IFERROR(__xludf.DUMMYFUNCTION("""COMPUTED_VALUE"""),"발사믹식초")</f>
        <v>발사믹식초</v>
      </c>
    </row>
    <row r="5785">
      <c r="A5785" s="2" t="str">
        <f>IFERROR(__xludf.DUMMYFUNCTION("""COMPUTED_VALUE"""),"아보카도롤모델")</f>
        <v>아보카도롤모델</v>
      </c>
      <c r="B5785" s="2" t="str">
        <f>IFERROR(__xludf.DUMMYFUNCTION("""COMPUTED_VALUE"""),"케일")</f>
        <v>케일</v>
      </c>
    </row>
    <row r="5786">
      <c r="A5786" s="2" t="str">
        <f>IFERROR(__xludf.DUMMYFUNCTION("""COMPUTED_VALUE"""),"아보카도롤모델")</f>
        <v>아보카도롤모델</v>
      </c>
      <c r="B5786" s="2" t="str">
        <f>IFERROR(__xludf.DUMMYFUNCTION("""COMPUTED_VALUE"""),"시금치주스")</f>
        <v>시금치주스</v>
      </c>
    </row>
    <row r="5787">
      <c r="A5787" s="2" t="str">
        <f>IFERROR(__xludf.DUMMYFUNCTION("""COMPUTED_VALUE"""),"아보카도롤모델")</f>
        <v>아보카도롤모델</v>
      </c>
      <c r="B5787" s="2" t="str">
        <f>IFERROR(__xludf.DUMMYFUNCTION("""COMPUTED_VALUE"""),"케일주스")</f>
        <v>케일주스</v>
      </c>
    </row>
    <row r="5788">
      <c r="A5788" s="2" t="str">
        <f>IFERROR(__xludf.DUMMYFUNCTION("""COMPUTED_VALUE"""),"아보카도롤모델")</f>
        <v>아보카도롤모델</v>
      </c>
      <c r="B5788" s="2" t="str">
        <f>IFERROR(__xludf.DUMMYFUNCTION("""COMPUTED_VALUE"""),"된장")</f>
        <v>된장</v>
      </c>
    </row>
    <row r="5789">
      <c r="A5789" s="2" t="str">
        <f>IFERROR(__xludf.DUMMYFUNCTION("""COMPUTED_VALUE"""),"아보카도롤모델")</f>
        <v>아보카도롤모델</v>
      </c>
      <c r="B5789" s="2" t="str">
        <f>IFERROR(__xludf.DUMMYFUNCTION("""COMPUTED_VALUE"""),"고추장")</f>
        <v>고추장</v>
      </c>
    </row>
    <row r="5790">
      <c r="A5790" s="2" t="str">
        <f>IFERROR(__xludf.DUMMYFUNCTION("""COMPUTED_VALUE"""),"아보카도롤모델")</f>
        <v>아보카도롤모델</v>
      </c>
      <c r="B5790" s="2" t="str">
        <f>IFERROR(__xludf.DUMMYFUNCTION("""COMPUTED_VALUE"""),"블랙올리브")</f>
        <v>블랙올리브</v>
      </c>
    </row>
    <row r="5791">
      <c r="A5791" s="2" t="str">
        <f>IFERROR(__xludf.DUMMYFUNCTION("""COMPUTED_VALUE"""),"아보카도롤모델")</f>
        <v>아보카도롤모델</v>
      </c>
      <c r="B5791" s="2" t="str">
        <f>IFERROR(__xludf.DUMMYFUNCTION("""COMPUTED_VALUE"""),"사과")</f>
        <v>사과</v>
      </c>
    </row>
    <row r="5792">
      <c r="A5792" s="2" t="str">
        <f>IFERROR(__xludf.DUMMYFUNCTION("""COMPUTED_VALUE"""),"아보카도롤모델")</f>
        <v>아보카도롤모델</v>
      </c>
      <c r="B5792" s="2" t="str">
        <f>IFERROR(__xludf.DUMMYFUNCTION("""COMPUTED_VALUE"""),"애플비네거")</f>
        <v>애플비네거</v>
      </c>
    </row>
    <row r="5793">
      <c r="A5793" s="2" t="str">
        <f>IFERROR(__xludf.DUMMYFUNCTION("""COMPUTED_VALUE"""),"아보카도롤모델")</f>
        <v>아보카도롤모델</v>
      </c>
      <c r="B5793" s="2" t="str">
        <f>IFERROR(__xludf.DUMMYFUNCTION("""COMPUTED_VALUE"""),"스리라차소스")</f>
        <v>스리라차소스</v>
      </c>
    </row>
    <row r="5794">
      <c r="A5794" s="2" t="str">
        <f>IFERROR(__xludf.DUMMYFUNCTION("""COMPUTED_VALUE"""),"아보카도롤모델")</f>
        <v>아보카도롤모델</v>
      </c>
      <c r="B5794" s="2" t="str">
        <f>IFERROR(__xludf.DUMMYFUNCTION("""COMPUTED_VALUE"""),"양파")</f>
        <v>양파</v>
      </c>
    </row>
    <row r="5795">
      <c r="A5795" s="2" t="str">
        <f>IFERROR(__xludf.DUMMYFUNCTION("""COMPUTED_VALUE"""),"아보카도롤모델")</f>
        <v>아보카도롤모델</v>
      </c>
      <c r="B5795" s="2" t="str">
        <f>IFERROR(__xludf.DUMMYFUNCTION("""COMPUTED_VALUE"""),"마늘")</f>
        <v>마늘</v>
      </c>
    </row>
    <row r="5796">
      <c r="A5796" s="2" t="str">
        <f>IFERROR(__xludf.DUMMYFUNCTION("""COMPUTED_VALUE"""),"아보카도롤모델")</f>
        <v>아보카도롤모델</v>
      </c>
      <c r="B5796" s="2" t="str">
        <f>IFERROR(__xludf.DUMMYFUNCTION("""COMPUTED_VALUE"""),"레몬")</f>
        <v>레몬</v>
      </c>
    </row>
    <row r="5797">
      <c r="A5797" s="2" t="str">
        <f>IFERROR(__xludf.DUMMYFUNCTION("""COMPUTED_VALUE"""),"아보카도롤모델")</f>
        <v>아보카도롤모델</v>
      </c>
      <c r="B5797" s="2" t="str">
        <f>IFERROR(__xludf.DUMMYFUNCTION("""COMPUTED_VALUE"""),"소금")</f>
        <v>소금</v>
      </c>
    </row>
    <row r="5798">
      <c r="A5798" s="2" t="str">
        <f>IFERROR(__xludf.DUMMYFUNCTION("""COMPUTED_VALUE"""),"아보카도롤모델")</f>
        <v>아보카도롤모델</v>
      </c>
      <c r="B5798" s="2" t="str">
        <f>IFERROR(__xludf.DUMMYFUNCTION("""COMPUTED_VALUE"""),"후추")</f>
        <v>후추</v>
      </c>
    </row>
    <row r="5799">
      <c r="A5799" s="2" t="str">
        <f>IFERROR(__xludf.DUMMYFUNCTION("""COMPUTED_VALUE"""),"아보카도롤모델")</f>
        <v>아보카도롤모델</v>
      </c>
      <c r="B5799" s="2" t="str">
        <f>IFERROR(__xludf.DUMMYFUNCTION("""COMPUTED_VALUE"""),"식용유")</f>
        <v>식용유</v>
      </c>
    </row>
    <row r="5800">
      <c r="A5800" s="2" t="str">
        <f>IFERROR(__xludf.DUMMYFUNCTION("""COMPUTED_VALUE"""),"귯갈~")</f>
        <v>귯갈~</v>
      </c>
      <c r="B5800" s="2" t="str">
        <f>IFERROR(__xludf.DUMMYFUNCTION("""COMPUTED_VALUE"""),"갈치")</f>
        <v>갈치</v>
      </c>
    </row>
    <row r="5801">
      <c r="A5801" s="2" t="str">
        <f>IFERROR(__xludf.DUMMYFUNCTION("""COMPUTED_VALUE"""),"귯갈~")</f>
        <v>귯갈~</v>
      </c>
      <c r="B5801" s="2" t="str">
        <f>IFERROR(__xludf.DUMMYFUNCTION("""COMPUTED_VALUE"""),"훈제연어")</f>
        <v>훈제연어</v>
      </c>
    </row>
    <row r="5802">
      <c r="A5802" s="2" t="str">
        <f>IFERROR(__xludf.DUMMYFUNCTION("""COMPUTED_VALUE"""),"귯갈~")</f>
        <v>귯갈~</v>
      </c>
      <c r="B5802" s="2" t="str">
        <f>IFERROR(__xludf.DUMMYFUNCTION("""COMPUTED_VALUE"""),"애플비네거")</f>
        <v>애플비네거</v>
      </c>
    </row>
    <row r="5803">
      <c r="A5803" s="2" t="str">
        <f>IFERROR(__xludf.DUMMYFUNCTION("""COMPUTED_VALUE"""),"귯갈~")</f>
        <v>귯갈~</v>
      </c>
      <c r="B5803" s="2" t="str">
        <f>IFERROR(__xludf.DUMMYFUNCTION("""COMPUTED_VALUE"""),"소금")</f>
        <v>소금</v>
      </c>
    </row>
    <row r="5804">
      <c r="A5804" s="2" t="str">
        <f>IFERROR(__xludf.DUMMYFUNCTION("""COMPUTED_VALUE"""),"귯갈~")</f>
        <v>귯갈~</v>
      </c>
      <c r="B5804" s="2" t="str">
        <f>IFERROR(__xludf.DUMMYFUNCTION("""COMPUTED_VALUE"""),"꿀")</f>
        <v>꿀</v>
      </c>
    </row>
    <row r="5805">
      <c r="A5805" s="2" t="str">
        <f>IFERROR(__xludf.DUMMYFUNCTION("""COMPUTED_VALUE"""),"귯갈~")</f>
        <v>귯갈~</v>
      </c>
      <c r="B5805" s="2" t="str">
        <f>IFERROR(__xludf.DUMMYFUNCTION("""COMPUTED_VALUE"""),"적양파")</f>
        <v>적양파</v>
      </c>
    </row>
    <row r="5806">
      <c r="A5806" s="2" t="str">
        <f>IFERROR(__xludf.DUMMYFUNCTION("""COMPUTED_VALUE"""),"귯갈~")</f>
        <v>귯갈~</v>
      </c>
      <c r="B5806" s="2" t="str">
        <f>IFERROR(__xludf.DUMMYFUNCTION("""COMPUTED_VALUE"""),"파프리카")</f>
        <v>파프리카</v>
      </c>
    </row>
    <row r="5807">
      <c r="A5807" s="2" t="str">
        <f>IFERROR(__xludf.DUMMYFUNCTION("""COMPUTED_VALUE"""),"귯갈~")</f>
        <v>귯갈~</v>
      </c>
      <c r="B5807" s="2" t="str">
        <f>IFERROR(__xludf.DUMMYFUNCTION("""COMPUTED_VALUE"""),"케이퍼")</f>
        <v>케이퍼</v>
      </c>
    </row>
    <row r="5808">
      <c r="A5808" s="2" t="str">
        <f>IFERROR(__xludf.DUMMYFUNCTION("""COMPUTED_VALUE"""),"귯갈~")</f>
        <v>귯갈~</v>
      </c>
      <c r="B5808" s="2" t="str">
        <f>IFERROR(__xludf.DUMMYFUNCTION("""COMPUTED_VALUE"""),"블랙올리브")</f>
        <v>블랙올리브</v>
      </c>
    </row>
    <row r="5809">
      <c r="A5809" s="2" t="str">
        <f>IFERROR(__xludf.DUMMYFUNCTION("""COMPUTED_VALUE"""),"귯갈~")</f>
        <v>귯갈~</v>
      </c>
      <c r="B5809" s="2" t="str">
        <f>IFERROR(__xludf.DUMMYFUNCTION("""COMPUTED_VALUE"""),"아보카도")</f>
        <v>아보카도</v>
      </c>
    </row>
    <row r="5810">
      <c r="A5810" s="2" t="str">
        <f>IFERROR(__xludf.DUMMYFUNCTION("""COMPUTED_VALUE"""),"귯갈~")</f>
        <v>귯갈~</v>
      </c>
      <c r="B5810" s="2" t="str">
        <f>IFERROR(__xludf.DUMMYFUNCTION("""COMPUTED_VALUE"""),"마늘")</f>
        <v>마늘</v>
      </c>
    </row>
    <row r="5811">
      <c r="A5811" s="2" t="str">
        <f>IFERROR(__xludf.DUMMYFUNCTION("""COMPUTED_VALUE"""),"귯갈~")</f>
        <v>귯갈~</v>
      </c>
      <c r="B5811" s="2" t="str">
        <f>IFERROR(__xludf.DUMMYFUNCTION("""COMPUTED_VALUE"""),"양파")</f>
        <v>양파</v>
      </c>
    </row>
    <row r="5812">
      <c r="A5812" s="2" t="str">
        <f>IFERROR(__xludf.DUMMYFUNCTION("""COMPUTED_VALUE"""),"귯갈~")</f>
        <v>귯갈~</v>
      </c>
      <c r="B5812" s="2" t="str">
        <f>IFERROR(__xludf.DUMMYFUNCTION("""COMPUTED_VALUE"""),"당근")</f>
        <v>당근</v>
      </c>
    </row>
    <row r="5813">
      <c r="A5813" s="2" t="str">
        <f>IFERROR(__xludf.DUMMYFUNCTION("""COMPUTED_VALUE"""),"귯갈~")</f>
        <v>귯갈~</v>
      </c>
      <c r="B5813" s="2" t="str">
        <f>IFERROR(__xludf.DUMMYFUNCTION("""COMPUTED_VALUE"""),"레몬")</f>
        <v>레몬</v>
      </c>
    </row>
    <row r="5814">
      <c r="A5814" s="2" t="str">
        <f>IFERROR(__xludf.DUMMYFUNCTION("""COMPUTED_VALUE"""),"귯갈~")</f>
        <v>귯갈~</v>
      </c>
      <c r="B5814" s="2" t="str">
        <f>IFERROR(__xludf.DUMMYFUNCTION("""COMPUTED_VALUE"""),"통후추")</f>
        <v>통후추</v>
      </c>
    </row>
    <row r="5815">
      <c r="A5815" s="2" t="str">
        <f>IFERROR(__xludf.DUMMYFUNCTION("""COMPUTED_VALUE"""),"귯갈~")</f>
        <v>귯갈~</v>
      </c>
      <c r="B5815" s="2" t="str">
        <f>IFERROR(__xludf.DUMMYFUNCTION("""COMPUTED_VALUE"""),"고춧가루")</f>
        <v>고춧가루</v>
      </c>
    </row>
    <row r="5816">
      <c r="A5816" s="2" t="str">
        <f>IFERROR(__xludf.DUMMYFUNCTION("""COMPUTED_VALUE"""),"귯갈~")</f>
        <v>귯갈~</v>
      </c>
      <c r="B5816" s="2" t="str">
        <f>IFERROR(__xludf.DUMMYFUNCTION("""COMPUTED_VALUE"""),"후추")</f>
        <v>후추</v>
      </c>
    </row>
    <row r="5817">
      <c r="A5817" s="2" t="str">
        <f>IFERROR(__xludf.DUMMYFUNCTION("""COMPUTED_VALUE"""),"귯갈~")</f>
        <v>귯갈~</v>
      </c>
      <c r="B5817" s="2" t="str">
        <f>IFERROR(__xludf.DUMMYFUNCTION("""COMPUTED_VALUE"""),"소금")</f>
        <v>소금</v>
      </c>
    </row>
    <row r="5818">
      <c r="A5818" s="2" t="str">
        <f>IFERROR(__xludf.DUMMYFUNCTION("""COMPUTED_VALUE"""),"갈팡치팡")</f>
        <v>갈팡치팡</v>
      </c>
      <c r="B5818" s="2" t="str">
        <f>IFERROR(__xludf.DUMMYFUNCTION("""COMPUTED_VALUE"""),"갈치")</f>
        <v>갈치</v>
      </c>
    </row>
    <row r="5819">
      <c r="A5819" s="2" t="str">
        <f>IFERROR(__xludf.DUMMYFUNCTION("""COMPUTED_VALUE"""),"갈팡치팡")</f>
        <v>갈팡치팡</v>
      </c>
      <c r="B5819" s="2" t="str">
        <f>IFERROR(__xludf.DUMMYFUNCTION("""COMPUTED_VALUE"""),"코코넛워터")</f>
        <v>코코넛워터</v>
      </c>
    </row>
    <row r="5820">
      <c r="A5820" s="2" t="str">
        <f>IFERROR(__xludf.DUMMYFUNCTION("""COMPUTED_VALUE"""),"갈팡치팡")</f>
        <v>갈팡치팡</v>
      </c>
      <c r="B5820" s="2" t="str">
        <f>IFERROR(__xludf.DUMMYFUNCTION("""COMPUTED_VALUE"""),"황도")</f>
        <v>황도</v>
      </c>
    </row>
    <row r="5821">
      <c r="A5821" s="2" t="str">
        <f>IFERROR(__xludf.DUMMYFUNCTION("""COMPUTED_VALUE"""),"갈팡치팡")</f>
        <v>갈팡치팡</v>
      </c>
      <c r="B5821" s="2" t="str">
        <f>IFERROR(__xludf.DUMMYFUNCTION("""COMPUTED_VALUE"""),"적양파")</f>
        <v>적양파</v>
      </c>
    </row>
    <row r="5822">
      <c r="A5822" s="2" t="str">
        <f>IFERROR(__xludf.DUMMYFUNCTION("""COMPUTED_VALUE"""),"갈팡치팡")</f>
        <v>갈팡치팡</v>
      </c>
      <c r="B5822" s="2" t="str">
        <f>IFERROR(__xludf.DUMMYFUNCTION("""COMPUTED_VALUE"""),"자숙새우")</f>
        <v>자숙새우</v>
      </c>
    </row>
    <row r="5823">
      <c r="A5823" s="2" t="str">
        <f>IFERROR(__xludf.DUMMYFUNCTION("""COMPUTED_VALUE"""),"갈팡치팡")</f>
        <v>갈팡치팡</v>
      </c>
      <c r="B5823" s="2" t="str">
        <f>IFERROR(__xludf.DUMMYFUNCTION("""COMPUTED_VALUE"""),"카레가루")</f>
        <v>카레가루</v>
      </c>
    </row>
    <row r="5824">
      <c r="A5824" s="2" t="str">
        <f>IFERROR(__xludf.DUMMYFUNCTION("""COMPUTED_VALUE"""),"갈팡치팡")</f>
        <v>갈팡치팡</v>
      </c>
      <c r="B5824" s="2" t="str">
        <f>IFERROR(__xludf.DUMMYFUNCTION("""COMPUTED_VALUE"""),"시금치")</f>
        <v>시금치</v>
      </c>
    </row>
    <row r="5825">
      <c r="A5825" s="2" t="str">
        <f>IFERROR(__xludf.DUMMYFUNCTION("""COMPUTED_VALUE"""),"갈팡치팡")</f>
        <v>갈팡치팡</v>
      </c>
      <c r="B5825" s="2" t="str">
        <f>IFERROR(__xludf.DUMMYFUNCTION("""COMPUTED_VALUE"""),"스리라차소스")</f>
        <v>스리라차소스</v>
      </c>
    </row>
    <row r="5826">
      <c r="A5826" s="2" t="str">
        <f>IFERROR(__xludf.DUMMYFUNCTION("""COMPUTED_VALUE"""),"갈팡치팡")</f>
        <v>갈팡치팡</v>
      </c>
      <c r="B5826" s="2" t="str">
        <f>IFERROR(__xludf.DUMMYFUNCTION("""COMPUTED_VALUE"""),"양파")</f>
        <v>양파</v>
      </c>
    </row>
    <row r="5827">
      <c r="A5827" s="2" t="str">
        <f>IFERROR(__xludf.DUMMYFUNCTION("""COMPUTED_VALUE"""),"갈팡치팡")</f>
        <v>갈팡치팡</v>
      </c>
      <c r="B5827" s="2" t="str">
        <f>IFERROR(__xludf.DUMMYFUNCTION("""COMPUTED_VALUE"""),"레몬")</f>
        <v>레몬</v>
      </c>
    </row>
    <row r="5828">
      <c r="A5828" s="2" t="str">
        <f>IFERROR(__xludf.DUMMYFUNCTION("""COMPUTED_VALUE"""),"갈팡치팡")</f>
        <v>갈팡치팡</v>
      </c>
      <c r="B5828" s="2" t="str">
        <f>IFERROR(__xludf.DUMMYFUNCTION("""COMPUTED_VALUE"""),"대파")</f>
        <v>대파</v>
      </c>
    </row>
    <row r="5829">
      <c r="A5829" s="2" t="str">
        <f>IFERROR(__xludf.DUMMYFUNCTION("""COMPUTED_VALUE"""),"갈팡치팡")</f>
        <v>갈팡치팡</v>
      </c>
      <c r="B5829" s="2" t="str">
        <f>IFERROR(__xludf.DUMMYFUNCTION("""COMPUTED_VALUE"""),"다진 생강")</f>
        <v>다진 생강</v>
      </c>
    </row>
    <row r="5830">
      <c r="A5830" s="2" t="str">
        <f>IFERROR(__xludf.DUMMYFUNCTION("""COMPUTED_VALUE"""),"갈팡치팡")</f>
        <v>갈팡치팡</v>
      </c>
      <c r="B5830" s="2" t="str">
        <f>IFERROR(__xludf.DUMMYFUNCTION("""COMPUTED_VALUE"""),"청주")</f>
        <v>청주</v>
      </c>
    </row>
    <row r="5831">
      <c r="A5831" s="2" t="str">
        <f>IFERROR(__xludf.DUMMYFUNCTION("""COMPUTED_VALUE"""),"갈팡치팡")</f>
        <v>갈팡치팡</v>
      </c>
      <c r="B5831" s="2" t="str">
        <f>IFERROR(__xludf.DUMMYFUNCTION("""COMPUTED_VALUE"""),"전분")</f>
        <v>전분</v>
      </c>
    </row>
    <row r="5832">
      <c r="A5832" s="2" t="str">
        <f>IFERROR(__xludf.DUMMYFUNCTION("""COMPUTED_VALUE"""),"갈팡치팡")</f>
        <v>갈팡치팡</v>
      </c>
      <c r="B5832" s="2" t="str">
        <f>IFERROR(__xludf.DUMMYFUNCTION("""COMPUTED_VALUE"""),"소금")</f>
        <v>소금</v>
      </c>
    </row>
    <row r="5833">
      <c r="A5833" s="2" t="str">
        <f>IFERROR(__xludf.DUMMYFUNCTION("""COMPUTED_VALUE"""),"갈팡치팡")</f>
        <v>갈팡치팡</v>
      </c>
      <c r="B5833" s="2" t="str">
        <f>IFERROR(__xludf.DUMMYFUNCTION("""COMPUTED_VALUE"""),"간장")</f>
        <v>간장</v>
      </c>
    </row>
    <row r="5834">
      <c r="A5834" s="2" t="str">
        <f>IFERROR(__xludf.DUMMYFUNCTION("""COMPUTED_VALUE"""),"갈팡치팡")</f>
        <v>갈팡치팡</v>
      </c>
      <c r="B5834" s="2" t="str">
        <f>IFERROR(__xludf.DUMMYFUNCTION("""COMPUTED_VALUE"""),"화이트와인")</f>
        <v>화이트와인</v>
      </c>
    </row>
    <row r="5835">
      <c r="A5835" s="2" t="str">
        <f>IFERROR(__xludf.DUMMYFUNCTION("""COMPUTED_VALUE"""),"갈팡치팡")</f>
        <v>갈팡치팡</v>
      </c>
      <c r="B5835" s="2" t="str">
        <f>IFERROR(__xludf.DUMMYFUNCTION("""COMPUTED_VALUE"""),"달걀")</f>
        <v>달걀</v>
      </c>
    </row>
    <row r="5836">
      <c r="A5836" s="2" t="str">
        <f>IFERROR(__xludf.DUMMYFUNCTION("""COMPUTED_VALUE"""),"똑같은 쌈을 강요하지마♬")</f>
        <v>똑같은 쌈을 강요하지마♬</v>
      </c>
      <c r="B5836" s="2" t="str">
        <f>IFERROR(__xludf.DUMMYFUNCTION("""COMPUTED_VALUE"""),"고등어통조림")</f>
        <v>고등어통조림</v>
      </c>
    </row>
    <row r="5837">
      <c r="A5837" s="2" t="str">
        <f>IFERROR(__xludf.DUMMYFUNCTION("""COMPUTED_VALUE"""),"똑같은 쌈을 강요하지마♬")</f>
        <v>똑같은 쌈을 강요하지마♬</v>
      </c>
      <c r="B5837" s="2" t="str">
        <f>IFERROR(__xludf.DUMMYFUNCTION("""COMPUTED_VALUE"""),"우유")</f>
        <v>우유</v>
      </c>
    </row>
    <row r="5838">
      <c r="A5838" s="2" t="str">
        <f>IFERROR(__xludf.DUMMYFUNCTION("""COMPUTED_VALUE"""),"똑같은 쌈을 강요하지마♬")</f>
        <v>똑같은 쌈을 강요하지마♬</v>
      </c>
      <c r="B5838" s="2" t="str">
        <f>IFERROR(__xludf.DUMMYFUNCTION("""COMPUTED_VALUE"""),"크림치즈")</f>
        <v>크림치즈</v>
      </c>
    </row>
    <row r="5839">
      <c r="A5839" s="2" t="str">
        <f>IFERROR(__xludf.DUMMYFUNCTION("""COMPUTED_VALUE"""),"똑같은 쌈을 강요하지마♬")</f>
        <v>똑같은 쌈을 강요하지마♬</v>
      </c>
      <c r="B5839" s="2" t="str">
        <f>IFERROR(__xludf.DUMMYFUNCTION("""COMPUTED_VALUE"""),"슬라이스 체다치즈")</f>
        <v>슬라이스 체다치즈</v>
      </c>
    </row>
    <row r="5840">
      <c r="A5840" s="2" t="str">
        <f>IFERROR(__xludf.DUMMYFUNCTION("""COMPUTED_VALUE"""),"똑같은 쌈을 강요하지마♬")</f>
        <v>똑같은 쌈을 강요하지마♬</v>
      </c>
      <c r="B5840" s="2" t="str">
        <f>IFERROR(__xludf.DUMMYFUNCTION("""COMPUTED_VALUE"""),"표고버섯")</f>
        <v>표고버섯</v>
      </c>
    </row>
    <row r="5841">
      <c r="A5841" s="2" t="str">
        <f>IFERROR(__xludf.DUMMYFUNCTION("""COMPUTED_VALUE"""),"똑같은 쌈을 강요하지마♬")</f>
        <v>똑같은 쌈을 강요하지마♬</v>
      </c>
      <c r="B5841" s="2" t="str">
        <f>IFERROR(__xludf.DUMMYFUNCTION("""COMPUTED_VALUE"""),"마늘")</f>
        <v>마늘</v>
      </c>
    </row>
    <row r="5842">
      <c r="A5842" s="2" t="str">
        <f>IFERROR(__xludf.DUMMYFUNCTION("""COMPUTED_VALUE"""),"똑같은 쌈을 강요하지마♬")</f>
        <v>똑같은 쌈을 강요하지마♬</v>
      </c>
      <c r="B5842" s="2" t="str">
        <f>IFERROR(__xludf.DUMMYFUNCTION("""COMPUTED_VALUE"""),"청양고추")</f>
        <v>청양고추</v>
      </c>
    </row>
    <row r="5843">
      <c r="A5843" s="2" t="str">
        <f>IFERROR(__xludf.DUMMYFUNCTION("""COMPUTED_VALUE"""),"똑같은 쌈을 강요하지마♬")</f>
        <v>똑같은 쌈을 강요하지마♬</v>
      </c>
      <c r="B5843" s="2" t="str">
        <f>IFERROR(__xludf.DUMMYFUNCTION("""COMPUTED_VALUE"""),"버터")</f>
        <v>버터</v>
      </c>
    </row>
    <row r="5844">
      <c r="A5844" s="2" t="str">
        <f>IFERROR(__xludf.DUMMYFUNCTION("""COMPUTED_VALUE"""),"똑같은 쌈을 강요하지마♬")</f>
        <v>똑같은 쌈을 강요하지마♬</v>
      </c>
      <c r="B5844" s="2" t="str">
        <f>IFERROR(__xludf.DUMMYFUNCTION("""COMPUTED_VALUE"""),"밀가루")</f>
        <v>밀가루</v>
      </c>
    </row>
    <row r="5845">
      <c r="A5845" s="2" t="str">
        <f>IFERROR(__xludf.DUMMYFUNCTION("""COMPUTED_VALUE"""),"똑같은 쌈을 강요하지마♬")</f>
        <v>똑같은 쌈을 강요하지마♬</v>
      </c>
      <c r="B5845" s="2" t="str">
        <f>IFERROR(__xludf.DUMMYFUNCTION("""COMPUTED_VALUE"""),"전분")</f>
        <v>전분</v>
      </c>
    </row>
    <row r="5846">
      <c r="A5846" s="2" t="str">
        <f>IFERROR(__xludf.DUMMYFUNCTION("""COMPUTED_VALUE"""),"똑같은 쌈을 강요하지마♬")</f>
        <v>똑같은 쌈을 강요하지마♬</v>
      </c>
      <c r="B5846" s="2" t="str">
        <f>IFERROR(__xludf.DUMMYFUNCTION("""COMPUTED_VALUE"""),"소금")</f>
        <v>소금</v>
      </c>
    </row>
    <row r="5847">
      <c r="A5847" s="2" t="str">
        <f>IFERROR(__xludf.DUMMYFUNCTION("""COMPUTED_VALUE"""),"만두 널 사랑해~♬")</f>
        <v>만두 널 사랑해~♬</v>
      </c>
      <c r="B5847" s="2" t="str">
        <f>IFERROR(__xludf.DUMMYFUNCTION("""COMPUTED_VALUE"""),"인스턴트 군만두")</f>
        <v>인스턴트 군만두</v>
      </c>
    </row>
    <row r="5848">
      <c r="A5848" s="2" t="str">
        <f>IFERROR(__xludf.DUMMYFUNCTION("""COMPUTED_VALUE"""),"만두 널 사랑해~♬")</f>
        <v>만두 널 사랑해~♬</v>
      </c>
      <c r="B5848" s="2" t="str">
        <f>IFERROR(__xludf.DUMMYFUNCTION("""COMPUTED_VALUE"""),"방울양배추")</f>
        <v>방울양배추</v>
      </c>
    </row>
    <row r="5849">
      <c r="A5849" s="2" t="str">
        <f>IFERROR(__xludf.DUMMYFUNCTION("""COMPUTED_VALUE"""),"만두 널 사랑해~♬")</f>
        <v>만두 널 사랑해~♬</v>
      </c>
      <c r="B5849" s="2" t="str">
        <f>IFERROR(__xludf.DUMMYFUNCTION("""COMPUTED_VALUE"""),"표고버섯")</f>
        <v>표고버섯</v>
      </c>
    </row>
    <row r="5850">
      <c r="A5850" s="2" t="str">
        <f>IFERROR(__xludf.DUMMYFUNCTION("""COMPUTED_VALUE"""),"만두 널 사랑해~♬")</f>
        <v>만두 널 사랑해~♬</v>
      </c>
      <c r="B5850" s="2" t="str">
        <f>IFERROR(__xludf.DUMMYFUNCTION("""COMPUTED_VALUE"""),"슬라이스 체다치즈")</f>
        <v>슬라이스 체다치즈</v>
      </c>
    </row>
    <row r="5851">
      <c r="A5851" s="2" t="str">
        <f>IFERROR(__xludf.DUMMYFUNCTION("""COMPUTED_VALUE"""),"만두 널 사랑해~♬")</f>
        <v>만두 널 사랑해~♬</v>
      </c>
      <c r="B5851" s="2" t="str">
        <f>IFERROR(__xludf.DUMMYFUNCTION("""COMPUTED_VALUE"""),"카레가루")</f>
        <v>카레가루</v>
      </c>
    </row>
    <row r="5852">
      <c r="A5852" s="2" t="str">
        <f>IFERROR(__xludf.DUMMYFUNCTION("""COMPUTED_VALUE"""),"만두 널 사랑해~♬")</f>
        <v>만두 널 사랑해~♬</v>
      </c>
      <c r="B5852" s="2" t="str">
        <f>IFERROR(__xludf.DUMMYFUNCTION("""COMPUTED_VALUE"""),"우유")</f>
        <v>우유</v>
      </c>
    </row>
    <row r="5853">
      <c r="A5853" s="2" t="str">
        <f>IFERROR(__xludf.DUMMYFUNCTION("""COMPUTED_VALUE"""),"만두 널 사랑해~♬")</f>
        <v>만두 널 사랑해~♬</v>
      </c>
      <c r="B5853" s="2" t="str">
        <f>IFERROR(__xludf.DUMMYFUNCTION("""COMPUTED_VALUE"""),"훠궈 홍탕 소스")</f>
        <v>훠궈 홍탕 소스</v>
      </c>
    </row>
    <row r="5854">
      <c r="A5854" s="2" t="str">
        <f>IFERROR(__xludf.DUMMYFUNCTION("""COMPUTED_VALUE"""),"만두 널 사랑해~♬")</f>
        <v>만두 널 사랑해~♬</v>
      </c>
      <c r="B5854" s="2" t="str">
        <f>IFERROR(__xludf.DUMMYFUNCTION("""COMPUTED_VALUE"""),"양파")</f>
        <v>양파</v>
      </c>
    </row>
    <row r="5855">
      <c r="A5855" s="2" t="str">
        <f>IFERROR(__xludf.DUMMYFUNCTION("""COMPUTED_VALUE"""),"만두 널 사랑해~♬")</f>
        <v>만두 널 사랑해~♬</v>
      </c>
      <c r="B5855" s="2" t="str">
        <f>IFERROR(__xludf.DUMMYFUNCTION("""COMPUTED_VALUE"""),"마늘")</f>
        <v>마늘</v>
      </c>
    </row>
    <row r="5856">
      <c r="A5856" s="2" t="str">
        <f>IFERROR(__xludf.DUMMYFUNCTION("""COMPUTED_VALUE"""),"만두 널 사랑해~♬")</f>
        <v>만두 널 사랑해~♬</v>
      </c>
      <c r="B5856" s="2" t="str">
        <f>IFERROR(__xludf.DUMMYFUNCTION("""COMPUTED_VALUE"""),"청양고추")</f>
        <v>청양고추</v>
      </c>
    </row>
    <row r="5857">
      <c r="A5857" s="2" t="str">
        <f>IFERROR(__xludf.DUMMYFUNCTION("""COMPUTED_VALUE"""),"만두 널 사랑해~♬")</f>
        <v>만두 널 사랑해~♬</v>
      </c>
      <c r="B5857" s="2" t="str">
        <f>IFERROR(__xludf.DUMMYFUNCTION("""COMPUTED_VALUE"""),"레몬")</f>
        <v>레몬</v>
      </c>
    </row>
    <row r="5858">
      <c r="A5858" s="2" t="str">
        <f>IFERROR(__xludf.DUMMYFUNCTION("""COMPUTED_VALUE"""),"만두 널 사랑해~♬")</f>
        <v>만두 널 사랑해~♬</v>
      </c>
      <c r="B5858" s="2" t="str">
        <f>IFERROR(__xludf.DUMMYFUNCTION("""COMPUTED_VALUE"""),"밀가루")</f>
        <v>밀가루</v>
      </c>
    </row>
    <row r="5859">
      <c r="A5859" s="2" t="str">
        <f>IFERROR(__xludf.DUMMYFUNCTION("""COMPUTED_VALUE"""),"만두 널 사랑해~♬")</f>
        <v>만두 널 사랑해~♬</v>
      </c>
      <c r="B5859" s="2" t="str">
        <f>IFERROR(__xludf.DUMMYFUNCTION("""COMPUTED_VALUE"""),"케첩")</f>
        <v>케첩</v>
      </c>
    </row>
    <row r="5860">
      <c r="A5860" s="2" t="str">
        <f>IFERROR(__xludf.DUMMYFUNCTION("""COMPUTED_VALUE"""),"만두 널 사랑해~♬")</f>
        <v>만두 널 사랑해~♬</v>
      </c>
      <c r="B5860" s="2" t="str">
        <f>IFERROR(__xludf.DUMMYFUNCTION("""COMPUTED_VALUE"""),"설탕")</f>
        <v>설탕</v>
      </c>
    </row>
    <row r="5861">
      <c r="A5861" s="2" t="str">
        <f>IFERROR(__xludf.DUMMYFUNCTION("""COMPUTED_VALUE"""),"만두 널 사랑해~♬")</f>
        <v>만두 널 사랑해~♬</v>
      </c>
      <c r="B5861" s="2" t="str">
        <f>IFERROR(__xludf.DUMMYFUNCTION("""COMPUTED_VALUE"""),"달걀")</f>
        <v>달걀</v>
      </c>
    </row>
    <row r="5862">
      <c r="A5862" s="2" t="str">
        <f>IFERROR(__xludf.DUMMYFUNCTION("""COMPUTED_VALUE"""),"리소토가 차이나")</f>
        <v>리소토가 차이나</v>
      </c>
      <c r="B5862" s="2" t="str">
        <f>IFERROR(__xludf.DUMMYFUNCTION("""COMPUTED_VALUE"""),"우유")</f>
        <v>우유</v>
      </c>
    </row>
    <row r="5863">
      <c r="A5863" s="2" t="str">
        <f>IFERROR(__xludf.DUMMYFUNCTION("""COMPUTED_VALUE"""),"리소토가 차이나")</f>
        <v>리소토가 차이나</v>
      </c>
      <c r="B5863" s="2" t="str">
        <f>IFERROR(__xludf.DUMMYFUNCTION("""COMPUTED_VALUE"""),"크림치즈")</f>
        <v>크림치즈</v>
      </c>
    </row>
    <row r="5864">
      <c r="A5864" s="2" t="str">
        <f>IFERROR(__xludf.DUMMYFUNCTION("""COMPUTED_VALUE"""),"리소토가 차이나")</f>
        <v>리소토가 차이나</v>
      </c>
      <c r="B5864" s="2" t="str">
        <f>IFERROR(__xludf.DUMMYFUNCTION("""COMPUTED_VALUE"""),"마라소고기")</f>
        <v>마라소고기</v>
      </c>
    </row>
    <row r="5865">
      <c r="A5865" s="2" t="str">
        <f>IFERROR(__xludf.DUMMYFUNCTION("""COMPUTED_VALUE"""),"리소토가 차이나")</f>
        <v>리소토가 차이나</v>
      </c>
      <c r="B5865" s="2" t="str">
        <f>IFERROR(__xludf.DUMMYFUNCTION("""COMPUTED_VALUE"""),"훠궈 홍탕 소스")</f>
        <v>훠궈 홍탕 소스</v>
      </c>
    </row>
    <row r="5866">
      <c r="A5866" s="2" t="str">
        <f>IFERROR(__xludf.DUMMYFUNCTION("""COMPUTED_VALUE"""),"리소토가 차이나")</f>
        <v>리소토가 차이나</v>
      </c>
      <c r="B5866" s="2" t="str">
        <f>IFERROR(__xludf.DUMMYFUNCTION("""COMPUTED_VALUE"""),"면근")</f>
        <v>면근</v>
      </c>
    </row>
    <row r="5867">
      <c r="A5867" s="2" t="str">
        <f>IFERROR(__xludf.DUMMYFUNCTION("""COMPUTED_VALUE"""),"리소토가 차이나")</f>
        <v>리소토가 차이나</v>
      </c>
      <c r="B5867" s="2" t="str">
        <f>IFERROR(__xludf.DUMMYFUNCTION("""COMPUTED_VALUE"""),"모둠 해물")</f>
        <v>모둠 해물</v>
      </c>
    </row>
    <row r="5868">
      <c r="A5868" s="2" t="str">
        <f>IFERROR(__xludf.DUMMYFUNCTION("""COMPUTED_VALUE"""),"리소토가 차이나")</f>
        <v>리소토가 차이나</v>
      </c>
      <c r="B5868" s="2" t="str">
        <f>IFERROR(__xludf.DUMMYFUNCTION("""COMPUTED_VALUE"""),"청경채")</f>
        <v>청경채</v>
      </c>
    </row>
    <row r="5869">
      <c r="A5869" s="2" t="str">
        <f>IFERROR(__xludf.DUMMYFUNCTION("""COMPUTED_VALUE"""),"리소토가 차이나")</f>
        <v>리소토가 차이나</v>
      </c>
      <c r="B5869" s="2" t="str">
        <f>IFERROR(__xludf.DUMMYFUNCTION("""COMPUTED_VALUE"""),"팽이버섯")</f>
        <v>팽이버섯</v>
      </c>
    </row>
    <row r="5870">
      <c r="A5870" s="2" t="str">
        <f>IFERROR(__xludf.DUMMYFUNCTION("""COMPUTED_VALUE"""),"리소토가 차이나")</f>
        <v>리소토가 차이나</v>
      </c>
      <c r="B5870" s="2" t="str">
        <f>IFERROR(__xludf.DUMMYFUNCTION("""COMPUTED_VALUE"""),"표고버섯")</f>
        <v>표고버섯</v>
      </c>
    </row>
    <row r="5871">
      <c r="A5871" s="2" t="str">
        <f>IFERROR(__xludf.DUMMYFUNCTION("""COMPUTED_VALUE"""),"리소토가 차이나")</f>
        <v>리소토가 차이나</v>
      </c>
      <c r="B5871" s="2" t="str">
        <f>IFERROR(__xludf.DUMMYFUNCTION("""COMPUTED_VALUE"""),"마늘")</f>
        <v>마늘</v>
      </c>
    </row>
    <row r="5872">
      <c r="A5872" s="2" t="str">
        <f>IFERROR(__xludf.DUMMYFUNCTION("""COMPUTED_VALUE"""),"리소토가 차이나")</f>
        <v>리소토가 차이나</v>
      </c>
      <c r="B5872" s="2" t="str">
        <f>IFERROR(__xludf.DUMMYFUNCTION("""COMPUTED_VALUE"""),"양파")</f>
        <v>양파</v>
      </c>
    </row>
    <row r="5873">
      <c r="A5873" s="2" t="str">
        <f>IFERROR(__xludf.DUMMYFUNCTION("""COMPUTED_VALUE"""),"리소토가 차이나")</f>
        <v>리소토가 차이나</v>
      </c>
      <c r="B5873" s="2" t="str">
        <f>IFERROR(__xludf.DUMMYFUNCTION("""COMPUTED_VALUE"""),"대파")</f>
        <v>대파</v>
      </c>
    </row>
    <row r="5874">
      <c r="A5874" s="2" t="str">
        <f>IFERROR(__xludf.DUMMYFUNCTION("""COMPUTED_VALUE"""),"리소토가 차이나")</f>
        <v>리소토가 차이나</v>
      </c>
      <c r="B5874" s="2" t="str">
        <f>IFERROR(__xludf.DUMMYFUNCTION("""COMPUTED_VALUE"""),"청양고추")</f>
        <v>청양고추</v>
      </c>
    </row>
    <row r="5875">
      <c r="A5875" s="2" t="str">
        <f>IFERROR(__xludf.DUMMYFUNCTION("""COMPUTED_VALUE"""),"리소토가 차이나")</f>
        <v>리소토가 차이나</v>
      </c>
      <c r="B5875" s="2" t="str">
        <f>IFERROR(__xludf.DUMMYFUNCTION("""COMPUTED_VALUE"""),"버터")</f>
        <v>버터</v>
      </c>
    </row>
    <row r="5876">
      <c r="A5876" s="2" t="str">
        <f>IFERROR(__xludf.DUMMYFUNCTION("""COMPUTED_VALUE"""),"리소토가 차이나")</f>
        <v>리소토가 차이나</v>
      </c>
      <c r="B5876" s="2" t="str">
        <f>IFERROR(__xludf.DUMMYFUNCTION("""COMPUTED_VALUE"""),"밀가루")</f>
        <v>밀가루</v>
      </c>
    </row>
    <row r="5877">
      <c r="A5877" s="2" t="str">
        <f>IFERROR(__xludf.DUMMYFUNCTION("""COMPUTED_VALUE"""),"리소토가 차이나")</f>
        <v>리소토가 차이나</v>
      </c>
      <c r="B5877" s="2" t="str">
        <f>IFERROR(__xludf.DUMMYFUNCTION("""COMPUTED_VALUE"""),"식초")</f>
        <v>식초</v>
      </c>
    </row>
    <row r="5878">
      <c r="A5878" s="2" t="str">
        <f>IFERROR(__xludf.DUMMYFUNCTION("""COMPUTED_VALUE"""),"리소토가 차이나")</f>
        <v>리소토가 차이나</v>
      </c>
      <c r="B5878" s="2" t="str">
        <f>IFERROR(__xludf.DUMMYFUNCTION("""COMPUTED_VALUE"""),"맛술")</f>
        <v>맛술</v>
      </c>
    </row>
    <row r="5879">
      <c r="A5879" s="2" t="str">
        <f>IFERROR(__xludf.DUMMYFUNCTION("""COMPUTED_VALUE"""),"리소토가 차이나")</f>
        <v>리소토가 차이나</v>
      </c>
      <c r="B5879" s="2" t="str">
        <f>IFERROR(__xludf.DUMMYFUNCTION("""COMPUTED_VALUE"""),"간장")</f>
        <v>간장</v>
      </c>
    </row>
    <row r="5880">
      <c r="A5880" s="2" t="str">
        <f>IFERROR(__xludf.DUMMYFUNCTION("""COMPUTED_VALUE"""),"리소토가 차이나")</f>
        <v>리소토가 차이나</v>
      </c>
      <c r="B5880" s="2" t="str">
        <f>IFERROR(__xludf.DUMMYFUNCTION("""COMPUTED_VALUE"""),"후추")</f>
        <v>후추</v>
      </c>
    </row>
    <row r="5881">
      <c r="A5881" s="2" t="str">
        <f>IFERROR(__xludf.DUMMYFUNCTION("""COMPUTED_VALUE"""),"샘차이나")</f>
        <v>샘차이나</v>
      </c>
      <c r="B5881" s="2" t="str">
        <f>IFERROR(__xludf.DUMMYFUNCTION("""COMPUTED_VALUE"""),"훠궈 버섯탕 수프")</f>
        <v>훠궈 버섯탕 수프</v>
      </c>
    </row>
    <row r="5882">
      <c r="A5882" s="2" t="str">
        <f>IFERROR(__xludf.DUMMYFUNCTION("""COMPUTED_VALUE"""),"샘차이나")</f>
        <v>샘차이나</v>
      </c>
      <c r="B5882" s="2" t="str">
        <f>IFERROR(__xludf.DUMMYFUNCTION("""COMPUTED_VALUE"""),"마라갈비")</f>
        <v>마라갈비</v>
      </c>
    </row>
    <row r="5883">
      <c r="A5883" s="2" t="str">
        <f>IFERROR(__xludf.DUMMYFUNCTION("""COMPUTED_VALUE"""),"샘차이나")</f>
        <v>샘차이나</v>
      </c>
      <c r="B5883" s="2" t="str">
        <f>IFERROR(__xludf.DUMMYFUNCTION("""COMPUTED_VALUE"""),"라조장")</f>
        <v>라조장</v>
      </c>
    </row>
    <row r="5884">
      <c r="A5884" s="2" t="str">
        <f>IFERROR(__xludf.DUMMYFUNCTION("""COMPUTED_VALUE"""),"샘차이나")</f>
        <v>샘차이나</v>
      </c>
      <c r="B5884" s="2" t="str">
        <f>IFERROR(__xludf.DUMMYFUNCTION("""COMPUTED_VALUE"""),"청경채")</f>
        <v>청경채</v>
      </c>
    </row>
    <row r="5885">
      <c r="A5885" s="2" t="str">
        <f>IFERROR(__xludf.DUMMYFUNCTION("""COMPUTED_VALUE"""),"샘차이나")</f>
        <v>샘차이나</v>
      </c>
      <c r="B5885" s="2" t="str">
        <f>IFERROR(__xludf.DUMMYFUNCTION("""COMPUTED_VALUE"""),"표고버섯")</f>
        <v>표고버섯</v>
      </c>
    </row>
    <row r="5886">
      <c r="A5886" s="2" t="str">
        <f>IFERROR(__xludf.DUMMYFUNCTION("""COMPUTED_VALUE"""),"샘차이나")</f>
        <v>샘차이나</v>
      </c>
      <c r="B5886" s="2" t="str">
        <f>IFERROR(__xludf.DUMMYFUNCTION("""COMPUTED_VALUE"""),"방울양배추")</f>
        <v>방울양배추</v>
      </c>
    </row>
    <row r="5887">
      <c r="A5887" s="2" t="str">
        <f>IFERROR(__xludf.DUMMYFUNCTION("""COMPUTED_VALUE"""),"샘차이나")</f>
        <v>샘차이나</v>
      </c>
      <c r="B5887" s="2" t="str">
        <f>IFERROR(__xludf.DUMMYFUNCTION("""COMPUTED_VALUE"""),"우유")</f>
        <v>우유</v>
      </c>
    </row>
    <row r="5888">
      <c r="A5888" s="2" t="str">
        <f>IFERROR(__xludf.DUMMYFUNCTION("""COMPUTED_VALUE"""),"샘차이나")</f>
        <v>샘차이나</v>
      </c>
      <c r="B5888" s="2" t="str">
        <f>IFERROR(__xludf.DUMMYFUNCTION("""COMPUTED_VALUE"""),"크림치즈")</f>
        <v>크림치즈</v>
      </c>
    </row>
    <row r="5889">
      <c r="A5889" s="2" t="str">
        <f>IFERROR(__xludf.DUMMYFUNCTION("""COMPUTED_VALUE"""),"샘차이나")</f>
        <v>샘차이나</v>
      </c>
      <c r="B5889" s="2" t="str">
        <f>IFERROR(__xludf.DUMMYFUNCTION("""COMPUTED_VALUE"""),"연어통조림")</f>
        <v>연어통조림</v>
      </c>
    </row>
    <row r="5890">
      <c r="A5890" s="2" t="str">
        <f>IFERROR(__xludf.DUMMYFUNCTION("""COMPUTED_VALUE"""),"샘차이나")</f>
        <v>샘차이나</v>
      </c>
      <c r="B5890" s="2" t="str">
        <f>IFERROR(__xludf.DUMMYFUNCTION("""COMPUTED_VALUE"""),"타르타르소스")</f>
        <v>타르타르소스</v>
      </c>
    </row>
    <row r="5891">
      <c r="A5891" s="2" t="str">
        <f>IFERROR(__xludf.DUMMYFUNCTION("""COMPUTED_VALUE"""),"샘차이나")</f>
        <v>샘차이나</v>
      </c>
      <c r="B5891" s="2" t="str">
        <f>IFERROR(__xludf.DUMMYFUNCTION("""COMPUTED_VALUE"""),"마요네즈")</f>
        <v>마요네즈</v>
      </c>
    </row>
    <row r="5892">
      <c r="A5892" s="2" t="str">
        <f>IFERROR(__xludf.DUMMYFUNCTION("""COMPUTED_VALUE"""),"샘차이나")</f>
        <v>샘차이나</v>
      </c>
      <c r="B5892" s="2" t="str">
        <f>IFERROR(__xludf.DUMMYFUNCTION("""COMPUTED_VALUE"""),"블랙올리브")</f>
        <v>블랙올리브</v>
      </c>
    </row>
    <row r="5893">
      <c r="A5893" s="2" t="str">
        <f>IFERROR(__xludf.DUMMYFUNCTION("""COMPUTED_VALUE"""),"샘차이나")</f>
        <v>샘차이나</v>
      </c>
      <c r="B5893" s="2" t="str">
        <f>IFERROR(__xludf.DUMMYFUNCTION("""COMPUTED_VALUE"""),"케이퍼")</f>
        <v>케이퍼</v>
      </c>
    </row>
    <row r="5894">
      <c r="A5894" s="2" t="str">
        <f>IFERROR(__xludf.DUMMYFUNCTION("""COMPUTED_VALUE"""),"샘차이나")</f>
        <v>샘차이나</v>
      </c>
      <c r="B5894" s="2" t="str">
        <f>IFERROR(__xludf.DUMMYFUNCTION("""COMPUTED_VALUE"""),"오레가노")</f>
        <v>오레가노</v>
      </c>
    </row>
    <row r="5895">
      <c r="A5895" s="2" t="str">
        <f>IFERROR(__xludf.DUMMYFUNCTION("""COMPUTED_VALUE"""),"샘차이나")</f>
        <v>샘차이나</v>
      </c>
      <c r="B5895" s="2" t="str">
        <f>IFERROR(__xludf.DUMMYFUNCTION("""COMPUTED_VALUE"""),"타임")</f>
        <v>타임</v>
      </c>
    </row>
    <row r="5896">
      <c r="A5896" s="2" t="str">
        <f>IFERROR(__xludf.DUMMYFUNCTION("""COMPUTED_VALUE"""),"샘차이나")</f>
        <v>샘차이나</v>
      </c>
      <c r="B5896" s="2" t="str">
        <f>IFERROR(__xludf.DUMMYFUNCTION("""COMPUTED_VALUE"""),"파슬리")</f>
        <v>파슬리</v>
      </c>
    </row>
    <row r="5897">
      <c r="A5897" s="2" t="str">
        <f>IFERROR(__xludf.DUMMYFUNCTION("""COMPUTED_VALUE"""),"샘차이나")</f>
        <v>샘차이나</v>
      </c>
      <c r="B5897" s="2" t="str">
        <f>IFERROR(__xludf.DUMMYFUNCTION("""COMPUTED_VALUE"""),"로즈마리")</f>
        <v>로즈마리</v>
      </c>
    </row>
    <row r="5898">
      <c r="A5898" s="2" t="str">
        <f>IFERROR(__xludf.DUMMYFUNCTION("""COMPUTED_VALUE"""),"샘차이나")</f>
        <v>샘차이나</v>
      </c>
      <c r="B5898" s="2" t="str">
        <f>IFERROR(__xludf.DUMMYFUNCTION("""COMPUTED_VALUE"""),"버터")</f>
        <v>버터</v>
      </c>
    </row>
    <row r="5899">
      <c r="A5899" s="2" t="str">
        <f>IFERROR(__xludf.DUMMYFUNCTION("""COMPUTED_VALUE"""),"샘차이나")</f>
        <v>샘차이나</v>
      </c>
      <c r="B5899" s="2" t="str">
        <f>IFERROR(__xludf.DUMMYFUNCTION("""COMPUTED_VALUE"""),"밀가루")</f>
        <v>밀가루</v>
      </c>
    </row>
    <row r="5900">
      <c r="A5900" s="2" t="str">
        <f>IFERROR(__xludf.DUMMYFUNCTION("""COMPUTED_VALUE"""),"샘차이나")</f>
        <v>샘차이나</v>
      </c>
      <c r="B5900" s="2" t="str">
        <f>IFERROR(__xludf.DUMMYFUNCTION("""COMPUTED_VALUE"""),"마늘")</f>
        <v>마늘</v>
      </c>
    </row>
    <row r="5901">
      <c r="A5901" s="2" t="str">
        <f>IFERROR(__xludf.DUMMYFUNCTION("""COMPUTED_VALUE"""),"샘차이나")</f>
        <v>샘차이나</v>
      </c>
      <c r="B5901" s="2" t="str">
        <f>IFERROR(__xludf.DUMMYFUNCTION("""COMPUTED_VALUE"""),"양파")</f>
        <v>양파</v>
      </c>
    </row>
    <row r="5902">
      <c r="A5902" s="2" t="str">
        <f>IFERROR(__xludf.DUMMYFUNCTION("""COMPUTED_VALUE"""),"샘차이나")</f>
        <v>샘차이나</v>
      </c>
      <c r="B5902" s="2" t="str">
        <f>IFERROR(__xludf.DUMMYFUNCTION("""COMPUTED_VALUE"""),"후추")</f>
        <v>후추</v>
      </c>
    </row>
    <row r="5903">
      <c r="A5903" s="2" t="str">
        <f>IFERROR(__xludf.DUMMYFUNCTION("""COMPUTED_VALUE"""),"샘차이나")</f>
        <v>샘차이나</v>
      </c>
      <c r="B5903" s="2" t="str">
        <f>IFERROR(__xludf.DUMMYFUNCTION("""COMPUTED_VALUE"""),"올리브오일")</f>
        <v>올리브오일</v>
      </c>
    </row>
    <row r="5904">
      <c r="A5904" s="2" t="str">
        <f>IFERROR(__xludf.DUMMYFUNCTION("""COMPUTED_VALUE"""),"샘차이나")</f>
        <v>샘차이나</v>
      </c>
      <c r="B5904" s="2" t="str">
        <f>IFERROR(__xludf.DUMMYFUNCTION("""COMPUTED_VALUE"""),"소금")</f>
        <v>소금</v>
      </c>
    </row>
    <row r="5905">
      <c r="A5905" s="2" t="str">
        <f>IFERROR(__xludf.DUMMYFUNCTION("""COMPUTED_VALUE"""),"풍당풍당면")</f>
        <v>풍당풍당면</v>
      </c>
      <c r="B5905" s="2" t="str">
        <f>IFERROR(__xludf.DUMMYFUNCTION("""COMPUTED_VALUE"""),"새우")</f>
        <v>새우</v>
      </c>
    </row>
    <row r="5906">
      <c r="A5906" s="2" t="str">
        <f>IFERROR(__xludf.DUMMYFUNCTION("""COMPUTED_VALUE"""),"풍당풍당면")</f>
        <v>풍당풍당면</v>
      </c>
      <c r="B5906" s="2" t="str">
        <f>IFERROR(__xludf.DUMMYFUNCTION("""COMPUTED_VALUE"""),"새우젓")</f>
        <v>새우젓</v>
      </c>
    </row>
    <row r="5907">
      <c r="A5907" s="2" t="str">
        <f>IFERROR(__xludf.DUMMYFUNCTION("""COMPUTED_VALUE"""),"풍당풍당면")</f>
        <v>풍당풍당면</v>
      </c>
      <c r="B5907" s="2" t="str">
        <f>IFERROR(__xludf.DUMMYFUNCTION("""COMPUTED_VALUE"""),"명란젓")</f>
        <v>명란젓</v>
      </c>
    </row>
    <row r="5908">
      <c r="A5908" s="2" t="str">
        <f>IFERROR(__xludf.DUMMYFUNCTION("""COMPUTED_VALUE"""),"풍당풍당면")</f>
        <v>풍당풍당면</v>
      </c>
      <c r="B5908" s="2" t="str">
        <f>IFERROR(__xludf.DUMMYFUNCTION("""COMPUTED_VALUE"""),"돼지고기 목심")</f>
        <v>돼지고기 목심</v>
      </c>
    </row>
    <row r="5909">
      <c r="A5909" s="2" t="str">
        <f>IFERROR(__xludf.DUMMYFUNCTION("""COMPUTED_VALUE"""),"풍당풍당면")</f>
        <v>풍당풍당면</v>
      </c>
      <c r="B5909" s="2" t="str">
        <f>IFERROR(__xludf.DUMMYFUNCTION("""COMPUTED_VALUE"""),"당면")</f>
        <v>당면</v>
      </c>
    </row>
    <row r="5910">
      <c r="A5910" s="2" t="str">
        <f>IFERROR(__xludf.DUMMYFUNCTION("""COMPUTED_VALUE"""),"풍당풍당면")</f>
        <v>풍당풍당면</v>
      </c>
      <c r="B5910" s="2" t="str">
        <f>IFERROR(__xludf.DUMMYFUNCTION("""COMPUTED_VALUE"""),"표고버섯")</f>
        <v>표고버섯</v>
      </c>
    </row>
    <row r="5911">
      <c r="A5911" s="2" t="str">
        <f>IFERROR(__xludf.DUMMYFUNCTION("""COMPUTED_VALUE"""),"풍당풍당면")</f>
        <v>풍당풍당면</v>
      </c>
      <c r="B5911" s="2" t="str">
        <f>IFERROR(__xludf.DUMMYFUNCTION("""COMPUTED_VALUE"""),"죽순")</f>
        <v>죽순</v>
      </c>
    </row>
    <row r="5912">
      <c r="A5912" s="2" t="str">
        <f>IFERROR(__xludf.DUMMYFUNCTION("""COMPUTED_VALUE"""),"풍당풍당면")</f>
        <v>풍당풍당면</v>
      </c>
      <c r="B5912" s="2" t="str">
        <f>IFERROR(__xludf.DUMMYFUNCTION("""COMPUTED_VALUE"""),"고춧가루")</f>
        <v>고춧가루</v>
      </c>
    </row>
    <row r="5913">
      <c r="A5913" s="2" t="str">
        <f>IFERROR(__xludf.DUMMYFUNCTION("""COMPUTED_VALUE"""),"풍당풍당면")</f>
        <v>풍당풍당면</v>
      </c>
      <c r="B5913" s="2" t="str">
        <f>IFERROR(__xludf.DUMMYFUNCTION("""COMPUTED_VALUE"""),"대파")</f>
        <v>대파</v>
      </c>
    </row>
    <row r="5914">
      <c r="A5914" s="2" t="str">
        <f>IFERROR(__xludf.DUMMYFUNCTION("""COMPUTED_VALUE"""),"풍당풍당면")</f>
        <v>풍당풍당면</v>
      </c>
      <c r="B5914" s="2" t="str">
        <f>IFERROR(__xludf.DUMMYFUNCTION("""COMPUTED_VALUE"""),"마늘")</f>
        <v>마늘</v>
      </c>
    </row>
    <row r="5915">
      <c r="A5915" s="2" t="str">
        <f>IFERROR(__xludf.DUMMYFUNCTION("""COMPUTED_VALUE"""),"풍당풍당면")</f>
        <v>풍당풍당면</v>
      </c>
      <c r="B5915" s="2" t="str">
        <f>IFERROR(__xludf.DUMMYFUNCTION("""COMPUTED_VALUE"""),"양파")</f>
        <v>양파</v>
      </c>
    </row>
    <row r="5916">
      <c r="A5916" s="2" t="str">
        <f>IFERROR(__xludf.DUMMYFUNCTION("""COMPUTED_VALUE"""),"풍당풍당면")</f>
        <v>풍당풍당면</v>
      </c>
      <c r="B5916" s="2" t="str">
        <f>IFERROR(__xludf.DUMMYFUNCTION("""COMPUTED_VALUE"""),"식초")</f>
        <v>식초</v>
      </c>
    </row>
    <row r="5917">
      <c r="A5917" s="2" t="str">
        <f>IFERROR(__xludf.DUMMYFUNCTION("""COMPUTED_VALUE"""),"풍당풍당면")</f>
        <v>풍당풍당면</v>
      </c>
      <c r="B5917" s="2" t="str">
        <f>IFERROR(__xludf.DUMMYFUNCTION("""COMPUTED_VALUE"""),"전분")</f>
        <v>전분</v>
      </c>
    </row>
    <row r="5918">
      <c r="A5918" s="2" t="str">
        <f>IFERROR(__xludf.DUMMYFUNCTION("""COMPUTED_VALUE"""),"언더 더 씨♬")</f>
        <v>언더 더 씨♬</v>
      </c>
      <c r="B5918" s="2" t="str">
        <f>IFERROR(__xludf.DUMMYFUNCTION("""COMPUTED_VALUE"""),"문어")</f>
        <v>문어</v>
      </c>
    </row>
    <row r="5919">
      <c r="A5919" s="2" t="str">
        <f>IFERROR(__xludf.DUMMYFUNCTION("""COMPUTED_VALUE"""),"언더 더 씨♬")</f>
        <v>언더 더 씨♬</v>
      </c>
      <c r="B5919" s="2" t="str">
        <f>IFERROR(__xludf.DUMMYFUNCTION("""COMPUTED_VALUE"""),"감성돔")</f>
        <v>감성돔</v>
      </c>
    </row>
    <row r="5920">
      <c r="A5920" s="2" t="str">
        <f>IFERROR(__xludf.DUMMYFUNCTION("""COMPUTED_VALUE"""),"언더 더 씨♬")</f>
        <v>언더 더 씨♬</v>
      </c>
      <c r="B5920" s="2" t="str">
        <f>IFERROR(__xludf.DUMMYFUNCTION("""COMPUTED_VALUE"""),"전복")</f>
        <v>전복</v>
      </c>
    </row>
    <row r="5921">
      <c r="A5921" s="2" t="str">
        <f>IFERROR(__xludf.DUMMYFUNCTION("""COMPUTED_VALUE"""),"언더 더 씨♬")</f>
        <v>언더 더 씨♬</v>
      </c>
      <c r="B5921" s="2" t="str">
        <f>IFERROR(__xludf.DUMMYFUNCTION("""COMPUTED_VALUE"""),"새우")</f>
        <v>새우</v>
      </c>
    </row>
    <row r="5922">
      <c r="A5922" s="2" t="str">
        <f>IFERROR(__xludf.DUMMYFUNCTION("""COMPUTED_VALUE"""),"언더 더 씨♬")</f>
        <v>언더 더 씨♬</v>
      </c>
      <c r="B5922" s="2" t="str">
        <f>IFERROR(__xludf.DUMMYFUNCTION("""COMPUTED_VALUE"""),"당면")</f>
        <v>당면</v>
      </c>
    </row>
    <row r="5923">
      <c r="A5923" s="2" t="str">
        <f>IFERROR(__xludf.DUMMYFUNCTION("""COMPUTED_VALUE"""),"언더 더 씨♬")</f>
        <v>언더 더 씨♬</v>
      </c>
      <c r="B5923" s="2" t="str">
        <f>IFERROR(__xludf.DUMMYFUNCTION("""COMPUTED_VALUE"""),"불린 귀리")</f>
        <v>불린 귀리</v>
      </c>
    </row>
    <row r="5924">
      <c r="A5924" s="2" t="str">
        <f>IFERROR(__xludf.DUMMYFUNCTION("""COMPUTED_VALUE"""),"언더 더 씨♬")</f>
        <v>언더 더 씨♬</v>
      </c>
      <c r="B5924" s="2" t="str">
        <f>IFERROR(__xludf.DUMMYFUNCTION("""COMPUTED_VALUE"""),"새송이버섯")</f>
        <v>새송이버섯</v>
      </c>
    </row>
    <row r="5925">
      <c r="A5925" s="2" t="str">
        <f>IFERROR(__xludf.DUMMYFUNCTION("""COMPUTED_VALUE"""),"언더 더 씨♬")</f>
        <v>언더 더 씨♬</v>
      </c>
      <c r="B5925" s="2" t="str">
        <f>IFERROR(__xludf.DUMMYFUNCTION("""COMPUTED_VALUE"""),"우유")</f>
        <v>우유</v>
      </c>
    </row>
    <row r="5926">
      <c r="A5926" s="2" t="str">
        <f>IFERROR(__xludf.DUMMYFUNCTION("""COMPUTED_VALUE"""),"언더 더 씨♬")</f>
        <v>언더 더 씨♬</v>
      </c>
      <c r="B5926" s="2" t="str">
        <f>IFERROR(__xludf.DUMMYFUNCTION("""COMPUTED_VALUE"""),"청양고추")</f>
        <v>청양고추</v>
      </c>
    </row>
    <row r="5927">
      <c r="A5927" s="2" t="str">
        <f>IFERROR(__xludf.DUMMYFUNCTION("""COMPUTED_VALUE"""),"언더 더 씨♬")</f>
        <v>언더 더 씨♬</v>
      </c>
      <c r="B5927" s="2" t="str">
        <f>IFERROR(__xludf.DUMMYFUNCTION("""COMPUTED_VALUE"""),"양파")</f>
        <v>양파</v>
      </c>
    </row>
    <row r="5928">
      <c r="A5928" s="2" t="str">
        <f>IFERROR(__xludf.DUMMYFUNCTION("""COMPUTED_VALUE"""),"언더 더 씨♬")</f>
        <v>언더 더 씨♬</v>
      </c>
      <c r="B5928" s="2" t="str">
        <f>IFERROR(__xludf.DUMMYFUNCTION("""COMPUTED_VALUE"""),"다진 마늘")</f>
        <v>다진 마늘</v>
      </c>
    </row>
    <row r="5929">
      <c r="A5929" s="2" t="str">
        <f>IFERROR(__xludf.DUMMYFUNCTION("""COMPUTED_VALUE"""),"언더 더 씨♬")</f>
        <v>언더 더 씨♬</v>
      </c>
      <c r="B5929" s="2" t="str">
        <f>IFERROR(__xludf.DUMMYFUNCTION("""COMPUTED_VALUE"""),"버터")</f>
        <v>버터</v>
      </c>
    </row>
    <row r="5930">
      <c r="A5930" s="2" t="str">
        <f>IFERROR(__xludf.DUMMYFUNCTION("""COMPUTED_VALUE"""),"언더 더 씨♬")</f>
        <v>언더 더 씨♬</v>
      </c>
      <c r="B5930" s="2" t="str">
        <f>IFERROR(__xludf.DUMMYFUNCTION("""COMPUTED_VALUE"""),"후추")</f>
        <v>후추</v>
      </c>
    </row>
    <row r="5931">
      <c r="A5931" s="2" t="str">
        <f>IFERROR(__xludf.DUMMYFUNCTION("""COMPUTED_VALUE"""),"언더 더 씨♬")</f>
        <v>언더 더 씨♬</v>
      </c>
      <c r="B5931" s="2" t="str">
        <f>IFERROR(__xludf.DUMMYFUNCTION("""COMPUTED_VALUE"""),"소금")</f>
        <v>소금</v>
      </c>
    </row>
    <row r="5932">
      <c r="A5932" s="2" t="str">
        <f>IFERROR(__xludf.DUMMYFUNCTION("""COMPUTED_VALUE"""),"완도풀 파티")</f>
        <v>완도풀 파티</v>
      </c>
      <c r="B5932" s="2" t="str">
        <f>IFERROR(__xludf.DUMMYFUNCTION("""COMPUTED_VALUE"""),"오징어")</f>
        <v>오징어</v>
      </c>
    </row>
    <row r="5933">
      <c r="A5933" s="2" t="str">
        <f>IFERROR(__xludf.DUMMYFUNCTION("""COMPUTED_VALUE"""),"완도풀 파티")</f>
        <v>완도풀 파티</v>
      </c>
      <c r="B5933" s="2" t="str">
        <f>IFERROR(__xludf.DUMMYFUNCTION("""COMPUTED_VALUE"""),"문어")</f>
        <v>문어</v>
      </c>
    </row>
    <row r="5934">
      <c r="A5934" s="2" t="str">
        <f>IFERROR(__xludf.DUMMYFUNCTION("""COMPUTED_VALUE"""),"완도풀 파티")</f>
        <v>완도풀 파티</v>
      </c>
      <c r="B5934" s="2" t="str">
        <f>IFERROR(__xludf.DUMMYFUNCTION("""COMPUTED_VALUE"""),"새우")</f>
        <v>새우</v>
      </c>
    </row>
    <row r="5935">
      <c r="A5935" s="2" t="str">
        <f>IFERROR(__xludf.DUMMYFUNCTION("""COMPUTED_VALUE"""),"완도풀 파티")</f>
        <v>완도풀 파티</v>
      </c>
      <c r="B5935" s="2" t="str">
        <f>IFERROR(__xludf.DUMMYFUNCTION("""COMPUTED_VALUE"""),"애호박")</f>
        <v>애호박</v>
      </c>
    </row>
    <row r="5936">
      <c r="A5936" s="2" t="str">
        <f>IFERROR(__xludf.DUMMYFUNCTION("""COMPUTED_VALUE"""),"완도풀 파티")</f>
        <v>완도풀 파티</v>
      </c>
      <c r="B5936" s="2" t="str">
        <f>IFERROR(__xludf.DUMMYFUNCTION("""COMPUTED_VALUE"""),"미니파프리카")</f>
        <v>미니파프리카</v>
      </c>
    </row>
    <row r="5937">
      <c r="A5937" s="2" t="str">
        <f>IFERROR(__xludf.DUMMYFUNCTION("""COMPUTED_VALUE"""),"완도풀 파티")</f>
        <v>완도풀 파티</v>
      </c>
      <c r="B5937" s="2" t="str">
        <f>IFERROR(__xludf.DUMMYFUNCTION("""COMPUTED_VALUE"""),"고구마줄기무침")</f>
        <v>고구마줄기무침</v>
      </c>
    </row>
    <row r="5938">
      <c r="A5938" s="2" t="str">
        <f>IFERROR(__xludf.DUMMYFUNCTION("""COMPUTED_VALUE"""),"완도풀 파티")</f>
        <v>완도풀 파티</v>
      </c>
      <c r="B5938" s="2" t="str">
        <f>IFERROR(__xludf.DUMMYFUNCTION("""COMPUTED_VALUE"""),"할라피뇨")</f>
        <v>할라피뇨</v>
      </c>
    </row>
    <row r="5939">
      <c r="A5939" s="2" t="str">
        <f>IFERROR(__xludf.DUMMYFUNCTION("""COMPUTED_VALUE"""),"완도풀 파티")</f>
        <v>완도풀 파티</v>
      </c>
      <c r="B5939" s="2" t="str">
        <f>IFERROR(__xludf.DUMMYFUNCTION("""COMPUTED_VALUE"""),"석류")</f>
        <v>석류</v>
      </c>
    </row>
    <row r="5940">
      <c r="A5940" s="2" t="str">
        <f>IFERROR(__xludf.DUMMYFUNCTION("""COMPUTED_VALUE"""),"완도풀 파티")</f>
        <v>완도풀 파티</v>
      </c>
      <c r="B5940" s="2" t="str">
        <f>IFERROR(__xludf.DUMMYFUNCTION("""COMPUTED_VALUE"""),"고춧가루")</f>
        <v>고춧가루</v>
      </c>
    </row>
    <row r="5941">
      <c r="A5941" s="2" t="str">
        <f>IFERROR(__xludf.DUMMYFUNCTION("""COMPUTED_VALUE"""),"완도풀 파티")</f>
        <v>완도풀 파티</v>
      </c>
      <c r="B5941" s="2" t="str">
        <f>IFERROR(__xludf.DUMMYFUNCTION("""COMPUTED_VALUE"""),"당근")</f>
        <v>당근</v>
      </c>
    </row>
    <row r="5942">
      <c r="A5942" s="2" t="str">
        <f>IFERROR(__xludf.DUMMYFUNCTION("""COMPUTED_VALUE"""),"완도풀 파티")</f>
        <v>완도풀 파티</v>
      </c>
      <c r="B5942" s="2" t="str">
        <f>IFERROR(__xludf.DUMMYFUNCTION("""COMPUTED_VALUE"""),"레몬")</f>
        <v>레몬</v>
      </c>
    </row>
    <row r="5943">
      <c r="A5943" s="2" t="str">
        <f>IFERROR(__xludf.DUMMYFUNCTION("""COMPUTED_VALUE"""),"완도풀 파티")</f>
        <v>완도풀 파티</v>
      </c>
      <c r="B5943" s="2" t="str">
        <f>IFERROR(__xludf.DUMMYFUNCTION("""COMPUTED_VALUE"""),"다진 마늘")</f>
        <v>다진 마늘</v>
      </c>
    </row>
    <row r="5944">
      <c r="A5944" s="2" t="str">
        <f>IFERROR(__xludf.DUMMYFUNCTION("""COMPUTED_VALUE"""),"완도풀 파티")</f>
        <v>완도풀 파티</v>
      </c>
      <c r="B5944" s="2" t="str">
        <f>IFERROR(__xludf.DUMMYFUNCTION("""COMPUTED_VALUE"""),"후추")</f>
        <v>후추</v>
      </c>
    </row>
    <row r="5945">
      <c r="A5945" s="2" t="str">
        <f>IFERROR(__xludf.DUMMYFUNCTION("""COMPUTED_VALUE"""),"완도풀 파티")</f>
        <v>완도풀 파티</v>
      </c>
      <c r="B5945" s="2" t="str">
        <f>IFERROR(__xludf.DUMMYFUNCTION("""COMPUTED_VALUE"""),"올리브오일")</f>
        <v>올리브오일</v>
      </c>
    </row>
    <row r="5946">
      <c r="A5946" s="2" t="str">
        <f>IFERROR(__xludf.DUMMYFUNCTION("""COMPUTED_VALUE"""),"완도풀 파티")</f>
        <v>완도풀 파티</v>
      </c>
      <c r="B5946" s="2" t="str">
        <f>IFERROR(__xludf.DUMMYFUNCTION("""COMPUTED_VALUE"""),"소금")</f>
        <v>소금</v>
      </c>
    </row>
    <row r="5947">
      <c r="A5947" s="2" t="str">
        <f>IFERROR(__xludf.DUMMYFUNCTION("""COMPUTED_VALUE"""),"완도풀 파티")</f>
        <v>완도풀 파티</v>
      </c>
      <c r="B5947" s="2" t="str">
        <f>IFERROR(__xludf.DUMMYFUNCTION("""COMPUTED_VALUE"""),"식초")</f>
        <v>식초</v>
      </c>
    </row>
    <row r="5948">
      <c r="A5948" s="2" t="str">
        <f>IFERROR(__xludf.DUMMYFUNCTION("""COMPUTED_VALUE"""),"롤 is my everything♬")</f>
        <v>롤 is my everything♬</v>
      </c>
      <c r="B5948" s="2" t="str">
        <f>IFERROR(__xludf.DUMMYFUNCTION("""COMPUTED_VALUE"""),"서대")</f>
        <v>서대</v>
      </c>
    </row>
    <row r="5949">
      <c r="A5949" s="2" t="str">
        <f>IFERROR(__xludf.DUMMYFUNCTION("""COMPUTED_VALUE"""),"롤 is my everything♬")</f>
        <v>롤 is my everything♬</v>
      </c>
      <c r="B5949" s="2" t="str">
        <f>IFERROR(__xludf.DUMMYFUNCTION("""COMPUTED_VALUE"""),"새우")</f>
        <v>새우</v>
      </c>
    </row>
    <row r="5950">
      <c r="A5950" s="2" t="str">
        <f>IFERROR(__xludf.DUMMYFUNCTION("""COMPUTED_VALUE"""),"롤 is my everything♬")</f>
        <v>롤 is my everything♬</v>
      </c>
      <c r="B5950" s="2" t="str">
        <f>IFERROR(__xludf.DUMMYFUNCTION("""COMPUTED_VALUE"""),"돼지고기 목심")</f>
        <v>돼지고기 목심</v>
      </c>
    </row>
    <row r="5951">
      <c r="A5951" s="2" t="str">
        <f>IFERROR(__xludf.DUMMYFUNCTION("""COMPUTED_VALUE"""),"롤 is my everything♬")</f>
        <v>롤 is my everything♬</v>
      </c>
      <c r="B5951" s="2" t="str">
        <f>IFERROR(__xludf.DUMMYFUNCTION("""COMPUTED_VALUE"""),"두릅")</f>
        <v>두릅</v>
      </c>
    </row>
    <row r="5952">
      <c r="A5952" s="2" t="str">
        <f>IFERROR(__xludf.DUMMYFUNCTION("""COMPUTED_VALUE"""),"롤 is my everything♬")</f>
        <v>롤 is my everything♬</v>
      </c>
      <c r="B5952" s="2" t="str">
        <f>IFERROR(__xludf.DUMMYFUNCTION("""COMPUTED_VALUE"""),"삶은 죽순")</f>
        <v>삶은 죽순</v>
      </c>
    </row>
    <row r="5953">
      <c r="A5953" s="2" t="str">
        <f>IFERROR(__xludf.DUMMYFUNCTION("""COMPUTED_VALUE"""),"롤 is my everything♬")</f>
        <v>롤 is my everything♬</v>
      </c>
      <c r="B5953" s="2" t="str">
        <f>IFERROR(__xludf.DUMMYFUNCTION("""COMPUTED_VALUE"""),"오렌지주스")</f>
        <v>오렌지주스</v>
      </c>
    </row>
    <row r="5954">
      <c r="A5954" s="2" t="str">
        <f>IFERROR(__xludf.DUMMYFUNCTION("""COMPUTED_VALUE"""),"롤 is my everything♬")</f>
        <v>롤 is my everything♬</v>
      </c>
      <c r="B5954" s="2" t="str">
        <f>IFERROR(__xludf.DUMMYFUNCTION("""COMPUTED_VALUE"""),"아로니아즙")</f>
        <v>아로니아즙</v>
      </c>
    </row>
    <row r="5955">
      <c r="A5955" s="2" t="str">
        <f>IFERROR(__xludf.DUMMYFUNCTION("""COMPUTED_VALUE"""),"롤 is my everything♬")</f>
        <v>롤 is my everything♬</v>
      </c>
      <c r="B5955" s="2" t="str">
        <f>IFERROR(__xludf.DUMMYFUNCTION("""COMPUTED_VALUE"""),"버터")</f>
        <v>버터</v>
      </c>
    </row>
    <row r="5956">
      <c r="A5956" s="2" t="str">
        <f>IFERROR(__xludf.DUMMYFUNCTION("""COMPUTED_VALUE"""),"롤 is my everything♬")</f>
        <v>롤 is my everything♬</v>
      </c>
      <c r="B5956" s="2" t="str">
        <f>IFERROR(__xludf.DUMMYFUNCTION("""COMPUTED_VALUE"""),"달걀")</f>
        <v>달걀</v>
      </c>
    </row>
    <row r="5957">
      <c r="A5957" s="2" t="str">
        <f>IFERROR(__xludf.DUMMYFUNCTION("""COMPUTED_VALUE"""),"롤 is my everything♬")</f>
        <v>롤 is my everything♬</v>
      </c>
      <c r="B5957" s="2" t="str">
        <f>IFERROR(__xludf.DUMMYFUNCTION("""COMPUTED_VALUE"""),"레몬")</f>
        <v>레몬</v>
      </c>
    </row>
    <row r="5958">
      <c r="A5958" s="2" t="str">
        <f>IFERROR(__xludf.DUMMYFUNCTION("""COMPUTED_VALUE"""),"롤 is my everything♬")</f>
        <v>롤 is my everything♬</v>
      </c>
      <c r="B5958" s="2" t="str">
        <f>IFERROR(__xludf.DUMMYFUNCTION("""COMPUTED_VALUE"""),"소금")</f>
        <v>소금</v>
      </c>
    </row>
    <row r="5959">
      <c r="A5959" s="2" t="str">
        <f>IFERROR(__xludf.DUMMYFUNCTION("""COMPUTED_VALUE"""),"롤 is my everything♬")</f>
        <v>롤 is my everything♬</v>
      </c>
      <c r="B5959" s="2" t="str">
        <f>IFERROR(__xludf.DUMMYFUNCTION("""COMPUTED_VALUE"""),"참기름")</f>
        <v>참기름</v>
      </c>
    </row>
    <row r="5960">
      <c r="A5960" s="2" t="str">
        <f>IFERROR(__xludf.DUMMYFUNCTION("""COMPUTED_VALUE"""),"롤 is my everything♬")</f>
        <v>롤 is my everything♬</v>
      </c>
      <c r="B5960" s="2" t="str">
        <f>IFERROR(__xludf.DUMMYFUNCTION("""COMPUTED_VALUE"""),"후추")</f>
        <v>후추</v>
      </c>
    </row>
    <row r="5961">
      <c r="A5961" s="2" t="str">
        <f>IFERROR(__xludf.DUMMYFUNCTION("""COMPUTED_VALUE"""),"완소 두부")</f>
        <v>완소 두부</v>
      </c>
      <c r="B5961" s="2" t="str">
        <f>IFERROR(__xludf.DUMMYFUNCTION("""COMPUTED_VALUE"""),"두부")</f>
        <v>두부</v>
      </c>
    </row>
    <row r="5962">
      <c r="A5962" s="2" t="str">
        <f>IFERROR(__xludf.DUMMYFUNCTION("""COMPUTED_VALUE"""),"완소 두부")</f>
        <v>완소 두부</v>
      </c>
      <c r="B5962" s="2" t="str">
        <f>IFERROR(__xludf.DUMMYFUNCTION("""COMPUTED_VALUE"""),"소고기등심")</f>
        <v>소고기등심</v>
      </c>
    </row>
    <row r="5963">
      <c r="A5963" s="2" t="str">
        <f>IFERROR(__xludf.DUMMYFUNCTION("""COMPUTED_VALUE"""),"완소 두부")</f>
        <v>완소 두부</v>
      </c>
      <c r="B5963" s="2" t="str">
        <f>IFERROR(__xludf.DUMMYFUNCTION("""COMPUTED_VALUE"""),"새우")</f>
        <v>새우</v>
      </c>
    </row>
    <row r="5964">
      <c r="A5964" s="2" t="str">
        <f>IFERROR(__xludf.DUMMYFUNCTION("""COMPUTED_VALUE"""),"완소 두부")</f>
        <v>완소 두부</v>
      </c>
      <c r="B5964" s="2" t="str">
        <f>IFERROR(__xludf.DUMMYFUNCTION("""COMPUTED_VALUE"""),"골뱅이통조림")</f>
        <v>골뱅이통조림</v>
      </c>
    </row>
    <row r="5965">
      <c r="A5965" s="2" t="str">
        <f>IFERROR(__xludf.DUMMYFUNCTION("""COMPUTED_VALUE"""),"완소 두부")</f>
        <v>완소 두부</v>
      </c>
      <c r="B5965" s="2" t="str">
        <f>IFERROR(__xludf.DUMMYFUNCTION("""COMPUTED_VALUE"""),"둥근 호박")</f>
        <v>둥근 호박</v>
      </c>
    </row>
    <row r="5966">
      <c r="A5966" s="2" t="str">
        <f>IFERROR(__xludf.DUMMYFUNCTION("""COMPUTED_VALUE"""),"완소 두부")</f>
        <v>완소 두부</v>
      </c>
      <c r="B5966" s="2" t="str">
        <f>IFERROR(__xludf.DUMMYFUNCTION("""COMPUTED_VALUE"""),"누룽지")</f>
        <v>누룽지</v>
      </c>
    </row>
    <row r="5967">
      <c r="A5967" s="2" t="str">
        <f>IFERROR(__xludf.DUMMYFUNCTION("""COMPUTED_VALUE"""),"완소 두부")</f>
        <v>완소 두부</v>
      </c>
      <c r="B5967" s="2" t="str">
        <f>IFERROR(__xludf.DUMMYFUNCTION("""COMPUTED_VALUE"""),"매실엑기스")</f>
        <v>매실엑기스</v>
      </c>
    </row>
    <row r="5968">
      <c r="A5968" s="2" t="str">
        <f>IFERROR(__xludf.DUMMYFUNCTION("""COMPUTED_VALUE"""),"완소 두부")</f>
        <v>완소 두부</v>
      </c>
      <c r="B5968" s="2" t="str">
        <f>IFERROR(__xludf.DUMMYFUNCTION("""COMPUTED_VALUE"""),"사골곰탕")</f>
        <v>사골곰탕</v>
      </c>
    </row>
    <row r="5969">
      <c r="A5969" s="2" t="str">
        <f>IFERROR(__xludf.DUMMYFUNCTION("""COMPUTED_VALUE"""),"완소 두부")</f>
        <v>완소 두부</v>
      </c>
      <c r="B5969" s="2" t="str">
        <f>IFERROR(__xludf.DUMMYFUNCTION("""COMPUTED_VALUE"""),"대파")</f>
        <v>대파</v>
      </c>
    </row>
    <row r="5970">
      <c r="A5970" s="2" t="str">
        <f>IFERROR(__xludf.DUMMYFUNCTION("""COMPUTED_VALUE"""),"완소 두부")</f>
        <v>완소 두부</v>
      </c>
      <c r="B5970" s="2" t="str">
        <f>IFERROR(__xludf.DUMMYFUNCTION("""COMPUTED_VALUE"""),"마늘")</f>
        <v>마늘</v>
      </c>
    </row>
    <row r="5971">
      <c r="A5971" s="2" t="str">
        <f>IFERROR(__xludf.DUMMYFUNCTION("""COMPUTED_VALUE"""),"완소 두부")</f>
        <v>완소 두부</v>
      </c>
      <c r="B5971" s="2" t="str">
        <f>IFERROR(__xludf.DUMMYFUNCTION("""COMPUTED_VALUE"""),"양파")</f>
        <v>양파</v>
      </c>
    </row>
    <row r="5972">
      <c r="A5972" s="2" t="str">
        <f>IFERROR(__xludf.DUMMYFUNCTION("""COMPUTED_VALUE"""),"완소 두부")</f>
        <v>완소 두부</v>
      </c>
      <c r="B5972" s="2" t="str">
        <f>IFERROR(__xludf.DUMMYFUNCTION("""COMPUTED_VALUE"""),"다진 생강")</f>
        <v>다진 생강</v>
      </c>
    </row>
    <row r="5973">
      <c r="A5973" s="2" t="str">
        <f>IFERROR(__xludf.DUMMYFUNCTION("""COMPUTED_VALUE"""),"완소 두부")</f>
        <v>완소 두부</v>
      </c>
      <c r="B5973" s="2" t="str">
        <f>IFERROR(__xludf.DUMMYFUNCTION("""COMPUTED_VALUE"""),"청양고추")</f>
        <v>청양고추</v>
      </c>
    </row>
    <row r="5974">
      <c r="A5974" s="2" t="str">
        <f>IFERROR(__xludf.DUMMYFUNCTION("""COMPUTED_VALUE"""),"완소 두부")</f>
        <v>완소 두부</v>
      </c>
      <c r="B5974" s="2" t="str">
        <f>IFERROR(__xludf.DUMMYFUNCTION("""COMPUTED_VALUE"""),"버터")</f>
        <v>버터</v>
      </c>
    </row>
    <row r="5975">
      <c r="A5975" s="2" t="str">
        <f>IFERROR(__xludf.DUMMYFUNCTION("""COMPUTED_VALUE"""),"완소 두부")</f>
        <v>완소 두부</v>
      </c>
      <c r="B5975" s="2" t="str">
        <f>IFERROR(__xludf.DUMMYFUNCTION("""COMPUTED_VALUE"""),"달걀")</f>
        <v>달걀</v>
      </c>
    </row>
    <row r="5976">
      <c r="A5976" s="2" t="str">
        <f>IFERROR(__xludf.DUMMYFUNCTION("""COMPUTED_VALUE"""),"완소 두부")</f>
        <v>완소 두부</v>
      </c>
      <c r="B5976" s="2" t="str">
        <f>IFERROR(__xludf.DUMMYFUNCTION("""COMPUTED_VALUE"""),"전분")</f>
        <v>전분</v>
      </c>
    </row>
    <row r="5977">
      <c r="A5977" s="2" t="str">
        <f>IFERROR(__xludf.DUMMYFUNCTION("""COMPUTED_VALUE"""),"완소 두부")</f>
        <v>완소 두부</v>
      </c>
      <c r="B5977" s="2" t="str">
        <f>IFERROR(__xludf.DUMMYFUNCTION("""COMPUTED_VALUE"""),"소금")</f>
        <v>소금</v>
      </c>
    </row>
    <row r="5978">
      <c r="A5978" s="2" t="str">
        <f>IFERROR(__xludf.DUMMYFUNCTION("""COMPUTED_VALUE"""),"완소 두부")</f>
        <v>완소 두부</v>
      </c>
      <c r="B5978" s="2" t="str">
        <f>IFERROR(__xludf.DUMMYFUNCTION("""COMPUTED_VALUE"""),"고춧가루")</f>
        <v>고춧가루</v>
      </c>
    </row>
    <row r="5979">
      <c r="A5979" s="2" t="str">
        <f>IFERROR(__xludf.DUMMYFUNCTION("""COMPUTED_VALUE"""),"완소 두부")</f>
        <v>완소 두부</v>
      </c>
      <c r="B5979" s="2" t="str">
        <f>IFERROR(__xludf.DUMMYFUNCTION("""COMPUTED_VALUE"""),"청주")</f>
        <v>청주</v>
      </c>
    </row>
    <row r="5980">
      <c r="A5980" s="2" t="str">
        <f>IFERROR(__xludf.DUMMYFUNCTION("""COMPUTED_VALUE"""),"완소 두부")</f>
        <v>완소 두부</v>
      </c>
      <c r="B5980" s="2" t="str">
        <f>IFERROR(__xludf.DUMMYFUNCTION("""COMPUTED_VALUE"""),"간장")</f>
        <v>간장</v>
      </c>
    </row>
    <row r="5981">
      <c r="A5981" s="2" t="str">
        <f>IFERROR(__xludf.DUMMYFUNCTION("""COMPUTED_VALUE"""),"완소 두부")</f>
        <v>완소 두부</v>
      </c>
      <c r="B5981" s="2" t="str">
        <f>IFERROR(__xludf.DUMMYFUNCTION("""COMPUTED_VALUE"""),"고추장")</f>
        <v>고추장</v>
      </c>
    </row>
    <row r="5982">
      <c r="A5982" s="2" t="str">
        <f>IFERROR(__xludf.DUMMYFUNCTION("""COMPUTED_VALUE"""),"완소 두부")</f>
        <v>완소 두부</v>
      </c>
      <c r="B5982" s="2" t="str">
        <f>IFERROR(__xludf.DUMMYFUNCTION("""COMPUTED_VALUE"""),"참기름")</f>
        <v>참기름</v>
      </c>
    </row>
    <row r="5983">
      <c r="A5983" s="2" t="str">
        <f>IFERROR(__xludf.DUMMYFUNCTION("""COMPUTED_VALUE"""),"1등 가자~미!")</f>
        <v>1등 가자~미!</v>
      </c>
      <c r="B5983" s="2" t="str">
        <f>IFERROR(__xludf.DUMMYFUNCTION("""COMPUTED_VALUE"""),"가자미")</f>
        <v>가자미</v>
      </c>
    </row>
    <row r="5984">
      <c r="A5984" s="2" t="str">
        <f>IFERROR(__xludf.DUMMYFUNCTION("""COMPUTED_VALUE"""),"1등 가자~미!")</f>
        <v>1등 가자~미!</v>
      </c>
      <c r="B5984" s="2" t="str">
        <f>IFERROR(__xludf.DUMMYFUNCTION("""COMPUTED_VALUE"""),"사골곰탕")</f>
        <v>사골곰탕</v>
      </c>
    </row>
    <row r="5985">
      <c r="A5985" s="2" t="str">
        <f>IFERROR(__xludf.DUMMYFUNCTION("""COMPUTED_VALUE"""),"1등 가자~미!")</f>
        <v>1등 가자~미!</v>
      </c>
      <c r="B5985" s="2" t="str">
        <f>IFERROR(__xludf.DUMMYFUNCTION("""COMPUTED_VALUE"""),"애호박")</f>
        <v>애호박</v>
      </c>
    </row>
    <row r="5986">
      <c r="A5986" s="2" t="str">
        <f>IFERROR(__xludf.DUMMYFUNCTION("""COMPUTED_VALUE"""),"1등 가자~미!")</f>
        <v>1등 가자~미!</v>
      </c>
      <c r="B5986" s="2" t="str">
        <f>IFERROR(__xludf.DUMMYFUNCTION("""COMPUTED_VALUE"""),"감자")</f>
        <v>감자</v>
      </c>
    </row>
    <row r="5987">
      <c r="A5987" s="2" t="str">
        <f>IFERROR(__xludf.DUMMYFUNCTION("""COMPUTED_VALUE"""),"1등 가자~미!")</f>
        <v>1등 가자~미!</v>
      </c>
      <c r="B5987" s="2" t="str">
        <f>IFERROR(__xludf.DUMMYFUNCTION("""COMPUTED_VALUE"""),"마늘")</f>
        <v>마늘</v>
      </c>
    </row>
    <row r="5988">
      <c r="A5988" s="2" t="str">
        <f>IFERROR(__xludf.DUMMYFUNCTION("""COMPUTED_VALUE"""),"1등 가자~미!")</f>
        <v>1등 가자~미!</v>
      </c>
      <c r="B5988" s="2" t="str">
        <f>IFERROR(__xludf.DUMMYFUNCTION("""COMPUTED_VALUE"""),"레몬")</f>
        <v>레몬</v>
      </c>
    </row>
    <row r="5989">
      <c r="A5989" s="2" t="str">
        <f>IFERROR(__xludf.DUMMYFUNCTION("""COMPUTED_VALUE"""),"1등 가자~미!")</f>
        <v>1등 가자~미!</v>
      </c>
      <c r="B5989" s="2" t="str">
        <f>IFERROR(__xludf.DUMMYFUNCTION("""COMPUTED_VALUE"""),"대파")</f>
        <v>대파</v>
      </c>
    </row>
    <row r="5990">
      <c r="A5990" s="2" t="str">
        <f>IFERROR(__xludf.DUMMYFUNCTION("""COMPUTED_VALUE"""),"1등 가자~미!")</f>
        <v>1등 가자~미!</v>
      </c>
      <c r="B5990" s="2" t="str">
        <f>IFERROR(__xludf.DUMMYFUNCTION("""COMPUTED_VALUE"""),"소금")</f>
        <v>소금</v>
      </c>
    </row>
    <row r="5991">
      <c r="A5991" s="2" t="str">
        <f>IFERROR(__xludf.DUMMYFUNCTION("""COMPUTED_VALUE"""),"1등 가자~미!")</f>
        <v>1등 가자~미!</v>
      </c>
      <c r="B5991" s="2" t="str">
        <f>IFERROR(__xludf.DUMMYFUNCTION("""COMPUTED_VALUE"""),"후추")</f>
        <v>후추</v>
      </c>
    </row>
    <row r="5992">
      <c r="A5992" s="2" t="str">
        <f>IFERROR(__xludf.DUMMYFUNCTION("""COMPUTED_VALUE"""),"1등 가자~미!")</f>
        <v>1등 가자~미!</v>
      </c>
      <c r="B5992" s="2" t="str">
        <f>IFERROR(__xludf.DUMMYFUNCTION("""COMPUTED_VALUE"""),"식초")</f>
        <v>식초</v>
      </c>
    </row>
    <row r="5993">
      <c r="A5993" s="2" t="str">
        <f>IFERROR(__xludf.DUMMYFUNCTION("""COMPUTED_VALUE"""),"1등 가자~미!")</f>
        <v>1등 가자~미!</v>
      </c>
      <c r="B5993" s="2" t="str">
        <f>IFERROR(__xludf.DUMMYFUNCTION("""COMPUTED_VALUE"""),"버터")</f>
        <v>버터</v>
      </c>
    </row>
    <row r="5994">
      <c r="A5994" s="2" t="str">
        <f>IFERROR(__xludf.DUMMYFUNCTION("""COMPUTED_VALUE"""),"1등 가자~미!")</f>
        <v>1등 가자~미!</v>
      </c>
      <c r="B5994" s="2" t="str">
        <f>IFERROR(__xludf.DUMMYFUNCTION("""COMPUTED_VALUE"""),"화이트와인")</f>
        <v>화이트와인</v>
      </c>
    </row>
    <row r="5995">
      <c r="A5995" s="2" t="str">
        <f>IFERROR(__xludf.DUMMYFUNCTION("""COMPUTED_VALUE"""),"1등 가자~미!")</f>
        <v>1등 가자~미!</v>
      </c>
      <c r="B5995" s="2" t="str">
        <f>IFERROR(__xludf.DUMMYFUNCTION("""COMPUTED_VALUE"""),"올리브오일")</f>
        <v>올리브오일</v>
      </c>
    </row>
    <row r="5996">
      <c r="A5996" s="2" t="str">
        <f>IFERROR(__xludf.DUMMYFUNCTION("""COMPUTED_VALUE"""),"플라이 투 더 전복")</f>
        <v>플라이 투 더 전복</v>
      </c>
      <c r="B5996" s="2" t="str">
        <f>IFERROR(__xludf.DUMMYFUNCTION("""COMPUTED_VALUE"""),"전복")</f>
        <v>전복</v>
      </c>
    </row>
    <row r="5997">
      <c r="A5997" s="2" t="str">
        <f>IFERROR(__xludf.DUMMYFUNCTION("""COMPUTED_VALUE"""),"플라이 투 더 전복")</f>
        <v>플라이 투 더 전복</v>
      </c>
      <c r="B5997" s="2" t="str">
        <f>IFERROR(__xludf.DUMMYFUNCTION("""COMPUTED_VALUE"""),"닭가슴살")</f>
        <v>닭가슴살</v>
      </c>
    </row>
    <row r="5998">
      <c r="A5998" s="2" t="str">
        <f>IFERROR(__xludf.DUMMYFUNCTION("""COMPUTED_VALUE"""),"플라이 투 더 전복")</f>
        <v>플라이 투 더 전복</v>
      </c>
      <c r="B5998" s="2" t="str">
        <f>IFERROR(__xludf.DUMMYFUNCTION("""COMPUTED_VALUE"""),"누룽지")</f>
        <v>누룽지</v>
      </c>
    </row>
    <row r="5999">
      <c r="A5999" s="2" t="str">
        <f>IFERROR(__xludf.DUMMYFUNCTION("""COMPUTED_VALUE"""),"플라이 투 더 전복")</f>
        <v>플라이 투 더 전복</v>
      </c>
      <c r="B5999" s="2" t="str">
        <f>IFERROR(__xludf.DUMMYFUNCTION("""COMPUTED_VALUE"""),"파프리카")</f>
        <v>파프리카</v>
      </c>
    </row>
    <row r="6000">
      <c r="A6000" s="2" t="str">
        <f>IFERROR(__xludf.DUMMYFUNCTION("""COMPUTED_VALUE"""),"플라이 투 더 전복")</f>
        <v>플라이 투 더 전복</v>
      </c>
      <c r="B6000" s="2" t="str">
        <f>IFERROR(__xludf.DUMMYFUNCTION("""COMPUTED_VALUE"""),"홍삼엑기스")</f>
        <v>홍삼엑기스</v>
      </c>
    </row>
    <row r="6001">
      <c r="A6001" s="2" t="str">
        <f>IFERROR(__xludf.DUMMYFUNCTION("""COMPUTED_VALUE"""),"플라이 투 더 전복")</f>
        <v>플라이 투 더 전복</v>
      </c>
      <c r="B6001" s="2" t="str">
        <f>IFERROR(__xludf.DUMMYFUNCTION("""COMPUTED_VALUE"""),"양파")</f>
        <v>양파</v>
      </c>
    </row>
    <row r="6002">
      <c r="A6002" s="2" t="str">
        <f>IFERROR(__xludf.DUMMYFUNCTION("""COMPUTED_VALUE"""),"플라이 투 더 전복")</f>
        <v>플라이 투 더 전복</v>
      </c>
      <c r="B6002" s="2" t="str">
        <f>IFERROR(__xludf.DUMMYFUNCTION("""COMPUTED_VALUE"""),"마늘")</f>
        <v>마늘</v>
      </c>
    </row>
    <row r="6003">
      <c r="A6003" s="2" t="str">
        <f>IFERROR(__xludf.DUMMYFUNCTION("""COMPUTED_VALUE"""),"플라이 투 더 전복")</f>
        <v>플라이 투 더 전복</v>
      </c>
      <c r="B6003" s="2" t="str">
        <f>IFERROR(__xludf.DUMMYFUNCTION("""COMPUTED_VALUE"""),"대파")</f>
        <v>대파</v>
      </c>
    </row>
    <row r="6004">
      <c r="A6004" s="2" t="str">
        <f>IFERROR(__xludf.DUMMYFUNCTION("""COMPUTED_VALUE"""),"플라이 투 더 전복")</f>
        <v>플라이 투 더 전복</v>
      </c>
      <c r="B6004" s="2" t="str">
        <f>IFERROR(__xludf.DUMMYFUNCTION("""COMPUTED_VALUE"""),"소금")</f>
        <v>소금</v>
      </c>
    </row>
    <row r="6005">
      <c r="A6005" s="2" t="str">
        <f>IFERROR(__xludf.DUMMYFUNCTION("""COMPUTED_VALUE"""),"플라이 투 더 전복")</f>
        <v>플라이 투 더 전복</v>
      </c>
      <c r="B6005" s="2" t="str">
        <f>IFERROR(__xludf.DUMMYFUNCTION("""COMPUTED_VALUE"""),"후추")</f>
        <v>후추</v>
      </c>
    </row>
    <row r="6006">
      <c r="A6006" s="2" t="str">
        <f>IFERROR(__xludf.DUMMYFUNCTION("""COMPUTED_VALUE"""),"플라이 투 더 전복")</f>
        <v>플라이 투 더 전복</v>
      </c>
      <c r="B6006" s="2" t="str">
        <f>IFERROR(__xludf.DUMMYFUNCTION("""COMPUTED_VALUE"""),"청주")</f>
        <v>청주</v>
      </c>
    </row>
    <row r="6007">
      <c r="A6007" s="2" t="str">
        <f>IFERROR(__xludf.DUMMYFUNCTION("""COMPUTED_VALUE"""),"플라이 투 더 전복")</f>
        <v>플라이 투 더 전복</v>
      </c>
      <c r="B6007" s="2" t="str">
        <f>IFERROR(__xludf.DUMMYFUNCTION("""COMPUTED_VALUE"""),"맛술")</f>
        <v>맛술</v>
      </c>
    </row>
    <row r="6008">
      <c r="A6008" s="2" t="str">
        <f>IFERROR(__xludf.DUMMYFUNCTION("""COMPUTED_VALUE"""),"플라이 투 더 전복")</f>
        <v>플라이 투 더 전복</v>
      </c>
      <c r="B6008" s="2" t="str">
        <f>IFERROR(__xludf.DUMMYFUNCTION("""COMPUTED_VALUE"""),"고춧가루")</f>
        <v>고춧가루</v>
      </c>
    </row>
    <row r="6009">
      <c r="A6009" s="2" t="str">
        <f>IFERROR(__xludf.DUMMYFUNCTION("""COMPUTED_VALUE"""),"플라이 투 더 전복")</f>
        <v>플라이 투 더 전복</v>
      </c>
      <c r="B6009" s="2" t="str">
        <f>IFERROR(__xludf.DUMMYFUNCTION("""COMPUTED_VALUE"""),"식용유")</f>
        <v>식용유</v>
      </c>
    </row>
    <row r="6010">
      <c r="A6010" s="2" t="str">
        <f>IFERROR(__xludf.DUMMYFUNCTION("""COMPUTED_VALUE"""),"플라이 투 더 전복")</f>
        <v>플라이 투 더 전복</v>
      </c>
      <c r="B6010" s="2" t="str">
        <f>IFERROR(__xludf.DUMMYFUNCTION("""COMPUTED_VALUE"""),"참기름")</f>
        <v>참기름</v>
      </c>
    </row>
    <row r="6011">
      <c r="A6011" s="2" t="str">
        <f>IFERROR(__xludf.DUMMYFUNCTION("""COMPUTED_VALUE"""),"플라이 투 더 전복")</f>
        <v>플라이 투 더 전복</v>
      </c>
      <c r="B6011" s="2" t="str">
        <f>IFERROR(__xludf.DUMMYFUNCTION("""COMPUTED_VALUE"""),"간장")</f>
        <v>간장</v>
      </c>
    </row>
    <row r="6012">
      <c r="A6012" s="2" t="str">
        <f>IFERROR(__xludf.DUMMYFUNCTION("""COMPUTED_VALUE"""),"전복 미씽유♬")</f>
        <v>전복 미씽유♬</v>
      </c>
      <c r="B6012" s="2" t="str">
        <f>IFERROR(__xludf.DUMMYFUNCTION("""COMPUTED_VALUE"""),"전복")</f>
        <v>전복</v>
      </c>
    </row>
    <row r="6013">
      <c r="A6013" s="2" t="str">
        <f>IFERROR(__xludf.DUMMYFUNCTION("""COMPUTED_VALUE"""),"전복 미씽유♬")</f>
        <v>전복 미씽유♬</v>
      </c>
      <c r="B6013" s="2" t="str">
        <f>IFERROR(__xludf.DUMMYFUNCTION("""COMPUTED_VALUE"""),"달걀")</f>
        <v>달걀</v>
      </c>
    </row>
    <row r="6014">
      <c r="A6014" s="2" t="str">
        <f>IFERROR(__xludf.DUMMYFUNCTION("""COMPUTED_VALUE"""),"전복 미씽유♬")</f>
        <v>전복 미씽유♬</v>
      </c>
      <c r="B6014" s="2" t="str">
        <f>IFERROR(__xludf.DUMMYFUNCTION("""COMPUTED_VALUE"""),"김")</f>
        <v>김</v>
      </c>
    </row>
    <row r="6015">
      <c r="A6015" s="2" t="str">
        <f>IFERROR(__xludf.DUMMYFUNCTION("""COMPUTED_VALUE"""),"전복 미씽유♬")</f>
        <v>전복 미씽유♬</v>
      </c>
      <c r="B6015" s="2" t="str">
        <f>IFERROR(__xludf.DUMMYFUNCTION("""COMPUTED_VALUE"""),"새우")</f>
        <v>새우</v>
      </c>
    </row>
    <row r="6016">
      <c r="A6016" s="2" t="str">
        <f>IFERROR(__xludf.DUMMYFUNCTION("""COMPUTED_VALUE"""),"전복 미씽유♬")</f>
        <v>전복 미씽유♬</v>
      </c>
      <c r="B6016" s="2" t="str">
        <f>IFERROR(__xludf.DUMMYFUNCTION("""COMPUTED_VALUE"""),"둥근 호박")</f>
        <v>둥근 호박</v>
      </c>
    </row>
    <row r="6017">
      <c r="A6017" s="2" t="str">
        <f>IFERROR(__xludf.DUMMYFUNCTION("""COMPUTED_VALUE"""),"전복 미씽유♬")</f>
        <v>전복 미씽유♬</v>
      </c>
      <c r="B6017" s="2" t="str">
        <f>IFERROR(__xludf.DUMMYFUNCTION("""COMPUTED_VALUE"""),"부추")</f>
        <v>부추</v>
      </c>
    </row>
    <row r="6018">
      <c r="A6018" s="2" t="str">
        <f>IFERROR(__xludf.DUMMYFUNCTION("""COMPUTED_VALUE"""),"전복 미씽유♬")</f>
        <v>전복 미씽유♬</v>
      </c>
      <c r="B6018" s="2" t="str">
        <f>IFERROR(__xludf.DUMMYFUNCTION("""COMPUTED_VALUE"""),"조미료")</f>
        <v>조미료</v>
      </c>
    </row>
    <row r="6019">
      <c r="A6019" s="2" t="str">
        <f>IFERROR(__xludf.DUMMYFUNCTION("""COMPUTED_VALUE"""),"전복 미씽유♬")</f>
        <v>전복 미씽유♬</v>
      </c>
      <c r="B6019" s="2" t="str">
        <f>IFERROR(__xludf.DUMMYFUNCTION("""COMPUTED_VALUE"""),"파스타면")</f>
        <v>파스타면</v>
      </c>
    </row>
    <row r="6020">
      <c r="A6020" s="2" t="str">
        <f>IFERROR(__xludf.DUMMYFUNCTION("""COMPUTED_VALUE"""),"전복 미씽유♬")</f>
        <v>전복 미씽유♬</v>
      </c>
      <c r="B6020" s="2" t="str">
        <f>IFERROR(__xludf.DUMMYFUNCTION("""COMPUTED_VALUE"""),"양파")</f>
        <v>양파</v>
      </c>
    </row>
    <row r="6021">
      <c r="A6021" s="2" t="str">
        <f>IFERROR(__xludf.DUMMYFUNCTION("""COMPUTED_VALUE"""),"전복 미씽유♬")</f>
        <v>전복 미씽유♬</v>
      </c>
      <c r="B6021" s="2" t="str">
        <f>IFERROR(__xludf.DUMMYFUNCTION("""COMPUTED_VALUE"""),"마늘")</f>
        <v>마늘</v>
      </c>
    </row>
    <row r="6022">
      <c r="A6022" s="2" t="str">
        <f>IFERROR(__xludf.DUMMYFUNCTION("""COMPUTED_VALUE"""),"전복 미씽유♬")</f>
        <v>전복 미씽유♬</v>
      </c>
      <c r="B6022" s="2" t="str">
        <f>IFERROR(__xludf.DUMMYFUNCTION("""COMPUTED_VALUE"""),"청주")</f>
        <v>청주</v>
      </c>
    </row>
    <row r="6023">
      <c r="A6023" s="2" t="str">
        <f>IFERROR(__xludf.DUMMYFUNCTION("""COMPUTED_VALUE"""),"전복 미씽유♬")</f>
        <v>전복 미씽유♬</v>
      </c>
      <c r="B6023" s="2" t="str">
        <f>IFERROR(__xludf.DUMMYFUNCTION("""COMPUTED_VALUE"""),"소금")</f>
        <v>소금</v>
      </c>
    </row>
    <row r="6024">
      <c r="A6024" s="2" t="str">
        <f>IFERROR(__xludf.DUMMYFUNCTION("""COMPUTED_VALUE"""),"전복 미씽유♬")</f>
        <v>전복 미씽유♬</v>
      </c>
      <c r="B6024" s="2" t="str">
        <f>IFERROR(__xludf.DUMMYFUNCTION("""COMPUTED_VALUE"""),"후추")</f>
        <v>후추</v>
      </c>
    </row>
    <row r="6025">
      <c r="A6025" s="2" t="str">
        <f>IFERROR(__xludf.DUMMYFUNCTION("""COMPUTED_VALUE"""),"전복 미씽유♬")</f>
        <v>전복 미씽유♬</v>
      </c>
      <c r="B6025" s="2" t="str">
        <f>IFERROR(__xludf.DUMMYFUNCTION("""COMPUTED_VALUE"""),"간장")</f>
        <v>간장</v>
      </c>
    </row>
    <row r="6026">
      <c r="A6026" s="2" t="str">
        <f>IFERROR(__xludf.DUMMYFUNCTION("""COMPUTED_VALUE"""),"전복 미씽유♬")</f>
        <v>전복 미씽유♬</v>
      </c>
      <c r="B6026" s="2" t="str">
        <f>IFERROR(__xludf.DUMMYFUNCTION("""COMPUTED_VALUE"""),"버터")</f>
        <v>버터</v>
      </c>
    </row>
    <row r="6027">
      <c r="A6027" s="2" t="str">
        <f>IFERROR(__xludf.DUMMYFUNCTION("""COMPUTED_VALUE"""),"복수전")</f>
        <v>복수전</v>
      </c>
      <c r="B6027" s="2" t="str">
        <f>IFERROR(__xludf.DUMMYFUNCTION("""COMPUTED_VALUE"""),"옥수수 통조림")</f>
        <v>옥수수 통조림</v>
      </c>
    </row>
    <row r="6028">
      <c r="A6028" s="2" t="str">
        <f>IFERROR(__xludf.DUMMYFUNCTION("""COMPUTED_VALUE"""),"복수전")</f>
        <v>복수전</v>
      </c>
      <c r="B6028" s="2" t="str">
        <f>IFERROR(__xludf.DUMMYFUNCTION("""COMPUTED_VALUE"""),"토마토")</f>
        <v>토마토</v>
      </c>
    </row>
    <row r="6029">
      <c r="A6029" s="2" t="str">
        <f>IFERROR(__xludf.DUMMYFUNCTION("""COMPUTED_VALUE"""),"복수전")</f>
        <v>복수전</v>
      </c>
      <c r="B6029" s="2" t="str">
        <f>IFERROR(__xludf.DUMMYFUNCTION("""COMPUTED_VALUE"""),"사과")</f>
        <v>사과</v>
      </c>
    </row>
    <row r="6030">
      <c r="A6030" s="2" t="str">
        <f>IFERROR(__xludf.DUMMYFUNCTION("""COMPUTED_VALUE"""),"복수전")</f>
        <v>복수전</v>
      </c>
      <c r="B6030" s="2" t="str">
        <f>IFERROR(__xludf.DUMMYFUNCTION("""COMPUTED_VALUE"""),"매실액")</f>
        <v>매실액</v>
      </c>
    </row>
    <row r="6031">
      <c r="A6031" s="2" t="str">
        <f>IFERROR(__xludf.DUMMYFUNCTION("""COMPUTED_VALUE"""),"복수전")</f>
        <v>복수전</v>
      </c>
      <c r="B6031" s="2" t="str">
        <f>IFERROR(__xludf.DUMMYFUNCTION("""COMPUTED_VALUE"""),"달걀")</f>
        <v>달걀</v>
      </c>
    </row>
    <row r="6032">
      <c r="A6032" s="2" t="str">
        <f>IFERROR(__xludf.DUMMYFUNCTION("""COMPUTED_VALUE"""),"복수전")</f>
        <v>복수전</v>
      </c>
      <c r="B6032" s="2" t="str">
        <f>IFERROR(__xludf.DUMMYFUNCTION("""COMPUTED_VALUE"""),"맛술")</f>
        <v>맛술</v>
      </c>
    </row>
    <row r="6033">
      <c r="A6033" s="2" t="str">
        <f>IFERROR(__xludf.DUMMYFUNCTION("""COMPUTED_VALUE"""),"복수전")</f>
        <v>복수전</v>
      </c>
      <c r="B6033" s="2" t="str">
        <f>IFERROR(__xludf.DUMMYFUNCTION("""COMPUTED_VALUE"""),"소금")</f>
        <v>소금</v>
      </c>
    </row>
    <row r="6034">
      <c r="A6034" s="2" t="str">
        <f>IFERROR(__xludf.DUMMYFUNCTION("""COMPUTED_VALUE"""),"복수전")</f>
        <v>복수전</v>
      </c>
      <c r="B6034" s="2" t="str">
        <f>IFERROR(__xludf.DUMMYFUNCTION("""COMPUTED_VALUE"""),"양파")</f>
        <v>양파</v>
      </c>
    </row>
    <row r="6035">
      <c r="A6035" s="2" t="str">
        <f>IFERROR(__xludf.DUMMYFUNCTION("""COMPUTED_VALUE"""),"복수전")</f>
        <v>복수전</v>
      </c>
      <c r="B6035" s="2" t="str">
        <f>IFERROR(__xludf.DUMMYFUNCTION("""COMPUTED_VALUE"""),"마늘")</f>
        <v>마늘</v>
      </c>
    </row>
    <row r="6036">
      <c r="A6036" s="2" t="str">
        <f>IFERROR(__xludf.DUMMYFUNCTION("""COMPUTED_VALUE"""),"복수전")</f>
        <v>복수전</v>
      </c>
      <c r="B6036" s="2" t="str">
        <f>IFERROR(__xludf.DUMMYFUNCTION("""COMPUTED_VALUE"""),"대파")</f>
        <v>대파</v>
      </c>
    </row>
    <row r="6037">
      <c r="A6037" s="2" t="str">
        <f>IFERROR(__xludf.DUMMYFUNCTION("""COMPUTED_VALUE"""),"복수전")</f>
        <v>복수전</v>
      </c>
      <c r="B6037" s="2" t="str">
        <f>IFERROR(__xludf.DUMMYFUNCTION("""COMPUTED_VALUE"""),"케첩")</f>
        <v>케첩</v>
      </c>
    </row>
    <row r="6038">
      <c r="A6038" s="2" t="str">
        <f>IFERROR(__xludf.DUMMYFUNCTION("""COMPUTED_VALUE"""),"복수전")</f>
        <v>복수전</v>
      </c>
      <c r="B6038" s="2" t="str">
        <f>IFERROR(__xludf.DUMMYFUNCTION("""COMPUTED_VALUE"""),"레몬")</f>
        <v>레몬</v>
      </c>
    </row>
    <row r="6039">
      <c r="A6039" s="2" t="str">
        <f>IFERROR(__xludf.DUMMYFUNCTION("""COMPUTED_VALUE"""),"복수전")</f>
        <v>복수전</v>
      </c>
      <c r="B6039" s="2" t="str">
        <f>IFERROR(__xludf.DUMMYFUNCTION("""COMPUTED_VALUE"""),"전분")</f>
        <v>전분</v>
      </c>
    </row>
    <row r="6040">
      <c r="A6040" s="2" t="str">
        <f>IFERROR(__xludf.DUMMYFUNCTION("""COMPUTED_VALUE"""),"복수전")</f>
        <v>복수전</v>
      </c>
      <c r="B6040" s="2" t="str">
        <f>IFERROR(__xludf.DUMMYFUNCTION("""COMPUTED_VALUE"""),"설탕")</f>
        <v>설탕</v>
      </c>
    </row>
    <row r="6041">
      <c r="A6041" s="2" t="str">
        <f>IFERROR(__xludf.DUMMYFUNCTION("""COMPUTED_VALUE"""),"복수전")</f>
        <v>복수전</v>
      </c>
      <c r="B6041" s="2" t="str">
        <f>IFERROR(__xludf.DUMMYFUNCTION("""COMPUTED_VALUE"""),"후추")</f>
        <v>후추</v>
      </c>
    </row>
    <row r="6042">
      <c r="A6042" s="2" t="str">
        <f>IFERROR(__xludf.DUMMYFUNCTION("""COMPUTED_VALUE"""),"신데렐라 피자")</f>
        <v>신데렐라 피자</v>
      </c>
      <c r="B6042" s="2" t="str">
        <f>IFERROR(__xludf.DUMMYFUNCTION("""COMPUTED_VALUE"""),"단호박")</f>
        <v>단호박</v>
      </c>
    </row>
    <row r="6043">
      <c r="A6043" s="2" t="str">
        <f>IFERROR(__xludf.DUMMYFUNCTION("""COMPUTED_VALUE"""),"신데렐라 피자")</f>
        <v>신데렐라 피자</v>
      </c>
      <c r="B6043" s="2" t="str">
        <f>IFERROR(__xludf.DUMMYFUNCTION("""COMPUTED_VALUE"""),"삼겹살")</f>
        <v>삼겹살</v>
      </c>
    </row>
    <row r="6044">
      <c r="A6044" s="2" t="str">
        <f>IFERROR(__xludf.DUMMYFUNCTION("""COMPUTED_VALUE"""),"신데렐라 피자")</f>
        <v>신데렐라 피자</v>
      </c>
      <c r="B6044" s="2" t="str">
        <f>IFERROR(__xludf.DUMMYFUNCTION("""COMPUTED_VALUE"""),"토마토")</f>
        <v>토마토</v>
      </c>
    </row>
    <row r="6045">
      <c r="A6045" s="2" t="str">
        <f>IFERROR(__xludf.DUMMYFUNCTION("""COMPUTED_VALUE"""),"신데렐라 피자")</f>
        <v>신데렐라 피자</v>
      </c>
      <c r="B6045" s="2" t="str">
        <f>IFERROR(__xludf.DUMMYFUNCTION("""COMPUTED_VALUE"""),"사과")</f>
        <v>사과</v>
      </c>
    </row>
    <row r="6046">
      <c r="A6046" s="2" t="str">
        <f>IFERROR(__xludf.DUMMYFUNCTION("""COMPUTED_VALUE"""),"신데렐라 피자")</f>
        <v>신데렐라 피자</v>
      </c>
      <c r="B6046" s="2" t="str">
        <f>IFERROR(__xludf.DUMMYFUNCTION("""COMPUTED_VALUE"""),"시리얼")</f>
        <v>시리얼</v>
      </c>
    </row>
    <row r="6047">
      <c r="A6047" s="2" t="str">
        <f>IFERROR(__xludf.DUMMYFUNCTION("""COMPUTED_VALUE"""),"신데렐라 피자")</f>
        <v>신데렐라 피자</v>
      </c>
      <c r="B6047" s="2" t="str">
        <f>IFERROR(__xludf.DUMMYFUNCTION("""COMPUTED_VALUE"""),"요거트")</f>
        <v>요거트</v>
      </c>
    </row>
    <row r="6048">
      <c r="A6048" s="2" t="str">
        <f>IFERROR(__xludf.DUMMYFUNCTION("""COMPUTED_VALUE"""),"신데렐라 피자")</f>
        <v>신데렐라 피자</v>
      </c>
      <c r="B6048" s="2" t="str">
        <f>IFERROR(__xludf.DUMMYFUNCTION("""COMPUTED_VALUE"""),"느타리버섯")</f>
        <v>느타리버섯</v>
      </c>
    </row>
    <row r="6049">
      <c r="A6049" s="2" t="str">
        <f>IFERROR(__xludf.DUMMYFUNCTION("""COMPUTED_VALUE"""),"신데렐라 피자")</f>
        <v>신데렐라 피자</v>
      </c>
      <c r="B6049" s="2" t="str">
        <f>IFERROR(__xludf.DUMMYFUNCTION("""COMPUTED_VALUE"""),"옥수수 통조림")</f>
        <v>옥수수 통조림</v>
      </c>
    </row>
    <row r="6050">
      <c r="A6050" s="2" t="str">
        <f>IFERROR(__xludf.DUMMYFUNCTION("""COMPUTED_VALUE"""),"신데렐라 피자")</f>
        <v>신데렐라 피자</v>
      </c>
      <c r="B6050" s="2" t="str">
        <f>IFERROR(__xludf.DUMMYFUNCTION("""COMPUTED_VALUE"""),"인스턴트 크림수프분말")</f>
        <v>인스턴트 크림수프분말</v>
      </c>
    </row>
    <row r="6051">
      <c r="A6051" s="2" t="str">
        <f>IFERROR(__xludf.DUMMYFUNCTION("""COMPUTED_VALUE"""),"신데렐라 피자")</f>
        <v>신데렐라 피자</v>
      </c>
      <c r="B6051" s="2" t="str">
        <f>IFERROR(__xludf.DUMMYFUNCTION("""COMPUTED_VALUE"""),"딸기")</f>
        <v>딸기</v>
      </c>
    </row>
    <row r="6052">
      <c r="A6052" s="2" t="str">
        <f>IFERROR(__xludf.DUMMYFUNCTION("""COMPUTED_VALUE"""),"신데렐라 피자")</f>
        <v>신데렐라 피자</v>
      </c>
      <c r="B6052" s="2" t="str">
        <f>IFERROR(__xludf.DUMMYFUNCTION("""COMPUTED_VALUE"""),"고추")</f>
        <v>고추</v>
      </c>
    </row>
    <row r="6053">
      <c r="A6053" s="2" t="str">
        <f>IFERROR(__xludf.DUMMYFUNCTION("""COMPUTED_VALUE"""),"신데렐라 피자")</f>
        <v>신데렐라 피자</v>
      </c>
      <c r="B6053" s="2" t="str">
        <f>IFERROR(__xludf.DUMMYFUNCTION("""COMPUTED_VALUE"""),"전분")</f>
        <v>전분</v>
      </c>
    </row>
    <row r="6054">
      <c r="A6054" s="2" t="str">
        <f>IFERROR(__xludf.DUMMYFUNCTION("""COMPUTED_VALUE"""),"신데렐라 피자")</f>
        <v>신데렐라 피자</v>
      </c>
      <c r="B6054" s="2" t="str">
        <f>IFERROR(__xludf.DUMMYFUNCTION("""COMPUTED_VALUE"""),"소금")</f>
        <v>소금</v>
      </c>
    </row>
    <row r="6055">
      <c r="A6055" s="2" t="str">
        <f>IFERROR(__xludf.DUMMYFUNCTION("""COMPUTED_VALUE"""),"불량고기")</f>
        <v>불량고기</v>
      </c>
      <c r="B6055" s="2" t="str">
        <f>IFERROR(__xludf.DUMMYFUNCTION("""COMPUTED_VALUE"""),"돼지고기 뒷다리살")</f>
        <v>돼지고기 뒷다리살</v>
      </c>
    </row>
    <row r="6056">
      <c r="A6056" s="2" t="str">
        <f>IFERROR(__xludf.DUMMYFUNCTION("""COMPUTED_VALUE"""),"불량고기")</f>
        <v>불량고기</v>
      </c>
      <c r="B6056" s="2" t="str">
        <f>IFERROR(__xludf.DUMMYFUNCTION("""COMPUTED_VALUE"""),"파프리카")</f>
        <v>파프리카</v>
      </c>
    </row>
    <row r="6057">
      <c r="A6057" s="2" t="str">
        <f>IFERROR(__xludf.DUMMYFUNCTION("""COMPUTED_VALUE"""),"불량고기")</f>
        <v>불량고기</v>
      </c>
      <c r="B6057" s="2" t="str">
        <f>IFERROR(__xludf.DUMMYFUNCTION("""COMPUTED_VALUE"""),"느타리버섯")</f>
        <v>느타리버섯</v>
      </c>
    </row>
    <row r="6058">
      <c r="A6058" s="2" t="str">
        <f>IFERROR(__xludf.DUMMYFUNCTION("""COMPUTED_VALUE"""),"불량고기")</f>
        <v>불량고기</v>
      </c>
      <c r="B6058" s="2" t="str">
        <f>IFERROR(__xludf.DUMMYFUNCTION("""COMPUTED_VALUE"""),"매실액")</f>
        <v>매실액</v>
      </c>
    </row>
    <row r="6059">
      <c r="A6059" s="2" t="str">
        <f>IFERROR(__xludf.DUMMYFUNCTION("""COMPUTED_VALUE"""),"불량고기")</f>
        <v>불량고기</v>
      </c>
      <c r="B6059" s="2" t="str">
        <f>IFERROR(__xludf.DUMMYFUNCTION("""COMPUTED_VALUE"""),"방울토마토")</f>
        <v>방울토마토</v>
      </c>
    </row>
    <row r="6060">
      <c r="A6060" s="2" t="str">
        <f>IFERROR(__xludf.DUMMYFUNCTION("""COMPUTED_VALUE"""),"불량고기")</f>
        <v>불량고기</v>
      </c>
      <c r="B6060" s="2" t="str">
        <f>IFERROR(__xludf.DUMMYFUNCTION("""COMPUTED_VALUE"""),"토마토")</f>
        <v>토마토</v>
      </c>
    </row>
    <row r="6061">
      <c r="A6061" s="2" t="str">
        <f>IFERROR(__xludf.DUMMYFUNCTION("""COMPUTED_VALUE"""),"불량고기")</f>
        <v>불량고기</v>
      </c>
      <c r="B6061" s="2" t="str">
        <f>IFERROR(__xludf.DUMMYFUNCTION("""COMPUTED_VALUE"""),"양파")</f>
        <v>양파</v>
      </c>
    </row>
    <row r="6062">
      <c r="A6062" s="2" t="str">
        <f>IFERROR(__xludf.DUMMYFUNCTION("""COMPUTED_VALUE"""),"불량고기")</f>
        <v>불량고기</v>
      </c>
      <c r="B6062" s="2" t="str">
        <f>IFERROR(__xludf.DUMMYFUNCTION("""COMPUTED_VALUE"""),"다진 마늘")</f>
        <v>다진 마늘</v>
      </c>
    </row>
    <row r="6063">
      <c r="A6063" s="2" t="str">
        <f>IFERROR(__xludf.DUMMYFUNCTION("""COMPUTED_VALUE"""),"불량고기")</f>
        <v>불량고기</v>
      </c>
      <c r="B6063" s="2" t="str">
        <f>IFERROR(__xludf.DUMMYFUNCTION("""COMPUTED_VALUE"""),"대파")</f>
        <v>대파</v>
      </c>
    </row>
    <row r="6064">
      <c r="A6064" s="2" t="str">
        <f>IFERROR(__xludf.DUMMYFUNCTION("""COMPUTED_VALUE"""),"불량고기")</f>
        <v>불량고기</v>
      </c>
      <c r="B6064" s="2" t="str">
        <f>IFERROR(__xludf.DUMMYFUNCTION("""COMPUTED_VALUE"""),"레몬")</f>
        <v>레몬</v>
      </c>
    </row>
    <row r="6065">
      <c r="A6065" s="2" t="str">
        <f>IFERROR(__xludf.DUMMYFUNCTION("""COMPUTED_VALUE"""),"불량고기")</f>
        <v>불량고기</v>
      </c>
      <c r="B6065" s="2" t="str">
        <f>IFERROR(__xludf.DUMMYFUNCTION("""COMPUTED_VALUE"""),"간장")</f>
        <v>간장</v>
      </c>
    </row>
    <row r="6066">
      <c r="A6066" s="2" t="str">
        <f>IFERROR(__xludf.DUMMYFUNCTION("""COMPUTED_VALUE"""),"불량고기")</f>
        <v>불량고기</v>
      </c>
      <c r="B6066" s="2" t="str">
        <f>IFERROR(__xludf.DUMMYFUNCTION("""COMPUTED_VALUE"""),"설탕")</f>
        <v>설탕</v>
      </c>
    </row>
    <row r="6067">
      <c r="A6067" s="2" t="str">
        <f>IFERROR(__xludf.DUMMYFUNCTION("""COMPUTED_VALUE"""),"불량고기")</f>
        <v>불량고기</v>
      </c>
      <c r="B6067" s="2" t="str">
        <f>IFERROR(__xludf.DUMMYFUNCTION("""COMPUTED_VALUE"""),"맛술")</f>
        <v>맛술</v>
      </c>
    </row>
    <row r="6068">
      <c r="A6068" s="2" t="str">
        <f>IFERROR(__xludf.DUMMYFUNCTION("""COMPUTED_VALUE"""),"불량고기")</f>
        <v>불량고기</v>
      </c>
      <c r="B6068" s="2" t="str">
        <f>IFERROR(__xludf.DUMMYFUNCTION("""COMPUTED_VALUE"""),"깨")</f>
        <v>깨</v>
      </c>
    </row>
    <row r="6069">
      <c r="A6069" s="2" t="str">
        <f>IFERROR(__xludf.DUMMYFUNCTION("""COMPUTED_VALUE"""),"불량고기")</f>
        <v>불량고기</v>
      </c>
      <c r="B6069" s="2" t="str">
        <f>IFERROR(__xludf.DUMMYFUNCTION("""COMPUTED_VALUE"""),"참기름")</f>
        <v>참기름</v>
      </c>
    </row>
    <row r="6070">
      <c r="A6070" s="2" t="str">
        <f>IFERROR(__xludf.DUMMYFUNCTION("""COMPUTED_VALUE"""),"불량고기")</f>
        <v>불량고기</v>
      </c>
      <c r="B6070" s="2" t="str">
        <f>IFERROR(__xludf.DUMMYFUNCTION("""COMPUTED_VALUE"""),"소금")</f>
        <v>소금</v>
      </c>
    </row>
    <row r="6071">
      <c r="A6071" s="2" t="str">
        <f>IFERROR(__xludf.DUMMYFUNCTION("""COMPUTED_VALUE"""),"불량고기")</f>
        <v>불량고기</v>
      </c>
      <c r="B6071" s="2" t="str">
        <f>IFERROR(__xludf.DUMMYFUNCTION("""COMPUTED_VALUE"""),"후추")</f>
        <v>후추</v>
      </c>
    </row>
    <row r="6072">
      <c r="A6072" s="2" t="str">
        <f>IFERROR(__xludf.DUMMYFUNCTION("""COMPUTED_VALUE"""),"불량고기")</f>
        <v>불량고기</v>
      </c>
      <c r="B6072" s="2" t="str">
        <f>IFERROR(__xludf.DUMMYFUNCTION("""COMPUTED_VALUE"""),"올리브오일")</f>
        <v>올리브오일</v>
      </c>
    </row>
    <row r="6073">
      <c r="A6073" s="2" t="str">
        <f>IFERROR(__xludf.DUMMYFUNCTION("""COMPUTED_VALUE"""),"불량고기")</f>
        <v>불량고기</v>
      </c>
      <c r="B6073" s="2" t="str">
        <f>IFERROR(__xludf.DUMMYFUNCTION("""COMPUTED_VALUE"""),"들기름")</f>
        <v>들기름</v>
      </c>
    </row>
    <row r="6074">
      <c r="A6074" s="2" t="str">
        <f>IFERROR(__xludf.DUMMYFUNCTION("""COMPUTED_VALUE"""),"불량고기")</f>
        <v>불량고기</v>
      </c>
      <c r="B6074" s="2" t="str">
        <f>IFERROR(__xludf.DUMMYFUNCTION("""COMPUTED_VALUE"""),"즉석밥")</f>
        <v>즉석밥</v>
      </c>
    </row>
    <row r="6075">
      <c r="A6075" s="2" t="str">
        <f>IFERROR(__xludf.DUMMYFUNCTION("""COMPUTED_VALUE"""),"밥피자 심쿵해♬")</f>
        <v>밥피자 심쿵해♬</v>
      </c>
      <c r="B6075" s="2" t="str">
        <f>IFERROR(__xludf.DUMMYFUNCTION("""COMPUTED_VALUE"""),"돼지목심")</f>
        <v>돼지목심</v>
      </c>
    </row>
    <row r="6076">
      <c r="A6076" s="2" t="str">
        <f>IFERROR(__xludf.DUMMYFUNCTION("""COMPUTED_VALUE"""),"밥피자 심쿵해♬")</f>
        <v>밥피자 심쿵해♬</v>
      </c>
      <c r="B6076" s="2" t="str">
        <f>IFERROR(__xludf.DUMMYFUNCTION("""COMPUTED_VALUE"""),"두유")</f>
        <v>두유</v>
      </c>
    </row>
    <row r="6077">
      <c r="A6077" s="2" t="str">
        <f>IFERROR(__xludf.DUMMYFUNCTION("""COMPUTED_VALUE"""),"밥피자 심쿵해♬")</f>
        <v>밥피자 심쿵해♬</v>
      </c>
      <c r="B6077" s="2" t="str">
        <f>IFERROR(__xludf.DUMMYFUNCTION("""COMPUTED_VALUE"""),"유자청")</f>
        <v>유자청</v>
      </c>
    </row>
    <row r="6078">
      <c r="A6078" s="2" t="str">
        <f>IFERROR(__xludf.DUMMYFUNCTION("""COMPUTED_VALUE"""),"밥피자 심쿵해♬")</f>
        <v>밥피자 심쿵해♬</v>
      </c>
      <c r="B6078" s="2" t="str">
        <f>IFERROR(__xludf.DUMMYFUNCTION("""COMPUTED_VALUE"""),"파프리카")</f>
        <v>파프리카</v>
      </c>
    </row>
    <row r="6079">
      <c r="A6079" s="2" t="str">
        <f>IFERROR(__xludf.DUMMYFUNCTION("""COMPUTED_VALUE"""),"밥피자 심쿵해♬")</f>
        <v>밥피자 심쿵해♬</v>
      </c>
      <c r="B6079" s="2" t="str">
        <f>IFERROR(__xludf.DUMMYFUNCTION("""COMPUTED_VALUE"""),"토마토")</f>
        <v>토마토</v>
      </c>
    </row>
    <row r="6080">
      <c r="A6080" s="2" t="str">
        <f>IFERROR(__xludf.DUMMYFUNCTION("""COMPUTED_VALUE"""),"밥피자 심쿵해♬")</f>
        <v>밥피자 심쿵해♬</v>
      </c>
      <c r="B6080" s="2" t="str">
        <f>IFERROR(__xludf.DUMMYFUNCTION("""COMPUTED_VALUE"""),"고추냉이")</f>
        <v>고추냉이</v>
      </c>
    </row>
    <row r="6081">
      <c r="A6081" s="2" t="str">
        <f>IFERROR(__xludf.DUMMYFUNCTION("""COMPUTED_VALUE"""),"밥피자 심쿵해♬")</f>
        <v>밥피자 심쿵해♬</v>
      </c>
      <c r="B6081" s="2" t="str">
        <f>IFERROR(__xludf.DUMMYFUNCTION("""COMPUTED_VALUE"""),"설탕")</f>
        <v>설탕</v>
      </c>
    </row>
    <row r="6082">
      <c r="A6082" s="2" t="str">
        <f>IFERROR(__xludf.DUMMYFUNCTION("""COMPUTED_VALUE"""),"밥피자 심쿵해♬")</f>
        <v>밥피자 심쿵해♬</v>
      </c>
      <c r="B6082" s="2" t="str">
        <f>IFERROR(__xludf.DUMMYFUNCTION("""COMPUTED_VALUE"""),"버터")</f>
        <v>버터</v>
      </c>
    </row>
    <row r="6083">
      <c r="A6083" s="2" t="str">
        <f>IFERROR(__xludf.DUMMYFUNCTION("""COMPUTED_VALUE"""),"밥피자 심쿵해♬")</f>
        <v>밥피자 심쿵해♬</v>
      </c>
      <c r="B6083" s="2" t="str">
        <f>IFERROR(__xludf.DUMMYFUNCTION("""COMPUTED_VALUE"""),"다진 마늘")</f>
        <v>다진 마늘</v>
      </c>
    </row>
    <row r="6084">
      <c r="A6084" s="2" t="str">
        <f>IFERROR(__xludf.DUMMYFUNCTION("""COMPUTED_VALUE"""),"밥피자 심쿵해♬")</f>
        <v>밥피자 심쿵해♬</v>
      </c>
      <c r="B6084" s="2" t="str">
        <f>IFERROR(__xludf.DUMMYFUNCTION("""COMPUTED_VALUE"""),"다진 생강")</f>
        <v>다진 생강</v>
      </c>
    </row>
    <row r="6085">
      <c r="A6085" s="2" t="str">
        <f>IFERROR(__xludf.DUMMYFUNCTION("""COMPUTED_VALUE"""),"밥피자 심쿵해♬")</f>
        <v>밥피자 심쿵해♬</v>
      </c>
      <c r="B6085" s="2" t="str">
        <f>IFERROR(__xludf.DUMMYFUNCTION("""COMPUTED_VALUE"""),"된장")</f>
        <v>된장</v>
      </c>
    </row>
    <row r="6086">
      <c r="A6086" s="2" t="str">
        <f>IFERROR(__xludf.DUMMYFUNCTION("""COMPUTED_VALUE"""),"밥피자 심쿵해♬")</f>
        <v>밥피자 심쿵해♬</v>
      </c>
      <c r="B6086" s="2" t="str">
        <f>IFERROR(__xludf.DUMMYFUNCTION("""COMPUTED_VALUE"""),"맛술")</f>
        <v>맛술</v>
      </c>
    </row>
    <row r="6087">
      <c r="A6087" s="2" t="str">
        <f>IFERROR(__xludf.DUMMYFUNCTION("""COMPUTED_VALUE"""),"밥피자 심쿵해♬")</f>
        <v>밥피자 심쿵해♬</v>
      </c>
      <c r="B6087" s="2" t="str">
        <f>IFERROR(__xludf.DUMMYFUNCTION("""COMPUTED_VALUE"""),"간장")</f>
        <v>간장</v>
      </c>
    </row>
    <row r="6088">
      <c r="A6088" s="2" t="str">
        <f>IFERROR(__xludf.DUMMYFUNCTION("""COMPUTED_VALUE"""),"밥피자 심쿵해♬")</f>
        <v>밥피자 심쿵해♬</v>
      </c>
      <c r="B6088" s="2" t="str">
        <f>IFERROR(__xludf.DUMMYFUNCTION("""COMPUTED_VALUE"""),"참기름")</f>
        <v>참기름</v>
      </c>
    </row>
    <row r="6089">
      <c r="A6089" s="2" t="str">
        <f>IFERROR(__xludf.DUMMYFUNCTION("""COMPUTED_VALUE"""),"밥피자 심쿵해♬")</f>
        <v>밥피자 심쿵해♬</v>
      </c>
      <c r="B6089" s="2" t="str">
        <f>IFERROR(__xludf.DUMMYFUNCTION("""COMPUTED_VALUE"""),"양파")</f>
        <v>양파</v>
      </c>
    </row>
    <row r="6090">
      <c r="A6090" s="2" t="str">
        <f>IFERROR(__xludf.DUMMYFUNCTION("""COMPUTED_VALUE"""),"밥피자 심쿵해♬")</f>
        <v>밥피자 심쿵해♬</v>
      </c>
      <c r="B6090" s="2" t="str">
        <f>IFERROR(__xludf.DUMMYFUNCTION("""COMPUTED_VALUE"""),"대파")</f>
        <v>대파</v>
      </c>
    </row>
    <row r="6091">
      <c r="A6091" s="2" t="str">
        <f>IFERROR(__xludf.DUMMYFUNCTION("""COMPUTED_VALUE"""),"밥피자 심쿵해♬")</f>
        <v>밥피자 심쿵해♬</v>
      </c>
      <c r="B6091" s="2" t="str">
        <f>IFERROR(__xludf.DUMMYFUNCTION("""COMPUTED_VALUE"""),"올리브오일")</f>
        <v>올리브오일</v>
      </c>
    </row>
    <row r="6092">
      <c r="A6092" s="2" t="str">
        <f>IFERROR(__xludf.DUMMYFUNCTION("""COMPUTED_VALUE"""),"밥피자 심쿵해♬")</f>
        <v>밥피자 심쿵해♬</v>
      </c>
      <c r="B6092" s="2" t="str">
        <f>IFERROR(__xludf.DUMMYFUNCTION("""COMPUTED_VALUE"""),"레몬")</f>
        <v>레몬</v>
      </c>
    </row>
    <row r="6093">
      <c r="A6093" s="2" t="str">
        <f>IFERROR(__xludf.DUMMYFUNCTION("""COMPUTED_VALUE"""),"밥피자 심쿵해♬")</f>
        <v>밥피자 심쿵해♬</v>
      </c>
      <c r="B6093" s="2" t="str">
        <f>IFERROR(__xludf.DUMMYFUNCTION("""COMPUTED_VALUE"""),"후추")</f>
        <v>후추</v>
      </c>
    </row>
    <row r="6094">
      <c r="A6094" s="2" t="str">
        <f>IFERROR(__xludf.DUMMYFUNCTION("""COMPUTED_VALUE"""),"밥피자 심쿵해♬")</f>
        <v>밥피자 심쿵해♬</v>
      </c>
      <c r="B6094" s="2" t="str">
        <f>IFERROR(__xludf.DUMMYFUNCTION("""COMPUTED_VALUE"""),"즉석밥")</f>
        <v>즉석밥</v>
      </c>
    </row>
    <row r="6095">
      <c r="A6095" s="2" t="str">
        <f>IFERROR(__xludf.DUMMYFUNCTION("""COMPUTED_VALUE"""),"뚝닭뚝닭")</f>
        <v>뚝닭뚝닭</v>
      </c>
      <c r="B6095" s="2" t="str">
        <f>IFERROR(__xludf.DUMMYFUNCTION("""COMPUTED_VALUE"""),"닭안심")</f>
        <v>닭안심</v>
      </c>
    </row>
    <row r="6096">
      <c r="A6096" s="2" t="str">
        <f>IFERROR(__xludf.DUMMYFUNCTION("""COMPUTED_VALUE"""),"뚝닭뚝닭")</f>
        <v>뚝닭뚝닭</v>
      </c>
      <c r="B6096" s="2" t="str">
        <f>IFERROR(__xludf.DUMMYFUNCTION("""COMPUTED_VALUE"""),"깻잎")</f>
        <v>깻잎</v>
      </c>
    </row>
    <row r="6097">
      <c r="A6097" s="2" t="str">
        <f>IFERROR(__xludf.DUMMYFUNCTION("""COMPUTED_VALUE"""),"뚝닭뚝닭")</f>
        <v>뚝닭뚝닭</v>
      </c>
      <c r="B6097" s="2" t="str">
        <f>IFERROR(__xludf.DUMMYFUNCTION("""COMPUTED_VALUE"""),"파프리카")</f>
        <v>파프리카</v>
      </c>
    </row>
    <row r="6098">
      <c r="A6098" s="2" t="str">
        <f>IFERROR(__xludf.DUMMYFUNCTION("""COMPUTED_VALUE"""),"뚝닭뚝닭")</f>
        <v>뚝닭뚝닭</v>
      </c>
      <c r="B6098" s="2" t="str">
        <f>IFERROR(__xludf.DUMMYFUNCTION("""COMPUTED_VALUE"""),"베트남고추")</f>
        <v>베트남고추</v>
      </c>
    </row>
    <row r="6099">
      <c r="A6099" s="2" t="str">
        <f>IFERROR(__xludf.DUMMYFUNCTION("""COMPUTED_VALUE"""),"뚝닭뚝닭")</f>
        <v>뚝닭뚝닭</v>
      </c>
      <c r="B6099" s="2" t="str">
        <f>IFERROR(__xludf.DUMMYFUNCTION("""COMPUTED_VALUE"""),"굴소스")</f>
        <v>굴소스</v>
      </c>
    </row>
    <row r="6100">
      <c r="A6100" s="2" t="str">
        <f>IFERROR(__xludf.DUMMYFUNCTION("""COMPUTED_VALUE"""),"뚝닭뚝닭")</f>
        <v>뚝닭뚝닭</v>
      </c>
      <c r="B6100" s="2" t="str">
        <f>IFERROR(__xludf.DUMMYFUNCTION("""COMPUTED_VALUE"""),"마늘")</f>
        <v>마늘</v>
      </c>
    </row>
    <row r="6101">
      <c r="A6101" s="2" t="str">
        <f>IFERROR(__xludf.DUMMYFUNCTION("""COMPUTED_VALUE"""),"뚝닭뚝닭")</f>
        <v>뚝닭뚝닭</v>
      </c>
      <c r="B6101" s="2" t="str">
        <f>IFERROR(__xludf.DUMMYFUNCTION("""COMPUTED_VALUE"""),"대파")</f>
        <v>대파</v>
      </c>
    </row>
    <row r="6102">
      <c r="A6102" s="2" t="str">
        <f>IFERROR(__xludf.DUMMYFUNCTION("""COMPUTED_VALUE"""),"뚝닭뚝닭")</f>
        <v>뚝닭뚝닭</v>
      </c>
      <c r="B6102" s="2" t="str">
        <f>IFERROR(__xludf.DUMMYFUNCTION("""COMPUTED_VALUE"""),"양파")</f>
        <v>양파</v>
      </c>
    </row>
    <row r="6103">
      <c r="A6103" s="2" t="str">
        <f>IFERROR(__xludf.DUMMYFUNCTION("""COMPUTED_VALUE"""),"뚝닭뚝닭")</f>
        <v>뚝닭뚝닭</v>
      </c>
      <c r="B6103" s="2" t="str">
        <f>IFERROR(__xludf.DUMMYFUNCTION("""COMPUTED_VALUE"""),"고추")</f>
        <v>고추</v>
      </c>
    </row>
    <row r="6104">
      <c r="A6104" s="2" t="str">
        <f>IFERROR(__xludf.DUMMYFUNCTION("""COMPUTED_VALUE"""),"뚝닭뚝닭")</f>
        <v>뚝닭뚝닭</v>
      </c>
      <c r="B6104" s="2" t="str">
        <f>IFERROR(__xludf.DUMMYFUNCTION("""COMPUTED_VALUE"""),"다진 생강")</f>
        <v>다진 생강</v>
      </c>
    </row>
    <row r="6105">
      <c r="A6105" s="2" t="str">
        <f>IFERROR(__xludf.DUMMYFUNCTION("""COMPUTED_VALUE"""),"뚝닭뚝닭")</f>
        <v>뚝닭뚝닭</v>
      </c>
      <c r="B6105" s="2" t="str">
        <f>IFERROR(__xludf.DUMMYFUNCTION("""COMPUTED_VALUE"""),"다진 마늘")</f>
        <v>다진 마늘</v>
      </c>
    </row>
    <row r="6106">
      <c r="A6106" s="2" t="str">
        <f>IFERROR(__xludf.DUMMYFUNCTION("""COMPUTED_VALUE"""),"뚝닭뚝닭")</f>
        <v>뚝닭뚝닭</v>
      </c>
      <c r="B6106" s="2" t="str">
        <f>IFERROR(__xludf.DUMMYFUNCTION("""COMPUTED_VALUE"""),"청주")</f>
        <v>청주</v>
      </c>
    </row>
    <row r="6107">
      <c r="A6107" s="2" t="str">
        <f>IFERROR(__xludf.DUMMYFUNCTION("""COMPUTED_VALUE"""),"뚝닭뚝닭")</f>
        <v>뚝닭뚝닭</v>
      </c>
      <c r="B6107" s="2" t="str">
        <f>IFERROR(__xludf.DUMMYFUNCTION("""COMPUTED_VALUE"""),"간장")</f>
        <v>간장</v>
      </c>
    </row>
    <row r="6108">
      <c r="A6108" s="2" t="str">
        <f>IFERROR(__xludf.DUMMYFUNCTION("""COMPUTED_VALUE"""),"뚝닭뚝닭")</f>
        <v>뚝닭뚝닭</v>
      </c>
      <c r="B6108" s="2" t="str">
        <f>IFERROR(__xludf.DUMMYFUNCTION("""COMPUTED_VALUE"""),"식초")</f>
        <v>식초</v>
      </c>
    </row>
    <row r="6109">
      <c r="A6109" s="2" t="str">
        <f>IFERROR(__xludf.DUMMYFUNCTION("""COMPUTED_VALUE"""),"복된 짜장")</f>
        <v>복된 짜장</v>
      </c>
      <c r="B6109" s="2" t="str">
        <f>IFERROR(__xludf.DUMMYFUNCTION("""COMPUTED_VALUE"""),"인스턴트 군만두")</f>
        <v>인스턴트 군만두</v>
      </c>
    </row>
    <row r="6110">
      <c r="A6110" s="2" t="str">
        <f>IFERROR(__xludf.DUMMYFUNCTION("""COMPUTED_VALUE"""),"복된 짜장")</f>
        <v>복된 짜장</v>
      </c>
      <c r="B6110" s="2" t="str">
        <f>IFERROR(__xludf.DUMMYFUNCTION("""COMPUTED_VALUE"""),"오이소박이")</f>
        <v>오이소박이</v>
      </c>
    </row>
    <row r="6111">
      <c r="A6111" s="2" t="str">
        <f>IFERROR(__xludf.DUMMYFUNCTION("""COMPUTED_VALUE"""),"복된 짜장")</f>
        <v>복된 짜장</v>
      </c>
      <c r="B6111" s="2" t="str">
        <f>IFERROR(__xludf.DUMMYFUNCTION("""COMPUTED_VALUE"""),"고량주")</f>
        <v>고량주</v>
      </c>
    </row>
    <row r="6112">
      <c r="A6112" s="2" t="str">
        <f>IFERROR(__xludf.DUMMYFUNCTION("""COMPUTED_VALUE"""),"복된 짜장")</f>
        <v>복된 짜장</v>
      </c>
      <c r="B6112" s="2" t="str">
        <f>IFERROR(__xludf.DUMMYFUNCTION("""COMPUTED_VALUE"""),"고추기름")</f>
        <v>고추기름</v>
      </c>
    </row>
    <row r="6113">
      <c r="A6113" s="2" t="str">
        <f>IFERROR(__xludf.DUMMYFUNCTION("""COMPUTED_VALUE"""),"복된 짜장")</f>
        <v>복된 짜장</v>
      </c>
      <c r="B6113" s="2" t="str">
        <f>IFERROR(__xludf.DUMMYFUNCTION("""COMPUTED_VALUE"""),"양파")</f>
        <v>양파</v>
      </c>
    </row>
    <row r="6114">
      <c r="A6114" s="2" t="str">
        <f>IFERROR(__xludf.DUMMYFUNCTION("""COMPUTED_VALUE"""),"복된 짜장")</f>
        <v>복된 짜장</v>
      </c>
      <c r="B6114" s="2" t="str">
        <f>IFERROR(__xludf.DUMMYFUNCTION("""COMPUTED_VALUE"""),"고추")</f>
        <v>고추</v>
      </c>
    </row>
    <row r="6115">
      <c r="A6115" s="2" t="str">
        <f>IFERROR(__xludf.DUMMYFUNCTION("""COMPUTED_VALUE"""),"복된 짜장")</f>
        <v>복된 짜장</v>
      </c>
      <c r="B6115" s="2" t="str">
        <f>IFERROR(__xludf.DUMMYFUNCTION("""COMPUTED_VALUE"""),"다진 샛강")</f>
        <v>다진 샛강</v>
      </c>
    </row>
    <row r="6116">
      <c r="A6116" s="2" t="str">
        <f>IFERROR(__xludf.DUMMYFUNCTION("""COMPUTED_VALUE"""),"복된 짜장")</f>
        <v>복된 짜장</v>
      </c>
      <c r="B6116" s="2" t="str">
        <f>IFERROR(__xludf.DUMMYFUNCTION("""COMPUTED_VALUE"""),"밀가루")</f>
        <v>밀가루</v>
      </c>
    </row>
    <row r="6117">
      <c r="A6117" s="2" t="str">
        <f>IFERROR(__xludf.DUMMYFUNCTION("""COMPUTED_VALUE"""),"복된 짜장")</f>
        <v>복된 짜장</v>
      </c>
      <c r="B6117" s="2" t="str">
        <f>IFERROR(__xludf.DUMMYFUNCTION("""COMPUTED_VALUE"""),"식초")</f>
        <v>식초</v>
      </c>
    </row>
    <row r="6118">
      <c r="A6118" s="2" t="str">
        <f>IFERROR(__xludf.DUMMYFUNCTION("""COMPUTED_VALUE"""),"복된 짜장")</f>
        <v>복된 짜장</v>
      </c>
      <c r="B6118" s="2" t="str">
        <f>IFERROR(__xludf.DUMMYFUNCTION("""COMPUTED_VALUE"""),"설탕")</f>
        <v>설탕</v>
      </c>
    </row>
    <row r="6119">
      <c r="A6119" s="2" t="str">
        <f>IFERROR(__xludf.DUMMYFUNCTION("""COMPUTED_VALUE"""),"복된 짜장")</f>
        <v>복된 짜장</v>
      </c>
      <c r="B6119" s="2" t="str">
        <f>IFERROR(__xludf.DUMMYFUNCTION("""COMPUTED_VALUE"""),"된장")</f>
        <v>된장</v>
      </c>
    </row>
    <row r="6120">
      <c r="A6120" s="2" t="str">
        <f>IFERROR(__xludf.DUMMYFUNCTION("""COMPUTED_VALUE"""),"명풍튀김")</f>
        <v>명풍튀김</v>
      </c>
      <c r="B6120" s="2" t="str">
        <f>IFERROR(__xludf.DUMMYFUNCTION("""COMPUTED_VALUE"""),"땅콩버터")</f>
        <v>땅콩버터</v>
      </c>
    </row>
    <row r="6121">
      <c r="A6121" s="2" t="str">
        <f>IFERROR(__xludf.DUMMYFUNCTION("""COMPUTED_VALUE"""),"명풍튀김")</f>
        <v>명풍튀김</v>
      </c>
      <c r="B6121" s="2" t="str">
        <f>IFERROR(__xludf.DUMMYFUNCTION("""COMPUTED_VALUE"""),"고추기름")</f>
        <v>고추기름</v>
      </c>
    </row>
    <row r="6122">
      <c r="A6122" s="2" t="str">
        <f>IFERROR(__xludf.DUMMYFUNCTION("""COMPUTED_VALUE"""),"명풍튀김")</f>
        <v>명풍튀김</v>
      </c>
      <c r="B6122" s="2" t="str">
        <f>IFERROR(__xludf.DUMMYFUNCTION("""COMPUTED_VALUE"""),"콜라")</f>
        <v>콜라</v>
      </c>
    </row>
    <row r="6123">
      <c r="A6123" s="2" t="str">
        <f>IFERROR(__xludf.DUMMYFUNCTION("""COMPUTED_VALUE"""),"명풍튀김")</f>
        <v>명풍튀김</v>
      </c>
      <c r="B6123" s="2" t="str">
        <f>IFERROR(__xludf.DUMMYFUNCTION("""COMPUTED_VALUE"""),"참치 통조림")</f>
        <v>참치 통조림</v>
      </c>
    </row>
    <row r="6124">
      <c r="A6124" s="2" t="str">
        <f>IFERROR(__xludf.DUMMYFUNCTION("""COMPUTED_VALUE"""),"명풍튀김")</f>
        <v>명풍튀김</v>
      </c>
      <c r="B6124" s="2" t="str">
        <f>IFERROR(__xludf.DUMMYFUNCTION("""COMPUTED_VALUE"""),"명란젓")</f>
        <v>명란젓</v>
      </c>
    </row>
    <row r="6125">
      <c r="A6125" s="2" t="str">
        <f>IFERROR(__xludf.DUMMYFUNCTION("""COMPUTED_VALUE"""),"명풍튀김")</f>
        <v>명풍튀김</v>
      </c>
      <c r="B6125" s="2" t="str">
        <f>IFERROR(__xludf.DUMMYFUNCTION("""COMPUTED_VALUE"""),"상추")</f>
        <v>상추</v>
      </c>
    </row>
    <row r="6126">
      <c r="A6126" s="2" t="str">
        <f>IFERROR(__xludf.DUMMYFUNCTION("""COMPUTED_VALUE"""),"명풍튀김")</f>
        <v>명풍튀김</v>
      </c>
      <c r="B6126" s="2" t="str">
        <f>IFERROR(__xludf.DUMMYFUNCTION("""COMPUTED_VALUE"""),"깻잎")</f>
        <v>깻잎</v>
      </c>
    </row>
    <row r="6127">
      <c r="A6127" s="2" t="str">
        <f>IFERROR(__xludf.DUMMYFUNCTION("""COMPUTED_VALUE"""),"명풍튀김")</f>
        <v>명풍튀김</v>
      </c>
      <c r="B6127" s="2" t="str">
        <f>IFERROR(__xludf.DUMMYFUNCTION("""COMPUTED_VALUE"""),"대파")</f>
        <v>대파</v>
      </c>
    </row>
    <row r="6128">
      <c r="A6128" s="2" t="str">
        <f>IFERROR(__xludf.DUMMYFUNCTION("""COMPUTED_VALUE"""),"명풍튀김")</f>
        <v>명풍튀김</v>
      </c>
      <c r="B6128" s="2" t="str">
        <f>IFERROR(__xludf.DUMMYFUNCTION("""COMPUTED_VALUE"""),"다진 마늘")</f>
        <v>다진 마늘</v>
      </c>
    </row>
    <row r="6129">
      <c r="A6129" s="2" t="str">
        <f>IFERROR(__xludf.DUMMYFUNCTION("""COMPUTED_VALUE"""),"명풍튀김")</f>
        <v>명풍튀김</v>
      </c>
      <c r="B6129" s="2" t="str">
        <f>IFERROR(__xludf.DUMMYFUNCTION("""COMPUTED_VALUE"""),"달걀")</f>
        <v>달걀</v>
      </c>
    </row>
    <row r="6130">
      <c r="A6130" s="2" t="str">
        <f>IFERROR(__xludf.DUMMYFUNCTION("""COMPUTED_VALUE"""),"명풍튀김")</f>
        <v>명풍튀김</v>
      </c>
      <c r="B6130" s="2" t="str">
        <f>IFERROR(__xludf.DUMMYFUNCTION("""COMPUTED_VALUE"""),"물엿")</f>
        <v>물엿</v>
      </c>
    </row>
    <row r="6131">
      <c r="A6131" s="2" t="str">
        <f>IFERROR(__xludf.DUMMYFUNCTION("""COMPUTED_VALUE"""),"명풍튀김")</f>
        <v>명풍튀김</v>
      </c>
      <c r="B6131" s="2" t="str">
        <f>IFERROR(__xludf.DUMMYFUNCTION("""COMPUTED_VALUE"""),"마요네즈")</f>
        <v>마요네즈</v>
      </c>
    </row>
    <row r="6132">
      <c r="A6132" s="2" t="str">
        <f>IFERROR(__xludf.DUMMYFUNCTION("""COMPUTED_VALUE"""),"명풍튀김")</f>
        <v>명풍튀김</v>
      </c>
      <c r="B6132" s="2" t="str">
        <f>IFERROR(__xludf.DUMMYFUNCTION("""COMPUTED_VALUE"""),"식초")</f>
        <v>식초</v>
      </c>
    </row>
    <row r="6133">
      <c r="A6133" s="2" t="str">
        <f>IFERROR(__xludf.DUMMYFUNCTION("""COMPUTED_VALUE"""),"명풍튀김")</f>
        <v>명풍튀김</v>
      </c>
      <c r="B6133" s="2" t="str">
        <f>IFERROR(__xludf.DUMMYFUNCTION("""COMPUTED_VALUE"""),"간장")</f>
        <v>간장</v>
      </c>
    </row>
    <row r="6134">
      <c r="A6134" s="2" t="str">
        <f>IFERROR(__xludf.DUMMYFUNCTION("""COMPUTED_VALUE"""),"명풍튀김")</f>
        <v>명풍튀김</v>
      </c>
      <c r="B6134" s="2" t="str">
        <f>IFERROR(__xludf.DUMMYFUNCTION("""COMPUTED_VALUE"""),"밀가루")</f>
        <v>밀가루</v>
      </c>
    </row>
    <row r="6135">
      <c r="A6135" s="2" t="str">
        <f>IFERROR(__xludf.DUMMYFUNCTION("""COMPUTED_VALUE"""),"명풍튀김")</f>
        <v>명풍튀김</v>
      </c>
      <c r="B6135" s="2" t="str">
        <f>IFERROR(__xludf.DUMMYFUNCTION("""COMPUTED_VALUE"""),"전분")</f>
        <v>전분</v>
      </c>
    </row>
    <row r="6136">
      <c r="A6136" s="2" t="str">
        <f>IFERROR(__xludf.DUMMYFUNCTION("""COMPUTED_VALUE"""),"냉볶이")</f>
        <v>냉볶이</v>
      </c>
      <c r="B6136" s="2" t="str">
        <f>IFERROR(__xludf.DUMMYFUNCTION("""COMPUTED_VALUE"""),"해물볶음고추장")</f>
        <v>해물볶음고추장</v>
      </c>
    </row>
    <row r="6137">
      <c r="A6137" s="2" t="str">
        <f>IFERROR(__xludf.DUMMYFUNCTION("""COMPUTED_VALUE"""),"냉볶이")</f>
        <v>냉볶이</v>
      </c>
      <c r="B6137" s="2" t="str">
        <f>IFERROR(__xludf.DUMMYFUNCTION("""COMPUTED_VALUE"""),"굴소스")</f>
        <v>굴소스</v>
      </c>
    </row>
    <row r="6138">
      <c r="A6138" s="2" t="str">
        <f>IFERROR(__xludf.DUMMYFUNCTION("""COMPUTED_VALUE"""),"냉볶이")</f>
        <v>냉볶이</v>
      </c>
      <c r="B6138" s="2" t="str">
        <f>IFERROR(__xludf.DUMMYFUNCTION("""COMPUTED_VALUE"""),"양념게장")</f>
        <v>양념게장</v>
      </c>
    </row>
    <row r="6139">
      <c r="A6139" s="2" t="str">
        <f>IFERROR(__xludf.DUMMYFUNCTION("""COMPUTED_VALUE"""),"냉볶이")</f>
        <v>냉볶이</v>
      </c>
      <c r="B6139" s="2" t="str">
        <f>IFERROR(__xludf.DUMMYFUNCTION("""COMPUTED_VALUE"""),"새우젓")</f>
        <v>새우젓</v>
      </c>
    </row>
    <row r="6140">
      <c r="A6140" s="2" t="str">
        <f>IFERROR(__xludf.DUMMYFUNCTION("""COMPUTED_VALUE"""),"냉볶이")</f>
        <v>냉볶이</v>
      </c>
      <c r="B6140" s="2" t="str">
        <f>IFERROR(__xludf.DUMMYFUNCTION("""COMPUTED_VALUE"""),"깻잎")</f>
        <v>깻잎</v>
      </c>
    </row>
    <row r="6141">
      <c r="A6141" s="2" t="str">
        <f>IFERROR(__xludf.DUMMYFUNCTION("""COMPUTED_VALUE"""),"냉볶이")</f>
        <v>냉볶이</v>
      </c>
      <c r="B6141" s="2" t="str">
        <f>IFERROR(__xludf.DUMMYFUNCTION("""COMPUTED_VALUE"""),"상추")</f>
        <v>상추</v>
      </c>
    </row>
    <row r="6142">
      <c r="A6142" s="2" t="str">
        <f>IFERROR(__xludf.DUMMYFUNCTION("""COMPUTED_VALUE"""),"냉볶이")</f>
        <v>냉볶이</v>
      </c>
      <c r="B6142" s="2" t="str">
        <f>IFERROR(__xludf.DUMMYFUNCTION("""COMPUTED_VALUE"""),"레몬")</f>
        <v>레몬</v>
      </c>
    </row>
    <row r="6143">
      <c r="A6143" s="2" t="str">
        <f>IFERROR(__xludf.DUMMYFUNCTION("""COMPUTED_VALUE"""),"냉볶이")</f>
        <v>냉볶이</v>
      </c>
      <c r="B6143" s="2" t="str">
        <f>IFERROR(__xludf.DUMMYFUNCTION("""COMPUTED_VALUE"""),"대파")</f>
        <v>대파</v>
      </c>
    </row>
    <row r="6144">
      <c r="A6144" s="2" t="str">
        <f>IFERROR(__xludf.DUMMYFUNCTION("""COMPUTED_VALUE"""),"냉볶이")</f>
        <v>냉볶이</v>
      </c>
      <c r="B6144" s="2" t="str">
        <f>IFERROR(__xludf.DUMMYFUNCTION("""COMPUTED_VALUE"""),"달걀")</f>
        <v>달걀</v>
      </c>
    </row>
    <row r="6145">
      <c r="A6145" s="2" t="str">
        <f>IFERROR(__xludf.DUMMYFUNCTION("""COMPUTED_VALUE"""),"냉볶이")</f>
        <v>냉볶이</v>
      </c>
      <c r="B6145" s="2" t="str">
        <f>IFERROR(__xludf.DUMMYFUNCTION("""COMPUTED_VALUE"""),"밀가루")</f>
        <v>밀가루</v>
      </c>
    </row>
    <row r="6146">
      <c r="A6146" s="2" t="str">
        <f>IFERROR(__xludf.DUMMYFUNCTION("""COMPUTED_VALUE"""),"냉볶이")</f>
        <v>냉볶이</v>
      </c>
      <c r="B6146" s="2" t="str">
        <f>IFERROR(__xludf.DUMMYFUNCTION("""COMPUTED_VALUE"""),"참기름")</f>
        <v>참기름</v>
      </c>
    </row>
    <row r="6147">
      <c r="A6147" s="2" t="str">
        <f>IFERROR(__xludf.DUMMYFUNCTION("""COMPUTED_VALUE"""),"냉볶이")</f>
        <v>냉볶이</v>
      </c>
      <c r="B6147" s="2" t="str">
        <f>IFERROR(__xludf.DUMMYFUNCTION("""COMPUTED_VALUE"""),"설탕")</f>
        <v>설탕</v>
      </c>
    </row>
    <row r="6148">
      <c r="A6148" s="2" t="str">
        <f>IFERROR(__xludf.DUMMYFUNCTION("""COMPUTED_VALUE"""),"냉볶이")</f>
        <v>냉볶이</v>
      </c>
      <c r="B6148" s="2" t="str">
        <f>IFERROR(__xludf.DUMMYFUNCTION("""COMPUTED_VALUE"""),"후추")</f>
        <v>후추</v>
      </c>
    </row>
    <row r="6149">
      <c r="A6149" s="2" t="str">
        <f>IFERROR(__xludf.DUMMYFUNCTION("""COMPUTED_VALUE"""),"부굴부굴")</f>
        <v>부굴부굴</v>
      </c>
      <c r="B6149" s="2" t="str">
        <f>IFERROR(__xludf.DUMMYFUNCTION("""COMPUTED_VALUE"""),"건새우")</f>
        <v>건새우</v>
      </c>
    </row>
    <row r="6150">
      <c r="A6150" s="2" t="str">
        <f>IFERROR(__xludf.DUMMYFUNCTION("""COMPUTED_VALUE"""),"부굴부굴")</f>
        <v>부굴부굴</v>
      </c>
      <c r="B6150" s="2" t="str">
        <f>IFERROR(__xludf.DUMMYFUNCTION("""COMPUTED_VALUE"""),"두부")</f>
        <v>두부</v>
      </c>
    </row>
    <row r="6151">
      <c r="A6151" s="2" t="str">
        <f>IFERROR(__xludf.DUMMYFUNCTION("""COMPUTED_VALUE"""),"부굴부굴")</f>
        <v>부굴부굴</v>
      </c>
      <c r="B6151" s="2" t="str">
        <f>IFERROR(__xludf.DUMMYFUNCTION("""COMPUTED_VALUE"""),"채끝등심")</f>
        <v>채끝등심</v>
      </c>
    </row>
    <row r="6152">
      <c r="A6152" s="2" t="str">
        <f>IFERROR(__xludf.DUMMYFUNCTION("""COMPUTED_VALUE"""),"부굴부굴")</f>
        <v>부굴부굴</v>
      </c>
      <c r="B6152" s="2" t="str">
        <f>IFERROR(__xludf.DUMMYFUNCTION("""COMPUTED_VALUE"""),"새우")</f>
        <v>새우</v>
      </c>
    </row>
    <row r="6153">
      <c r="A6153" s="2" t="str">
        <f>IFERROR(__xludf.DUMMYFUNCTION("""COMPUTED_VALUE"""),"부굴부굴")</f>
        <v>부굴부굴</v>
      </c>
      <c r="B6153" s="2" t="str">
        <f>IFERROR(__xludf.DUMMYFUNCTION("""COMPUTED_VALUE"""),"바지락살")</f>
        <v>바지락살</v>
      </c>
    </row>
    <row r="6154">
      <c r="A6154" s="2" t="str">
        <f>IFERROR(__xludf.DUMMYFUNCTION("""COMPUTED_VALUE"""),"부굴부굴")</f>
        <v>부굴부굴</v>
      </c>
      <c r="B6154" s="2" t="str">
        <f>IFERROR(__xludf.DUMMYFUNCTION("""COMPUTED_VALUE"""),"소불고기양념")</f>
        <v>소불고기양념</v>
      </c>
    </row>
    <row r="6155">
      <c r="A6155" s="2" t="str">
        <f>IFERROR(__xludf.DUMMYFUNCTION("""COMPUTED_VALUE"""),"부굴부굴")</f>
        <v>부굴부굴</v>
      </c>
      <c r="B6155" s="2" t="str">
        <f>IFERROR(__xludf.DUMMYFUNCTION("""COMPUTED_VALUE"""),"굴")</f>
        <v>굴</v>
      </c>
    </row>
    <row r="6156">
      <c r="A6156" s="2" t="str">
        <f>IFERROR(__xludf.DUMMYFUNCTION("""COMPUTED_VALUE"""),"부굴부굴")</f>
        <v>부굴부굴</v>
      </c>
      <c r="B6156" s="2" t="str">
        <f>IFERROR(__xludf.DUMMYFUNCTION("""COMPUTED_VALUE"""),"액상조미료")</f>
        <v>액상조미료</v>
      </c>
    </row>
    <row r="6157">
      <c r="A6157" s="2" t="str">
        <f>IFERROR(__xludf.DUMMYFUNCTION("""COMPUTED_VALUE"""),"부굴부굴")</f>
        <v>부굴부굴</v>
      </c>
      <c r="B6157" s="2" t="str">
        <f>IFERROR(__xludf.DUMMYFUNCTION("""COMPUTED_VALUE"""),"애호박")</f>
        <v>애호박</v>
      </c>
    </row>
    <row r="6158">
      <c r="A6158" s="2" t="str">
        <f>IFERROR(__xludf.DUMMYFUNCTION("""COMPUTED_VALUE"""),"부굴부굴")</f>
        <v>부굴부굴</v>
      </c>
      <c r="B6158" s="2" t="str">
        <f>IFERROR(__xludf.DUMMYFUNCTION("""COMPUTED_VALUE"""),"새송이버섯")</f>
        <v>새송이버섯</v>
      </c>
    </row>
    <row r="6159">
      <c r="A6159" s="2" t="str">
        <f>IFERROR(__xludf.DUMMYFUNCTION("""COMPUTED_VALUE"""),"부굴부굴")</f>
        <v>부굴부굴</v>
      </c>
      <c r="B6159" s="2" t="str">
        <f>IFERROR(__xludf.DUMMYFUNCTION("""COMPUTED_VALUE"""),"청양고추")</f>
        <v>청양고추</v>
      </c>
    </row>
    <row r="6160">
      <c r="A6160" s="2" t="str">
        <f>IFERROR(__xludf.DUMMYFUNCTION("""COMPUTED_VALUE"""),"부굴부굴")</f>
        <v>부굴부굴</v>
      </c>
      <c r="B6160" s="2" t="str">
        <f>IFERROR(__xludf.DUMMYFUNCTION("""COMPUTED_VALUE"""),"대파")</f>
        <v>대파</v>
      </c>
    </row>
    <row r="6161">
      <c r="A6161" s="2" t="str">
        <f>IFERROR(__xludf.DUMMYFUNCTION("""COMPUTED_VALUE"""),"부굴부굴")</f>
        <v>부굴부굴</v>
      </c>
      <c r="B6161" s="2" t="str">
        <f>IFERROR(__xludf.DUMMYFUNCTION("""COMPUTED_VALUE"""),"달걀")</f>
        <v>달걀</v>
      </c>
    </row>
    <row r="6162">
      <c r="A6162" s="2" t="str">
        <f>IFERROR(__xludf.DUMMYFUNCTION("""COMPUTED_VALUE"""),"부굴부굴")</f>
        <v>부굴부굴</v>
      </c>
      <c r="B6162" s="2" t="str">
        <f>IFERROR(__xludf.DUMMYFUNCTION("""COMPUTED_VALUE"""),"전분")</f>
        <v>전분</v>
      </c>
    </row>
    <row r="6163">
      <c r="A6163" s="2" t="str">
        <f>IFERROR(__xludf.DUMMYFUNCTION("""COMPUTED_VALUE"""),"부굴부굴")</f>
        <v>부굴부굴</v>
      </c>
      <c r="B6163" s="2" t="str">
        <f>IFERROR(__xludf.DUMMYFUNCTION("""COMPUTED_VALUE"""),"밀가루")</f>
        <v>밀가루</v>
      </c>
    </row>
    <row r="6164">
      <c r="A6164" s="2" t="str">
        <f>IFERROR(__xludf.DUMMYFUNCTION("""COMPUTED_VALUE"""),"부굴부굴")</f>
        <v>부굴부굴</v>
      </c>
      <c r="B6164" s="2" t="str">
        <f>IFERROR(__xludf.DUMMYFUNCTION("""COMPUTED_VALUE"""),"소금")</f>
        <v>소금</v>
      </c>
    </row>
    <row r="6165">
      <c r="A6165" s="2" t="str">
        <f>IFERROR(__xludf.DUMMYFUNCTION("""COMPUTED_VALUE"""),"월드스탕")</f>
        <v>월드스탕</v>
      </c>
      <c r="B6165" s="2" t="str">
        <f>IFERROR(__xludf.DUMMYFUNCTION("""COMPUTED_VALUE"""),"무")</f>
        <v>무</v>
      </c>
    </row>
    <row r="6166">
      <c r="A6166" s="2" t="str">
        <f>IFERROR(__xludf.DUMMYFUNCTION("""COMPUTED_VALUE"""),"월드스탕")</f>
        <v>월드스탕</v>
      </c>
      <c r="B6166" s="2" t="str">
        <f>IFERROR(__xludf.DUMMYFUNCTION("""COMPUTED_VALUE"""),"건새우")</f>
        <v>건새우</v>
      </c>
    </row>
    <row r="6167">
      <c r="A6167" s="2" t="str">
        <f>IFERROR(__xludf.DUMMYFUNCTION("""COMPUTED_VALUE"""),"월드스탕")</f>
        <v>월드스탕</v>
      </c>
      <c r="B6167" s="2" t="str">
        <f>IFERROR(__xludf.DUMMYFUNCTION("""COMPUTED_VALUE"""),"새우")</f>
        <v>새우</v>
      </c>
    </row>
    <row r="6168">
      <c r="A6168" s="2" t="str">
        <f>IFERROR(__xludf.DUMMYFUNCTION("""COMPUTED_VALUE"""),"월드스탕")</f>
        <v>월드스탕</v>
      </c>
      <c r="B6168" s="2" t="str">
        <f>IFERROR(__xludf.DUMMYFUNCTION("""COMPUTED_VALUE"""),"건두부피")</f>
        <v>건두부피</v>
      </c>
    </row>
    <row r="6169">
      <c r="A6169" s="2" t="str">
        <f>IFERROR(__xludf.DUMMYFUNCTION("""COMPUTED_VALUE"""),"월드스탕")</f>
        <v>월드스탕</v>
      </c>
      <c r="B6169" s="2" t="str">
        <f>IFERROR(__xludf.DUMMYFUNCTION("""COMPUTED_VALUE"""),"트러플 버터")</f>
        <v>트러플 버터</v>
      </c>
    </row>
    <row r="6170">
      <c r="A6170" s="2" t="str">
        <f>IFERROR(__xludf.DUMMYFUNCTION("""COMPUTED_VALUE"""),"월드스탕")</f>
        <v>월드스탕</v>
      </c>
      <c r="B6170" s="2" t="str">
        <f>IFERROR(__xludf.DUMMYFUNCTION("""COMPUTED_VALUE"""),"굴")</f>
        <v>굴</v>
      </c>
    </row>
    <row r="6171">
      <c r="A6171" s="2" t="str">
        <f>IFERROR(__xludf.DUMMYFUNCTION("""COMPUTED_VALUE"""),"월드스탕")</f>
        <v>월드스탕</v>
      </c>
      <c r="B6171" s="2" t="str">
        <f>IFERROR(__xludf.DUMMYFUNCTION("""COMPUTED_VALUE"""),"시금치")</f>
        <v>시금치</v>
      </c>
    </row>
    <row r="6172">
      <c r="A6172" s="2" t="str">
        <f>IFERROR(__xludf.DUMMYFUNCTION("""COMPUTED_VALUE"""),"월드스탕")</f>
        <v>월드스탕</v>
      </c>
      <c r="B6172" s="2" t="str">
        <f>IFERROR(__xludf.DUMMYFUNCTION("""COMPUTED_VALUE"""),"액상조미료")</f>
        <v>액상조미료</v>
      </c>
    </row>
    <row r="6173">
      <c r="A6173" s="2" t="str">
        <f>IFERROR(__xludf.DUMMYFUNCTION("""COMPUTED_VALUE"""),"월드스탕")</f>
        <v>월드스탕</v>
      </c>
      <c r="B6173" s="2" t="str">
        <f>IFERROR(__xludf.DUMMYFUNCTION("""COMPUTED_VALUE"""),"대파")</f>
        <v>대파</v>
      </c>
    </row>
    <row r="6174">
      <c r="A6174" s="2" t="str">
        <f>IFERROR(__xludf.DUMMYFUNCTION("""COMPUTED_VALUE"""),"월드스탕")</f>
        <v>월드스탕</v>
      </c>
      <c r="B6174" s="2" t="str">
        <f>IFERROR(__xludf.DUMMYFUNCTION("""COMPUTED_VALUE"""),"간장")</f>
        <v>간장</v>
      </c>
    </row>
    <row r="6175">
      <c r="A6175" s="2" t="str">
        <f>IFERROR(__xludf.DUMMYFUNCTION("""COMPUTED_VALUE"""),"월드스탕")</f>
        <v>월드스탕</v>
      </c>
      <c r="B6175" s="2" t="str">
        <f>IFERROR(__xludf.DUMMYFUNCTION("""COMPUTED_VALUE"""),"전분")</f>
        <v>전분</v>
      </c>
    </row>
    <row r="6176">
      <c r="A6176" s="2" t="str">
        <f>IFERROR(__xludf.DUMMYFUNCTION("""COMPUTED_VALUE"""),"I'm 가리비 a bad boy♬")</f>
        <v>I'm 가리비 a bad boy♬</v>
      </c>
      <c r="B6176" s="2" t="str">
        <f>IFERROR(__xludf.DUMMYFUNCTION("""COMPUTED_VALUE"""),"오리엔탈드레싱")</f>
        <v>오리엔탈드레싱</v>
      </c>
    </row>
    <row r="6177">
      <c r="A6177" s="2" t="str">
        <f>IFERROR(__xludf.DUMMYFUNCTION("""COMPUTED_VALUE"""),"I'm 가리비 a bad boy♬")</f>
        <v>I'm 가리비 a bad boy♬</v>
      </c>
      <c r="B6177" s="2" t="str">
        <f>IFERROR(__xludf.DUMMYFUNCTION("""COMPUTED_VALUE"""),"오징어")</f>
        <v>오징어</v>
      </c>
    </row>
    <row r="6178">
      <c r="A6178" s="2" t="str">
        <f>IFERROR(__xludf.DUMMYFUNCTION("""COMPUTED_VALUE"""),"I'm 가리비 a bad boy♬")</f>
        <v>I'm 가리비 a bad boy♬</v>
      </c>
      <c r="B6178" s="2" t="str">
        <f>IFERROR(__xludf.DUMMYFUNCTION("""COMPUTED_VALUE"""),"쪽파")</f>
        <v>쪽파</v>
      </c>
    </row>
    <row r="6179">
      <c r="A6179" s="2" t="str">
        <f>IFERROR(__xludf.DUMMYFUNCTION("""COMPUTED_VALUE"""),"I'm 가리비 a bad boy♬")</f>
        <v>I'm 가리비 a bad boy♬</v>
      </c>
      <c r="B6179" s="2" t="str">
        <f>IFERROR(__xludf.DUMMYFUNCTION("""COMPUTED_VALUE"""),"시금치")</f>
        <v>시금치</v>
      </c>
    </row>
    <row r="6180">
      <c r="A6180" s="2" t="str">
        <f>IFERROR(__xludf.DUMMYFUNCTION("""COMPUTED_VALUE"""),"I'm 가리비 a bad boy♬")</f>
        <v>I'm 가리비 a bad boy♬</v>
      </c>
      <c r="B6180" s="2" t="str">
        <f>IFERROR(__xludf.DUMMYFUNCTION("""COMPUTED_VALUE"""),"베이키드빈스")</f>
        <v>베이키드빈스</v>
      </c>
    </row>
    <row r="6181">
      <c r="A6181" s="2" t="str">
        <f>IFERROR(__xludf.DUMMYFUNCTION("""COMPUTED_VALUE"""),"I'm 가리비 a bad boy♬")</f>
        <v>I'm 가리비 a bad boy♬</v>
      </c>
      <c r="B6181" s="2" t="str">
        <f>IFERROR(__xludf.DUMMYFUNCTION("""COMPUTED_VALUE"""),"트러플 꿀")</f>
        <v>트러플 꿀</v>
      </c>
    </row>
    <row r="6182">
      <c r="A6182" s="2" t="str">
        <f>IFERROR(__xludf.DUMMYFUNCTION("""COMPUTED_VALUE"""),"I'm 가리비 a bad boy♬")</f>
        <v>I'm 가리비 a bad boy♬</v>
      </c>
      <c r="B6182" s="2" t="str">
        <f>IFERROR(__xludf.DUMMYFUNCTION("""COMPUTED_VALUE"""),"가리비")</f>
        <v>가리비</v>
      </c>
    </row>
    <row r="6183">
      <c r="A6183" s="2" t="str">
        <f>IFERROR(__xludf.DUMMYFUNCTION("""COMPUTED_VALUE"""),"I'm 가리비 a bad boy♬")</f>
        <v>I'm 가리비 a bad boy♬</v>
      </c>
      <c r="B6183" s="2" t="str">
        <f>IFERROR(__xludf.DUMMYFUNCTION("""COMPUTED_VALUE"""),"부추")</f>
        <v>부추</v>
      </c>
    </row>
    <row r="6184">
      <c r="A6184" s="2" t="str">
        <f>IFERROR(__xludf.DUMMYFUNCTION("""COMPUTED_VALUE"""),"I'm 가리비 a bad boy♬")</f>
        <v>I'm 가리비 a bad boy♬</v>
      </c>
      <c r="B6184" s="2" t="str">
        <f>IFERROR(__xludf.DUMMYFUNCTION("""COMPUTED_VALUE"""),"다진 마늘")</f>
        <v>다진 마늘</v>
      </c>
    </row>
    <row r="6185">
      <c r="A6185" s="2" t="str">
        <f>IFERROR(__xludf.DUMMYFUNCTION("""COMPUTED_VALUE"""),"I'm 가리비 a bad boy♬")</f>
        <v>I'm 가리비 a bad boy♬</v>
      </c>
      <c r="B6185" s="2" t="str">
        <f>IFERROR(__xludf.DUMMYFUNCTION("""COMPUTED_VALUE"""),"참깨")</f>
        <v>참깨</v>
      </c>
    </row>
    <row r="6186">
      <c r="A6186" s="2" t="str">
        <f>IFERROR(__xludf.DUMMYFUNCTION("""COMPUTED_VALUE"""),"I'm 가리비 a bad boy♬")</f>
        <v>I'm 가리비 a bad boy♬</v>
      </c>
      <c r="B6186" s="2" t="str">
        <f>IFERROR(__xludf.DUMMYFUNCTION("""COMPUTED_VALUE"""),"마요네즈")</f>
        <v>마요네즈</v>
      </c>
    </row>
    <row r="6187">
      <c r="A6187" s="2" t="str">
        <f>IFERROR(__xludf.DUMMYFUNCTION("""COMPUTED_VALUE"""),"I'm 가리비 a bad boy♬")</f>
        <v>I'm 가리비 a bad boy♬</v>
      </c>
      <c r="B6187" s="2" t="str">
        <f>IFERROR(__xludf.DUMMYFUNCTION("""COMPUTED_VALUE"""),"후추")</f>
        <v>후추</v>
      </c>
    </row>
    <row r="6188">
      <c r="A6188" s="2" t="str">
        <f>IFERROR(__xludf.DUMMYFUNCTION("""COMPUTED_VALUE"""),"I'm 가리비 a bad boy♬")</f>
        <v>I'm 가리비 a bad boy♬</v>
      </c>
      <c r="B6188" s="2" t="str">
        <f>IFERROR(__xludf.DUMMYFUNCTION("""COMPUTED_VALUE"""),"소금")</f>
        <v>소금</v>
      </c>
    </row>
    <row r="6189">
      <c r="A6189" s="2" t="str">
        <f>IFERROR(__xludf.DUMMYFUNCTION("""COMPUTED_VALUE"""),"I'm 가리비 a bad boy♬")</f>
        <v>I'm 가리비 a bad boy♬</v>
      </c>
      <c r="B6189" s="2" t="str">
        <f>IFERROR(__xludf.DUMMYFUNCTION("""COMPUTED_VALUE"""),"식초")</f>
        <v>식초</v>
      </c>
    </row>
    <row r="6190">
      <c r="A6190" s="2" t="str">
        <f>IFERROR(__xludf.DUMMYFUNCTION("""COMPUTED_VALUE"""),"I'm 가리비 a bad boy♬")</f>
        <v>I'm 가리비 a bad boy♬</v>
      </c>
      <c r="B6190" s="2" t="str">
        <f>IFERROR(__xludf.DUMMYFUNCTION("""COMPUTED_VALUE"""),"버터")</f>
        <v>버터</v>
      </c>
    </row>
    <row r="6191">
      <c r="A6191" s="2" t="str">
        <f>IFERROR(__xludf.DUMMYFUNCTION("""COMPUTED_VALUE"""),"두부로 피하고 싶어서♬")</f>
        <v>두부로 피하고 싶어서♬</v>
      </c>
      <c r="B6191" s="2" t="str">
        <f>IFERROR(__xludf.DUMMYFUNCTION("""COMPUTED_VALUE"""),"오징어")</f>
        <v>오징어</v>
      </c>
    </row>
    <row r="6192">
      <c r="A6192" s="2" t="str">
        <f>IFERROR(__xludf.DUMMYFUNCTION("""COMPUTED_VALUE"""),"두부로 피하고 싶어서♬")</f>
        <v>두부로 피하고 싶어서♬</v>
      </c>
      <c r="B6192" s="2" t="str">
        <f>IFERROR(__xludf.DUMMYFUNCTION("""COMPUTED_VALUE"""),"새송이버섯")</f>
        <v>새송이버섯</v>
      </c>
    </row>
    <row r="6193">
      <c r="A6193" s="2" t="str">
        <f>IFERROR(__xludf.DUMMYFUNCTION("""COMPUTED_VALUE"""),"두부로 피하고 싶어서♬")</f>
        <v>두부로 피하고 싶어서♬</v>
      </c>
      <c r="B6193" s="2" t="str">
        <f>IFERROR(__xludf.DUMMYFUNCTION("""COMPUTED_VALUE"""),"파프리카")</f>
        <v>파프리카</v>
      </c>
    </row>
    <row r="6194">
      <c r="A6194" s="2" t="str">
        <f>IFERROR(__xludf.DUMMYFUNCTION("""COMPUTED_VALUE"""),"두부로 피하고 싶어서♬")</f>
        <v>두부로 피하고 싶어서♬</v>
      </c>
      <c r="B6194" s="2" t="str">
        <f>IFERROR(__xludf.DUMMYFUNCTION("""COMPUTED_VALUE"""),"애호박")</f>
        <v>애호박</v>
      </c>
    </row>
    <row r="6195">
      <c r="A6195" s="2" t="str">
        <f>IFERROR(__xludf.DUMMYFUNCTION("""COMPUTED_VALUE"""),"두부로 피하고 싶어서♬")</f>
        <v>두부로 피하고 싶어서♬</v>
      </c>
      <c r="B6195" s="2" t="str">
        <f>IFERROR(__xludf.DUMMYFUNCTION("""COMPUTED_VALUE"""),"채끝등심")</f>
        <v>채끝등심</v>
      </c>
    </row>
    <row r="6196">
      <c r="A6196" s="2" t="str">
        <f>IFERROR(__xludf.DUMMYFUNCTION("""COMPUTED_VALUE"""),"두부로 피하고 싶어서♬")</f>
        <v>두부로 피하고 싶어서♬</v>
      </c>
      <c r="B6196" s="2" t="str">
        <f>IFERROR(__xludf.DUMMYFUNCTION("""COMPUTED_VALUE"""),"건두부피")</f>
        <v>건두부피</v>
      </c>
    </row>
    <row r="6197">
      <c r="A6197" s="2" t="str">
        <f>IFERROR(__xludf.DUMMYFUNCTION("""COMPUTED_VALUE"""),"두부로 피하고 싶어서♬")</f>
        <v>두부로 피하고 싶어서♬</v>
      </c>
      <c r="B6197" s="2" t="str">
        <f>IFERROR(__xludf.DUMMYFUNCTION("""COMPUTED_VALUE"""),"트러플 꿀")</f>
        <v>트러플 꿀</v>
      </c>
    </row>
    <row r="6198">
      <c r="A6198" s="2" t="str">
        <f>IFERROR(__xludf.DUMMYFUNCTION("""COMPUTED_VALUE"""),"두부로 피하고 싶어서♬")</f>
        <v>두부로 피하고 싶어서♬</v>
      </c>
      <c r="B6198" s="2" t="str">
        <f>IFERROR(__xludf.DUMMYFUNCTION("""COMPUTED_VALUE"""),"소불고기 양념")</f>
        <v>소불고기 양념</v>
      </c>
    </row>
    <row r="6199">
      <c r="A6199" s="2" t="str">
        <f>IFERROR(__xludf.DUMMYFUNCTION("""COMPUTED_VALUE"""),"두부로 피하고 싶어서♬")</f>
        <v>두부로 피하고 싶어서♬</v>
      </c>
      <c r="B6199" s="2" t="str">
        <f>IFERROR(__xludf.DUMMYFUNCTION("""COMPUTED_VALUE"""),"마늘")</f>
        <v>마늘</v>
      </c>
    </row>
    <row r="6200">
      <c r="A6200" s="2" t="str">
        <f>IFERROR(__xludf.DUMMYFUNCTION("""COMPUTED_VALUE"""),"두부로 피하고 싶어서♬")</f>
        <v>두부로 피하고 싶어서♬</v>
      </c>
      <c r="B6200" s="2" t="str">
        <f>IFERROR(__xludf.DUMMYFUNCTION("""COMPUTED_VALUE"""),"양파")</f>
        <v>양파</v>
      </c>
    </row>
    <row r="6201">
      <c r="A6201" s="2" t="str">
        <f>IFERROR(__xludf.DUMMYFUNCTION("""COMPUTED_VALUE"""),"두부로 피하고 싶어서♬")</f>
        <v>두부로 피하고 싶어서♬</v>
      </c>
      <c r="B6201" s="2" t="str">
        <f>IFERROR(__xludf.DUMMYFUNCTION("""COMPUTED_VALUE"""),"달걀")</f>
        <v>달걀</v>
      </c>
    </row>
    <row r="6202">
      <c r="A6202" s="2" t="str">
        <f>IFERROR(__xludf.DUMMYFUNCTION("""COMPUTED_VALUE"""),"두부로 피하고 싶어서♬")</f>
        <v>두부로 피하고 싶어서♬</v>
      </c>
      <c r="B6202" s="2" t="str">
        <f>IFERROR(__xludf.DUMMYFUNCTION("""COMPUTED_VALUE"""),"밀가루")</f>
        <v>밀가루</v>
      </c>
    </row>
    <row r="6203">
      <c r="A6203" s="2" t="str">
        <f>IFERROR(__xludf.DUMMYFUNCTION("""COMPUTED_VALUE"""),"두부로 피하고 싶어서♬")</f>
        <v>두부로 피하고 싶어서♬</v>
      </c>
      <c r="B6203" s="2" t="str">
        <f>IFERROR(__xludf.DUMMYFUNCTION("""COMPUTED_VALUE"""),"전분")</f>
        <v>전분</v>
      </c>
    </row>
    <row r="6204">
      <c r="A6204" s="2" t="str">
        <f>IFERROR(__xludf.DUMMYFUNCTION("""COMPUTED_VALUE"""),"두부로 피하고 싶어서♬")</f>
        <v>두부로 피하고 싶어서♬</v>
      </c>
      <c r="B6204" s="2" t="str">
        <f>IFERROR(__xludf.DUMMYFUNCTION("""COMPUTED_VALUE"""),"설탕")</f>
        <v>설탕</v>
      </c>
    </row>
    <row r="6205">
      <c r="A6205" s="2" t="str">
        <f>IFERROR(__xludf.DUMMYFUNCTION("""COMPUTED_VALUE"""),"두부로 피하고 싶어서♬")</f>
        <v>두부로 피하고 싶어서♬</v>
      </c>
      <c r="B6205" s="2" t="str">
        <f>IFERROR(__xludf.DUMMYFUNCTION("""COMPUTED_VALUE"""),"간장")</f>
        <v>간장</v>
      </c>
    </row>
    <row r="6206">
      <c r="A6206" s="2" t="str">
        <f>IFERROR(__xludf.DUMMYFUNCTION("""COMPUTED_VALUE"""),"두부로 피하고 싶어서♬")</f>
        <v>두부로 피하고 싶어서♬</v>
      </c>
      <c r="B6206" s="2" t="str">
        <f>IFERROR(__xludf.DUMMYFUNCTION("""COMPUTED_VALUE"""),"후추")</f>
        <v>후추</v>
      </c>
    </row>
    <row r="6207">
      <c r="A6207" s="2" t="str">
        <f>IFERROR(__xludf.DUMMYFUNCTION("""COMPUTED_VALUE"""),"알렉스테이크")</f>
        <v>알렉스테이크</v>
      </c>
      <c r="B6207" s="2" t="str">
        <f>IFERROR(__xludf.DUMMYFUNCTION("""COMPUTED_VALUE"""),"아스파라거스")</f>
        <v>아스파라거스</v>
      </c>
    </row>
    <row r="6208">
      <c r="A6208" s="2" t="str">
        <f>IFERROR(__xludf.DUMMYFUNCTION("""COMPUTED_VALUE"""),"알렉스테이크")</f>
        <v>알렉스테이크</v>
      </c>
      <c r="B6208" s="2" t="str">
        <f>IFERROR(__xludf.DUMMYFUNCTION("""COMPUTED_VALUE"""),"발사믹소스")</f>
        <v>발사믹소스</v>
      </c>
    </row>
    <row r="6209">
      <c r="A6209" s="2" t="str">
        <f>IFERROR(__xludf.DUMMYFUNCTION("""COMPUTED_VALUE"""),"알렉스테이크")</f>
        <v>알렉스테이크</v>
      </c>
      <c r="B6209" s="2" t="str">
        <f>IFERROR(__xludf.DUMMYFUNCTION("""COMPUTED_VALUE"""),"살치살")</f>
        <v>살치살</v>
      </c>
    </row>
    <row r="6210">
      <c r="A6210" s="2" t="str">
        <f>IFERROR(__xludf.DUMMYFUNCTION("""COMPUTED_VALUE"""),"알렉스테이크")</f>
        <v>알렉스테이크</v>
      </c>
      <c r="B6210" s="2" t="str">
        <f>IFERROR(__xludf.DUMMYFUNCTION("""COMPUTED_VALUE"""),"로즈마리")</f>
        <v>로즈마리</v>
      </c>
    </row>
    <row r="6211">
      <c r="A6211" s="2" t="str">
        <f>IFERROR(__xludf.DUMMYFUNCTION("""COMPUTED_VALUE"""),"알렉스테이크")</f>
        <v>알렉스테이크</v>
      </c>
      <c r="B6211" s="2" t="str">
        <f>IFERROR(__xludf.DUMMYFUNCTION("""COMPUTED_VALUE"""),"양상추")</f>
        <v>양상추</v>
      </c>
    </row>
    <row r="6212">
      <c r="A6212" s="2" t="str">
        <f>IFERROR(__xludf.DUMMYFUNCTION("""COMPUTED_VALUE"""),"알렉스테이크")</f>
        <v>알렉스테이크</v>
      </c>
      <c r="B6212" s="2" t="str">
        <f>IFERROR(__xludf.DUMMYFUNCTION("""COMPUTED_VALUE"""),"바닐라 아이스크림")</f>
        <v>바닐라 아이스크림</v>
      </c>
    </row>
    <row r="6213">
      <c r="A6213" s="2" t="str">
        <f>IFERROR(__xludf.DUMMYFUNCTION("""COMPUTED_VALUE"""),"알렉스테이크")</f>
        <v>알렉스테이크</v>
      </c>
      <c r="B6213" s="2" t="str">
        <f>IFERROR(__xludf.DUMMYFUNCTION("""COMPUTED_VALUE"""),"모차렐라치즈")</f>
        <v>모차렐라치즈</v>
      </c>
    </row>
    <row r="6214">
      <c r="A6214" s="2" t="str">
        <f>IFERROR(__xludf.DUMMYFUNCTION("""COMPUTED_VALUE"""),"알렉스테이크")</f>
        <v>알렉스테이크</v>
      </c>
      <c r="B6214" s="2" t="str">
        <f>IFERROR(__xludf.DUMMYFUNCTION("""COMPUTED_VALUE"""),"배")</f>
        <v>배</v>
      </c>
    </row>
    <row r="6215">
      <c r="A6215" s="2" t="str">
        <f>IFERROR(__xludf.DUMMYFUNCTION("""COMPUTED_VALUE"""),"알렉스테이크")</f>
        <v>알렉스테이크</v>
      </c>
      <c r="B6215" s="2" t="str">
        <f>IFERROR(__xludf.DUMMYFUNCTION("""COMPUTED_VALUE"""),"위스키")</f>
        <v>위스키</v>
      </c>
    </row>
    <row r="6216">
      <c r="A6216" s="2" t="str">
        <f>IFERROR(__xludf.DUMMYFUNCTION("""COMPUTED_VALUE"""),"알렉스테이크")</f>
        <v>알렉스테이크</v>
      </c>
      <c r="B6216" s="2" t="str">
        <f>IFERROR(__xludf.DUMMYFUNCTION("""COMPUTED_VALUE"""),"양파")</f>
        <v>양파</v>
      </c>
    </row>
    <row r="6217">
      <c r="A6217" s="2" t="str">
        <f>IFERROR(__xludf.DUMMYFUNCTION("""COMPUTED_VALUE"""),"알렉스테이크")</f>
        <v>알렉스테이크</v>
      </c>
      <c r="B6217" s="2" t="str">
        <f>IFERROR(__xludf.DUMMYFUNCTION("""COMPUTED_VALUE"""),"당근")</f>
        <v>당근</v>
      </c>
    </row>
    <row r="6218">
      <c r="A6218" s="2" t="str">
        <f>IFERROR(__xludf.DUMMYFUNCTION("""COMPUTED_VALUE"""),"알렉스테이크")</f>
        <v>알렉스테이크</v>
      </c>
      <c r="B6218" s="2" t="str">
        <f>IFERROR(__xludf.DUMMYFUNCTION("""COMPUTED_VALUE"""),"대파")</f>
        <v>대파</v>
      </c>
    </row>
    <row r="6219">
      <c r="A6219" s="2" t="str">
        <f>IFERROR(__xludf.DUMMYFUNCTION("""COMPUTED_VALUE"""),"알렉스테이크")</f>
        <v>알렉스테이크</v>
      </c>
      <c r="B6219" s="2" t="str">
        <f>IFERROR(__xludf.DUMMYFUNCTION("""COMPUTED_VALUE"""),"레몬")</f>
        <v>레몬</v>
      </c>
    </row>
    <row r="6220">
      <c r="A6220" s="2" t="str">
        <f>IFERROR(__xludf.DUMMYFUNCTION("""COMPUTED_VALUE"""),"알렉스테이크")</f>
        <v>알렉스테이크</v>
      </c>
      <c r="B6220" s="2" t="str">
        <f>IFERROR(__xludf.DUMMYFUNCTION("""COMPUTED_VALUE"""),"올리브오일")</f>
        <v>올리브오일</v>
      </c>
    </row>
    <row r="6221">
      <c r="A6221" s="2" t="str">
        <f>IFERROR(__xludf.DUMMYFUNCTION("""COMPUTED_VALUE"""),"알렉스테이크")</f>
        <v>알렉스테이크</v>
      </c>
      <c r="B6221" s="2" t="str">
        <f>IFERROR(__xludf.DUMMYFUNCTION("""COMPUTED_VALUE"""),"소금")</f>
        <v>소금</v>
      </c>
    </row>
    <row r="6222">
      <c r="A6222" s="2" t="str">
        <f>IFERROR(__xludf.DUMMYFUNCTION("""COMPUTED_VALUE"""),"알렉스테이크")</f>
        <v>알렉스테이크</v>
      </c>
      <c r="B6222" s="2" t="str">
        <f>IFERROR(__xludf.DUMMYFUNCTION("""COMPUTED_VALUE"""),"후추")</f>
        <v>후추</v>
      </c>
    </row>
    <row r="6223">
      <c r="A6223" s="2" t="str">
        <f>IFERROR(__xludf.DUMMYFUNCTION("""COMPUTED_VALUE"""),"알렉스테이크")</f>
        <v>알렉스테이크</v>
      </c>
      <c r="B6223" s="2" t="str">
        <f>IFERROR(__xludf.DUMMYFUNCTION("""COMPUTED_VALUE"""),"버터")</f>
        <v>버터</v>
      </c>
    </row>
    <row r="6224">
      <c r="A6224" s="2" t="str">
        <f>IFERROR(__xludf.DUMMYFUNCTION("""COMPUTED_VALUE"""),"둘이서 한 덮밥")</f>
        <v>둘이서 한 덮밥</v>
      </c>
      <c r="B6224" s="2" t="str">
        <f>IFERROR(__xludf.DUMMYFUNCTION("""COMPUTED_VALUE"""),"양배추")</f>
        <v>양배추</v>
      </c>
    </row>
    <row r="6225">
      <c r="A6225" s="2" t="str">
        <f>IFERROR(__xludf.DUMMYFUNCTION("""COMPUTED_VALUE"""),"둘이서 한 덮밥")</f>
        <v>둘이서 한 덮밥</v>
      </c>
      <c r="B6225" s="2" t="str">
        <f>IFERROR(__xludf.DUMMYFUNCTION("""COMPUTED_VALUE"""),"돼지목살")</f>
        <v>돼지목살</v>
      </c>
    </row>
    <row r="6226">
      <c r="A6226" s="2" t="str">
        <f>IFERROR(__xludf.DUMMYFUNCTION("""COMPUTED_VALUE"""),"둘이서 한 덮밥")</f>
        <v>둘이서 한 덮밥</v>
      </c>
      <c r="B6226" s="2" t="str">
        <f>IFERROR(__xludf.DUMMYFUNCTION("""COMPUTED_VALUE"""),"파프리카")</f>
        <v>파프리카</v>
      </c>
    </row>
    <row r="6227">
      <c r="A6227" s="2" t="str">
        <f>IFERROR(__xludf.DUMMYFUNCTION("""COMPUTED_VALUE"""),"둘이서 한 덮밥")</f>
        <v>둘이서 한 덮밥</v>
      </c>
      <c r="B6227" s="2" t="str">
        <f>IFERROR(__xludf.DUMMYFUNCTION("""COMPUTED_VALUE"""),"대파")</f>
        <v>대파</v>
      </c>
    </row>
    <row r="6228">
      <c r="A6228" s="2" t="str">
        <f>IFERROR(__xludf.DUMMYFUNCTION("""COMPUTED_VALUE"""),"둘이서 한 덮밥")</f>
        <v>둘이서 한 덮밥</v>
      </c>
      <c r="B6228" s="2" t="str">
        <f>IFERROR(__xludf.DUMMYFUNCTION("""COMPUTED_VALUE"""),"마늘")</f>
        <v>마늘</v>
      </c>
    </row>
    <row r="6229">
      <c r="A6229" s="2" t="str">
        <f>IFERROR(__xludf.DUMMYFUNCTION("""COMPUTED_VALUE"""),"둘이서 한 덮밥")</f>
        <v>둘이서 한 덮밥</v>
      </c>
      <c r="B6229" s="2" t="str">
        <f>IFERROR(__xludf.DUMMYFUNCTION("""COMPUTED_VALUE"""),"양파")</f>
        <v>양파</v>
      </c>
    </row>
    <row r="6230">
      <c r="A6230" s="2" t="str">
        <f>IFERROR(__xludf.DUMMYFUNCTION("""COMPUTED_VALUE"""),"둘이서 한 덮밥")</f>
        <v>둘이서 한 덮밥</v>
      </c>
      <c r="B6230" s="2" t="str">
        <f>IFERROR(__xludf.DUMMYFUNCTION("""COMPUTED_VALUE"""),"다진 마늘")</f>
        <v>다진 마늘</v>
      </c>
    </row>
    <row r="6231">
      <c r="A6231" s="2" t="str">
        <f>IFERROR(__xludf.DUMMYFUNCTION("""COMPUTED_VALUE"""),"둘이서 한 덮밥")</f>
        <v>둘이서 한 덮밥</v>
      </c>
      <c r="B6231" s="2" t="str">
        <f>IFERROR(__xludf.DUMMYFUNCTION("""COMPUTED_VALUE"""),"간장")</f>
        <v>간장</v>
      </c>
    </row>
    <row r="6232">
      <c r="A6232" s="2" t="str">
        <f>IFERROR(__xludf.DUMMYFUNCTION("""COMPUTED_VALUE"""),"둘이서 한 덮밥")</f>
        <v>둘이서 한 덮밥</v>
      </c>
      <c r="B6232" s="2" t="str">
        <f>IFERROR(__xludf.DUMMYFUNCTION("""COMPUTED_VALUE"""),"식초")</f>
        <v>식초</v>
      </c>
    </row>
    <row r="6233">
      <c r="A6233" s="2" t="str">
        <f>IFERROR(__xludf.DUMMYFUNCTION("""COMPUTED_VALUE"""),"둘이서 한 덮밥")</f>
        <v>둘이서 한 덮밥</v>
      </c>
      <c r="B6233" s="2" t="str">
        <f>IFERROR(__xludf.DUMMYFUNCTION("""COMPUTED_VALUE"""),"고춧가루")</f>
        <v>고춧가루</v>
      </c>
    </row>
    <row r="6234">
      <c r="A6234" s="2" t="str">
        <f>IFERROR(__xludf.DUMMYFUNCTION("""COMPUTED_VALUE"""),"둘이서 한 덮밥")</f>
        <v>둘이서 한 덮밥</v>
      </c>
      <c r="B6234" s="2" t="str">
        <f>IFERROR(__xludf.DUMMYFUNCTION("""COMPUTED_VALUE"""),"청주")</f>
        <v>청주</v>
      </c>
    </row>
    <row r="6235">
      <c r="A6235" s="2" t="str">
        <f>IFERROR(__xludf.DUMMYFUNCTION("""COMPUTED_VALUE"""),"둘이서 한 덮밥")</f>
        <v>둘이서 한 덮밥</v>
      </c>
      <c r="B6235" s="2" t="str">
        <f>IFERROR(__xludf.DUMMYFUNCTION("""COMPUTED_VALUE"""),"맛술")</f>
        <v>맛술</v>
      </c>
    </row>
    <row r="6236">
      <c r="A6236" s="2" t="str">
        <f>IFERROR(__xludf.DUMMYFUNCTION("""COMPUTED_VALUE"""),"파티가 오레가노")</f>
        <v>파티가 오레가노</v>
      </c>
      <c r="B6236" s="2" t="str">
        <f>IFERROR(__xludf.DUMMYFUNCTION("""COMPUTED_VALUE"""),"파스타면")</f>
        <v>파스타면</v>
      </c>
    </row>
    <row r="6237">
      <c r="A6237" s="2" t="str">
        <f>IFERROR(__xludf.DUMMYFUNCTION("""COMPUTED_VALUE"""),"파티가 오레가노")</f>
        <v>파티가 오레가노</v>
      </c>
      <c r="B6237" s="2" t="str">
        <f>IFERROR(__xludf.DUMMYFUNCTION("""COMPUTED_VALUE"""),"아스파라거스")</f>
        <v>아스파라거스</v>
      </c>
    </row>
    <row r="6238">
      <c r="A6238" s="2" t="str">
        <f>IFERROR(__xludf.DUMMYFUNCTION("""COMPUTED_VALUE"""),"파티가 오레가노")</f>
        <v>파티가 오레가노</v>
      </c>
      <c r="B6238" s="2" t="str">
        <f>IFERROR(__xludf.DUMMYFUNCTION("""COMPUTED_VALUE"""),"토마토")</f>
        <v>토마토</v>
      </c>
    </row>
    <row r="6239">
      <c r="A6239" s="2" t="str">
        <f>IFERROR(__xludf.DUMMYFUNCTION("""COMPUTED_VALUE"""),"파티가 오레가노")</f>
        <v>파티가 오레가노</v>
      </c>
      <c r="B6239" s="2" t="str">
        <f>IFERROR(__xludf.DUMMYFUNCTION("""COMPUTED_VALUE"""),"양상추")</f>
        <v>양상추</v>
      </c>
    </row>
    <row r="6240">
      <c r="A6240" s="2" t="str">
        <f>IFERROR(__xludf.DUMMYFUNCTION("""COMPUTED_VALUE"""),"파티가 오레가노")</f>
        <v>파티가 오레가노</v>
      </c>
      <c r="B6240" s="2" t="str">
        <f>IFERROR(__xludf.DUMMYFUNCTION("""COMPUTED_VALUE"""),"관자")</f>
        <v>관자</v>
      </c>
    </row>
    <row r="6241">
      <c r="A6241" s="2" t="str">
        <f>IFERROR(__xludf.DUMMYFUNCTION("""COMPUTED_VALUE"""),"파티가 오레가노")</f>
        <v>파티가 오레가노</v>
      </c>
      <c r="B6241" s="2" t="str">
        <f>IFERROR(__xludf.DUMMYFUNCTION("""COMPUTED_VALUE"""),"베이컨")</f>
        <v>베이컨</v>
      </c>
    </row>
    <row r="6242">
      <c r="A6242" s="2" t="str">
        <f>IFERROR(__xludf.DUMMYFUNCTION("""COMPUTED_VALUE"""),"파티가 오레가노")</f>
        <v>파티가 오레가노</v>
      </c>
      <c r="B6242" s="2" t="str">
        <f>IFERROR(__xludf.DUMMYFUNCTION("""COMPUTED_VALUE"""),"오레가노")</f>
        <v>오레가노</v>
      </c>
    </row>
    <row r="6243">
      <c r="A6243" s="2" t="str">
        <f>IFERROR(__xludf.DUMMYFUNCTION("""COMPUTED_VALUE"""),"파티가 오레가노")</f>
        <v>파티가 오레가노</v>
      </c>
      <c r="B6243" s="2" t="str">
        <f>IFERROR(__xludf.DUMMYFUNCTION("""COMPUTED_VALUE"""),"액상조미료")</f>
        <v>액상조미료</v>
      </c>
    </row>
    <row r="6244">
      <c r="A6244" s="2" t="str">
        <f>IFERROR(__xludf.DUMMYFUNCTION("""COMPUTED_VALUE"""),"파티가 오레가노")</f>
        <v>파티가 오레가노</v>
      </c>
      <c r="B6244" s="2" t="str">
        <f>IFERROR(__xludf.DUMMYFUNCTION("""COMPUTED_VALUE"""),"소금")</f>
        <v>소금</v>
      </c>
    </row>
    <row r="6245">
      <c r="A6245" s="2" t="str">
        <f>IFERROR(__xludf.DUMMYFUNCTION("""COMPUTED_VALUE"""),"파티가 오레가노")</f>
        <v>파티가 오레가노</v>
      </c>
      <c r="B6245" s="2" t="str">
        <f>IFERROR(__xludf.DUMMYFUNCTION("""COMPUTED_VALUE"""),"후추")</f>
        <v>후추</v>
      </c>
    </row>
    <row r="6246">
      <c r="A6246" s="2" t="str">
        <f>IFERROR(__xludf.DUMMYFUNCTION("""COMPUTED_VALUE"""),"파티가 오레가노")</f>
        <v>파티가 오레가노</v>
      </c>
      <c r="B6246" s="2" t="str">
        <f>IFERROR(__xludf.DUMMYFUNCTION("""COMPUTED_VALUE"""),"올리브오일")</f>
        <v>올리브오일</v>
      </c>
    </row>
    <row r="6247">
      <c r="A6247" s="2" t="str">
        <f>IFERROR(__xludf.DUMMYFUNCTION("""COMPUTED_VALUE"""),"파티가 오레가노")</f>
        <v>파티가 오레가노</v>
      </c>
      <c r="B6247" s="2" t="str">
        <f>IFERROR(__xludf.DUMMYFUNCTION("""COMPUTED_VALUE"""),"마늘")</f>
        <v>마늘</v>
      </c>
    </row>
    <row r="6248">
      <c r="A6248" s="2" t="str">
        <f>IFERROR(__xludf.DUMMYFUNCTION("""COMPUTED_VALUE"""),"파티가 오레가노")</f>
        <v>파티가 오레가노</v>
      </c>
      <c r="B6248" s="2" t="str">
        <f>IFERROR(__xludf.DUMMYFUNCTION("""COMPUTED_VALUE"""),"레몬")</f>
        <v>레몬</v>
      </c>
    </row>
    <row r="6249">
      <c r="A6249" s="2" t="str">
        <f>IFERROR(__xludf.DUMMYFUNCTION("""COMPUTED_VALUE"""),"팬타스틱")</f>
        <v>팬타스틱</v>
      </c>
      <c r="B6249" s="2" t="str">
        <f>IFERROR(__xludf.DUMMYFUNCTION("""COMPUTED_VALUE"""),"아스파라거스")</f>
        <v>아스파라거스</v>
      </c>
    </row>
    <row r="6250">
      <c r="A6250" s="2" t="str">
        <f>IFERROR(__xludf.DUMMYFUNCTION("""COMPUTED_VALUE"""),"팬타스틱")</f>
        <v>팬타스틱</v>
      </c>
      <c r="B6250" s="2" t="str">
        <f>IFERROR(__xludf.DUMMYFUNCTION("""COMPUTED_VALUE"""),"베이컨")</f>
        <v>베이컨</v>
      </c>
    </row>
    <row r="6251">
      <c r="A6251" s="2" t="str">
        <f>IFERROR(__xludf.DUMMYFUNCTION("""COMPUTED_VALUE"""),"팬타스틱")</f>
        <v>팬타스틱</v>
      </c>
      <c r="B6251" s="2" t="str">
        <f>IFERROR(__xludf.DUMMYFUNCTION("""COMPUTED_VALUE"""),"소시지")</f>
        <v>소시지</v>
      </c>
    </row>
    <row r="6252">
      <c r="A6252" s="2" t="str">
        <f>IFERROR(__xludf.DUMMYFUNCTION("""COMPUTED_VALUE"""),"팬타스틱")</f>
        <v>팬타스틱</v>
      </c>
      <c r="B6252" s="2" t="str">
        <f>IFERROR(__xludf.DUMMYFUNCTION("""COMPUTED_VALUE"""),"맥주")</f>
        <v>맥주</v>
      </c>
    </row>
    <row r="6253">
      <c r="A6253" s="2" t="str">
        <f>IFERROR(__xludf.DUMMYFUNCTION("""COMPUTED_VALUE"""),"팬타스틱")</f>
        <v>팬타스틱</v>
      </c>
      <c r="B6253" s="2" t="str">
        <f>IFERROR(__xludf.DUMMYFUNCTION("""COMPUTED_VALUE"""),"팬케이크가루")</f>
        <v>팬케이크가루</v>
      </c>
    </row>
    <row r="6254">
      <c r="A6254" s="2" t="str">
        <f>IFERROR(__xludf.DUMMYFUNCTION("""COMPUTED_VALUE"""),"팬타스틱")</f>
        <v>팬타스틱</v>
      </c>
      <c r="B6254" s="2" t="str">
        <f>IFERROR(__xludf.DUMMYFUNCTION("""COMPUTED_VALUE"""),"모차렐라치즈")</f>
        <v>모차렐라치즈</v>
      </c>
    </row>
    <row r="6255">
      <c r="A6255" s="2" t="str">
        <f>IFERROR(__xludf.DUMMYFUNCTION("""COMPUTED_VALUE"""),"팬타스틱")</f>
        <v>팬타스틱</v>
      </c>
      <c r="B6255" s="2" t="str">
        <f>IFERROR(__xludf.DUMMYFUNCTION("""COMPUTED_VALUE"""),"액상조미료")</f>
        <v>액상조미료</v>
      </c>
    </row>
    <row r="6256">
      <c r="A6256" s="2" t="str">
        <f>IFERROR(__xludf.DUMMYFUNCTION("""COMPUTED_VALUE"""),"팬타스틱")</f>
        <v>팬타스틱</v>
      </c>
      <c r="B6256" s="2" t="str">
        <f>IFERROR(__xludf.DUMMYFUNCTION("""COMPUTED_VALUE"""),"양파")</f>
        <v>양파</v>
      </c>
    </row>
    <row r="6257">
      <c r="A6257" s="2" t="str">
        <f>IFERROR(__xludf.DUMMYFUNCTION("""COMPUTED_VALUE"""),"팬타스틱")</f>
        <v>팬타스틱</v>
      </c>
      <c r="B6257" s="2" t="str">
        <f>IFERROR(__xludf.DUMMYFUNCTION("""COMPUTED_VALUE"""),"마늘")</f>
        <v>마늘</v>
      </c>
    </row>
    <row r="6258">
      <c r="A6258" s="2" t="str">
        <f>IFERROR(__xludf.DUMMYFUNCTION("""COMPUTED_VALUE"""),"팬타스틱")</f>
        <v>팬타스틱</v>
      </c>
      <c r="B6258" s="2" t="str">
        <f>IFERROR(__xludf.DUMMYFUNCTION("""COMPUTED_VALUE"""),"달걀")</f>
        <v>달걀</v>
      </c>
    </row>
    <row r="6259">
      <c r="A6259" s="2" t="str">
        <f>IFERROR(__xludf.DUMMYFUNCTION("""COMPUTED_VALUE"""),"팬타스틱")</f>
        <v>팬타스틱</v>
      </c>
      <c r="B6259" s="2" t="str">
        <f>IFERROR(__xludf.DUMMYFUNCTION("""COMPUTED_VALUE"""),"연겨자")</f>
        <v>연겨자</v>
      </c>
    </row>
    <row r="6260">
      <c r="A6260" s="2" t="str">
        <f>IFERROR(__xludf.DUMMYFUNCTION("""COMPUTED_VALUE"""),"팬타스틱")</f>
        <v>팬타스틱</v>
      </c>
      <c r="B6260" s="2" t="str">
        <f>IFERROR(__xludf.DUMMYFUNCTION("""COMPUTED_VALUE"""),"버터")</f>
        <v>버터</v>
      </c>
    </row>
    <row r="6261">
      <c r="A6261" s="2" t="str">
        <f>IFERROR(__xludf.DUMMYFUNCTION("""COMPUTED_VALUE"""),"팬타스틱")</f>
        <v>팬타스틱</v>
      </c>
      <c r="B6261" s="2" t="str">
        <f>IFERROR(__xludf.DUMMYFUNCTION("""COMPUTED_VALUE"""),"올리브오일")</f>
        <v>올리브오일</v>
      </c>
    </row>
    <row r="6262">
      <c r="A6262" s="2" t="str">
        <f>IFERROR(__xludf.DUMMYFUNCTION("""COMPUTED_VALUE"""),"팬타스틱")</f>
        <v>팬타스틱</v>
      </c>
      <c r="B6262" s="2" t="str">
        <f>IFERROR(__xludf.DUMMYFUNCTION("""COMPUTED_VALUE"""),"밀가루")</f>
        <v>밀가루</v>
      </c>
    </row>
    <row r="6263">
      <c r="A6263" s="2" t="str">
        <f>IFERROR(__xludf.DUMMYFUNCTION("""COMPUTED_VALUE"""),"팬타스틱")</f>
        <v>팬타스틱</v>
      </c>
      <c r="B6263" s="2" t="str">
        <f>IFERROR(__xludf.DUMMYFUNCTION("""COMPUTED_VALUE"""),"후추")</f>
        <v>후추</v>
      </c>
    </row>
    <row r="6264">
      <c r="A6264" s="2" t="str">
        <f>IFERROR(__xludf.DUMMYFUNCTION("""COMPUTED_VALUE"""),"200% 게살케이크")</f>
        <v>200% 게살케이크</v>
      </c>
      <c r="B6264" s="2" t="str">
        <f>IFERROR(__xludf.DUMMYFUNCTION("""COMPUTED_VALUE"""),"새우살")</f>
        <v>새우살</v>
      </c>
    </row>
    <row r="6265">
      <c r="A6265" s="2" t="str">
        <f>IFERROR(__xludf.DUMMYFUNCTION("""COMPUTED_VALUE"""),"200% 게살케이크")</f>
        <v>200% 게살케이크</v>
      </c>
      <c r="B6265" s="2" t="str">
        <f>IFERROR(__xludf.DUMMYFUNCTION("""COMPUTED_VALUE"""),"대게살")</f>
        <v>대게살</v>
      </c>
    </row>
    <row r="6266">
      <c r="A6266" s="2" t="str">
        <f>IFERROR(__xludf.DUMMYFUNCTION("""COMPUTED_VALUE"""),"200% 게살케이크")</f>
        <v>200% 게살케이크</v>
      </c>
      <c r="B6266" s="2" t="str">
        <f>IFERROR(__xludf.DUMMYFUNCTION("""COMPUTED_VALUE"""),"날치알")</f>
        <v>날치알</v>
      </c>
    </row>
    <row r="6267">
      <c r="A6267" s="2" t="str">
        <f>IFERROR(__xludf.DUMMYFUNCTION("""COMPUTED_VALUE"""),"200% 게살케이크")</f>
        <v>200% 게살케이크</v>
      </c>
      <c r="B6267" s="2" t="str">
        <f>IFERROR(__xludf.DUMMYFUNCTION("""COMPUTED_VALUE"""),"딸기주스")</f>
        <v>딸기주스</v>
      </c>
    </row>
    <row r="6268">
      <c r="A6268" s="2" t="str">
        <f>IFERROR(__xludf.DUMMYFUNCTION("""COMPUTED_VALUE"""),"200% 게살케이크")</f>
        <v>200% 게살케이크</v>
      </c>
      <c r="B6268" s="2" t="str">
        <f>IFERROR(__xludf.DUMMYFUNCTION("""COMPUTED_VALUE"""),"우유")</f>
        <v>우유</v>
      </c>
    </row>
    <row r="6269">
      <c r="A6269" s="2" t="str">
        <f>IFERROR(__xludf.DUMMYFUNCTION("""COMPUTED_VALUE"""),"200% 게살케이크")</f>
        <v>200% 게살케이크</v>
      </c>
      <c r="B6269" s="2" t="str">
        <f>IFERROR(__xludf.DUMMYFUNCTION("""COMPUTED_VALUE"""),"당근")</f>
        <v>당근</v>
      </c>
    </row>
    <row r="6270">
      <c r="A6270" s="2" t="str">
        <f>IFERROR(__xludf.DUMMYFUNCTION("""COMPUTED_VALUE"""),"200% 게살케이크")</f>
        <v>200% 게살케이크</v>
      </c>
      <c r="B6270" s="2" t="str">
        <f>IFERROR(__xludf.DUMMYFUNCTION("""COMPUTED_VALUE"""),"버터")</f>
        <v>버터</v>
      </c>
    </row>
    <row r="6271">
      <c r="A6271" s="2" t="str">
        <f>IFERROR(__xludf.DUMMYFUNCTION("""COMPUTED_VALUE"""),"200% 게살케이크")</f>
        <v>200% 게살케이크</v>
      </c>
      <c r="B6271" s="2" t="str">
        <f>IFERROR(__xludf.DUMMYFUNCTION("""COMPUTED_VALUE"""),"소금")</f>
        <v>소금</v>
      </c>
    </row>
    <row r="6272">
      <c r="A6272" s="2" t="str">
        <f>IFERROR(__xludf.DUMMYFUNCTION("""COMPUTED_VALUE"""),"200% 게살케이크")</f>
        <v>200% 게살케이크</v>
      </c>
      <c r="B6272" s="2" t="str">
        <f>IFERROR(__xludf.DUMMYFUNCTION("""COMPUTED_VALUE"""),"후추")</f>
        <v>후추</v>
      </c>
    </row>
    <row r="6273">
      <c r="A6273" s="2" t="str">
        <f>IFERROR(__xludf.DUMMYFUNCTION("""COMPUTED_VALUE"""),"200% 게살케이크")</f>
        <v>200% 게살케이크</v>
      </c>
      <c r="B6273" s="2" t="str">
        <f>IFERROR(__xludf.DUMMYFUNCTION("""COMPUTED_VALUE"""),"밀가루")</f>
        <v>밀가루</v>
      </c>
    </row>
    <row r="6274">
      <c r="A6274" s="2" t="str">
        <f>IFERROR(__xludf.DUMMYFUNCTION("""COMPUTED_VALUE"""),"갈치 너비아니")</f>
        <v>갈치 너비아니</v>
      </c>
      <c r="B6274" s="2" t="str">
        <f>IFERROR(__xludf.DUMMYFUNCTION("""COMPUTED_VALUE"""),"더덕")</f>
        <v>더덕</v>
      </c>
    </row>
    <row r="6275">
      <c r="A6275" s="2" t="str">
        <f>IFERROR(__xludf.DUMMYFUNCTION("""COMPUTED_VALUE"""),"갈치 너비아니")</f>
        <v>갈치 너비아니</v>
      </c>
      <c r="B6275" s="2" t="str">
        <f>IFERROR(__xludf.DUMMYFUNCTION("""COMPUTED_VALUE"""),"등갈비")</f>
        <v>등갈비</v>
      </c>
    </row>
    <row r="6276">
      <c r="A6276" s="2" t="str">
        <f>IFERROR(__xludf.DUMMYFUNCTION("""COMPUTED_VALUE"""),"갈치 너비아니")</f>
        <v>갈치 너비아니</v>
      </c>
      <c r="B6276" s="2" t="str">
        <f>IFERROR(__xludf.DUMMYFUNCTION("""COMPUTED_VALUE"""),"명이나물장아찌")</f>
        <v>명이나물장아찌</v>
      </c>
    </row>
    <row r="6277">
      <c r="A6277" s="2" t="str">
        <f>IFERROR(__xludf.DUMMYFUNCTION("""COMPUTED_VALUE"""),"갈치 너비아니")</f>
        <v>갈치 너비아니</v>
      </c>
      <c r="B6277" s="2" t="str">
        <f>IFERROR(__xludf.DUMMYFUNCTION("""COMPUTED_VALUE"""),"갈치")</f>
        <v>갈치</v>
      </c>
    </row>
    <row r="6278">
      <c r="A6278" s="2" t="str">
        <f>IFERROR(__xludf.DUMMYFUNCTION("""COMPUTED_VALUE"""),"갈치 너비아니")</f>
        <v>갈치 너비아니</v>
      </c>
      <c r="B6278" s="2" t="str">
        <f>IFERROR(__xludf.DUMMYFUNCTION("""COMPUTED_VALUE"""),"통조림 햄")</f>
        <v>통조림 햄</v>
      </c>
    </row>
    <row r="6279">
      <c r="A6279" s="2" t="str">
        <f>IFERROR(__xludf.DUMMYFUNCTION("""COMPUTED_VALUE"""),"갈치 너비아니")</f>
        <v>갈치 너비아니</v>
      </c>
      <c r="B6279" s="2" t="str">
        <f>IFERROR(__xludf.DUMMYFUNCTION("""COMPUTED_VALUE"""),"참나물")</f>
        <v>참나물</v>
      </c>
    </row>
    <row r="6280">
      <c r="A6280" s="2" t="str">
        <f>IFERROR(__xludf.DUMMYFUNCTION("""COMPUTED_VALUE"""),"갈치 너비아니")</f>
        <v>갈치 너비아니</v>
      </c>
      <c r="B6280" s="2" t="str">
        <f>IFERROR(__xludf.DUMMYFUNCTION("""COMPUTED_VALUE"""),"케일사과주스")</f>
        <v>케일사과주스</v>
      </c>
    </row>
    <row r="6281">
      <c r="A6281" s="2" t="str">
        <f>IFERROR(__xludf.DUMMYFUNCTION("""COMPUTED_VALUE"""),"갈치 너비아니")</f>
        <v>갈치 너비아니</v>
      </c>
      <c r="B6281" s="2" t="str">
        <f>IFERROR(__xludf.DUMMYFUNCTION("""COMPUTED_VALUE"""),"배")</f>
        <v>배</v>
      </c>
    </row>
    <row r="6282">
      <c r="A6282" s="2" t="str">
        <f>IFERROR(__xludf.DUMMYFUNCTION("""COMPUTED_VALUE"""),"갈치 너비아니")</f>
        <v>갈치 너비아니</v>
      </c>
      <c r="B6282" s="2" t="str">
        <f>IFERROR(__xludf.DUMMYFUNCTION("""COMPUTED_VALUE"""),"도라지배즙")</f>
        <v>도라지배즙</v>
      </c>
    </row>
    <row r="6283">
      <c r="A6283" s="2" t="str">
        <f>IFERROR(__xludf.DUMMYFUNCTION("""COMPUTED_VALUE"""),"갈치 너비아니")</f>
        <v>갈치 너비아니</v>
      </c>
      <c r="B6283" s="2" t="str">
        <f>IFERROR(__xludf.DUMMYFUNCTION("""COMPUTED_VALUE"""),"콩비지")</f>
        <v>콩비지</v>
      </c>
    </row>
    <row r="6284">
      <c r="A6284" s="2" t="str">
        <f>IFERROR(__xludf.DUMMYFUNCTION("""COMPUTED_VALUE"""),"갈치 너비아니")</f>
        <v>갈치 너비아니</v>
      </c>
      <c r="B6284" s="2" t="str">
        <f>IFERROR(__xludf.DUMMYFUNCTION("""COMPUTED_VALUE"""),"대파")</f>
        <v>대파</v>
      </c>
    </row>
    <row r="6285">
      <c r="A6285" s="2" t="str">
        <f>IFERROR(__xludf.DUMMYFUNCTION("""COMPUTED_VALUE"""),"갈치 너비아니")</f>
        <v>갈치 너비아니</v>
      </c>
      <c r="B6285" s="2" t="str">
        <f>IFERROR(__xludf.DUMMYFUNCTION("""COMPUTED_VALUE"""),"양파")</f>
        <v>양파</v>
      </c>
    </row>
    <row r="6286">
      <c r="A6286" s="2" t="str">
        <f>IFERROR(__xludf.DUMMYFUNCTION("""COMPUTED_VALUE"""),"갈치 너비아니")</f>
        <v>갈치 너비아니</v>
      </c>
      <c r="B6286" s="2" t="str">
        <f>IFERROR(__xludf.DUMMYFUNCTION("""COMPUTED_VALUE"""),"전분")</f>
        <v>전분</v>
      </c>
    </row>
    <row r="6287">
      <c r="A6287" s="2" t="str">
        <f>IFERROR(__xludf.DUMMYFUNCTION("""COMPUTED_VALUE"""),"갈치 너비아니")</f>
        <v>갈치 너비아니</v>
      </c>
      <c r="B6287" s="2" t="str">
        <f>IFERROR(__xludf.DUMMYFUNCTION("""COMPUTED_VALUE"""),"설탕")</f>
        <v>설탕</v>
      </c>
    </row>
    <row r="6288">
      <c r="A6288" s="2" t="str">
        <f>IFERROR(__xludf.DUMMYFUNCTION("""COMPUTED_VALUE"""),"갈치 너비아니")</f>
        <v>갈치 너비아니</v>
      </c>
      <c r="B6288" s="2" t="str">
        <f>IFERROR(__xludf.DUMMYFUNCTION("""COMPUTED_VALUE"""),"올리브오일")</f>
        <v>올리브오일</v>
      </c>
    </row>
    <row r="6289">
      <c r="A6289" s="2" t="str">
        <f>IFERROR(__xludf.DUMMYFUNCTION("""COMPUTED_VALUE"""),"갈치 너비아니")</f>
        <v>갈치 너비아니</v>
      </c>
      <c r="B6289" s="2" t="str">
        <f>IFERROR(__xludf.DUMMYFUNCTION("""COMPUTED_VALUE"""),"고추장")</f>
        <v>고추장</v>
      </c>
    </row>
    <row r="6290">
      <c r="A6290" s="2" t="str">
        <f>IFERROR(__xludf.DUMMYFUNCTION("""COMPUTED_VALUE"""),"케이밥스타")</f>
        <v>케이밥스타</v>
      </c>
      <c r="B6290" s="2" t="str">
        <f>IFERROR(__xludf.DUMMYFUNCTION("""COMPUTED_VALUE"""),"오징어")</f>
        <v>오징어</v>
      </c>
    </row>
    <row r="6291">
      <c r="A6291" s="2" t="str">
        <f>IFERROR(__xludf.DUMMYFUNCTION("""COMPUTED_VALUE"""),"케이밥스타")</f>
        <v>케이밥스타</v>
      </c>
      <c r="B6291" s="2" t="str">
        <f>IFERROR(__xludf.DUMMYFUNCTION("""COMPUTED_VALUE"""),"새우살")</f>
        <v>새우살</v>
      </c>
    </row>
    <row r="6292">
      <c r="A6292" s="2" t="str">
        <f>IFERROR(__xludf.DUMMYFUNCTION("""COMPUTED_VALUE"""),"케이밥스타")</f>
        <v>케이밥스타</v>
      </c>
      <c r="B6292" s="2" t="str">
        <f>IFERROR(__xludf.DUMMYFUNCTION("""COMPUTED_VALUE"""),"수제양념장")</f>
        <v>수제양념장</v>
      </c>
    </row>
    <row r="6293">
      <c r="A6293" s="2" t="str">
        <f>IFERROR(__xludf.DUMMYFUNCTION("""COMPUTED_VALUE"""),"케이밥스타")</f>
        <v>케이밥스타</v>
      </c>
      <c r="B6293" s="2" t="str">
        <f>IFERROR(__xludf.DUMMYFUNCTION("""COMPUTED_VALUE"""),"명이나물장아찌")</f>
        <v>명이나물장아찌</v>
      </c>
    </row>
    <row r="6294">
      <c r="A6294" s="2" t="str">
        <f>IFERROR(__xludf.DUMMYFUNCTION("""COMPUTED_VALUE"""),"케이밥스타")</f>
        <v>케이밥스타</v>
      </c>
      <c r="B6294" s="2" t="str">
        <f>IFERROR(__xludf.DUMMYFUNCTION("""COMPUTED_VALUE"""),"믹스견과")</f>
        <v>믹스견과</v>
      </c>
    </row>
    <row r="6295">
      <c r="A6295" s="2" t="str">
        <f>IFERROR(__xludf.DUMMYFUNCTION("""COMPUTED_VALUE"""),"케이밥스타")</f>
        <v>케이밥스타</v>
      </c>
      <c r="B6295" s="2" t="str">
        <f>IFERROR(__xludf.DUMMYFUNCTION("""COMPUTED_VALUE"""),"크림치즈")</f>
        <v>크림치즈</v>
      </c>
    </row>
    <row r="6296">
      <c r="A6296" s="2" t="str">
        <f>IFERROR(__xludf.DUMMYFUNCTION("""COMPUTED_VALUE"""),"케이밥스타")</f>
        <v>케이밥스타</v>
      </c>
      <c r="B6296" s="2" t="str">
        <f>IFERROR(__xludf.DUMMYFUNCTION("""COMPUTED_VALUE"""),"발사믹소스")</f>
        <v>발사믹소스</v>
      </c>
    </row>
    <row r="6297">
      <c r="A6297" s="2" t="str">
        <f>IFERROR(__xludf.DUMMYFUNCTION("""COMPUTED_VALUE"""),"케이밥스타")</f>
        <v>케이밥스타</v>
      </c>
      <c r="B6297" s="2" t="str">
        <f>IFERROR(__xludf.DUMMYFUNCTION("""COMPUTED_VALUE"""),"딸기주스")</f>
        <v>딸기주스</v>
      </c>
    </row>
    <row r="6298">
      <c r="A6298" s="2" t="str">
        <f>IFERROR(__xludf.DUMMYFUNCTION("""COMPUTED_VALUE"""),"케이밥스타")</f>
        <v>케이밥스타</v>
      </c>
      <c r="B6298" s="2" t="str">
        <f>IFERROR(__xludf.DUMMYFUNCTION("""COMPUTED_VALUE"""),"콘수프분말")</f>
        <v>콘수프분말</v>
      </c>
    </row>
    <row r="6299">
      <c r="A6299" s="2" t="str">
        <f>IFERROR(__xludf.DUMMYFUNCTION("""COMPUTED_VALUE"""),"케이밥스타")</f>
        <v>케이밥스타</v>
      </c>
      <c r="B6299" s="2" t="str">
        <f>IFERROR(__xludf.DUMMYFUNCTION("""COMPUTED_VALUE"""),"파르메산치즈")</f>
        <v>파르메산치즈</v>
      </c>
    </row>
    <row r="6300">
      <c r="A6300" s="2" t="str">
        <f>IFERROR(__xludf.DUMMYFUNCTION("""COMPUTED_VALUE"""),"케이밥스타")</f>
        <v>케이밥스타</v>
      </c>
      <c r="B6300" s="2" t="str">
        <f>IFERROR(__xludf.DUMMYFUNCTION("""COMPUTED_VALUE"""),"전분")</f>
        <v>전분</v>
      </c>
    </row>
    <row r="6301">
      <c r="A6301" s="2" t="str">
        <f>IFERROR(__xludf.DUMMYFUNCTION("""COMPUTED_VALUE"""),"케이밥스타")</f>
        <v>케이밥스타</v>
      </c>
      <c r="B6301" s="2" t="str">
        <f>IFERROR(__xludf.DUMMYFUNCTION("""COMPUTED_VALUE"""),"식용유")</f>
        <v>식용유</v>
      </c>
    </row>
    <row r="6302">
      <c r="A6302" s="2" t="str">
        <f>IFERROR(__xludf.DUMMYFUNCTION("""COMPUTED_VALUE"""),"케이밥스타")</f>
        <v>케이밥스타</v>
      </c>
      <c r="B6302" s="2" t="str">
        <f>IFERROR(__xludf.DUMMYFUNCTION("""COMPUTED_VALUE"""),"후추")</f>
        <v>후추</v>
      </c>
    </row>
    <row r="6303">
      <c r="A6303" s="2" t="str">
        <f>IFERROR(__xludf.DUMMYFUNCTION("""COMPUTED_VALUE"""),"케이밥스타")</f>
        <v>케이밥스타</v>
      </c>
      <c r="B6303" s="2" t="str">
        <f>IFERROR(__xludf.DUMMYFUNCTION("""COMPUTED_VALUE"""),"달걀")</f>
        <v>달걀</v>
      </c>
    </row>
    <row r="6304">
      <c r="A6304" s="2" t="str">
        <f>IFERROR(__xludf.DUMMYFUNCTION("""COMPUTED_VALUE"""),"레이면인건가♬")</f>
        <v>레이면인건가♬</v>
      </c>
      <c r="B6304" s="2" t="str">
        <f>IFERROR(__xludf.DUMMYFUNCTION("""COMPUTED_VALUE"""),"라면")</f>
        <v>라면</v>
      </c>
    </row>
    <row r="6305">
      <c r="A6305" s="2" t="str">
        <f>IFERROR(__xludf.DUMMYFUNCTION("""COMPUTED_VALUE"""),"레이면인건가♬")</f>
        <v>레이면인건가♬</v>
      </c>
      <c r="B6305" s="2" t="str">
        <f>IFERROR(__xludf.DUMMYFUNCTION("""COMPUTED_VALUE"""),"오징어")</f>
        <v>오징어</v>
      </c>
    </row>
    <row r="6306">
      <c r="A6306" s="2" t="str">
        <f>IFERROR(__xludf.DUMMYFUNCTION("""COMPUTED_VALUE"""),"레이면인건가♬")</f>
        <v>레이면인건가♬</v>
      </c>
      <c r="B6306" s="2" t="str">
        <f>IFERROR(__xludf.DUMMYFUNCTION("""COMPUTED_VALUE"""),"해시브라운")</f>
        <v>해시브라운</v>
      </c>
    </row>
    <row r="6307">
      <c r="A6307" s="2" t="str">
        <f>IFERROR(__xludf.DUMMYFUNCTION("""COMPUTED_VALUE"""),"레이면인건가♬")</f>
        <v>레이면인건가♬</v>
      </c>
      <c r="B6307" s="2" t="str">
        <f>IFERROR(__xludf.DUMMYFUNCTION("""COMPUTED_VALUE"""),"자숙새우")</f>
        <v>자숙새우</v>
      </c>
    </row>
    <row r="6308">
      <c r="A6308" s="2" t="str">
        <f>IFERROR(__xludf.DUMMYFUNCTION("""COMPUTED_VALUE"""),"레이면인건가♬")</f>
        <v>레이면인건가♬</v>
      </c>
      <c r="B6308" s="2" t="str">
        <f>IFERROR(__xludf.DUMMYFUNCTION("""COMPUTED_VALUE"""),"카망베르치즈")</f>
        <v>카망베르치즈</v>
      </c>
    </row>
    <row r="6309">
      <c r="A6309" s="2" t="str">
        <f>IFERROR(__xludf.DUMMYFUNCTION("""COMPUTED_VALUE"""),"레이면인건가♬")</f>
        <v>레이면인건가♬</v>
      </c>
      <c r="B6309" s="2" t="str">
        <f>IFERROR(__xludf.DUMMYFUNCTION("""COMPUTED_VALUE"""),"굴소스")</f>
        <v>굴소스</v>
      </c>
    </row>
    <row r="6310">
      <c r="A6310" s="2" t="str">
        <f>IFERROR(__xludf.DUMMYFUNCTION("""COMPUTED_VALUE"""),"레이면인건가♬")</f>
        <v>레이면인건가♬</v>
      </c>
      <c r="B6310" s="2" t="str">
        <f>IFERROR(__xludf.DUMMYFUNCTION("""COMPUTED_VALUE"""),"파르메산치즈")</f>
        <v>파르메산치즈</v>
      </c>
    </row>
    <row r="6311">
      <c r="A6311" s="2" t="str">
        <f>IFERROR(__xludf.DUMMYFUNCTION("""COMPUTED_VALUE"""),"레이면인건가♬")</f>
        <v>레이면인건가♬</v>
      </c>
      <c r="B6311" s="2" t="str">
        <f>IFERROR(__xludf.DUMMYFUNCTION("""COMPUTED_VALUE"""),"영양부추")</f>
        <v>영양부추</v>
      </c>
    </row>
    <row r="6312">
      <c r="A6312" s="2" t="str">
        <f>IFERROR(__xludf.DUMMYFUNCTION("""COMPUTED_VALUE"""),"레이면인건가♬")</f>
        <v>레이면인건가♬</v>
      </c>
      <c r="B6312" s="2" t="str">
        <f>IFERROR(__xludf.DUMMYFUNCTION("""COMPUTED_VALUE"""),"가쓰오부시")</f>
        <v>가쓰오부시</v>
      </c>
    </row>
    <row r="6313">
      <c r="A6313" s="2" t="str">
        <f>IFERROR(__xludf.DUMMYFUNCTION("""COMPUTED_VALUE"""),"레이면인건가♬")</f>
        <v>레이면인건가♬</v>
      </c>
      <c r="B6313" s="2" t="str">
        <f>IFERROR(__xludf.DUMMYFUNCTION("""COMPUTED_VALUE"""),"양파")</f>
        <v>양파</v>
      </c>
    </row>
    <row r="6314">
      <c r="A6314" s="2" t="str">
        <f>IFERROR(__xludf.DUMMYFUNCTION("""COMPUTED_VALUE"""),"레이면인건가♬")</f>
        <v>레이면인건가♬</v>
      </c>
      <c r="B6314" s="2" t="str">
        <f>IFERROR(__xludf.DUMMYFUNCTION("""COMPUTED_VALUE"""),"레몬")</f>
        <v>레몬</v>
      </c>
    </row>
    <row r="6315">
      <c r="A6315" s="2" t="str">
        <f>IFERROR(__xludf.DUMMYFUNCTION("""COMPUTED_VALUE"""),"레이면인건가♬")</f>
        <v>레이면인건가♬</v>
      </c>
      <c r="B6315" s="2" t="str">
        <f>IFERROR(__xludf.DUMMYFUNCTION("""COMPUTED_VALUE"""),"달걀")</f>
        <v>달걀</v>
      </c>
    </row>
    <row r="6316">
      <c r="A6316" s="2" t="str">
        <f>IFERROR(__xludf.DUMMYFUNCTION("""COMPUTED_VALUE"""),"레이면인건가♬")</f>
        <v>레이면인건가♬</v>
      </c>
      <c r="B6316" s="2" t="str">
        <f>IFERROR(__xludf.DUMMYFUNCTION("""COMPUTED_VALUE"""),"소금")</f>
        <v>소금</v>
      </c>
    </row>
    <row r="6317">
      <c r="A6317" s="2" t="str">
        <f>IFERROR(__xludf.DUMMYFUNCTION("""COMPUTED_VALUE"""),"레이면인건가♬")</f>
        <v>레이면인건가♬</v>
      </c>
      <c r="B6317" s="2" t="str">
        <f>IFERROR(__xludf.DUMMYFUNCTION("""COMPUTED_VALUE"""),"후추")</f>
        <v>후추</v>
      </c>
    </row>
    <row r="6318">
      <c r="A6318" s="2" t="str">
        <f>IFERROR(__xludf.DUMMYFUNCTION("""COMPUTED_VALUE"""),"레이면인건가♬")</f>
        <v>레이면인건가♬</v>
      </c>
      <c r="B6318" s="2" t="str">
        <f>IFERROR(__xludf.DUMMYFUNCTION("""COMPUTED_VALUE"""),"전분")</f>
        <v>전분</v>
      </c>
    </row>
    <row r="6319">
      <c r="A6319" s="2" t="str">
        <f>IFERROR(__xludf.DUMMYFUNCTION("""COMPUTED_VALUE"""),"레이면인건가♬")</f>
        <v>레이면인건가♬</v>
      </c>
      <c r="B6319" s="2" t="str">
        <f>IFERROR(__xludf.DUMMYFUNCTION("""COMPUTED_VALUE"""),"케첩")</f>
        <v>케첩</v>
      </c>
    </row>
    <row r="6320">
      <c r="A6320" s="2" t="str">
        <f>IFERROR(__xludf.DUMMYFUNCTION("""COMPUTED_VALUE"""),"레이면인건가♬")</f>
        <v>레이면인건가♬</v>
      </c>
      <c r="B6320" s="2" t="str">
        <f>IFERROR(__xludf.DUMMYFUNCTION("""COMPUTED_VALUE"""),"마요네즈")</f>
        <v>마요네즈</v>
      </c>
    </row>
    <row r="6321">
      <c r="A6321" s="2" t="str">
        <f>IFERROR(__xludf.DUMMYFUNCTION("""COMPUTED_VALUE"""),"시금치 나무에서 애벌레 쇼를♬")</f>
        <v>시금치 나무에서 애벌레 쇼를♬</v>
      </c>
      <c r="B6321" s="2" t="str">
        <f>IFERROR(__xludf.DUMMYFUNCTION("""COMPUTED_VALUE"""),"굴소스")</f>
        <v>굴소스</v>
      </c>
    </row>
    <row r="6322">
      <c r="A6322" s="2" t="str">
        <f>IFERROR(__xludf.DUMMYFUNCTION("""COMPUTED_VALUE"""),"시금치 나무에서 애벌레 쇼를♬")</f>
        <v>시금치 나무에서 애벌레 쇼를♬</v>
      </c>
      <c r="B6322" s="2" t="str">
        <f>IFERROR(__xludf.DUMMYFUNCTION("""COMPUTED_VALUE"""),"시금치")</f>
        <v>시금치</v>
      </c>
    </row>
    <row r="6323">
      <c r="A6323" s="2" t="str">
        <f>IFERROR(__xludf.DUMMYFUNCTION("""COMPUTED_VALUE"""),"시금치 나무에서 애벌레 쇼를♬")</f>
        <v>시금치 나무에서 애벌레 쇼를♬</v>
      </c>
      <c r="B6323" s="2" t="str">
        <f>IFERROR(__xludf.DUMMYFUNCTION("""COMPUTED_VALUE"""),"치킨스톡")</f>
        <v>치킨스톡</v>
      </c>
    </row>
    <row r="6324">
      <c r="A6324" s="2" t="str">
        <f>IFERROR(__xludf.DUMMYFUNCTION("""COMPUTED_VALUE"""),"시금치 나무에서 애벌레 쇼를♬")</f>
        <v>시금치 나무에서 애벌레 쇼를♬</v>
      </c>
      <c r="B6324" s="2" t="str">
        <f>IFERROR(__xludf.DUMMYFUNCTION("""COMPUTED_VALUE"""),"딸기고추장")</f>
        <v>딸기고추장</v>
      </c>
    </row>
    <row r="6325">
      <c r="A6325" s="2" t="str">
        <f>IFERROR(__xludf.DUMMYFUNCTION("""COMPUTED_VALUE"""),"시금치 나무에서 애벌레 쇼를♬")</f>
        <v>시금치 나무에서 애벌레 쇼를♬</v>
      </c>
      <c r="B6325" s="2" t="str">
        <f>IFERROR(__xludf.DUMMYFUNCTION("""COMPUTED_VALUE"""),"베이컨용 삼겹살")</f>
        <v>베이컨용 삼겹살</v>
      </c>
    </row>
    <row r="6326">
      <c r="A6326" s="2" t="str">
        <f>IFERROR(__xludf.DUMMYFUNCTION("""COMPUTED_VALUE"""),"시금치 나무에서 애벌레 쇼를♬")</f>
        <v>시금치 나무에서 애벌레 쇼를♬</v>
      </c>
      <c r="B6326" s="2" t="str">
        <f>IFERROR(__xludf.DUMMYFUNCTION("""COMPUTED_VALUE"""),"두반장")</f>
        <v>두반장</v>
      </c>
    </row>
    <row r="6327">
      <c r="A6327" s="2" t="str">
        <f>IFERROR(__xludf.DUMMYFUNCTION("""COMPUTED_VALUE"""),"시금치 나무에서 애벌레 쇼를♬")</f>
        <v>시금치 나무에서 애벌레 쇼를♬</v>
      </c>
      <c r="B6327" s="2" t="str">
        <f>IFERROR(__xludf.DUMMYFUNCTION("""COMPUTED_VALUE"""),"숙주나물")</f>
        <v>숙주나물</v>
      </c>
    </row>
    <row r="6328">
      <c r="A6328" s="2" t="str">
        <f>IFERROR(__xludf.DUMMYFUNCTION("""COMPUTED_VALUE"""),"시금치 나무에서 애벌레 쇼를♬")</f>
        <v>시금치 나무에서 애벌레 쇼를♬</v>
      </c>
      <c r="B6328" s="2" t="str">
        <f>IFERROR(__xludf.DUMMYFUNCTION("""COMPUTED_VALUE"""),"즉석밥")</f>
        <v>즉석밥</v>
      </c>
    </row>
    <row r="6329">
      <c r="A6329" s="2" t="str">
        <f>IFERROR(__xludf.DUMMYFUNCTION("""COMPUTED_VALUE"""),"시금치 나무에서 애벌레 쇼를♬")</f>
        <v>시금치 나무에서 애벌레 쇼를♬</v>
      </c>
      <c r="B6329" s="2" t="str">
        <f>IFERROR(__xludf.DUMMYFUNCTION("""COMPUTED_VALUE"""),"양파")</f>
        <v>양파</v>
      </c>
    </row>
    <row r="6330">
      <c r="A6330" s="2" t="str">
        <f>IFERROR(__xludf.DUMMYFUNCTION("""COMPUTED_VALUE"""),"시금치 나무에서 애벌레 쇼를♬")</f>
        <v>시금치 나무에서 애벌레 쇼를♬</v>
      </c>
      <c r="B6330" s="2" t="str">
        <f>IFERROR(__xludf.DUMMYFUNCTION("""COMPUTED_VALUE"""),"마늘")</f>
        <v>마늘</v>
      </c>
    </row>
    <row r="6331">
      <c r="A6331" s="2" t="str">
        <f>IFERROR(__xludf.DUMMYFUNCTION("""COMPUTED_VALUE"""),"시금치 나무에서 애벌레 쇼를♬")</f>
        <v>시금치 나무에서 애벌레 쇼를♬</v>
      </c>
      <c r="B6331" s="2" t="str">
        <f>IFERROR(__xludf.DUMMYFUNCTION("""COMPUTED_VALUE"""),"소금")</f>
        <v>소금</v>
      </c>
    </row>
    <row r="6332">
      <c r="A6332" s="2" t="str">
        <f>IFERROR(__xludf.DUMMYFUNCTION("""COMPUTED_VALUE"""),"시금치 나무에서 애벌레 쇼를♬")</f>
        <v>시금치 나무에서 애벌레 쇼를♬</v>
      </c>
      <c r="B6332" s="2" t="str">
        <f>IFERROR(__xludf.DUMMYFUNCTION("""COMPUTED_VALUE"""),"전분")</f>
        <v>전분</v>
      </c>
    </row>
    <row r="6333">
      <c r="A6333" s="2" t="str">
        <f>IFERROR(__xludf.DUMMYFUNCTION("""COMPUTED_VALUE"""),"시금치 나무에서 애벌레 쇼를♬")</f>
        <v>시금치 나무에서 애벌레 쇼를♬</v>
      </c>
      <c r="B6333" s="2" t="str">
        <f>IFERROR(__xludf.DUMMYFUNCTION("""COMPUTED_VALUE"""),"마요네즈")</f>
        <v>마요네즈</v>
      </c>
    </row>
    <row r="6334">
      <c r="A6334" s="2" t="str">
        <f>IFERROR(__xludf.DUMMYFUNCTION("""COMPUTED_VALUE"""),"시금치 나무에서 애벌레 쇼를♬")</f>
        <v>시금치 나무에서 애벌레 쇼를♬</v>
      </c>
      <c r="B6334" s="2" t="str">
        <f>IFERROR(__xludf.DUMMYFUNCTION("""COMPUTED_VALUE"""),"식초")</f>
        <v>식초</v>
      </c>
    </row>
    <row r="6335">
      <c r="A6335" s="2" t="str">
        <f>IFERROR(__xludf.DUMMYFUNCTION("""COMPUTED_VALUE"""),"신의 물고기")</f>
        <v>신의 물고기</v>
      </c>
      <c r="B6335" s="2" t="str">
        <f>IFERROR(__xludf.DUMMYFUNCTION("""COMPUTED_VALUE"""),"식빵")</f>
        <v>식빵</v>
      </c>
    </row>
    <row r="6336">
      <c r="A6336" s="2" t="str">
        <f>IFERROR(__xludf.DUMMYFUNCTION("""COMPUTED_VALUE"""),"신의 물고기")</f>
        <v>신의 물고기</v>
      </c>
      <c r="B6336" s="2" t="str">
        <f>IFERROR(__xludf.DUMMYFUNCTION("""COMPUTED_VALUE"""),"우스터소스")</f>
        <v>우스터소스</v>
      </c>
    </row>
    <row r="6337">
      <c r="A6337" s="2" t="str">
        <f>IFERROR(__xludf.DUMMYFUNCTION("""COMPUTED_VALUE"""),"신의 물고기")</f>
        <v>신의 물고기</v>
      </c>
      <c r="B6337" s="2" t="str">
        <f>IFERROR(__xludf.DUMMYFUNCTION("""COMPUTED_VALUE"""),"삼치")</f>
        <v>삼치</v>
      </c>
    </row>
    <row r="6338">
      <c r="A6338" s="2" t="str">
        <f>IFERROR(__xludf.DUMMYFUNCTION("""COMPUTED_VALUE"""),"신의 물고기")</f>
        <v>신의 물고기</v>
      </c>
      <c r="B6338" s="2" t="str">
        <f>IFERROR(__xludf.DUMMYFUNCTION("""COMPUTED_VALUE"""),"진")</f>
        <v>진</v>
      </c>
    </row>
    <row r="6339">
      <c r="A6339" s="2" t="str">
        <f>IFERROR(__xludf.DUMMYFUNCTION("""COMPUTED_VALUE"""),"신의 물고기")</f>
        <v>신의 물고기</v>
      </c>
      <c r="B6339" s="2" t="str">
        <f>IFERROR(__xludf.DUMMYFUNCTION("""COMPUTED_VALUE"""),"오이")</f>
        <v>오이</v>
      </c>
    </row>
    <row r="6340">
      <c r="A6340" s="2" t="str">
        <f>IFERROR(__xludf.DUMMYFUNCTION("""COMPUTED_VALUE"""),"신의 물고기")</f>
        <v>신의 물고기</v>
      </c>
      <c r="B6340" s="2" t="str">
        <f>IFERROR(__xludf.DUMMYFUNCTION("""COMPUTED_VALUE"""),"셀러리")</f>
        <v>셀러리</v>
      </c>
    </row>
    <row r="6341">
      <c r="A6341" s="2" t="str">
        <f>IFERROR(__xludf.DUMMYFUNCTION("""COMPUTED_VALUE"""),"신의 물고기")</f>
        <v>신의 물고기</v>
      </c>
      <c r="B6341" s="2" t="str">
        <f>IFERROR(__xludf.DUMMYFUNCTION("""COMPUTED_VALUE"""),"명란젓")</f>
        <v>명란젓</v>
      </c>
    </row>
    <row r="6342">
      <c r="A6342" s="2" t="str">
        <f>IFERROR(__xludf.DUMMYFUNCTION("""COMPUTED_VALUE"""),"신의 물고기")</f>
        <v>신의 물고기</v>
      </c>
      <c r="B6342" s="2" t="str">
        <f>IFERROR(__xludf.DUMMYFUNCTION("""COMPUTED_VALUE"""),"감자칩")</f>
        <v>감자칩</v>
      </c>
    </row>
    <row r="6343">
      <c r="A6343" s="2" t="str">
        <f>IFERROR(__xludf.DUMMYFUNCTION("""COMPUTED_VALUE"""),"신의 물고기")</f>
        <v>신의 물고기</v>
      </c>
      <c r="B6343" s="2" t="str">
        <f>IFERROR(__xludf.DUMMYFUNCTION("""COMPUTED_VALUE"""),"마늘")</f>
        <v>마늘</v>
      </c>
    </row>
    <row r="6344">
      <c r="A6344" s="2" t="str">
        <f>IFERROR(__xludf.DUMMYFUNCTION("""COMPUTED_VALUE"""),"신의 물고기")</f>
        <v>신의 물고기</v>
      </c>
      <c r="B6344" s="2" t="str">
        <f>IFERROR(__xludf.DUMMYFUNCTION("""COMPUTED_VALUE"""),"레몬")</f>
        <v>레몬</v>
      </c>
    </row>
    <row r="6345">
      <c r="A6345" s="2" t="str">
        <f>IFERROR(__xludf.DUMMYFUNCTION("""COMPUTED_VALUE"""),"신의 물고기")</f>
        <v>신의 물고기</v>
      </c>
      <c r="B6345" s="2" t="str">
        <f>IFERROR(__xludf.DUMMYFUNCTION("""COMPUTED_VALUE"""),"후추")</f>
        <v>후추</v>
      </c>
    </row>
    <row r="6346">
      <c r="A6346" s="2" t="str">
        <f>IFERROR(__xludf.DUMMYFUNCTION("""COMPUTED_VALUE"""),"신의 물고기")</f>
        <v>신의 물고기</v>
      </c>
      <c r="B6346" s="2" t="str">
        <f>IFERROR(__xludf.DUMMYFUNCTION("""COMPUTED_VALUE"""),"전분")</f>
        <v>전분</v>
      </c>
    </row>
    <row r="6347">
      <c r="A6347" s="2" t="str">
        <f>IFERROR(__xludf.DUMMYFUNCTION("""COMPUTED_VALUE"""),"신의 물고기")</f>
        <v>신의 물고기</v>
      </c>
      <c r="B6347" s="2" t="str">
        <f>IFERROR(__xludf.DUMMYFUNCTION("""COMPUTED_VALUE"""),"청주")</f>
        <v>청주</v>
      </c>
    </row>
    <row r="6348">
      <c r="A6348" s="2" t="str">
        <f>IFERROR(__xludf.DUMMYFUNCTION("""COMPUTED_VALUE"""),"신의 물고기")</f>
        <v>신의 물고기</v>
      </c>
      <c r="B6348" s="2" t="str">
        <f>IFERROR(__xludf.DUMMYFUNCTION("""COMPUTED_VALUE"""),"간장")</f>
        <v>간장</v>
      </c>
    </row>
    <row r="6349">
      <c r="A6349" s="2" t="str">
        <f>IFERROR(__xludf.DUMMYFUNCTION("""COMPUTED_VALUE"""),"신의 물고기")</f>
        <v>신의 물고기</v>
      </c>
      <c r="B6349" s="2" t="str">
        <f>IFERROR(__xludf.DUMMYFUNCTION("""COMPUTED_VALUE"""),"설탕")</f>
        <v>설탕</v>
      </c>
    </row>
    <row r="6350">
      <c r="A6350" s="2" t="str">
        <f>IFERROR(__xludf.DUMMYFUNCTION("""COMPUTED_VALUE"""),"시금치~즈")</f>
        <v>시금치~즈</v>
      </c>
      <c r="B6350" s="2" t="str">
        <f>IFERROR(__xludf.DUMMYFUNCTION("""COMPUTED_VALUE"""),"시금치")</f>
        <v>시금치</v>
      </c>
    </row>
    <row r="6351">
      <c r="A6351" s="2" t="str">
        <f>IFERROR(__xludf.DUMMYFUNCTION("""COMPUTED_VALUE"""),"시금치~즈")</f>
        <v>시금치~즈</v>
      </c>
      <c r="B6351" s="2" t="str">
        <f>IFERROR(__xludf.DUMMYFUNCTION("""COMPUTED_VALUE"""),"소고기등심")</f>
        <v>소고기등심</v>
      </c>
    </row>
    <row r="6352">
      <c r="A6352" s="2" t="str">
        <f>IFERROR(__xludf.DUMMYFUNCTION("""COMPUTED_VALUE"""),"시금치~즈")</f>
        <v>시금치~즈</v>
      </c>
      <c r="B6352" s="2" t="str">
        <f>IFERROR(__xludf.DUMMYFUNCTION("""COMPUTED_VALUE"""),"크림치즈")</f>
        <v>크림치즈</v>
      </c>
    </row>
    <row r="6353">
      <c r="A6353" s="2" t="str">
        <f>IFERROR(__xludf.DUMMYFUNCTION("""COMPUTED_VALUE"""),"시금치~즈")</f>
        <v>시금치~즈</v>
      </c>
      <c r="B6353" s="2" t="str">
        <f>IFERROR(__xludf.DUMMYFUNCTION("""COMPUTED_VALUE"""),"모차렐라치즈")</f>
        <v>모차렐라치즈</v>
      </c>
    </row>
    <row r="6354">
      <c r="A6354" s="2" t="str">
        <f>IFERROR(__xludf.DUMMYFUNCTION("""COMPUTED_VALUE"""),"시금치~즈")</f>
        <v>시금치~즈</v>
      </c>
      <c r="B6354" s="2" t="str">
        <f>IFERROR(__xludf.DUMMYFUNCTION("""COMPUTED_VALUE"""),"체다치즈")</f>
        <v>체다치즈</v>
      </c>
    </row>
    <row r="6355">
      <c r="A6355" s="2" t="str">
        <f>IFERROR(__xludf.DUMMYFUNCTION("""COMPUTED_VALUE"""),"시금치~즈")</f>
        <v>시금치~즈</v>
      </c>
      <c r="B6355" s="2" t="str">
        <f>IFERROR(__xludf.DUMMYFUNCTION("""COMPUTED_VALUE"""),"우유")</f>
        <v>우유</v>
      </c>
    </row>
    <row r="6356">
      <c r="A6356" s="2" t="str">
        <f>IFERROR(__xludf.DUMMYFUNCTION("""COMPUTED_VALUE"""),"시금치~즈")</f>
        <v>시금치~즈</v>
      </c>
      <c r="B6356" s="2" t="str">
        <f>IFERROR(__xludf.DUMMYFUNCTION("""COMPUTED_VALUE"""),"사과")</f>
        <v>사과</v>
      </c>
    </row>
    <row r="6357">
      <c r="A6357" s="2" t="str">
        <f>IFERROR(__xludf.DUMMYFUNCTION("""COMPUTED_VALUE"""),"시금치~즈")</f>
        <v>시금치~즈</v>
      </c>
      <c r="B6357" s="2" t="str">
        <f>IFERROR(__xludf.DUMMYFUNCTION("""COMPUTED_VALUE"""),"오이")</f>
        <v>오이</v>
      </c>
    </row>
    <row r="6358">
      <c r="A6358" s="2" t="str">
        <f>IFERROR(__xludf.DUMMYFUNCTION("""COMPUTED_VALUE"""),"시금치~즈")</f>
        <v>시금치~즈</v>
      </c>
      <c r="B6358" s="2" t="str">
        <f>IFERROR(__xludf.DUMMYFUNCTION("""COMPUTED_VALUE"""),"로메인상추")</f>
        <v>로메인상추</v>
      </c>
    </row>
    <row r="6359">
      <c r="A6359" s="2" t="str">
        <f>IFERROR(__xludf.DUMMYFUNCTION("""COMPUTED_VALUE"""),"시금치~즈")</f>
        <v>시금치~즈</v>
      </c>
      <c r="B6359" s="2" t="str">
        <f>IFERROR(__xludf.DUMMYFUNCTION("""COMPUTED_VALUE"""),"양파")</f>
        <v>양파</v>
      </c>
    </row>
    <row r="6360">
      <c r="A6360" s="2" t="str">
        <f>IFERROR(__xludf.DUMMYFUNCTION("""COMPUTED_VALUE"""),"시금치~즈")</f>
        <v>시금치~즈</v>
      </c>
      <c r="B6360" s="2" t="str">
        <f>IFERROR(__xludf.DUMMYFUNCTION("""COMPUTED_VALUE"""),"레몬")</f>
        <v>레몬</v>
      </c>
    </row>
    <row r="6361">
      <c r="A6361" s="2" t="str">
        <f>IFERROR(__xludf.DUMMYFUNCTION("""COMPUTED_VALUE"""),"시금치~즈")</f>
        <v>시금치~즈</v>
      </c>
      <c r="B6361" s="2" t="str">
        <f>IFERROR(__xludf.DUMMYFUNCTION("""COMPUTED_VALUE"""),"달걀")</f>
        <v>달걀</v>
      </c>
    </row>
    <row r="6362">
      <c r="A6362" s="2" t="str">
        <f>IFERROR(__xludf.DUMMYFUNCTION("""COMPUTED_VALUE"""),"시금치~즈")</f>
        <v>시금치~즈</v>
      </c>
      <c r="B6362" s="2" t="str">
        <f>IFERROR(__xludf.DUMMYFUNCTION("""COMPUTED_VALUE"""),"소금")</f>
        <v>소금</v>
      </c>
    </row>
    <row r="6363">
      <c r="A6363" s="2" t="str">
        <f>IFERROR(__xludf.DUMMYFUNCTION("""COMPUTED_VALUE"""),"시금치~즈")</f>
        <v>시금치~즈</v>
      </c>
      <c r="B6363" s="2" t="str">
        <f>IFERROR(__xludf.DUMMYFUNCTION("""COMPUTED_VALUE"""),"후추")</f>
        <v>후추</v>
      </c>
    </row>
    <row r="6364">
      <c r="A6364" s="2" t="str">
        <f>IFERROR(__xludf.DUMMYFUNCTION("""COMPUTED_VALUE"""),"시금치~즈")</f>
        <v>시금치~즈</v>
      </c>
      <c r="B6364" s="2" t="str">
        <f>IFERROR(__xludf.DUMMYFUNCTION("""COMPUTED_VALUE"""),"밀가루")</f>
        <v>밀가루</v>
      </c>
    </row>
    <row r="6365">
      <c r="A6365" s="2" t="str">
        <f>IFERROR(__xludf.DUMMYFUNCTION("""COMPUTED_VALUE"""),"시금치~즈")</f>
        <v>시금치~즈</v>
      </c>
      <c r="B6365" s="2" t="str">
        <f>IFERROR(__xludf.DUMMYFUNCTION("""COMPUTED_VALUE"""),"올리브오일")</f>
        <v>올리브오일</v>
      </c>
    </row>
    <row r="6366">
      <c r="A6366" s="2" t="str">
        <f>IFERROR(__xludf.DUMMYFUNCTION("""COMPUTED_VALUE"""),"미소 밀푀유")</f>
        <v>미소 밀푀유</v>
      </c>
      <c r="B6366" s="2" t="str">
        <f>IFERROR(__xludf.DUMMYFUNCTION("""COMPUTED_VALUE"""),"우유")</f>
        <v>우유</v>
      </c>
    </row>
    <row r="6367">
      <c r="A6367" s="2" t="str">
        <f>IFERROR(__xludf.DUMMYFUNCTION("""COMPUTED_VALUE"""),"미소 밀푀유")</f>
        <v>미소 밀푀유</v>
      </c>
      <c r="B6367" s="2" t="str">
        <f>IFERROR(__xludf.DUMMYFUNCTION("""COMPUTED_VALUE"""),"통조림 옥수수")</f>
        <v>통조림 옥수수</v>
      </c>
    </row>
    <row r="6368">
      <c r="A6368" s="2" t="str">
        <f>IFERROR(__xludf.DUMMYFUNCTION("""COMPUTED_VALUE"""),"미소 밀푀유")</f>
        <v>미소 밀푀유</v>
      </c>
      <c r="B6368" s="2" t="str">
        <f>IFERROR(__xludf.DUMMYFUNCTION("""COMPUTED_VALUE"""),"양배추")</f>
        <v>양배추</v>
      </c>
    </row>
    <row r="6369">
      <c r="A6369" s="2" t="str">
        <f>IFERROR(__xludf.DUMMYFUNCTION("""COMPUTED_VALUE"""),"미소 밀푀유")</f>
        <v>미소 밀푀유</v>
      </c>
      <c r="B6369" s="2" t="str">
        <f>IFERROR(__xludf.DUMMYFUNCTION("""COMPUTED_VALUE"""),"소고기등심")</f>
        <v>소고기등심</v>
      </c>
    </row>
    <row r="6370">
      <c r="A6370" s="2" t="str">
        <f>IFERROR(__xludf.DUMMYFUNCTION("""COMPUTED_VALUE"""),"미소 밀푀유")</f>
        <v>미소 밀푀유</v>
      </c>
      <c r="B6370" s="2" t="str">
        <f>IFERROR(__xludf.DUMMYFUNCTION("""COMPUTED_VALUE"""),"크림치즈")</f>
        <v>크림치즈</v>
      </c>
    </row>
    <row r="6371">
      <c r="A6371" s="2" t="str">
        <f>IFERROR(__xludf.DUMMYFUNCTION("""COMPUTED_VALUE"""),"미소 밀푀유")</f>
        <v>미소 밀푀유</v>
      </c>
      <c r="B6371" s="2" t="str">
        <f>IFERROR(__xludf.DUMMYFUNCTION("""COMPUTED_VALUE"""),"셀러리")</f>
        <v>셀러리</v>
      </c>
    </row>
    <row r="6372">
      <c r="A6372" s="2" t="str">
        <f>IFERROR(__xludf.DUMMYFUNCTION("""COMPUTED_VALUE"""),"미소 밀푀유")</f>
        <v>미소 밀푀유</v>
      </c>
      <c r="B6372" s="2" t="str">
        <f>IFERROR(__xludf.DUMMYFUNCTION("""COMPUTED_VALUE"""),"흑초")</f>
        <v>흑초</v>
      </c>
    </row>
    <row r="6373">
      <c r="A6373" s="2" t="str">
        <f>IFERROR(__xludf.DUMMYFUNCTION("""COMPUTED_VALUE"""),"미소 밀푀유")</f>
        <v>미소 밀푀유</v>
      </c>
      <c r="B6373" s="2" t="str">
        <f>IFERROR(__xludf.DUMMYFUNCTION("""COMPUTED_VALUE"""),"씨겨자")</f>
        <v>씨겨자</v>
      </c>
    </row>
    <row r="6374">
      <c r="A6374" s="2" t="str">
        <f>IFERROR(__xludf.DUMMYFUNCTION("""COMPUTED_VALUE"""),"미소 밀푀유")</f>
        <v>미소 밀푀유</v>
      </c>
      <c r="B6374" s="2" t="str">
        <f>IFERROR(__xludf.DUMMYFUNCTION("""COMPUTED_VALUE"""),"적미소")</f>
        <v>적미소</v>
      </c>
    </row>
    <row r="6375">
      <c r="A6375" s="2" t="str">
        <f>IFERROR(__xludf.DUMMYFUNCTION("""COMPUTED_VALUE"""),"미소 밀푀유")</f>
        <v>미소 밀푀유</v>
      </c>
      <c r="B6375" s="2" t="str">
        <f>IFERROR(__xludf.DUMMYFUNCTION("""COMPUTED_VALUE"""),"양파")</f>
        <v>양파</v>
      </c>
    </row>
    <row r="6376">
      <c r="A6376" s="2" t="str">
        <f>IFERROR(__xludf.DUMMYFUNCTION("""COMPUTED_VALUE"""),"미소 밀푀유")</f>
        <v>미소 밀푀유</v>
      </c>
      <c r="B6376" s="2" t="str">
        <f>IFERROR(__xludf.DUMMYFUNCTION("""COMPUTED_VALUE"""),"소금")</f>
        <v>소금</v>
      </c>
    </row>
    <row r="6377">
      <c r="A6377" s="2" t="str">
        <f>IFERROR(__xludf.DUMMYFUNCTION("""COMPUTED_VALUE"""),"미소 밀푀유")</f>
        <v>미소 밀푀유</v>
      </c>
      <c r="B6377" s="2" t="str">
        <f>IFERROR(__xludf.DUMMYFUNCTION("""COMPUTED_VALUE"""),"후추")</f>
        <v>후추</v>
      </c>
    </row>
    <row r="6378">
      <c r="A6378" s="2" t="str">
        <f>IFERROR(__xludf.DUMMYFUNCTION("""COMPUTED_VALUE"""),"미소 밀푀유")</f>
        <v>미소 밀푀유</v>
      </c>
      <c r="B6378" s="2" t="str">
        <f>IFERROR(__xludf.DUMMYFUNCTION("""COMPUTED_VALUE"""),"버터")</f>
        <v>버터</v>
      </c>
    </row>
    <row r="6379">
      <c r="A6379" s="2" t="str">
        <f>IFERROR(__xludf.DUMMYFUNCTION("""COMPUTED_VALUE"""),"미소 밀푀유")</f>
        <v>미소 밀푀유</v>
      </c>
      <c r="B6379" s="2" t="str">
        <f>IFERROR(__xludf.DUMMYFUNCTION("""COMPUTED_VALUE"""),"밀가루")</f>
        <v>밀가루</v>
      </c>
    </row>
    <row r="6380">
      <c r="A6380" s="2" t="str">
        <f>IFERROR(__xludf.DUMMYFUNCTION("""COMPUTED_VALUE"""),"미소 밀푀유")</f>
        <v>미소 밀푀유</v>
      </c>
      <c r="B6380" s="2" t="str">
        <f>IFERROR(__xludf.DUMMYFUNCTION("""COMPUTED_VALUE"""),"올리브오일")</f>
        <v>올리브오일</v>
      </c>
    </row>
    <row r="6381">
      <c r="A6381" s="2" t="str">
        <f>IFERROR(__xludf.DUMMYFUNCTION("""COMPUTED_VALUE"""),"everyday I 스테이크♬")</f>
        <v>everyday I 스테이크♬</v>
      </c>
      <c r="B6381" s="2" t="str">
        <f>IFERROR(__xludf.DUMMYFUNCTION("""COMPUTED_VALUE"""),"소고기등심")</f>
        <v>소고기등심</v>
      </c>
    </row>
    <row r="6382">
      <c r="A6382" s="2" t="str">
        <f>IFERROR(__xludf.DUMMYFUNCTION("""COMPUTED_VALUE"""),"everyday I 스테이크♬")</f>
        <v>everyday I 스테이크♬</v>
      </c>
      <c r="B6382" s="2" t="str">
        <f>IFERROR(__xludf.DUMMYFUNCTION("""COMPUTED_VALUE"""),"치킨스톡")</f>
        <v>치킨스톡</v>
      </c>
    </row>
    <row r="6383">
      <c r="A6383" s="2" t="str">
        <f>IFERROR(__xludf.DUMMYFUNCTION("""COMPUTED_VALUE"""),"everyday I 스테이크♬")</f>
        <v>everyday I 스테이크♬</v>
      </c>
      <c r="B6383" s="2" t="str">
        <f>IFERROR(__xludf.DUMMYFUNCTION("""COMPUTED_VALUE"""),"멸치액젓")</f>
        <v>멸치액젓</v>
      </c>
    </row>
    <row r="6384">
      <c r="A6384" s="2" t="str">
        <f>IFERROR(__xludf.DUMMYFUNCTION("""COMPUTED_VALUE"""),"everyday I 스테이크♬")</f>
        <v>everyday I 스테이크♬</v>
      </c>
      <c r="B6384" s="2" t="str">
        <f>IFERROR(__xludf.DUMMYFUNCTION("""COMPUTED_VALUE"""),"게맛살")</f>
        <v>게맛살</v>
      </c>
    </row>
    <row r="6385">
      <c r="A6385" s="2" t="str">
        <f>IFERROR(__xludf.DUMMYFUNCTION("""COMPUTED_VALUE"""),"everyday I 스테이크♬")</f>
        <v>everyday I 스테이크♬</v>
      </c>
      <c r="B6385" s="2" t="str">
        <f>IFERROR(__xludf.DUMMYFUNCTION("""COMPUTED_VALUE"""),"사과")</f>
        <v>사과</v>
      </c>
    </row>
    <row r="6386">
      <c r="A6386" s="2" t="str">
        <f>IFERROR(__xludf.DUMMYFUNCTION("""COMPUTED_VALUE"""),"everyday I 스테이크♬")</f>
        <v>everyday I 스테이크♬</v>
      </c>
      <c r="B6386" s="2" t="str">
        <f>IFERROR(__xludf.DUMMYFUNCTION("""COMPUTED_VALUE"""),"크림치즈")</f>
        <v>크림치즈</v>
      </c>
    </row>
    <row r="6387">
      <c r="A6387" s="2" t="str">
        <f>IFERROR(__xludf.DUMMYFUNCTION("""COMPUTED_VALUE"""),"everyday I 스테이크♬")</f>
        <v>everyday I 스테이크♬</v>
      </c>
      <c r="B6387" s="2" t="str">
        <f>IFERROR(__xludf.DUMMYFUNCTION("""COMPUTED_VALUE"""),"달걀")</f>
        <v>달걀</v>
      </c>
    </row>
    <row r="6388">
      <c r="A6388" s="2" t="str">
        <f>IFERROR(__xludf.DUMMYFUNCTION("""COMPUTED_VALUE"""),"everyday I 스테이크♬")</f>
        <v>everyday I 스테이크♬</v>
      </c>
      <c r="B6388" s="2" t="str">
        <f>IFERROR(__xludf.DUMMYFUNCTION("""COMPUTED_VALUE"""),"양파")</f>
        <v>양파</v>
      </c>
    </row>
    <row r="6389">
      <c r="A6389" s="2" t="str">
        <f>IFERROR(__xludf.DUMMYFUNCTION("""COMPUTED_VALUE"""),"everyday I 스테이크♬")</f>
        <v>everyday I 스테이크♬</v>
      </c>
      <c r="B6389" s="2" t="str">
        <f>IFERROR(__xludf.DUMMYFUNCTION("""COMPUTED_VALUE"""),"레몬")</f>
        <v>레몬</v>
      </c>
    </row>
    <row r="6390">
      <c r="A6390" s="2" t="str">
        <f>IFERROR(__xludf.DUMMYFUNCTION("""COMPUTED_VALUE"""),"everyday I 스테이크♬")</f>
        <v>everyday I 스테이크♬</v>
      </c>
      <c r="B6390" s="2" t="str">
        <f>IFERROR(__xludf.DUMMYFUNCTION("""COMPUTED_VALUE"""),"즉석밥")</f>
        <v>즉석밥</v>
      </c>
    </row>
    <row r="6391">
      <c r="A6391" s="2" t="str">
        <f>IFERROR(__xludf.DUMMYFUNCTION("""COMPUTED_VALUE"""),"everyday I 스테이크♬")</f>
        <v>everyday I 스테이크♬</v>
      </c>
      <c r="B6391" s="2" t="str">
        <f>IFERROR(__xludf.DUMMYFUNCTION("""COMPUTED_VALUE"""),"간장")</f>
        <v>간장</v>
      </c>
    </row>
    <row r="6392">
      <c r="A6392" s="2" t="str">
        <f>IFERROR(__xludf.DUMMYFUNCTION("""COMPUTED_VALUE"""),"everyday I 스테이크♬")</f>
        <v>everyday I 스테이크♬</v>
      </c>
      <c r="B6392" s="2" t="str">
        <f>IFERROR(__xludf.DUMMYFUNCTION("""COMPUTED_VALUE"""),"청주")</f>
        <v>청주</v>
      </c>
    </row>
    <row r="6393">
      <c r="A6393" s="2" t="str">
        <f>IFERROR(__xludf.DUMMYFUNCTION("""COMPUTED_VALUE"""),"everyday I 스테이크♬")</f>
        <v>everyday I 스테이크♬</v>
      </c>
      <c r="B6393" s="2" t="str">
        <f>IFERROR(__xludf.DUMMYFUNCTION("""COMPUTED_VALUE"""),"맛술")</f>
        <v>맛술</v>
      </c>
    </row>
    <row r="6394">
      <c r="A6394" s="2" t="str">
        <f>IFERROR(__xludf.DUMMYFUNCTION("""COMPUTED_VALUE"""),"everyday I 스테이크♬")</f>
        <v>everyday I 스테이크♬</v>
      </c>
      <c r="B6394" s="2" t="str">
        <f>IFERROR(__xludf.DUMMYFUNCTION("""COMPUTED_VALUE"""),"설탕")</f>
        <v>설탕</v>
      </c>
    </row>
    <row r="6395">
      <c r="A6395" s="2" t="str">
        <f>IFERROR(__xludf.DUMMYFUNCTION("""COMPUTED_VALUE"""),"everyday I 스테이크♬")</f>
        <v>everyday I 스테이크♬</v>
      </c>
      <c r="B6395" s="2" t="str">
        <f>IFERROR(__xludf.DUMMYFUNCTION("""COMPUTED_VALUE"""),"후추")</f>
        <v>후추</v>
      </c>
    </row>
    <row r="6396">
      <c r="A6396" s="2" t="str">
        <f>IFERROR(__xludf.DUMMYFUNCTION("""COMPUTED_VALUE"""),"everyday I 스테이크♬")</f>
        <v>everyday I 스테이크♬</v>
      </c>
      <c r="B6396" s="2" t="str">
        <f>IFERROR(__xludf.DUMMYFUNCTION("""COMPUTED_VALUE"""),"전분")</f>
        <v>전분</v>
      </c>
    </row>
    <row r="6397">
      <c r="A6397" s="2" t="str">
        <f>IFERROR(__xludf.DUMMYFUNCTION("""COMPUTED_VALUE"""),"everyday I 스테이크♬")</f>
        <v>everyday I 스테이크♬</v>
      </c>
      <c r="B6397" s="2" t="str">
        <f>IFERROR(__xludf.DUMMYFUNCTION("""COMPUTED_VALUE"""),"올리브오일")</f>
        <v>올리브오일</v>
      </c>
    </row>
    <row r="6398">
      <c r="A6398" s="2" t="str">
        <f>IFERROR(__xludf.DUMMYFUNCTION("""COMPUTED_VALUE"""),"everyday I 스테이크♬")</f>
        <v>everyday I 스테이크♬</v>
      </c>
      <c r="B6398" s="2" t="str">
        <f>IFERROR(__xludf.DUMMYFUNCTION("""COMPUTED_VALUE"""),"식용유")</f>
        <v>식용유</v>
      </c>
    </row>
    <row r="6399">
      <c r="A6399" s="2" t="str">
        <f>IFERROR(__xludf.DUMMYFUNCTION("""COMPUTED_VALUE"""),"everyday I 스테이크♬")</f>
        <v>everyday I 스테이크♬</v>
      </c>
      <c r="B6399" s="2" t="str">
        <f>IFERROR(__xludf.DUMMYFUNCTION("""COMPUTED_VALUE"""),"소금")</f>
        <v>소금</v>
      </c>
    </row>
    <row r="6400">
      <c r="A6400" s="2" t="str">
        <f>IFERROR(__xludf.DUMMYFUNCTION("""COMPUTED_VALUE"""),"숲 속의 완자님")</f>
        <v>숲 속의 완자님</v>
      </c>
      <c r="B6400" s="2" t="str">
        <f>IFERROR(__xludf.DUMMYFUNCTION("""COMPUTED_VALUE"""),"통조림 햄")</f>
        <v>통조림 햄</v>
      </c>
    </row>
    <row r="6401">
      <c r="A6401" s="2" t="str">
        <f>IFERROR(__xludf.DUMMYFUNCTION("""COMPUTED_VALUE"""),"숲 속의 완자님")</f>
        <v>숲 속의 완자님</v>
      </c>
      <c r="B6401" s="2" t="str">
        <f>IFERROR(__xludf.DUMMYFUNCTION("""COMPUTED_VALUE"""),"파스타면")</f>
        <v>파스타면</v>
      </c>
    </row>
    <row r="6402">
      <c r="A6402" s="2" t="str">
        <f>IFERROR(__xludf.DUMMYFUNCTION("""COMPUTED_VALUE"""),"숲 속의 완자님")</f>
        <v>숲 속의 완자님</v>
      </c>
      <c r="B6402" s="2" t="str">
        <f>IFERROR(__xludf.DUMMYFUNCTION("""COMPUTED_VALUE"""),"치킨스톡")</f>
        <v>치킨스톡</v>
      </c>
    </row>
    <row r="6403">
      <c r="A6403" s="2" t="str">
        <f>IFERROR(__xludf.DUMMYFUNCTION("""COMPUTED_VALUE"""),"숲 속의 완자님")</f>
        <v>숲 속의 완자님</v>
      </c>
      <c r="B6403" s="2" t="str">
        <f>IFERROR(__xludf.DUMMYFUNCTION("""COMPUTED_VALUE"""),"파슬리가루")</f>
        <v>파슬리가루</v>
      </c>
    </row>
    <row r="6404">
      <c r="A6404" s="2" t="str">
        <f>IFERROR(__xludf.DUMMYFUNCTION("""COMPUTED_VALUE"""),"숲 속의 완자님")</f>
        <v>숲 속의 완자님</v>
      </c>
      <c r="B6404" s="2" t="str">
        <f>IFERROR(__xludf.DUMMYFUNCTION("""COMPUTED_VALUE"""),"인스턴트 만두")</f>
        <v>인스턴트 만두</v>
      </c>
    </row>
    <row r="6405">
      <c r="A6405" s="2" t="str">
        <f>IFERROR(__xludf.DUMMYFUNCTION("""COMPUTED_VALUE"""),"숲 속의 완자님")</f>
        <v>숲 속의 완자님</v>
      </c>
      <c r="B6405" s="2" t="str">
        <f>IFERROR(__xludf.DUMMYFUNCTION("""COMPUTED_VALUE"""),"두부")</f>
        <v>두부</v>
      </c>
    </row>
    <row r="6406">
      <c r="A6406" s="2" t="str">
        <f>IFERROR(__xludf.DUMMYFUNCTION("""COMPUTED_VALUE"""),"숲 속의 완자님")</f>
        <v>숲 속의 완자님</v>
      </c>
      <c r="B6406" s="2" t="str">
        <f>IFERROR(__xludf.DUMMYFUNCTION("""COMPUTED_VALUE"""),"땅콩버터")</f>
        <v>땅콩버터</v>
      </c>
    </row>
    <row r="6407">
      <c r="A6407" s="2" t="str">
        <f>IFERROR(__xludf.DUMMYFUNCTION("""COMPUTED_VALUE"""),"숲 속의 완자님")</f>
        <v>숲 속의 완자님</v>
      </c>
      <c r="B6407" s="2" t="str">
        <f>IFERROR(__xludf.DUMMYFUNCTION("""COMPUTED_VALUE"""),"매실청")</f>
        <v>매실청</v>
      </c>
    </row>
    <row r="6408">
      <c r="A6408" s="2" t="str">
        <f>IFERROR(__xludf.DUMMYFUNCTION("""COMPUTED_VALUE"""),"숲 속의 완자님")</f>
        <v>숲 속의 완자님</v>
      </c>
      <c r="B6408" s="2" t="str">
        <f>IFERROR(__xludf.DUMMYFUNCTION("""COMPUTED_VALUE"""),"스위트칠리소스")</f>
        <v>스위트칠리소스</v>
      </c>
    </row>
    <row r="6409">
      <c r="A6409" s="2" t="str">
        <f>IFERROR(__xludf.DUMMYFUNCTION("""COMPUTED_VALUE"""),"숲 속의 완자님")</f>
        <v>숲 속의 완자님</v>
      </c>
      <c r="B6409" s="2" t="str">
        <f>IFERROR(__xludf.DUMMYFUNCTION("""COMPUTED_VALUE"""),"양파")</f>
        <v>양파</v>
      </c>
    </row>
    <row r="6410">
      <c r="A6410" s="2" t="str">
        <f>IFERROR(__xludf.DUMMYFUNCTION("""COMPUTED_VALUE"""),"숲 속의 완자님")</f>
        <v>숲 속의 완자님</v>
      </c>
      <c r="B6410" s="2" t="str">
        <f>IFERROR(__xludf.DUMMYFUNCTION("""COMPUTED_VALUE"""),"대파")</f>
        <v>대파</v>
      </c>
    </row>
    <row r="6411">
      <c r="A6411" s="2" t="str">
        <f>IFERROR(__xludf.DUMMYFUNCTION("""COMPUTED_VALUE"""),"숲 속의 완자님")</f>
        <v>숲 속의 완자님</v>
      </c>
      <c r="B6411" s="2" t="str">
        <f>IFERROR(__xludf.DUMMYFUNCTION("""COMPUTED_VALUE"""),"당근")</f>
        <v>당근</v>
      </c>
    </row>
    <row r="6412">
      <c r="A6412" s="2" t="str">
        <f>IFERROR(__xludf.DUMMYFUNCTION("""COMPUTED_VALUE"""),"숲 속의 완자님")</f>
        <v>숲 속의 완자님</v>
      </c>
      <c r="B6412" s="2" t="str">
        <f>IFERROR(__xludf.DUMMYFUNCTION("""COMPUTED_VALUE"""),"레몬")</f>
        <v>레몬</v>
      </c>
    </row>
    <row r="6413">
      <c r="A6413" s="2" t="str">
        <f>IFERROR(__xludf.DUMMYFUNCTION("""COMPUTED_VALUE"""),"숲 속의 완자님")</f>
        <v>숲 속의 완자님</v>
      </c>
      <c r="B6413" s="2" t="str">
        <f>IFERROR(__xludf.DUMMYFUNCTION("""COMPUTED_VALUE"""),"버터")</f>
        <v>버터</v>
      </c>
    </row>
    <row r="6414">
      <c r="A6414" s="2" t="str">
        <f>IFERROR(__xludf.DUMMYFUNCTION("""COMPUTED_VALUE"""),"숲 속의 완자님")</f>
        <v>숲 속의 완자님</v>
      </c>
      <c r="B6414" s="2" t="str">
        <f>IFERROR(__xludf.DUMMYFUNCTION("""COMPUTED_VALUE"""),"후추")</f>
        <v>후추</v>
      </c>
    </row>
    <row r="6415">
      <c r="A6415" s="2" t="str">
        <f>IFERROR(__xludf.DUMMYFUNCTION("""COMPUTED_VALUE"""),"숲 속의 완자님")</f>
        <v>숲 속의 완자님</v>
      </c>
      <c r="B6415" s="2" t="str">
        <f>IFERROR(__xludf.DUMMYFUNCTION("""COMPUTED_VALUE"""),"전분")</f>
        <v>전분</v>
      </c>
    </row>
    <row r="6416">
      <c r="A6416" s="2" t="str">
        <f>IFERROR(__xludf.DUMMYFUNCTION("""COMPUTED_VALUE"""),"미식이 오믈렛")</f>
        <v>미식이 오믈렛</v>
      </c>
      <c r="B6416" s="2" t="str">
        <f>IFERROR(__xludf.DUMMYFUNCTION("""COMPUTED_VALUE"""),"두부")</f>
        <v>두부</v>
      </c>
    </row>
    <row r="6417">
      <c r="A6417" s="2" t="str">
        <f>IFERROR(__xludf.DUMMYFUNCTION("""COMPUTED_VALUE"""),"미식이 오믈렛")</f>
        <v>미식이 오믈렛</v>
      </c>
      <c r="B6417" s="2" t="str">
        <f>IFERROR(__xludf.DUMMYFUNCTION("""COMPUTED_VALUE"""),"삼겹살")</f>
        <v>삼겹살</v>
      </c>
    </row>
    <row r="6418">
      <c r="A6418" s="2" t="str">
        <f>IFERROR(__xludf.DUMMYFUNCTION("""COMPUTED_VALUE"""),"미식이 오믈렛")</f>
        <v>미식이 오믈렛</v>
      </c>
      <c r="B6418" s="2" t="str">
        <f>IFERROR(__xludf.DUMMYFUNCTION("""COMPUTED_VALUE"""),"스테이크시즈닝")</f>
        <v>스테이크시즈닝</v>
      </c>
    </row>
    <row r="6419">
      <c r="A6419" s="2" t="str">
        <f>IFERROR(__xludf.DUMMYFUNCTION("""COMPUTED_VALUE"""),"미식이 오믈렛")</f>
        <v>미식이 오믈렛</v>
      </c>
      <c r="B6419" s="2" t="str">
        <f>IFERROR(__xludf.DUMMYFUNCTION("""COMPUTED_VALUE"""),"견과류")</f>
        <v>견과류</v>
      </c>
    </row>
    <row r="6420">
      <c r="A6420" s="2" t="str">
        <f>IFERROR(__xludf.DUMMYFUNCTION("""COMPUTED_VALUE"""),"미식이 오믈렛")</f>
        <v>미식이 오믈렛</v>
      </c>
      <c r="B6420" s="2" t="str">
        <f>IFERROR(__xludf.DUMMYFUNCTION("""COMPUTED_VALUE"""),"파르메산치즈가루")</f>
        <v>파르메산치즈가루</v>
      </c>
    </row>
    <row r="6421">
      <c r="A6421" s="2" t="str">
        <f>IFERROR(__xludf.DUMMYFUNCTION("""COMPUTED_VALUE"""),"미식이 오믈렛")</f>
        <v>미식이 오믈렛</v>
      </c>
      <c r="B6421" s="2" t="str">
        <f>IFERROR(__xludf.DUMMYFUNCTION("""COMPUTED_VALUE"""),"사과")</f>
        <v>사과</v>
      </c>
    </row>
    <row r="6422">
      <c r="A6422" s="2" t="str">
        <f>IFERROR(__xludf.DUMMYFUNCTION("""COMPUTED_VALUE"""),"미식이 오믈렛")</f>
        <v>미식이 오믈렛</v>
      </c>
      <c r="B6422" s="2" t="str">
        <f>IFERROR(__xludf.DUMMYFUNCTION("""COMPUTED_VALUE"""),"파슬리가루")</f>
        <v>파슬리가루</v>
      </c>
    </row>
    <row r="6423">
      <c r="A6423" s="2" t="str">
        <f>IFERROR(__xludf.DUMMYFUNCTION("""COMPUTED_VALUE"""),"미식이 오믈렛")</f>
        <v>미식이 오믈렛</v>
      </c>
      <c r="B6423" s="2" t="str">
        <f>IFERROR(__xludf.DUMMYFUNCTION("""COMPUTED_VALUE"""),"알타리무김치")</f>
        <v>알타리무김치</v>
      </c>
    </row>
    <row r="6424">
      <c r="A6424" s="2" t="str">
        <f>IFERROR(__xludf.DUMMYFUNCTION("""COMPUTED_VALUE"""),"미식이 오믈렛")</f>
        <v>미식이 오믈렛</v>
      </c>
      <c r="B6424" s="2" t="str">
        <f>IFERROR(__xludf.DUMMYFUNCTION("""COMPUTED_VALUE"""),"달걀")</f>
        <v>달걀</v>
      </c>
    </row>
    <row r="6425">
      <c r="A6425" s="2" t="str">
        <f>IFERROR(__xludf.DUMMYFUNCTION("""COMPUTED_VALUE"""),"미식이 오믈렛")</f>
        <v>미식이 오믈렛</v>
      </c>
      <c r="B6425" s="2" t="str">
        <f>IFERROR(__xludf.DUMMYFUNCTION("""COMPUTED_VALUE"""),"양파")</f>
        <v>양파</v>
      </c>
    </row>
    <row r="6426">
      <c r="A6426" s="2" t="str">
        <f>IFERROR(__xludf.DUMMYFUNCTION("""COMPUTED_VALUE"""),"미식이 오믈렛")</f>
        <v>미식이 오믈렛</v>
      </c>
      <c r="B6426" s="2" t="str">
        <f>IFERROR(__xludf.DUMMYFUNCTION("""COMPUTED_VALUE"""),"마늘")</f>
        <v>마늘</v>
      </c>
    </row>
    <row r="6427">
      <c r="A6427" s="2" t="str">
        <f>IFERROR(__xludf.DUMMYFUNCTION("""COMPUTED_VALUE"""),"미식이 오믈렛")</f>
        <v>미식이 오믈렛</v>
      </c>
      <c r="B6427" s="2" t="str">
        <f>IFERROR(__xludf.DUMMYFUNCTION("""COMPUTED_VALUE"""),"소금")</f>
        <v>소금</v>
      </c>
    </row>
    <row r="6428">
      <c r="A6428" s="2" t="str">
        <f>IFERROR(__xludf.DUMMYFUNCTION("""COMPUTED_VALUE"""),"미식이 오믈렛")</f>
        <v>미식이 오믈렛</v>
      </c>
      <c r="B6428" s="2" t="str">
        <f>IFERROR(__xludf.DUMMYFUNCTION("""COMPUTED_VALUE"""),"후추")</f>
        <v>후추</v>
      </c>
    </row>
    <row r="6429">
      <c r="A6429" s="2" t="str">
        <f>IFERROR(__xludf.DUMMYFUNCTION("""COMPUTED_VALUE"""),"미식이 오믈렛")</f>
        <v>미식이 오믈렛</v>
      </c>
      <c r="B6429" s="2" t="str">
        <f>IFERROR(__xludf.DUMMYFUNCTION("""COMPUTED_VALUE"""),"고추장")</f>
        <v>고추장</v>
      </c>
    </row>
    <row r="6430">
      <c r="A6430" s="2" t="str">
        <f>IFERROR(__xludf.DUMMYFUNCTION("""COMPUTED_VALUE"""),"미식이 오믈렛")</f>
        <v>미식이 오믈렛</v>
      </c>
      <c r="B6430" s="2" t="str">
        <f>IFERROR(__xludf.DUMMYFUNCTION("""COMPUTED_VALUE"""),"간장")</f>
        <v>간장</v>
      </c>
    </row>
    <row r="6431">
      <c r="A6431" s="2" t="str">
        <f>IFERROR(__xludf.DUMMYFUNCTION("""COMPUTED_VALUE"""),"꿀먹었삼")</f>
        <v>꿀먹었삼</v>
      </c>
      <c r="B6431" s="2" t="str">
        <f>IFERROR(__xludf.DUMMYFUNCTION("""COMPUTED_VALUE"""),"고구마")</f>
        <v>고구마</v>
      </c>
    </row>
    <row r="6432">
      <c r="A6432" s="2" t="str">
        <f>IFERROR(__xludf.DUMMYFUNCTION("""COMPUTED_VALUE"""),"꿀먹었삼")</f>
        <v>꿀먹었삼</v>
      </c>
      <c r="B6432" s="2" t="str">
        <f>IFERROR(__xludf.DUMMYFUNCTION("""COMPUTED_VALUE"""),"양배추")</f>
        <v>양배추</v>
      </c>
    </row>
    <row r="6433">
      <c r="A6433" s="2" t="str">
        <f>IFERROR(__xludf.DUMMYFUNCTION("""COMPUTED_VALUE"""),"꿀먹었삼")</f>
        <v>꿀먹었삼</v>
      </c>
      <c r="B6433" s="2" t="str">
        <f>IFERROR(__xludf.DUMMYFUNCTION("""COMPUTED_VALUE"""),"삼겹살")</f>
        <v>삼겹살</v>
      </c>
    </row>
    <row r="6434">
      <c r="A6434" s="2" t="str">
        <f>IFERROR(__xludf.DUMMYFUNCTION("""COMPUTED_VALUE"""),"꿀먹었삼")</f>
        <v>꿀먹었삼</v>
      </c>
      <c r="B6434" s="2" t="str">
        <f>IFERROR(__xludf.DUMMYFUNCTION("""COMPUTED_VALUE"""),"꿀생강청")</f>
        <v>꿀생강청</v>
      </c>
    </row>
    <row r="6435">
      <c r="A6435" s="2" t="str">
        <f>IFERROR(__xludf.DUMMYFUNCTION("""COMPUTED_VALUE"""),"꿀먹었삼")</f>
        <v>꿀먹었삼</v>
      </c>
      <c r="B6435" s="2" t="str">
        <f>IFERROR(__xludf.DUMMYFUNCTION("""COMPUTED_VALUE"""),"굴소스")</f>
        <v>굴소스</v>
      </c>
    </row>
    <row r="6436">
      <c r="A6436" s="2" t="str">
        <f>IFERROR(__xludf.DUMMYFUNCTION("""COMPUTED_VALUE"""),"꿀먹었삼")</f>
        <v>꿀먹었삼</v>
      </c>
      <c r="B6436" s="2" t="str">
        <f>IFERROR(__xludf.DUMMYFUNCTION("""COMPUTED_VALUE"""),"인스턴트커피")</f>
        <v>인스턴트커피</v>
      </c>
    </row>
    <row r="6437">
      <c r="A6437" s="2" t="str">
        <f>IFERROR(__xludf.DUMMYFUNCTION("""COMPUTED_VALUE"""),"꿀먹었삼")</f>
        <v>꿀먹었삼</v>
      </c>
      <c r="B6437" s="2" t="str">
        <f>IFERROR(__xludf.DUMMYFUNCTION("""COMPUTED_VALUE"""),"사과")</f>
        <v>사과</v>
      </c>
    </row>
    <row r="6438">
      <c r="A6438" s="2" t="str">
        <f>IFERROR(__xludf.DUMMYFUNCTION("""COMPUTED_VALUE"""),"꿀먹었삼")</f>
        <v>꿀먹었삼</v>
      </c>
      <c r="B6438" s="2" t="str">
        <f>IFERROR(__xludf.DUMMYFUNCTION("""COMPUTED_VALUE"""),"알타리무장아찌")</f>
        <v>알타리무장아찌</v>
      </c>
    </row>
    <row r="6439">
      <c r="A6439" s="2" t="str">
        <f>IFERROR(__xludf.DUMMYFUNCTION("""COMPUTED_VALUE"""),"꿀먹었삼")</f>
        <v>꿀먹었삼</v>
      </c>
      <c r="B6439" s="2" t="str">
        <f>IFERROR(__xludf.DUMMYFUNCTION("""COMPUTED_VALUE"""),"즉석밥")</f>
        <v>즉석밥</v>
      </c>
    </row>
    <row r="6440">
      <c r="A6440" s="2" t="str">
        <f>IFERROR(__xludf.DUMMYFUNCTION("""COMPUTED_VALUE"""),"꿀먹었삼")</f>
        <v>꿀먹었삼</v>
      </c>
      <c r="B6440" s="2" t="str">
        <f>IFERROR(__xludf.DUMMYFUNCTION("""COMPUTED_VALUE"""),"소금")</f>
        <v>소금</v>
      </c>
    </row>
    <row r="6441">
      <c r="A6441" s="2" t="str">
        <f>IFERROR(__xludf.DUMMYFUNCTION("""COMPUTED_VALUE"""),"꿀먹었삼")</f>
        <v>꿀먹었삼</v>
      </c>
      <c r="B6441" s="2" t="str">
        <f>IFERROR(__xludf.DUMMYFUNCTION("""COMPUTED_VALUE"""),"설탕")</f>
        <v>설탕</v>
      </c>
    </row>
    <row r="6442">
      <c r="A6442" s="2" t="str">
        <f>IFERROR(__xludf.DUMMYFUNCTION("""COMPUTED_VALUE"""),"꿀먹었삼")</f>
        <v>꿀먹었삼</v>
      </c>
      <c r="B6442" s="2" t="str">
        <f>IFERROR(__xludf.DUMMYFUNCTION("""COMPUTED_VALUE"""),"식초")</f>
        <v>식초</v>
      </c>
    </row>
    <row r="6443">
      <c r="A6443" s="2" t="str">
        <f>IFERROR(__xludf.DUMMYFUNCTION("""COMPUTED_VALUE"""),"에라 모르겠닭♬")</f>
        <v>에라 모르겠닭♬</v>
      </c>
      <c r="B6443" s="2" t="str">
        <f>IFERROR(__xludf.DUMMYFUNCTION("""COMPUTED_VALUE"""),"훈제 닭가슴살")</f>
        <v>훈제 닭가슴살</v>
      </c>
    </row>
    <row r="6444">
      <c r="A6444" s="2" t="str">
        <f>IFERROR(__xludf.DUMMYFUNCTION("""COMPUTED_VALUE"""),"에라 모르겠닭♬")</f>
        <v>에라 모르겠닭♬</v>
      </c>
      <c r="B6444" s="2" t="str">
        <f>IFERROR(__xludf.DUMMYFUNCTION("""COMPUTED_VALUE"""),"된장")</f>
        <v>된장</v>
      </c>
    </row>
    <row r="6445">
      <c r="A6445" s="2" t="str">
        <f>IFERROR(__xludf.DUMMYFUNCTION("""COMPUTED_VALUE"""),"에라 모르겠닭♬")</f>
        <v>에라 모르겠닭♬</v>
      </c>
      <c r="B6445" s="2" t="str">
        <f>IFERROR(__xludf.DUMMYFUNCTION("""COMPUTED_VALUE"""),"고체카레")</f>
        <v>고체카레</v>
      </c>
    </row>
    <row r="6446">
      <c r="A6446" s="2" t="str">
        <f>IFERROR(__xludf.DUMMYFUNCTION("""COMPUTED_VALUE"""),"에라 모르겠닭♬")</f>
        <v>에라 모르겠닭♬</v>
      </c>
      <c r="B6446" s="2" t="str">
        <f>IFERROR(__xludf.DUMMYFUNCTION("""COMPUTED_VALUE"""),"돈가스소스")</f>
        <v>돈가스소스</v>
      </c>
    </row>
    <row r="6447">
      <c r="A6447" s="2" t="str">
        <f>IFERROR(__xludf.DUMMYFUNCTION("""COMPUTED_VALUE"""),"에라 모르겠닭♬")</f>
        <v>에라 모르겠닭♬</v>
      </c>
      <c r="B6447" s="2" t="str">
        <f>IFERROR(__xludf.DUMMYFUNCTION("""COMPUTED_VALUE"""),"굴소스")</f>
        <v>굴소스</v>
      </c>
    </row>
    <row r="6448">
      <c r="A6448" s="2" t="str">
        <f>IFERROR(__xludf.DUMMYFUNCTION("""COMPUTED_VALUE"""),"에라 모르겠닭♬")</f>
        <v>에라 모르겠닭♬</v>
      </c>
      <c r="B6448" s="2" t="str">
        <f>IFERROR(__xludf.DUMMYFUNCTION("""COMPUTED_VALUE"""),"다진 마늘")</f>
        <v>다진 마늘</v>
      </c>
    </row>
    <row r="6449">
      <c r="A6449" s="2" t="str">
        <f>IFERROR(__xludf.DUMMYFUNCTION("""COMPUTED_VALUE"""),"에라 모르겠닭♬")</f>
        <v>에라 모르겠닭♬</v>
      </c>
      <c r="B6449" s="2" t="str">
        <f>IFERROR(__xludf.DUMMYFUNCTION("""COMPUTED_VALUE"""),"대파")</f>
        <v>대파</v>
      </c>
    </row>
    <row r="6450">
      <c r="A6450" s="2" t="str">
        <f>IFERROR(__xludf.DUMMYFUNCTION("""COMPUTED_VALUE"""),"에라 모르겠닭♬")</f>
        <v>에라 모르겠닭♬</v>
      </c>
      <c r="B6450" s="2" t="str">
        <f>IFERROR(__xludf.DUMMYFUNCTION("""COMPUTED_VALUE"""),"양파")</f>
        <v>양파</v>
      </c>
    </row>
    <row r="6451">
      <c r="A6451" s="2" t="str">
        <f>IFERROR(__xludf.DUMMYFUNCTION("""COMPUTED_VALUE"""),"에라 모르겠닭♬")</f>
        <v>에라 모르겠닭♬</v>
      </c>
      <c r="B6451" s="2" t="str">
        <f>IFERROR(__xludf.DUMMYFUNCTION("""COMPUTED_VALUE"""),"고춧가루")</f>
        <v>고춧가루</v>
      </c>
    </row>
    <row r="6452">
      <c r="A6452" s="2" t="str">
        <f>IFERROR(__xludf.DUMMYFUNCTION("""COMPUTED_VALUE"""),"에라 모르겠닭♬")</f>
        <v>에라 모르겠닭♬</v>
      </c>
      <c r="B6452" s="2" t="str">
        <f>IFERROR(__xludf.DUMMYFUNCTION("""COMPUTED_VALUE"""),"달걀")</f>
        <v>달걀</v>
      </c>
    </row>
    <row r="6453">
      <c r="A6453" s="2" t="str">
        <f>IFERROR(__xludf.DUMMYFUNCTION("""COMPUTED_VALUE"""),"에라 모르겠닭♬")</f>
        <v>에라 모르겠닭♬</v>
      </c>
      <c r="B6453" s="2" t="str">
        <f>IFERROR(__xludf.DUMMYFUNCTION("""COMPUTED_VALUE"""),"즉석밥")</f>
        <v>즉석밥</v>
      </c>
    </row>
    <row r="6454">
      <c r="A6454" s="2" t="str">
        <f>IFERROR(__xludf.DUMMYFUNCTION("""COMPUTED_VALUE"""),"쉬워서 오야코")</f>
        <v>쉬워서 오야코</v>
      </c>
      <c r="B6454" s="2" t="str">
        <f>IFERROR(__xludf.DUMMYFUNCTION("""COMPUTED_VALUE"""),"김밥햄")</f>
        <v>김밥햄</v>
      </c>
    </row>
    <row r="6455">
      <c r="A6455" s="2" t="str">
        <f>IFERROR(__xludf.DUMMYFUNCTION("""COMPUTED_VALUE"""),"쉬워서 오야코")</f>
        <v>쉬워서 오야코</v>
      </c>
      <c r="B6455" s="2" t="str">
        <f>IFERROR(__xludf.DUMMYFUNCTION("""COMPUTED_VALUE"""),"건고추")</f>
        <v>건고추</v>
      </c>
    </row>
    <row r="6456">
      <c r="A6456" s="2" t="str">
        <f>IFERROR(__xludf.DUMMYFUNCTION("""COMPUTED_VALUE"""),"쉬워서 오야코")</f>
        <v>쉬워서 오야코</v>
      </c>
      <c r="B6456" s="2" t="str">
        <f>IFERROR(__xludf.DUMMYFUNCTION("""COMPUTED_VALUE"""),"굴소스")</f>
        <v>굴소스</v>
      </c>
    </row>
    <row r="6457">
      <c r="A6457" s="2" t="str">
        <f>IFERROR(__xludf.DUMMYFUNCTION("""COMPUTED_VALUE"""),"쉬워서 오야코")</f>
        <v>쉬워서 오야코</v>
      </c>
      <c r="B6457" s="2" t="str">
        <f>IFERROR(__xludf.DUMMYFUNCTION("""COMPUTED_VALUE"""),"대파")</f>
        <v>대파</v>
      </c>
    </row>
    <row r="6458">
      <c r="A6458" s="2" t="str">
        <f>IFERROR(__xludf.DUMMYFUNCTION("""COMPUTED_VALUE"""),"쉬워서 오야코")</f>
        <v>쉬워서 오야코</v>
      </c>
      <c r="B6458" s="2" t="str">
        <f>IFERROR(__xludf.DUMMYFUNCTION("""COMPUTED_VALUE"""),"양파")</f>
        <v>양파</v>
      </c>
    </row>
    <row r="6459">
      <c r="A6459" s="2" t="str">
        <f>IFERROR(__xludf.DUMMYFUNCTION("""COMPUTED_VALUE"""),"쉬워서 오야코")</f>
        <v>쉬워서 오야코</v>
      </c>
      <c r="B6459" s="2" t="str">
        <f>IFERROR(__xludf.DUMMYFUNCTION("""COMPUTED_VALUE"""),"올리브오일")</f>
        <v>올리브오일</v>
      </c>
    </row>
    <row r="6460">
      <c r="A6460" s="2" t="str">
        <f>IFERROR(__xludf.DUMMYFUNCTION("""COMPUTED_VALUE"""),"쉬워서 오야코")</f>
        <v>쉬워서 오야코</v>
      </c>
      <c r="B6460" s="2" t="str">
        <f>IFERROR(__xludf.DUMMYFUNCTION("""COMPUTED_VALUE"""),"마늘")</f>
        <v>마늘</v>
      </c>
    </row>
    <row r="6461">
      <c r="A6461" s="2" t="str">
        <f>IFERROR(__xludf.DUMMYFUNCTION("""COMPUTED_VALUE"""),"쉬워서 오야코")</f>
        <v>쉬워서 오야코</v>
      </c>
      <c r="B6461" s="2" t="str">
        <f>IFERROR(__xludf.DUMMYFUNCTION("""COMPUTED_VALUE"""),"소금")</f>
        <v>소금</v>
      </c>
    </row>
    <row r="6462">
      <c r="A6462" s="2" t="str">
        <f>IFERROR(__xludf.DUMMYFUNCTION("""COMPUTED_VALUE"""),"쉬워서 오야코")</f>
        <v>쉬워서 오야코</v>
      </c>
      <c r="B6462" s="2" t="str">
        <f>IFERROR(__xludf.DUMMYFUNCTION("""COMPUTED_VALUE"""),"후추")</f>
        <v>후추</v>
      </c>
    </row>
    <row r="6463">
      <c r="A6463" s="2" t="str">
        <f>IFERROR(__xludf.DUMMYFUNCTION("""COMPUTED_VALUE"""),"쉬워서 오야코")</f>
        <v>쉬워서 오야코</v>
      </c>
      <c r="B6463" s="2" t="str">
        <f>IFERROR(__xludf.DUMMYFUNCTION("""COMPUTED_VALUE"""),"간장")</f>
        <v>간장</v>
      </c>
    </row>
    <row r="6464">
      <c r="A6464" s="2" t="str">
        <f>IFERROR(__xludf.DUMMYFUNCTION("""COMPUTED_VALUE"""),"쉬워서 오야코")</f>
        <v>쉬워서 오야코</v>
      </c>
      <c r="B6464" s="2" t="str">
        <f>IFERROR(__xludf.DUMMYFUNCTION("""COMPUTED_VALUE"""),"맛술")</f>
        <v>맛술</v>
      </c>
    </row>
    <row r="6465">
      <c r="A6465" s="2" t="str">
        <f>IFERROR(__xludf.DUMMYFUNCTION("""COMPUTED_VALUE"""),"쉬워서 오야코")</f>
        <v>쉬워서 오야코</v>
      </c>
      <c r="B6465" s="2" t="str">
        <f>IFERROR(__xludf.DUMMYFUNCTION("""COMPUTED_VALUE"""),"설탕")</f>
        <v>설탕</v>
      </c>
    </row>
    <row r="6466">
      <c r="A6466" s="2" t="str">
        <f>IFERROR(__xludf.DUMMYFUNCTION("""COMPUTED_VALUE"""),"쉬워서 오야코")</f>
        <v>쉬워서 오야코</v>
      </c>
      <c r="B6466" s="2" t="str">
        <f>IFERROR(__xludf.DUMMYFUNCTION("""COMPUTED_VALUE"""),"깨")</f>
        <v>깨</v>
      </c>
    </row>
    <row r="6467">
      <c r="A6467" s="2" t="str">
        <f>IFERROR(__xludf.DUMMYFUNCTION("""COMPUTED_VALUE"""),"쉬워서 오야코")</f>
        <v>쉬워서 오야코</v>
      </c>
      <c r="B6467" s="2" t="str">
        <f>IFERROR(__xludf.DUMMYFUNCTION("""COMPUTED_VALUE"""),"즉석밥")</f>
        <v>즉석밥</v>
      </c>
    </row>
    <row r="6468">
      <c r="A6468" s="2" t="str">
        <f>IFERROR(__xludf.DUMMYFUNCTION("""COMPUTED_VALUE"""),"브레드 피그")</f>
        <v>브레드 피그</v>
      </c>
      <c r="B6468" s="2" t="str">
        <f>IFERROR(__xludf.DUMMYFUNCTION("""COMPUTED_VALUE"""),"삼겹살")</f>
        <v>삼겹살</v>
      </c>
    </row>
    <row r="6469">
      <c r="A6469" s="2" t="str">
        <f>IFERROR(__xludf.DUMMYFUNCTION("""COMPUTED_VALUE"""),"브레드 피그")</f>
        <v>브레드 피그</v>
      </c>
      <c r="B6469" s="2" t="str">
        <f>IFERROR(__xludf.DUMMYFUNCTION("""COMPUTED_VALUE"""),"양파")</f>
        <v>양파</v>
      </c>
    </row>
    <row r="6470">
      <c r="A6470" s="2" t="str">
        <f>IFERROR(__xludf.DUMMYFUNCTION("""COMPUTED_VALUE"""),"브레드 피그")</f>
        <v>브레드 피그</v>
      </c>
      <c r="B6470" s="2" t="str">
        <f>IFERROR(__xludf.DUMMYFUNCTION("""COMPUTED_VALUE"""),"청양고추")</f>
        <v>청양고추</v>
      </c>
    </row>
    <row r="6471">
      <c r="A6471" s="2" t="str">
        <f>IFERROR(__xludf.DUMMYFUNCTION("""COMPUTED_VALUE"""),"브레드 피그")</f>
        <v>브레드 피그</v>
      </c>
      <c r="B6471" s="2" t="str">
        <f>IFERROR(__xludf.DUMMYFUNCTION("""COMPUTED_VALUE"""),"버터")</f>
        <v>버터</v>
      </c>
    </row>
    <row r="6472">
      <c r="A6472" s="2" t="str">
        <f>IFERROR(__xludf.DUMMYFUNCTION("""COMPUTED_VALUE"""),"브레드 피그")</f>
        <v>브레드 피그</v>
      </c>
      <c r="B6472" s="2" t="str">
        <f>IFERROR(__xludf.DUMMYFUNCTION("""COMPUTED_VALUE"""),"밀가루")</f>
        <v>밀가루</v>
      </c>
    </row>
    <row r="6473">
      <c r="A6473" s="2" t="str">
        <f>IFERROR(__xludf.DUMMYFUNCTION("""COMPUTED_VALUE"""),"브레드 피그")</f>
        <v>브레드 피그</v>
      </c>
      <c r="B6473" s="2" t="str">
        <f>IFERROR(__xludf.DUMMYFUNCTION("""COMPUTED_VALUE"""),"소금")</f>
        <v>소금</v>
      </c>
    </row>
    <row r="6474">
      <c r="A6474" s="2" t="str">
        <f>IFERROR(__xludf.DUMMYFUNCTION("""COMPUTED_VALUE"""),"브레드 피그")</f>
        <v>브레드 피그</v>
      </c>
      <c r="B6474" s="2" t="str">
        <f>IFERROR(__xludf.DUMMYFUNCTION("""COMPUTED_VALUE"""),"전분")</f>
        <v>전분</v>
      </c>
    </row>
    <row r="6475">
      <c r="A6475" s="2" t="str">
        <f>IFERROR(__xludf.DUMMYFUNCTION("""COMPUTED_VALUE"""),"브레드 피그")</f>
        <v>브레드 피그</v>
      </c>
      <c r="B6475" s="2" t="str">
        <f>IFERROR(__xludf.DUMMYFUNCTION("""COMPUTED_VALUE"""),"달걀")</f>
        <v>달걀</v>
      </c>
    </row>
    <row r="6476">
      <c r="A6476" s="2" t="str">
        <f>IFERROR(__xludf.DUMMYFUNCTION("""COMPUTED_VALUE"""),"브레드 피그")</f>
        <v>브레드 피그</v>
      </c>
      <c r="B6476" s="2" t="str">
        <f>IFERROR(__xludf.DUMMYFUNCTION("""COMPUTED_VALUE"""),"양파")</f>
        <v>양파</v>
      </c>
    </row>
    <row r="6477">
      <c r="A6477" s="2" t="str">
        <f>IFERROR(__xludf.DUMMYFUNCTION("""COMPUTED_VALUE"""),"브레드 피그")</f>
        <v>브레드 피그</v>
      </c>
      <c r="B6477" s="2" t="str">
        <f>IFERROR(__xludf.DUMMYFUNCTION("""COMPUTED_VALUE"""),"대파")</f>
        <v>대파</v>
      </c>
    </row>
    <row r="6478">
      <c r="A6478" s="2" t="str">
        <f>IFERROR(__xludf.DUMMYFUNCTION("""COMPUTED_VALUE"""),"브레드 피그")</f>
        <v>브레드 피그</v>
      </c>
      <c r="B6478" s="2" t="str">
        <f>IFERROR(__xludf.DUMMYFUNCTION("""COMPUTED_VALUE"""),"마늘")</f>
        <v>마늘</v>
      </c>
    </row>
    <row r="6479">
      <c r="A6479" s="2" t="str">
        <f>IFERROR(__xludf.DUMMYFUNCTION("""COMPUTED_VALUE"""),"브레드 피그")</f>
        <v>브레드 피그</v>
      </c>
      <c r="B6479" s="2" t="str">
        <f>IFERROR(__xludf.DUMMYFUNCTION("""COMPUTED_VALUE"""),"간장")</f>
        <v>간장</v>
      </c>
    </row>
    <row r="6480">
      <c r="A6480" s="2" t="str">
        <f>IFERROR(__xludf.DUMMYFUNCTION("""COMPUTED_VALUE"""),"브레드 피그")</f>
        <v>브레드 피그</v>
      </c>
      <c r="B6480" s="2" t="str">
        <f>IFERROR(__xludf.DUMMYFUNCTION("""COMPUTED_VALUE"""),"후추")</f>
        <v>후추</v>
      </c>
    </row>
    <row r="6481">
      <c r="A6481" s="2" t="str">
        <f>IFERROR(__xludf.DUMMYFUNCTION("""COMPUTED_VALUE"""),"햄카츄~ 야키소바츄~♬")</f>
        <v>햄카츄~ 야키소바츄~♬</v>
      </c>
      <c r="B6481" s="2" t="str">
        <f>IFERROR(__xludf.DUMMYFUNCTION("""COMPUTED_VALUE"""),"시리얼")</f>
        <v>시리얼</v>
      </c>
    </row>
    <row r="6482">
      <c r="A6482" s="2" t="str">
        <f>IFERROR(__xludf.DUMMYFUNCTION("""COMPUTED_VALUE"""),"햄카츄~ 야키소바츄~♬")</f>
        <v>햄카츄~ 야키소바츄~♬</v>
      </c>
      <c r="B6482" s="2" t="str">
        <f>IFERROR(__xludf.DUMMYFUNCTION("""COMPUTED_VALUE"""),"짜장라면")</f>
        <v>짜장라면</v>
      </c>
    </row>
    <row r="6483">
      <c r="A6483" s="2" t="str">
        <f>IFERROR(__xludf.DUMMYFUNCTION("""COMPUTED_VALUE"""),"햄카츄~ 야키소바츄~♬")</f>
        <v>햄카츄~ 야키소바츄~♬</v>
      </c>
      <c r="B6483" s="2" t="str">
        <f>IFERROR(__xludf.DUMMYFUNCTION("""COMPUTED_VALUE"""),"김밥햄")</f>
        <v>김밥햄</v>
      </c>
    </row>
    <row r="6484">
      <c r="A6484" s="2" t="str">
        <f>IFERROR(__xludf.DUMMYFUNCTION("""COMPUTED_VALUE"""),"햄카츄~ 야키소바츄~♬")</f>
        <v>햄카츄~ 야키소바츄~♬</v>
      </c>
      <c r="B6484" s="2" t="str">
        <f>IFERROR(__xludf.DUMMYFUNCTION("""COMPUTED_VALUE"""),"게맛살")</f>
        <v>게맛살</v>
      </c>
    </row>
    <row r="6485">
      <c r="A6485" s="2" t="str">
        <f>IFERROR(__xludf.DUMMYFUNCTION("""COMPUTED_VALUE"""),"햄카츄~ 야키소바츄~♬")</f>
        <v>햄카츄~ 야키소바츄~♬</v>
      </c>
      <c r="B6485" s="2" t="str">
        <f>IFERROR(__xludf.DUMMYFUNCTION("""COMPUTED_VALUE"""),"돈가스소스")</f>
        <v>돈가스소스</v>
      </c>
    </row>
    <row r="6486">
      <c r="A6486" s="2" t="str">
        <f>IFERROR(__xludf.DUMMYFUNCTION("""COMPUTED_VALUE"""),"햄카츄~ 야키소바츄~♬")</f>
        <v>햄카츄~ 야키소바츄~♬</v>
      </c>
      <c r="B6486" s="2" t="str">
        <f>IFERROR(__xludf.DUMMYFUNCTION("""COMPUTED_VALUE"""),"굴소스")</f>
        <v>굴소스</v>
      </c>
    </row>
    <row r="6487">
      <c r="A6487" s="2" t="str">
        <f>IFERROR(__xludf.DUMMYFUNCTION("""COMPUTED_VALUE"""),"햄카츄~ 야키소바츄~♬")</f>
        <v>햄카츄~ 야키소바츄~♬</v>
      </c>
      <c r="B6487" s="2" t="str">
        <f>IFERROR(__xludf.DUMMYFUNCTION("""COMPUTED_VALUE"""),"청양고추")</f>
        <v>청양고추</v>
      </c>
    </row>
    <row r="6488">
      <c r="A6488" s="2" t="str">
        <f>IFERROR(__xludf.DUMMYFUNCTION("""COMPUTED_VALUE"""),"햄카츄~ 야키소바츄~♬")</f>
        <v>햄카츄~ 야키소바츄~♬</v>
      </c>
      <c r="B6488" s="2" t="str">
        <f>IFERROR(__xludf.DUMMYFUNCTION("""COMPUTED_VALUE"""),"양파")</f>
        <v>양파</v>
      </c>
    </row>
    <row r="6489">
      <c r="A6489" s="2" t="str">
        <f>IFERROR(__xludf.DUMMYFUNCTION("""COMPUTED_VALUE"""),"햄카츄~ 야키소바츄~♬")</f>
        <v>햄카츄~ 야키소바츄~♬</v>
      </c>
      <c r="B6489" s="2" t="str">
        <f>IFERROR(__xludf.DUMMYFUNCTION("""COMPUTED_VALUE"""),"당근")</f>
        <v>당근</v>
      </c>
    </row>
    <row r="6490">
      <c r="A6490" s="2" t="str">
        <f>IFERROR(__xludf.DUMMYFUNCTION("""COMPUTED_VALUE"""),"햄카츄~ 야키소바츄~♬")</f>
        <v>햄카츄~ 야키소바츄~♬</v>
      </c>
      <c r="B6490" s="2" t="str">
        <f>IFERROR(__xludf.DUMMYFUNCTION("""COMPUTED_VALUE"""),"전분")</f>
        <v>전분</v>
      </c>
    </row>
    <row r="6491">
      <c r="A6491" s="2" t="str">
        <f>IFERROR(__xludf.DUMMYFUNCTION("""COMPUTED_VALUE"""),"햄카츄~ 야키소바츄~♬")</f>
        <v>햄카츄~ 야키소바츄~♬</v>
      </c>
      <c r="B6491" s="2" t="str">
        <f>IFERROR(__xludf.DUMMYFUNCTION("""COMPUTED_VALUE"""),"마요네즈")</f>
        <v>마요네즈</v>
      </c>
    </row>
    <row r="6492">
      <c r="A6492" s="2" t="str">
        <f>IFERROR(__xludf.DUMMYFUNCTION("""COMPUTED_VALUE"""),"햄카츄~ 야키소바츄~♬")</f>
        <v>햄카츄~ 야키소바츄~♬</v>
      </c>
      <c r="B6492" s="2" t="str">
        <f>IFERROR(__xludf.DUMMYFUNCTION("""COMPUTED_VALUE"""),"케첩")</f>
        <v>케첩</v>
      </c>
    </row>
    <row r="6493">
      <c r="A6493" s="2" t="str">
        <f>IFERROR(__xludf.DUMMYFUNCTION("""COMPUTED_VALUE"""),"햄카츄~ 야키소바츄~♬")</f>
        <v>햄카츄~ 야키소바츄~♬</v>
      </c>
      <c r="B6493" s="2" t="str">
        <f>IFERROR(__xludf.DUMMYFUNCTION("""COMPUTED_VALUE"""),"밀가루")</f>
        <v>밀가루</v>
      </c>
    </row>
    <row r="6494">
      <c r="A6494" s="2" t="str">
        <f>IFERROR(__xludf.DUMMYFUNCTION("""COMPUTED_VALUE"""),"햄카츄~ 야키소바츄~♬")</f>
        <v>햄카츄~ 야키소바츄~♬</v>
      </c>
      <c r="B6494" s="2" t="str">
        <f>IFERROR(__xludf.DUMMYFUNCTION("""COMPUTED_VALUE"""),"달걀")</f>
        <v>달걀</v>
      </c>
    </row>
    <row r="6495">
      <c r="A6495" s="2" t="str">
        <f>IFERROR(__xludf.DUMMYFUNCTION("""COMPUTED_VALUE"""),"햄카츄~ 야키소바츄~♬")</f>
        <v>햄카츄~ 야키소바츄~♬</v>
      </c>
      <c r="B6495" s="2" t="str">
        <f>IFERROR(__xludf.DUMMYFUNCTION("""COMPUTED_VALUE"""),"버터")</f>
        <v>버터</v>
      </c>
    </row>
    <row r="6496">
      <c r="A6496" s="2" t="str">
        <f>IFERROR(__xludf.DUMMYFUNCTION("""COMPUTED_VALUE"""),"비상식난")</f>
        <v>비상식난</v>
      </c>
      <c r="B6496" s="2" t="str">
        <f>IFERROR(__xludf.DUMMYFUNCTION("""COMPUTED_VALUE"""),"통조림 참치")</f>
        <v>통조림 참치</v>
      </c>
    </row>
    <row r="6497">
      <c r="A6497" s="2" t="str">
        <f>IFERROR(__xludf.DUMMYFUNCTION("""COMPUTED_VALUE"""),"비상식난")</f>
        <v>비상식난</v>
      </c>
      <c r="B6497" s="2" t="str">
        <f>IFERROR(__xludf.DUMMYFUNCTION("""COMPUTED_VALUE"""),"통조림 햄")</f>
        <v>통조림 햄</v>
      </c>
    </row>
    <row r="6498">
      <c r="A6498" s="2" t="str">
        <f>IFERROR(__xludf.DUMMYFUNCTION("""COMPUTED_VALUE"""),"비상식난")</f>
        <v>비상식난</v>
      </c>
      <c r="B6498" s="2" t="str">
        <f>IFERROR(__xludf.DUMMYFUNCTION("""COMPUTED_VALUE"""),"통조림 옥수수")</f>
        <v>통조림 옥수수</v>
      </c>
    </row>
    <row r="6499">
      <c r="A6499" s="2" t="str">
        <f>IFERROR(__xludf.DUMMYFUNCTION("""COMPUTED_VALUE"""),"비상식난")</f>
        <v>비상식난</v>
      </c>
      <c r="B6499" s="2" t="str">
        <f>IFERROR(__xludf.DUMMYFUNCTION("""COMPUTED_VALUE"""),"설탕")</f>
        <v>설탕</v>
      </c>
    </row>
    <row r="6500">
      <c r="A6500" s="2" t="str">
        <f>IFERROR(__xludf.DUMMYFUNCTION("""COMPUTED_VALUE"""),"비상식난")</f>
        <v>비상식난</v>
      </c>
      <c r="B6500" s="2" t="str">
        <f>IFERROR(__xludf.DUMMYFUNCTION("""COMPUTED_VALUE"""),"소금")</f>
        <v>소금</v>
      </c>
    </row>
    <row r="6501">
      <c r="A6501" s="2" t="str">
        <f>IFERROR(__xludf.DUMMYFUNCTION("""COMPUTED_VALUE"""),"비상식난")</f>
        <v>비상식난</v>
      </c>
      <c r="B6501" s="2" t="str">
        <f>IFERROR(__xludf.DUMMYFUNCTION("""COMPUTED_VALUE"""),"밀가루")</f>
        <v>밀가루</v>
      </c>
    </row>
    <row r="6502">
      <c r="A6502" s="2" t="str">
        <f>IFERROR(__xludf.DUMMYFUNCTION("""COMPUTED_VALUE"""),"죽지 않아~!")</f>
        <v>죽지 않아~!</v>
      </c>
      <c r="B6502" s="2" t="str">
        <f>IFERROR(__xludf.DUMMYFUNCTION("""COMPUTED_VALUE"""),"쌀")</f>
        <v>쌀</v>
      </c>
    </row>
    <row r="6503">
      <c r="A6503" s="2" t="str">
        <f>IFERROR(__xludf.DUMMYFUNCTION("""COMPUTED_VALUE"""),"죽지 않아~!")</f>
        <v>죽지 않아~!</v>
      </c>
      <c r="B6503" s="2" t="str">
        <f>IFERROR(__xludf.DUMMYFUNCTION("""COMPUTED_VALUE"""),"김")</f>
        <v>김</v>
      </c>
    </row>
    <row r="6504">
      <c r="A6504" s="2" t="str">
        <f>IFERROR(__xludf.DUMMYFUNCTION("""COMPUTED_VALUE"""),"죽지 않아~!")</f>
        <v>죽지 않아~!</v>
      </c>
      <c r="B6504" s="2" t="str">
        <f>IFERROR(__xludf.DUMMYFUNCTION("""COMPUTED_VALUE"""),"물")</f>
        <v>물</v>
      </c>
    </row>
    <row r="6505">
      <c r="A6505" s="2" t="str">
        <f>IFERROR(__xludf.DUMMYFUNCTION("""COMPUTED_VALUE"""),"죽지 않아~!")</f>
        <v>죽지 않아~!</v>
      </c>
      <c r="B6505" s="2" t="str">
        <f>IFERROR(__xludf.DUMMYFUNCTION("""COMPUTED_VALUE"""),"통조림 옥수수")</f>
        <v>통조림 옥수수</v>
      </c>
    </row>
    <row r="6506">
      <c r="A6506" s="2" t="str">
        <f>IFERROR(__xludf.DUMMYFUNCTION("""COMPUTED_VALUE"""),"죽지 않아~!")</f>
        <v>죽지 않아~!</v>
      </c>
      <c r="B6506" s="2" t="str">
        <f>IFERROR(__xludf.DUMMYFUNCTION("""COMPUTED_VALUE"""),"통조림 번데기")</f>
        <v>통조림 번데기</v>
      </c>
    </row>
    <row r="6507">
      <c r="A6507" s="2" t="str">
        <f>IFERROR(__xludf.DUMMYFUNCTION("""COMPUTED_VALUE"""),"죽지 않아~!")</f>
        <v>죽지 않아~!</v>
      </c>
      <c r="B6507" s="2" t="str">
        <f>IFERROR(__xludf.DUMMYFUNCTION("""COMPUTED_VALUE"""),"통조림 햄")</f>
        <v>통조림 햄</v>
      </c>
    </row>
    <row r="6508">
      <c r="A6508" s="2" t="str">
        <f>IFERROR(__xludf.DUMMYFUNCTION("""COMPUTED_VALUE"""),"죽지 않아~!")</f>
        <v>죽지 않아~!</v>
      </c>
      <c r="B6508" s="2" t="str">
        <f>IFERROR(__xludf.DUMMYFUNCTION("""COMPUTED_VALUE"""),"위스키")</f>
        <v>위스키</v>
      </c>
    </row>
    <row r="6509">
      <c r="A6509" s="2" t="str">
        <f>IFERROR(__xludf.DUMMYFUNCTION("""COMPUTED_VALUE"""),"죽지 않아~!")</f>
        <v>죽지 않아~!</v>
      </c>
      <c r="B6509" s="2" t="str">
        <f>IFERROR(__xludf.DUMMYFUNCTION("""COMPUTED_VALUE"""),"통조림 골뱅이")</f>
        <v>통조림 골뱅이</v>
      </c>
    </row>
    <row r="6510">
      <c r="A6510" s="2" t="str">
        <f>IFERROR(__xludf.DUMMYFUNCTION("""COMPUTED_VALUE"""),"죽지 않아~!")</f>
        <v>죽지 않아~!</v>
      </c>
      <c r="B6510" s="2" t="str">
        <f>IFERROR(__xludf.DUMMYFUNCTION("""COMPUTED_VALUE"""),"참기름")</f>
        <v>참기름</v>
      </c>
    </row>
    <row r="6511">
      <c r="A6511" s="2" t="str">
        <f>IFERROR(__xludf.DUMMYFUNCTION("""COMPUTED_VALUE"""),"굿럭탕")</f>
        <v>굿럭탕</v>
      </c>
      <c r="B6511" s="2" t="str">
        <f>IFERROR(__xludf.DUMMYFUNCTION("""COMPUTED_VALUE"""),"대추")</f>
        <v>대추</v>
      </c>
    </row>
    <row r="6512">
      <c r="A6512" s="2" t="str">
        <f>IFERROR(__xludf.DUMMYFUNCTION("""COMPUTED_VALUE"""),"굿럭탕")</f>
        <v>굿럭탕</v>
      </c>
      <c r="B6512" s="2" t="str">
        <f>IFERROR(__xludf.DUMMYFUNCTION("""COMPUTED_VALUE"""),"장뇌삼")</f>
        <v>장뇌삼</v>
      </c>
    </row>
    <row r="6513">
      <c r="A6513" s="2" t="str">
        <f>IFERROR(__xludf.DUMMYFUNCTION("""COMPUTED_VALUE"""),"굿럭탕")</f>
        <v>굿럭탕</v>
      </c>
      <c r="B6513" s="2" t="str">
        <f>IFERROR(__xludf.DUMMYFUNCTION("""COMPUTED_VALUE"""),"수삼")</f>
        <v>수삼</v>
      </c>
    </row>
    <row r="6514">
      <c r="A6514" s="2" t="str">
        <f>IFERROR(__xludf.DUMMYFUNCTION("""COMPUTED_VALUE"""),"굿럭탕")</f>
        <v>굿럭탕</v>
      </c>
      <c r="B6514" s="2" t="str">
        <f>IFERROR(__xludf.DUMMYFUNCTION("""COMPUTED_VALUE"""),"우럭")</f>
        <v>우럭</v>
      </c>
    </row>
    <row r="6515">
      <c r="A6515" s="2" t="str">
        <f>IFERROR(__xludf.DUMMYFUNCTION("""COMPUTED_VALUE"""),"굿럭탕")</f>
        <v>굿럭탕</v>
      </c>
      <c r="B6515" s="2" t="str">
        <f>IFERROR(__xludf.DUMMYFUNCTION("""COMPUTED_VALUE"""),"전복")</f>
        <v>전복</v>
      </c>
    </row>
    <row r="6516">
      <c r="A6516" s="2" t="str">
        <f>IFERROR(__xludf.DUMMYFUNCTION("""COMPUTED_VALUE"""),"굿럭탕")</f>
        <v>굿럭탕</v>
      </c>
      <c r="B6516" s="2" t="str">
        <f>IFERROR(__xludf.DUMMYFUNCTION("""COMPUTED_VALUE"""),"표고버섯")</f>
        <v>표고버섯</v>
      </c>
    </row>
    <row r="6517">
      <c r="A6517" s="2" t="str">
        <f>IFERROR(__xludf.DUMMYFUNCTION("""COMPUTED_VALUE"""),"굿럭탕")</f>
        <v>굿럭탕</v>
      </c>
      <c r="B6517" s="2" t="str">
        <f>IFERROR(__xludf.DUMMYFUNCTION("""COMPUTED_VALUE"""),"참기름")</f>
        <v>참기름</v>
      </c>
    </row>
    <row r="6518">
      <c r="A6518" s="2" t="str">
        <f>IFERROR(__xludf.DUMMYFUNCTION("""COMPUTED_VALUE"""),"굿럭탕")</f>
        <v>굿럭탕</v>
      </c>
      <c r="B6518" s="2" t="str">
        <f>IFERROR(__xludf.DUMMYFUNCTION("""COMPUTED_VALUE"""),"데친 시래기")</f>
        <v>데친 시래기</v>
      </c>
    </row>
    <row r="6519">
      <c r="A6519" s="2" t="str">
        <f>IFERROR(__xludf.DUMMYFUNCTION("""COMPUTED_VALUE"""),"굿럭탕")</f>
        <v>굿럭탕</v>
      </c>
      <c r="B6519" s="2" t="str">
        <f>IFERROR(__xludf.DUMMYFUNCTION("""COMPUTED_VALUE"""),"국간장")</f>
        <v>국간장</v>
      </c>
    </row>
    <row r="6520">
      <c r="A6520" s="2" t="str">
        <f>IFERROR(__xludf.DUMMYFUNCTION("""COMPUTED_VALUE"""),"굿럭탕")</f>
        <v>굿럭탕</v>
      </c>
      <c r="B6520" s="2" t="str">
        <f>IFERROR(__xludf.DUMMYFUNCTION("""COMPUTED_VALUE"""),"달걀")</f>
        <v>달걀</v>
      </c>
    </row>
    <row r="6521">
      <c r="A6521" s="2" t="str">
        <f>IFERROR(__xludf.DUMMYFUNCTION("""COMPUTED_VALUE"""),"굿럭탕")</f>
        <v>굿럭탕</v>
      </c>
      <c r="B6521" s="2" t="str">
        <f>IFERROR(__xludf.DUMMYFUNCTION("""COMPUTED_VALUE"""),"전분")</f>
        <v>전분</v>
      </c>
    </row>
    <row r="6522">
      <c r="A6522" s="2" t="str">
        <f>IFERROR(__xludf.DUMMYFUNCTION("""COMPUTED_VALUE"""),"굿럭탕")</f>
        <v>굿럭탕</v>
      </c>
      <c r="B6522" s="2" t="str">
        <f>IFERROR(__xludf.DUMMYFUNCTION("""COMPUTED_VALUE"""),"올리브오일")</f>
        <v>올리브오일</v>
      </c>
    </row>
    <row r="6523">
      <c r="A6523" s="2" t="str">
        <f>IFERROR(__xludf.DUMMYFUNCTION("""COMPUTED_VALUE"""),"굿럭탕")</f>
        <v>굿럭탕</v>
      </c>
      <c r="B6523" s="2" t="str">
        <f>IFERROR(__xludf.DUMMYFUNCTION("""COMPUTED_VALUE"""),"청주")</f>
        <v>청주</v>
      </c>
    </row>
    <row r="6524">
      <c r="A6524" s="2" t="str">
        <f>IFERROR(__xludf.DUMMYFUNCTION("""COMPUTED_VALUE"""),"굿럭탕")</f>
        <v>굿럭탕</v>
      </c>
      <c r="B6524" s="2" t="str">
        <f>IFERROR(__xludf.DUMMYFUNCTION("""COMPUTED_VALUE"""),"소금")</f>
        <v>소금</v>
      </c>
    </row>
    <row r="6525">
      <c r="A6525" s="2" t="str">
        <f>IFERROR(__xludf.DUMMYFUNCTION("""COMPUTED_VALUE"""),"굿럭탕")</f>
        <v>굿럭탕</v>
      </c>
      <c r="B6525" s="2" t="str">
        <f>IFERROR(__xludf.DUMMYFUNCTION("""COMPUTED_VALUE"""),"양파")</f>
        <v>양파</v>
      </c>
    </row>
    <row r="6526">
      <c r="A6526" s="2" t="str">
        <f>IFERROR(__xludf.DUMMYFUNCTION("""COMPUTED_VALUE"""),"굿럭탕")</f>
        <v>굿럭탕</v>
      </c>
      <c r="B6526" s="2" t="str">
        <f>IFERROR(__xludf.DUMMYFUNCTION("""COMPUTED_VALUE"""),"당근")</f>
        <v>당근</v>
      </c>
    </row>
    <row r="6527">
      <c r="A6527" s="2" t="str">
        <f>IFERROR(__xludf.DUMMYFUNCTION("""COMPUTED_VALUE"""),"굿럭탕")</f>
        <v>굿럭탕</v>
      </c>
      <c r="B6527" s="2" t="str">
        <f>IFERROR(__xludf.DUMMYFUNCTION("""COMPUTED_VALUE"""),"대파")</f>
        <v>대파</v>
      </c>
    </row>
    <row r="6528">
      <c r="A6528" s="2" t="str">
        <f>IFERROR(__xludf.DUMMYFUNCTION("""COMPUTED_VALUE"""),"솥태미나")</f>
        <v>솥태미나</v>
      </c>
      <c r="B6528" s="2" t="str">
        <f>IFERROR(__xludf.DUMMYFUNCTION("""COMPUTED_VALUE"""),"겨우살이")</f>
        <v>겨우살이</v>
      </c>
    </row>
    <row r="6529">
      <c r="A6529" s="2" t="str">
        <f>IFERROR(__xludf.DUMMYFUNCTION("""COMPUTED_VALUE"""),"솥태미나")</f>
        <v>솥태미나</v>
      </c>
      <c r="B6529" s="2" t="str">
        <f>IFERROR(__xludf.DUMMYFUNCTION("""COMPUTED_VALUE"""),"상황버섯")</f>
        <v>상황버섯</v>
      </c>
    </row>
    <row r="6530">
      <c r="A6530" s="2" t="str">
        <f>IFERROR(__xludf.DUMMYFUNCTION("""COMPUTED_VALUE"""),"솥태미나")</f>
        <v>솥태미나</v>
      </c>
      <c r="B6530" s="2" t="str">
        <f>IFERROR(__xludf.DUMMYFUNCTION("""COMPUTED_VALUE"""),"쌀")</f>
        <v>쌀</v>
      </c>
    </row>
    <row r="6531">
      <c r="A6531" s="2" t="str">
        <f>IFERROR(__xludf.DUMMYFUNCTION("""COMPUTED_VALUE"""),"솥태미나")</f>
        <v>솥태미나</v>
      </c>
      <c r="B6531" s="2" t="str">
        <f>IFERROR(__xludf.DUMMYFUNCTION("""COMPUTED_VALUE"""),"데친 시래기")</f>
        <v>데친 시래기</v>
      </c>
    </row>
    <row r="6532">
      <c r="A6532" s="2" t="str">
        <f>IFERROR(__xludf.DUMMYFUNCTION("""COMPUTED_VALUE"""),"솥태미나")</f>
        <v>솥태미나</v>
      </c>
      <c r="B6532" s="2" t="str">
        <f>IFERROR(__xludf.DUMMYFUNCTION("""COMPUTED_VALUE"""),"연꽃씨앗")</f>
        <v>연꽃씨앗</v>
      </c>
    </row>
    <row r="6533">
      <c r="A6533" s="2" t="str">
        <f>IFERROR(__xludf.DUMMYFUNCTION("""COMPUTED_VALUE"""),"솥태미나")</f>
        <v>솥태미나</v>
      </c>
      <c r="B6533" s="2" t="str">
        <f>IFERROR(__xludf.DUMMYFUNCTION("""COMPUTED_VALUE"""),"미역")</f>
        <v>미역</v>
      </c>
    </row>
    <row r="6534">
      <c r="A6534" s="2" t="str">
        <f>IFERROR(__xludf.DUMMYFUNCTION("""COMPUTED_VALUE"""),"솥태미나")</f>
        <v>솥태미나</v>
      </c>
      <c r="B6534" s="2" t="str">
        <f>IFERROR(__xludf.DUMMYFUNCTION("""COMPUTED_VALUE"""),"표고버섯")</f>
        <v>표고버섯</v>
      </c>
    </row>
    <row r="6535">
      <c r="A6535" s="2" t="str">
        <f>IFERROR(__xludf.DUMMYFUNCTION("""COMPUTED_VALUE"""),"솥태미나")</f>
        <v>솥태미나</v>
      </c>
      <c r="B6535" s="2" t="str">
        <f>IFERROR(__xludf.DUMMYFUNCTION("""COMPUTED_VALUE"""),"솔잎올리고당")</f>
        <v>솔잎올리고당</v>
      </c>
    </row>
    <row r="6536">
      <c r="A6536" s="2" t="str">
        <f>IFERROR(__xludf.DUMMYFUNCTION("""COMPUTED_VALUE"""),"솥태미나")</f>
        <v>솥태미나</v>
      </c>
      <c r="B6536" s="2" t="str">
        <f>IFERROR(__xludf.DUMMYFUNCTION("""COMPUTED_VALUE"""),"국간장")</f>
        <v>국간장</v>
      </c>
    </row>
    <row r="6537">
      <c r="A6537" s="2" t="str">
        <f>IFERROR(__xludf.DUMMYFUNCTION("""COMPUTED_VALUE"""),"솥태미나")</f>
        <v>솥태미나</v>
      </c>
      <c r="B6537" s="2" t="str">
        <f>IFERROR(__xludf.DUMMYFUNCTION("""COMPUTED_VALUE"""),"전복")</f>
        <v>전복</v>
      </c>
    </row>
    <row r="6538">
      <c r="A6538" s="2" t="str">
        <f>IFERROR(__xludf.DUMMYFUNCTION("""COMPUTED_VALUE"""),"솥태미나")</f>
        <v>솥태미나</v>
      </c>
      <c r="B6538" s="2" t="str">
        <f>IFERROR(__xludf.DUMMYFUNCTION("""COMPUTED_VALUE"""),"삶은 문어")</f>
        <v>삶은 문어</v>
      </c>
    </row>
    <row r="6539">
      <c r="A6539" s="2" t="str">
        <f>IFERROR(__xludf.DUMMYFUNCTION("""COMPUTED_VALUE"""),"솥태미나")</f>
        <v>솥태미나</v>
      </c>
      <c r="B6539" s="2" t="str">
        <f>IFERROR(__xludf.DUMMYFUNCTION("""COMPUTED_VALUE"""),"대추")</f>
        <v>대추</v>
      </c>
    </row>
    <row r="6540">
      <c r="A6540" s="2" t="str">
        <f>IFERROR(__xludf.DUMMYFUNCTION("""COMPUTED_VALUE"""),"솥태미나")</f>
        <v>솥태미나</v>
      </c>
      <c r="B6540" s="2" t="str">
        <f>IFERROR(__xludf.DUMMYFUNCTION("""COMPUTED_VALUE"""),"장뇌삼")</f>
        <v>장뇌삼</v>
      </c>
    </row>
    <row r="6541">
      <c r="A6541" s="2" t="str">
        <f>IFERROR(__xludf.DUMMYFUNCTION("""COMPUTED_VALUE"""),"솥태미나")</f>
        <v>솥태미나</v>
      </c>
      <c r="B6541" s="2" t="str">
        <f>IFERROR(__xludf.DUMMYFUNCTION("""COMPUTED_VALUE"""),"생강청")</f>
        <v>생강청</v>
      </c>
    </row>
    <row r="6542">
      <c r="A6542" s="2" t="str">
        <f>IFERROR(__xludf.DUMMYFUNCTION("""COMPUTED_VALUE"""),"솥태미나")</f>
        <v>솥태미나</v>
      </c>
      <c r="B6542" s="2" t="str">
        <f>IFERROR(__xludf.DUMMYFUNCTION("""COMPUTED_VALUE"""),"고추장")</f>
        <v>고추장</v>
      </c>
    </row>
    <row r="6543">
      <c r="A6543" s="2" t="str">
        <f>IFERROR(__xludf.DUMMYFUNCTION("""COMPUTED_VALUE"""),"솥태미나")</f>
        <v>솥태미나</v>
      </c>
      <c r="B6543" s="2" t="str">
        <f>IFERROR(__xludf.DUMMYFUNCTION("""COMPUTED_VALUE"""),"수삼")</f>
        <v>수삼</v>
      </c>
    </row>
    <row r="6544">
      <c r="A6544" s="2" t="str">
        <f>IFERROR(__xludf.DUMMYFUNCTION("""COMPUTED_VALUE"""),"솥태미나")</f>
        <v>솥태미나</v>
      </c>
      <c r="B6544" s="2" t="str">
        <f>IFERROR(__xludf.DUMMYFUNCTION("""COMPUTED_VALUE"""),"참기름")</f>
        <v>참기름</v>
      </c>
    </row>
    <row r="6545">
      <c r="A6545" s="2" t="str">
        <f>IFERROR(__xludf.DUMMYFUNCTION("""COMPUTED_VALUE"""),"솥태미나")</f>
        <v>솥태미나</v>
      </c>
      <c r="B6545" s="2" t="str">
        <f>IFERROR(__xludf.DUMMYFUNCTION("""COMPUTED_VALUE"""),"들기름")</f>
        <v>들기름</v>
      </c>
    </row>
    <row r="6546">
      <c r="A6546" s="2" t="str">
        <f>IFERROR(__xludf.DUMMYFUNCTION("""COMPUTED_VALUE"""),"솥태미나")</f>
        <v>솥태미나</v>
      </c>
      <c r="B6546" s="2" t="str">
        <f>IFERROR(__xludf.DUMMYFUNCTION("""COMPUTED_VALUE"""),"마늘")</f>
        <v>마늘</v>
      </c>
    </row>
    <row r="6547">
      <c r="A6547" s="2" t="str">
        <f>IFERROR(__xludf.DUMMYFUNCTION("""COMPUTED_VALUE"""),"솥태미나")</f>
        <v>솥태미나</v>
      </c>
      <c r="B6547" s="2" t="str">
        <f>IFERROR(__xludf.DUMMYFUNCTION("""COMPUTED_VALUE"""),"설탕")</f>
        <v>설탕</v>
      </c>
    </row>
    <row r="6548">
      <c r="A6548" s="2" t="str">
        <f>IFERROR(__xludf.DUMMYFUNCTION("""COMPUTED_VALUE"""),"솥태미나")</f>
        <v>솥태미나</v>
      </c>
      <c r="B6548" s="2" t="str">
        <f>IFERROR(__xludf.DUMMYFUNCTION("""COMPUTED_VALUE"""),"대파")</f>
        <v>대파</v>
      </c>
    </row>
    <row r="6549">
      <c r="A6549" s="2" t="str">
        <f>IFERROR(__xludf.DUMMYFUNCTION("""COMPUTED_VALUE"""),"솥태미나")</f>
        <v>솥태미나</v>
      </c>
      <c r="B6549" s="2" t="str">
        <f>IFERROR(__xludf.DUMMYFUNCTION("""COMPUTED_VALUE"""),"식초")</f>
        <v>식초</v>
      </c>
    </row>
    <row r="6550">
      <c r="A6550" s="2" t="str">
        <f>IFERROR(__xludf.DUMMYFUNCTION("""COMPUTED_VALUE"""),"솥태미나")</f>
        <v>솥태미나</v>
      </c>
      <c r="B6550" s="2" t="str">
        <f>IFERROR(__xludf.DUMMYFUNCTION("""COMPUTED_VALUE"""),"고춧가루")</f>
        <v>고춧가루</v>
      </c>
    </row>
    <row r="6551">
      <c r="A6551" s="2" t="str">
        <f>IFERROR(__xludf.DUMMYFUNCTION("""COMPUTED_VALUE"""),"솥태미나")</f>
        <v>솥태미나</v>
      </c>
      <c r="B6551" s="2" t="str">
        <f>IFERROR(__xludf.DUMMYFUNCTION("""COMPUTED_VALUE"""),"깨")</f>
        <v>깨</v>
      </c>
    </row>
    <row r="6552">
      <c r="A6552" s="2" t="str">
        <f>IFERROR(__xludf.DUMMYFUNCTION("""COMPUTED_VALUE"""),"사랑의 초밥")</f>
        <v>사랑의 초밥</v>
      </c>
      <c r="B6552" s="2" t="str">
        <f>IFERROR(__xludf.DUMMYFUNCTION("""COMPUTED_VALUE"""),"전복")</f>
        <v>전복</v>
      </c>
    </row>
    <row r="6553">
      <c r="A6553" s="2" t="str">
        <f>IFERROR(__xludf.DUMMYFUNCTION("""COMPUTED_VALUE"""),"사랑의 초밥")</f>
        <v>사랑의 초밥</v>
      </c>
      <c r="B6553" s="2" t="str">
        <f>IFERROR(__xludf.DUMMYFUNCTION("""COMPUTED_VALUE"""),"김")</f>
        <v>김</v>
      </c>
    </row>
    <row r="6554">
      <c r="A6554" s="2" t="str">
        <f>IFERROR(__xludf.DUMMYFUNCTION("""COMPUTED_VALUE"""),"사랑의 초밥")</f>
        <v>사랑의 초밥</v>
      </c>
      <c r="B6554" s="2" t="str">
        <f>IFERROR(__xludf.DUMMYFUNCTION("""COMPUTED_VALUE"""),"훈제연어")</f>
        <v>훈제연어</v>
      </c>
    </row>
    <row r="6555">
      <c r="A6555" s="2" t="str">
        <f>IFERROR(__xludf.DUMMYFUNCTION("""COMPUTED_VALUE"""),"사랑의 초밥")</f>
        <v>사랑의 초밥</v>
      </c>
      <c r="B6555" s="2" t="str">
        <f>IFERROR(__xludf.DUMMYFUNCTION("""COMPUTED_VALUE"""),"배추김치")</f>
        <v>배추김치</v>
      </c>
    </row>
    <row r="6556">
      <c r="A6556" s="2" t="str">
        <f>IFERROR(__xludf.DUMMYFUNCTION("""COMPUTED_VALUE"""),"사랑의 초밥")</f>
        <v>사랑의 초밥</v>
      </c>
      <c r="B6556" s="2" t="str">
        <f>IFERROR(__xludf.DUMMYFUNCTION("""COMPUTED_VALUE"""),"식초")</f>
        <v>식초</v>
      </c>
    </row>
    <row r="6557">
      <c r="A6557" s="2" t="str">
        <f>IFERROR(__xludf.DUMMYFUNCTION("""COMPUTED_VALUE"""),"사랑의 초밥")</f>
        <v>사랑의 초밥</v>
      </c>
      <c r="B6557" s="2" t="str">
        <f>IFERROR(__xludf.DUMMYFUNCTION("""COMPUTED_VALUE"""),"소금")</f>
        <v>소금</v>
      </c>
    </row>
    <row r="6558">
      <c r="A6558" s="2" t="str">
        <f>IFERROR(__xludf.DUMMYFUNCTION("""COMPUTED_VALUE"""),"사랑의 초밥")</f>
        <v>사랑의 초밥</v>
      </c>
      <c r="B6558" s="2" t="str">
        <f>IFERROR(__xludf.DUMMYFUNCTION("""COMPUTED_VALUE"""),"설탕")</f>
        <v>설탕</v>
      </c>
    </row>
    <row r="6559">
      <c r="A6559" s="2" t="str">
        <f>IFERROR(__xludf.DUMMYFUNCTION("""COMPUTED_VALUE"""),"사랑의 초밥")</f>
        <v>사랑의 초밥</v>
      </c>
      <c r="B6559" s="2" t="str">
        <f>IFERROR(__xludf.DUMMYFUNCTION("""COMPUTED_VALUE"""),"달걀")</f>
        <v>달걀</v>
      </c>
    </row>
    <row r="6560">
      <c r="A6560" s="2" t="str">
        <f>IFERROR(__xludf.DUMMYFUNCTION("""COMPUTED_VALUE"""),"사랑의 초밥")</f>
        <v>사랑의 초밥</v>
      </c>
      <c r="B6560" s="2" t="str">
        <f>IFERROR(__xludf.DUMMYFUNCTION("""COMPUTED_VALUE"""),"전분")</f>
        <v>전분</v>
      </c>
    </row>
    <row r="6561">
      <c r="A6561" s="2" t="str">
        <f>IFERROR(__xludf.DUMMYFUNCTION("""COMPUTED_VALUE"""),"사랑의 초밥")</f>
        <v>사랑의 초밥</v>
      </c>
      <c r="B6561" s="2" t="str">
        <f>IFERROR(__xludf.DUMMYFUNCTION("""COMPUTED_VALUE"""),"간장")</f>
        <v>간장</v>
      </c>
    </row>
    <row r="6562">
      <c r="A6562" s="2" t="str">
        <f>IFERROR(__xludf.DUMMYFUNCTION("""COMPUTED_VALUE"""),"사랑의 초밥")</f>
        <v>사랑의 초밥</v>
      </c>
      <c r="B6562" s="2" t="str">
        <f>IFERROR(__xludf.DUMMYFUNCTION("""COMPUTED_VALUE"""),"청주")</f>
        <v>청주</v>
      </c>
    </row>
    <row r="6563">
      <c r="A6563" s="2" t="str">
        <f>IFERROR(__xludf.DUMMYFUNCTION("""COMPUTED_VALUE"""),"사랑의 초밥")</f>
        <v>사랑의 초밥</v>
      </c>
      <c r="B6563" s="2" t="str">
        <f>IFERROR(__xludf.DUMMYFUNCTION("""COMPUTED_VALUE"""),"맛술")</f>
        <v>맛술</v>
      </c>
    </row>
    <row r="6564">
      <c r="A6564" s="2" t="str">
        <f>IFERROR(__xludf.DUMMYFUNCTION("""COMPUTED_VALUE"""),"사랑의 초밥")</f>
        <v>사랑의 초밥</v>
      </c>
      <c r="B6564" s="2" t="str">
        <f>IFERROR(__xludf.DUMMYFUNCTION("""COMPUTED_VALUE"""),"깨")</f>
        <v>깨</v>
      </c>
    </row>
    <row r="6565">
      <c r="A6565" s="2" t="str">
        <f>IFERROR(__xludf.DUMMYFUNCTION("""COMPUTED_VALUE"""),"사랑의 초밥")</f>
        <v>사랑의 초밥</v>
      </c>
      <c r="B6565" s="2" t="str">
        <f>IFERROR(__xludf.DUMMYFUNCTION("""COMPUTED_VALUE"""),"참기름")</f>
        <v>참기름</v>
      </c>
    </row>
    <row r="6566">
      <c r="A6566" s="2" t="str">
        <f>IFERROR(__xludf.DUMMYFUNCTION("""COMPUTED_VALUE"""),"사랑의 초밥")</f>
        <v>사랑의 초밥</v>
      </c>
      <c r="B6566" s="2" t="str">
        <f>IFERROR(__xludf.DUMMYFUNCTION("""COMPUTED_VALUE"""),"마요네즈")</f>
        <v>마요네즈</v>
      </c>
    </row>
    <row r="6567">
      <c r="A6567" s="2" t="str">
        <f>IFERROR(__xludf.DUMMYFUNCTION("""COMPUTED_VALUE"""),"사랑의 초밥")</f>
        <v>사랑의 초밥</v>
      </c>
      <c r="B6567" s="2" t="str">
        <f>IFERROR(__xludf.DUMMYFUNCTION("""COMPUTED_VALUE"""),"케첩")</f>
        <v>케첩</v>
      </c>
    </row>
    <row r="6568">
      <c r="A6568" s="2" t="str">
        <f>IFERROR(__xludf.DUMMYFUNCTION("""COMPUTED_VALUE"""),"사랑의 초밥")</f>
        <v>사랑의 초밥</v>
      </c>
      <c r="B6568" s="2" t="str">
        <f>IFERROR(__xludf.DUMMYFUNCTION("""COMPUTED_VALUE"""),"청양고추")</f>
        <v>청양고추</v>
      </c>
    </row>
    <row r="6569">
      <c r="A6569" s="2" t="str">
        <f>IFERROR(__xludf.DUMMYFUNCTION("""COMPUTED_VALUE"""),"전복의 후예")</f>
        <v>전복의 후예</v>
      </c>
      <c r="B6569" s="2" t="str">
        <f>IFERROR(__xludf.DUMMYFUNCTION("""COMPUTED_VALUE"""),"치즈빵")</f>
        <v>치즈빵</v>
      </c>
    </row>
    <row r="6570">
      <c r="A6570" s="2" t="str">
        <f>IFERROR(__xludf.DUMMYFUNCTION("""COMPUTED_VALUE"""),"전복의 후예")</f>
        <v>전복의 후예</v>
      </c>
      <c r="B6570" s="2" t="str">
        <f>IFERROR(__xludf.DUMMYFUNCTION("""COMPUTED_VALUE"""),"전복")</f>
        <v>전복</v>
      </c>
    </row>
    <row r="6571">
      <c r="A6571" s="2" t="str">
        <f>IFERROR(__xludf.DUMMYFUNCTION("""COMPUTED_VALUE"""),"전복의 후예")</f>
        <v>전복의 후예</v>
      </c>
      <c r="B6571" s="2" t="str">
        <f>IFERROR(__xludf.DUMMYFUNCTION("""COMPUTED_VALUE"""),"김")</f>
        <v>김</v>
      </c>
    </row>
    <row r="6572">
      <c r="A6572" s="2" t="str">
        <f>IFERROR(__xludf.DUMMYFUNCTION("""COMPUTED_VALUE"""),"전복의 후예")</f>
        <v>전복의 후예</v>
      </c>
      <c r="B6572" s="2" t="str">
        <f>IFERROR(__xludf.DUMMYFUNCTION("""COMPUTED_VALUE"""),"쌈장")</f>
        <v>쌈장</v>
      </c>
    </row>
    <row r="6573">
      <c r="A6573" s="2" t="str">
        <f>IFERROR(__xludf.DUMMYFUNCTION("""COMPUTED_VALUE"""),"전복의 후예")</f>
        <v>전복의 후예</v>
      </c>
      <c r="B6573" s="2" t="str">
        <f>IFERROR(__xludf.DUMMYFUNCTION("""COMPUTED_VALUE"""),"자몽청")</f>
        <v>자몽청</v>
      </c>
    </row>
    <row r="6574">
      <c r="A6574" s="2" t="str">
        <f>IFERROR(__xludf.DUMMYFUNCTION("""COMPUTED_VALUE"""),"전복의 후예")</f>
        <v>전복의 후예</v>
      </c>
      <c r="B6574" s="2" t="str">
        <f>IFERROR(__xludf.DUMMYFUNCTION("""COMPUTED_VALUE"""),"대파")</f>
        <v>대파</v>
      </c>
    </row>
    <row r="6575">
      <c r="A6575" s="2" t="str">
        <f>IFERROR(__xludf.DUMMYFUNCTION("""COMPUTED_VALUE"""),"전복의 후예")</f>
        <v>전복의 후예</v>
      </c>
      <c r="B6575" s="2" t="str">
        <f>IFERROR(__xludf.DUMMYFUNCTION("""COMPUTED_VALUE"""),"마늘")</f>
        <v>마늘</v>
      </c>
    </row>
    <row r="6576">
      <c r="A6576" s="2" t="str">
        <f>IFERROR(__xludf.DUMMYFUNCTION("""COMPUTED_VALUE"""),"전복의 후예")</f>
        <v>전복의 후예</v>
      </c>
      <c r="B6576" s="2" t="str">
        <f>IFERROR(__xludf.DUMMYFUNCTION("""COMPUTED_VALUE"""),"양파")</f>
        <v>양파</v>
      </c>
    </row>
    <row r="6577">
      <c r="A6577" s="2" t="str">
        <f>IFERROR(__xludf.DUMMYFUNCTION("""COMPUTED_VALUE"""),"전복의 후예")</f>
        <v>전복의 후예</v>
      </c>
      <c r="B6577" s="2" t="str">
        <f>IFERROR(__xludf.DUMMYFUNCTION("""COMPUTED_VALUE"""),"간장")</f>
        <v>간장</v>
      </c>
    </row>
    <row r="6578">
      <c r="A6578" s="2" t="str">
        <f>IFERROR(__xludf.DUMMYFUNCTION("""COMPUTED_VALUE"""),"깐초이면")</f>
        <v>깐초이면</v>
      </c>
      <c r="B6578" s="2" t="str">
        <f>IFERROR(__xludf.DUMMYFUNCTION("""COMPUTED_VALUE"""),"소갈빗살")</f>
        <v>소갈빗살</v>
      </c>
    </row>
    <row r="6579">
      <c r="A6579" s="2" t="str">
        <f>IFERROR(__xludf.DUMMYFUNCTION("""COMPUTED_VALUE"""),"깐초이면")</f>
        <v>깐초이면</v>
      </c>
      <c r="B6579" s="2" t="str">
        <f>IFERROR(__xludf.DUMMYFUNCTION("""COMPUTED_VALUE"""),"두부")</f>
        <v>두부</v>
      </c>
    </row>
    <row r="6580">
      <c r="A6580" s="2" t="str">
        <f>IFERROR(__xludf.DUMMYFUNCTION("""COMPUTED_VALUE"""),"깐초이면")</f>
        <v>깐초이면</v>
      </c>
      <c r="B6580" s="2" t="str">
        <f>IFERROR(__xludf.DUMMYFUNCTION("""COMPUTED_VALUE"""),"칼국수면")</f>
        <v>칼국수면</v>
      </c>
    </row>
    <row r="6581">
      <c r="A6581" s="2" t="str">
        <f>IFERROR(__xludf.DUMMYFUNCTION("""COMPUTED_VALUE"""),"깐초이면")</f>
        <v>깐초이면</v>
      </c>
      <c r="B6581" s="2" t="str">
        <f>IFERROR(__xludf.DUMMYFUNCTION("""COMPUTED_VALUE"""),"인스턴트 꼬리곰탕")</f>
        <v>인스턴트 꼬리곰탕</v>
      </c>
    </row>
    <row r="6582">
      <c r="A6582" s="2" t="str">
        <f>IFERROR(__xludf.DUMMYFUNCTION("""COMPUTED_VALUE"""),"깐초이면")</f>
        <v>깐초이면</v>
      </c>
      <c r="B6582" s="2" t="str">
        <f>IFERROR(__xludf.DUMMYFUNCTION("""COMPUTED_VALUE"""),"조미료")</f>
        <v>조미료</v>
      </c>
    </row>
    <row r="6583">
      <c r="A6583" s="2" t="str">
        <f>IFERROR(__xludf.DUMMYFUNCTION("""COMPUTED_VALUE"""),"깐초이면")</f>
        <v>깐초이면</v>
      </c>
      <c r="B6583" s="2" t="str">
        <f>IFERROR(__xludf.DUMMYFUNCTION("""COMPUTED_VALUE"""),"대파")</f>
        <v>대파</v>
      </c>
    </row>
    <row r="6584">
      <c r="A6584" s="2" t="str">
        <f>IFERROR(__xludf.DUMMYFUNCTION("""COMPUTED_VALUE"""),"깐초이면")</f>
        <v>깐초이면</v>
      </c>
      <c r="B6584" s="2" t="str">
        <f>IFERROR(__xludf.DUMMYFUNCTION("""COMPUTED_VALUE"""),"고춧가루")</f>
        <v>고춧가루</v>
      </c>
    </row>
    <row r="6585">
      <c r="A6585" s="2" t="str">
        <f>IFERROR(__xludf.DUMMYFUNCTION("""COMPUTED_VALUE"""),"깐초이면")</f>
        <v>깐초이면</v>
      </c>
      <c r="B6585" s="2" t="str">
        <f>IFERROR(__xludf.DUMMYFUNCTION("""COMPUTED_VALUE"""),"다진 마늘")</f>
        <v>다진 마늘</v>
      </c>
    </row>
    <row r="6586">
      <c r="A6586" s="2" t="str">
        <f>IFERROR(__xludf.DUMMYFUNCTION("""COMPUTED_VALUE"""),"깐초이면")</f>
        <v>깐초이면</v>
      </c>
      <c r="B6586" s="2" t="str">
        <f>IFERROR(__xludf.DUMMYFUNCTION("""COMPUTED_VALUE"""),"식용유")</f>
        <v>식용유</v>
      </c>
    </row>
    <row r="6587">
      <c r="A6587" s="2" t="str">
        <f>IFERROR(__xludf.DUMMYFUNCTION("""COMPUTED_VALUE"""),"깐초이면")</f>
        <v>깐초이면</v>
      </c>
      <c r="B6587" s="2" t="str">
        <f>IFERROR(__xludf.DUMMYFUNCTION("""COMPUTED_VALUE"""),"전분")</f>
        <v>전분</v>
      </c>
    </row>
    <row r="6588">
      <c r="A6588" s="2" t="str">
        <f>IFERROR(__xludf.DUMMYFUNCTION("""COMPUTED_VALUE"""),"깐초이면")</f>
        <v>깐초이면</v>
      </c>
      <c r="B6588" s="2" t="str">
        <f>IFERROR(__xludf.DUMMYFUNCTION("""COMPUTED_VALUE"""),"후추")</f>
        <v>후추</v>
      </c>
    </row>
    <row r="6589">
      <c r="A6589" s="2" t="str">
        <f>IFERROR(__xludf.DUMMYFUNCTION("""COMPUTED_VALUE"""),"깐초이면")</f>
        <v>깐초이면</v>
      </c>
      <c r="B6589" s="2" t="str">
        <f>IFERROR(__xludf.DUMMYFUNCTION("""COMPUTED_VALUE"""),"소금")</f>
        <v>소금</v>
      </c>
    </row>
    <row r="6590">
      <c r="A6590" s="2" t="str">
        <f>IFERROR(__xludf.DUMMYFUNCTION("""COMPUTED_VALUE"""),"깐초이면")</f>
        <v>깐초이면</v>
      </c>
      <c r="B6590" s="2" t="str">
        <f>IFERROR(__xludf.DUMMYFUNCTION("""COMPUTED_VALUE"""),"간장")</f>
        <v>간장</v>
      </c>
    </row>
    <row r="6591">
      <c r="A6591" s="2" t="str">
        <f>IFERROR(__xludf.DUMMYFUNCTION("""COMPUTED_VALUE"""),"깐초이면")</f>
        <v>깐초이면</v>
      </c>
      <c r="B6591" s="2" t="str">
        <f>IFERROR(__xludf.DUMMYFUNCTION("""COMPUTED_VALUE"""),"마늘")</f>
        <v>마늘</v>
      </c>
    </row>
    <row r="6592">
      <c r="A6592" s="2" t="str">
        <f>IFERROR(__xludf.DUMMYFUNCTION("""COMPUTED_VALUE"""),"깐초이면")</f>
        <v>깐초이면</v>
      </c>
      <c r="B6592" s="2" t="str">
        <f>IFERROR(__xludf.DUMMYFUNCTION("""COMPUTED_VALUE"""),"청양고추")</f>
        <v>청양고추</v>
      </c>
    </row>
    <row r="6593">
      <c r="A6593" s="2" t="str">
        <f>IFERROR(__xludf.DUMMYFUNCTION("""COMPUTED_VALUE"""),"깐초이면")</f>
        <v>깐초이면</v>
      </c>
      <c r="B6593" s="2" t="str">
        <f>IFERROR(__xludf.DUMMYFUNCTION("""COMPUTED_VALUE"""),"간장")</f>
        <v>간장</v>
      </c>
    </row>
    <row r="6594">
      <c r="A6594" s="2" t="str">
        <f>IFERROR(__xludf.DUMMYFUNCTION("""COMPUTED_VALUE"""),"깐초이면")</f>
        <v>깐초이면</v>
      </c>
      <c r="B6594" s="2" t="str">
        <f>IFERROR(__xludf.DUMMYFUNCTION("""COMPUTED_VALUE"""),"고추장")</f>
        <v>고추장</v>
      </c>
    </row>
    <row r="6595">
      <c r="A6595" s="2" t="str">
        <f>IFERROR(__xludf.DUMMYFUNCTION("""COMPUTED_VALUE"""),"갈크러쉬")</f>
        <v>갈크러쉬</v>
      </c>
      <c r="B6595" s="2" t="str">
        <f>IFERROR(__xludf.DUMMYFUNCTION("""COMPUTED_VALUE"""),"소갈빗살")</f>
        <v>소갈빗살</v>
      </c>
    </row>
    <row r="6596">
      <c r="A6596" s="2" t="str">
        <f>IFERROR(__xludf.DUMMYFUNCTION("""COMPUTED_VALUE"""),"갈크러쉬")</f>
        <v>갈크러쉬</v>
      </c>
      <c r="B6596" s="2" t="str">
        <f>IFERROR(__xludf.DUMMYFUNCTION("""COMPUTED_VALUE"""),"조미료")</f>
        <v>조미료</v>
      </c>
    </row>
    <row r="6597">
      <c r="A6597" s="2" t="str">
        <f>IFERROR(__xludf.DUMMYFUNCTION("""COMPUTED_VALUE"""),"갈크러쉬")</f>
        <v>갈크러쉬</v>
      </c>
      <c r="B6597" s="2" t="str">
        <f>IFERROR(__xludf.DUMMYFUNCTION("""COMPUTED_VALUE"""),"된장")</f>
        <v>된장</v>
      </c>
    </row>
    <row r="6598">
      <c r="A6598" s="2" t="str">
        <f>IFERROR(__xludf.DUMMYFUNCTION("""COMPUTED_VALUE"""),"갈크러쉬")</f>
        <v>갈크러쉬</v>
      </c>
      <c r="B6598" s="2" t="str">
        <f>IFERROR(__xludf.DUMMYFUNCTION("""COMPUTED_VALUE"""),"설탕")</f>
        <v>설탕</v>
      </c>
    </row>
    <row r="6599">
      <c r="A6599" s="2" t="str">
        <f>IFERROR(__xludf.DUMMYFUNCTION("""COMPUTED_VALUE"""),"갈크러쉬")</f>
        <v>갈크러쉬</v>
      </c>
      <c r="B6599" s="2" t="str">
        <f>IFERROR(__xludf.DUMMYFUNCTION("""COMPUTED_VALUE"""),"다진 마늘")</f>
        <v>다진 마늘</v>
      </c>
    </row>
    <row r="6600">
      <c r="A6600" s="2" t="str">
        <f>IFERROR(__xludf.DUMMYFUNCTION("""COMPUTED_VALUE"""),"갈크러쉬")</f>
        <v>갈크러쉬</v>
      </c>
      <c r="B6600" s="2" t="str">
        <f>IFERROR(__xludf.DUMMYFUNCTION("""COMPUTED_VALUE"""),"간장")</f>
        <v>간장</v>
      </c>
    </row>
    <row r="6601">
      <c r="A6601" s="2" t="str">
        <f>IFERROR(__xludf.DUMMYFUNCTION("""COMPUTED_VALUE"""),"갈크러쉬")</f>
        <v>갈크러쉬</v>
      </c>
      <c r="B6601" s="2" t="str">
        <f>IFERROR(__xludf.DUMMYFUNCTION("""COMPUTED_VALUE"""),"양파")</f>
        <v>양파</v>
      </c>
    </row>
    <row r="6602">
      <c r="A6602" s="2" t="str">
        <f>IFERROR(__xludf.DUMMYFUNCTION("""COMPUTED_VALUE"""),"갈크러쉬")</f>
        <v>갈크러쉬</v>
      </c>
      <c r="B6602" s="2" t="str">
        <f>IFERROR(__xludf.DUMMYFUNCTION("""COMPUTED_VALUE"""),"대파")</f>
        <v>대파</v>
      </c>
    </row>
    <row r="6603">
      <c r="A6603" s="2" t="str">
        <f>IFERROR(__xludf.DUMMYFUNCTION("""COMPUTED_VALUE"""),"갈크러쉬")</f>
        <v>갈크러쉬</v>
      </c>
      <c r="B6603" s="2" t="str">
        <f>IFERROR(__xludf.DUMMYFUNCTION("""COMPUTED_VALUE"""),"밀가루")</f>
        <v>밀가루</v>
      </c>
    </row>
    <row r="6604">
      <c r="A6604" s="2" t="str">
        <f>IFERROR(__xludf.DUMMYFUNCTION("""COMPUTED_VALUE"""),"갈크러쉬")</f>
        <v>갈크러쉬</v>
      </c>
      <c r="B6604" s="2" t="str">
        <f>IFERROR(__xludf.DUMMYFUNCTION("""COMPUTED_VALUE"""),"마늘")</f>
        <v>마늘</v>
      </c>
    </row>
    <row r="6605">
      <c r="A6605" s="2" t="str">
        <f>IFERROR(__xludf.DUMMYFUNCTION("""COMPUTED_VALUE"""),"갈크러쉬")</f>
        <v>갈크러쉬</v>
      </c>
      <c r="B6605" s="2" t="str">
        <f>IFERROR(__xludf.DUMMYFUNCTION("""COMPUTED_VALUE"""),"청양고추")</f>
        <v>청양고추</v>
      </c>
    </row>
    <row r="6606">
      <c r="A6606" s="2" t="str">
        <f>IFERROR(__xludf.DUMMYFUNCTION("""COMPUTED_VALUE"""),"갈크러쉬")</f>
        <v>갈크러쉬</v>
      </c>
      <c r="B6606" s="2" t="str">
        <f>IFERROR(__xludf.DUMMYFUNCTION("""COMPUTED_VALUE"""),"후추")</f>
        <v>후추</v>
      </c>
    </row>
    <row r="6607">
      <c r="A6607" s="2" t="str">
        <f>IFERROR(__xludf.DUMMYFUNCTION("""COMPUTED_VALUE"""),"고기만두 먹으러 왜 안 왔어?")</f>
        <v>고기만두 먹으러 왜 안 왔어?</v>
      </c>
      <c r="B6607" s="2" t="str">
        <f>IFERROR(__xludf.DUMMYFUNCTION("""COMPUTED_VALUE"""),"부챗살")</f>
        <v>부챗살</v>
      </c>
    </row>
    <row r="6608">
      <c r="A6608" s="2" t="str">
        <f>IFERROR(__xludf.DUMMYFUNCTION("""COMPUTED_VALUE"""),"고기만두 먹으러 왜 안 왔어?")</f>
        <v>고기만두 먹으러 왜 안 왔어?</v>
      </c>
      <c r="B6608" s="2" t="str">
        <f>IFERROR(__xludf.DUMMYFUNCTION("""COMPUTED_VALUE"""),"삼겹살")</f>
        <v>삼겹살</v>
      </c>
    </row>
    <row r="6609">
      <c r="A6609" s="2" t="str">
        <f>IFERROR(__xludf.DUMMYFUNCTION("""COMPUTED_VALUE"""),"고기만두 먹으러 왜 안 왔어?")</f>
        <v>고기만두 먹으러 왜 안 왔어?</v>
      </c>
      <c r="B6609" s="2" t="str">
        <f>IFERROR(__xludf.DUMMYFUNCTION("""COMPUTED_VALUE"""),"굴소스")</f>
        <v>굴소스</v>
      </c>
    </row>
    <row r="6610">
      <c r="A6610" s="2" t="str">
        <f>IFERROR(__xludf.DUMMYFUNCTION("""COMPUTED_VALUE"""),"고기만두 먹으러 왜 안 왔어?")</f>
        <v>고기만두 먹으러 왜 안 왔어?</v>
      </c>
      <c r="B6610" s="2" t="str">
        <f>IFERROR(__xludf.DUMMYFUNCTION("""COMPUTED_VALUE"""),"목살")</f>
        <v>목살</v>
      </c>
    </row>
    <row r="6611">
      <c r="A6611" s="2" t="str">
        <f>IFERROR(__xludf.DUMMYFUNCTION("""COMPUTED_VALUE"""),"고기만두 먹으러 왜 안 왔어?")</f>
        <v>고기만두 먹으러 왜 안 왔어?</v>
      </c>
      <c r="B6611" s="2" t="str">
        <f>IFERROR(__xludf.DUMMYFUNCTION("""COMPUTED_VALUE"""),"양송이버섯")</f>
        <v>양송이버섯</v>
      </c>
    </row>
    <row r="6612">
      <c r="A6612" s="2" t="str">
        <f>IFERROR(__xludf.DUMMYFUNCTION("""COMPUTED_VALUE"""),"고기만두 먹으러 왜 안 왔어?")</f>
        <v>고기만두 먹으러 왜 안 왔어?</v>
      </c>
      <c r="B6612" s="2" t="str">
        <f>IFERROR(__xludf.DUMMYFUNCTION("""COMPUTED_VALUE"""),"애호박")</f>
        <v>애호박</v>
      </c>
    </row>
    <row r="6613">
      <c r="A6613" s="2" t="str">
        <f>IFERROR(__xludf.DUMMYFUNCTION("""COMPUTED_VALUE"""),"고기만두 먹으러 왜 안 왔어?")</f>
        <v>고기만두 먹으러 왜 안 왔어?</v>
      </c>
      <c r="B6613" s="2" t="str">
        <f>IFERROR(__xludf.DUMMYFUNCTION("""COMPUTED_VALUE"""),"XO소스")</f>
        <v>XO소스</v>
      </c>
    </row>
    <row r="6614">
      <c r="A6614" s="2" t="str">
        <f>IFERROR(__xludf.DUMMYFUNCTION("""COMPUTED_VALUE"""),"고기만두 먹으러 왜 안 왔어?")</f>
        <v>고기만두 먹으러 왜 안 왔어?</v>
      </c>
      <c r="B6614" s="2" t="str">
        <f>IFERROR(__xludf.DUMMYFUNCTION("""COMPUTED_VALUE"""),"다진 생강")</f>
        <v>다진 생강</v>
      </c>
    </row>
    <row r="6615">
      <c r="A6615" s="2" t="str">
        <f>IFERROR(__xludf.DUMMYFUNCTION("""COMPUTED_VALUE"""),"고기만두 먹으러 왜 안 왔어?")</f>
        <v>고기만두 먹으러 왜 안 왔어?</v>
      </c>
      <c r="B6615" s="2" t="str">
        <f>IFERROR(__xludf.DUMMYFUNCTION("""COMPUTED_VALUE"""),"청주")</f>
        <v>청주</v>
      </c>
    </row>
    <row r="6616">
      <c r="A6616" s="2" t="str">
        <f>IFERROR(__xludf.DUMMYFUNCTION("""COMPUTED_VALUE"""),"고기만두 먹으러 왜 안 왔어?")</f>
        <v>고기만두 먹으러 왜 안 왔어?</v>
      </c>
      <c r="B6616" s="2" t="str">
        <f>IFERROR(__xludf.DUMMYFUNCTION("""COMPUTED_VALUE"""),"양파")</f>
        <v>양파</v>
      </c>
    </row>
    <row r="6617">
      <c r="A6617" s="2" t="str">
        <f>IFERROR(__xludf.DUMMYFUNCTION("""COMPUTED_VALUE"""),"고기만두 먹으러 왜 안 왔어?")</f>
        <v>고기만두 먹으러 왜 안 왔어?</v>
      </c>
      <c r="B6617" s="2" t="str">
        <f>IFERROR(__xludf.DUMMYFUNCTION("""COMPUTED_VALUE"""),"대파")</f>
        <v>대파</v>
      </c>
    </row>
    <row r="6618">
      <c r="A6618" s="2" t="str">
        <f>IFERROR(__xludf.DUMMYFUNCTION("""COMPUTED_VALUE"""),"고기만두 먹으러 왜 안 왔어?")</f>
        <v>고기만두 먹으러 왜 안 왔어?</v>
      </c>
      <c r="B6618" s="2" t="str">
        <f>IFERROR(__xludf.DUMMYFUNCTION("""COMPUTED_VALUE"""),"소금")</f>
        <v>소금</v>
      </c>
    </row>
    <row r="6619">
      <c r="A6619" s="2" t="str">
        <f>IFERROR(__xludf.DUMMYFUNCTION("""COMPUTED_VALUE"""),"고기만두 먹으러 왜 안 왔어?")</f>
        <v>고기만두 먹으러 왜 안 왔어?</v>
      </c>
      <c r="B6619" s="2" t="str">
        <f>IFERROR(__xludf.DUMMYFUNCTION("""COMPUTED_VALUE"""),"후추")</f>
        <v>후추</v>
      </c>
    </row>
    <row r="6620">
      <c r="A6620" s="2" t="str">
        <f>IFERROR(__xludf.DUMMYFUNCTION("""COMPUTED_VALUE"""),"고기만두 먹으러 왜 안 왔어?")</f>
        <v>고기만두 먹으러 왜 안 왔어?</v>
      </c>
      <c r="B6620" s="2" t="str">
        <f>IFERROR(__xludf.DUMMYFUNCTION("""COMPUTED_VALUE"""),"전분")</f>
        <v>전분</v>
      </c>
    </row>
    <row r="6621">
      <c r="A6621" s="2" t="str">
        <f>IFERROR(__xludf.DUMMYFUNCTION("""COMPUTED_VALUE"""),"고기만두 먹으러 왜 안 왔어?")</f>
        <v>고기만두 먹으러 왜 안 왔어?</v>
      </c>
      <c r="B6621" s="2" t="str">
        <f>IFERROR(__xludf.DUMMYFUNCTION("""COMPUTED_VALUE"""),"고춧가루")</f>
        <v>고춧가루</v>
      </c>
    </row>
    <row r="6622">
      <c r="A6622" s="2" t="str">
        <f>IFERROR(__xludf.DUMMYFUNCTION("""COMPUTED_VALUE"""),"고기만두 먹으러 왜 안 왔어?")</f>
        <v>고기만두 먹으러 왜 안 왔어?</v>
      </c>
      <c r="B6622" s="2" t="str">
        <f>IFERROR(__xludf.DUMMYFUNCTION("""COMPUTED_VALUE"""),"당근")</f>
        <v>당근</v>
      </c>
    </row>
    <row r="6623">
      <c r="A6623" s="2" t="str">
        <f>IFERROR(__xludf.DUMMYFUNCTION("""COMPUTED_VALUE"""),"고기만두 먹으러 왜 안 왔어?")</f>
        <v>고기만두 먹으러 왜 안 왔어?</v>
      </c>
      <c r="B6623" s="2" t="str">
        <f>IFERROR(__xludf.DUMMYFUNCTION("""COMPUTED_VALUE"""),"마늘")</f>
        <v>마늘</v>
      </c>
    </row>
    <row r="6624">
      <c r="A6624" s="2" t="str">
        <f>IFERROR(__xludf.DUMMYFUNCTION("""COMPUTED_VALUE"""),"고기만두 먹으러 왜 안 왔어?")</f>
        <v>고기만두 먹으러 왜 안 왔어?</v>
      </c>
      <c r="B6624" s="2" t="str">
        <f>IFERROR(__xludf.DUMMYFUNCTION("""COMPUTED_VALUE"""),"간장")</f>
        <v>간장</v>
      </c>
    </row>
    <row r="6625">
      <c r="A6625" s="2" t="str">
        <f>IFERROR(__xludf.DUMMYFUNCTION("""COMPUTED_VALUE"""),"안심펀치 쓰리강냉이")</f>
        <v>안심펀치 쓰리강냉이</v>
      </c>
      <c r="B6625" s="2" t="str">
        <f>IFERROR(__xludf.DUMMYFUNCTION("""COMPUTED_VALUE"""),"소고기 안심")</f>
        <v>소고기 안심</v>
      </c>
    </row>
    <row r="6626">
      <c r="A6626" s="2" t="str">
        <f>IFERROR(__xludf.DUMMYFUNCTION("""COMPUTED_VALUE"""),"안심펀치 쓰리강냉이")</f>
        <v>안심펀치 쓰리강냉이</v>
      </c>
      <c r="B6626" s="2" t="str">
        <f>IFERROR(__xludf.DUMMYFUNCTION("""COMPUTED_VALUE"""),"베이컨")</f>
        <v>베이컨</v>
      </c>
    </row>
    <row r="6627">
      <c r="A6627" s="2" t="str">
        <f>IFERROR(__xludf.DUMMYFUNCTION("""COMPUTED_VALUE"""),"안심펀치 쓰리강냉이")</f>
        <v>안심펀치 쓰리강냉이</v>
      </c>
      <c r="B6627" s="2" t="str">
        <f>IFERROR(__xludf.DUMMYFUNCTION("""COMPUTED_VALUE"""),"트러플오일")</f>
        <v>트러플오일</v>
      </c>
    </row>
    <row r="6628">
      <c r="A6628" s="2" t="str">
        <f>IFERROR(__xludf.DUMMYFUNCTION("""COMPUTED_VALUE"""),"안심펀치 쓰리강냉이")</f>
        <v>안심펀치 쓰리강냉이</v>
      </c>
      <c r="B6628" s="2" t="str">
        <f>IFERROR(__xludf.DUMMYFUNCTION("""COMPUTED_VALUE"""),"휘핑크림")</f>
        <v>휘핑크림</v>
      </c>
    </row>
    <row r="6629">
      <c r="A6629" s="2" t="str">
        <f>IFERROR(__xludf.DUMMYFUNCTION("""COMPUTED_VALUE"""),"안심펀치 쓰리강냉이")</f>
        <v>안심펀치 쓰리강냉이</v>
      </c>
      <c r="B6629" s="2" t="str">
        <f>IFERROR(__xludf.DUMMYFUNCTION("""COMPUTED_VALUE"""),"푸아그라")</f>
        <v>푸아그라</v>
      </c>
    </row>
    <row r="6630">
      <c r="A6630" s="2" t="str">
        <f>IFERROR(__xludf.DUMMYFUNCTION("""COMPUTED_VALUE"""),"안심펀치 쓰리강냉이")</f>
        <v>안심펀치 쓰리강냉이</v>
      </c>
      <c r="B6630" s="2" t="str">
        <f>IFERROR(__xludf.DUMMYFUNCTION("""COMPUTED_VALUE"""),"파르메산 치즈")</f>
        <v>파르메산 치즈</v>
      </c>
    </row>
    <row r="6631">
      <c r="A6631" s="2" t="str">
        <f>IFERROR(__xludf.DUMMYFUNCTION("""COMPUTED_VALUE"""),"안심펀치 쓰리강냉이")</f>
        <v>안심펀치 쓰리강냉이</v>
      </c>
      <c r="B6631" s="2" t="str">
        <f>IFERROR(__xludf.DUMMYFUNCTION("""COMPUTED_VALUE"""),"가지")</f>
        <v>가지</v>
      </c>
    </row>
    <row r="6632">
      <c r="A6632" s="2" t="str">
        <f>IFERROR(__xludf.DUMMYFUNCTION("""COMPUTED_VALUE"""),"안심펀치 쓰리강냉이")</f>
        <v>안심펀치 쓰리강냉이</v>
      </c>
      <c r="B6632" s="2" t="str">
        <f>IFERROR(__xludf.DUMMYFUNCTION("""COMPUTED_VALUE"""),"스테이크시즈닝")</f>
        <v>스테이크시즈닝</v>
      </c>
    </row>
    <row r="6633">
      <c r="A6633" s="2" t="str">
        <f>IFERROR(__xludf.DUMMYFUNCTION("""COMPUTED_VALUE"""),"안심펀치 쓰리강냉이")</f>
        <v>안심펀치 쓰리강냉이</v>
      </c>
      <c r="B6633" s="2" t="str">
        <f>IFERROR(__xludf.DUMMYFUNCTION("""COMPUTED_VALUE"""),"소금")</f>
        <v>소금</v>
      </c>
    </row>
    <row r="6634">
      <c r="A6634" s="2" t="str">
        <f>IFERROR(__xludf.DUMMYFUNCTION("""COMPUTED_VALUE"""),"안심펀치 쓰리강냉이")</f>
        <v>안심펀치 쓰리강냉이</v>
      </c>
      <c r="B6634" s="2" t="str">
        <f>IFERROR(__xludf.DUMMYFUNCTION("""COMPUTED_VALUE"""),"후추")</f>
        <v>후추</v>
      </c>
    </row>
    <row r="6635">
      <c r="A6635" s="2" t="str">
        <f>IFERROR(__xludf.DUMMYFUNCTION("""COMPUTED_VALUE"""),"안심펀치 쓰리강냉이")</f>
        <v>안심펀치 쓰리강냉이</v>
      </c>
      <c r="B6635" s="2" t="str">
        <f>IFERROR(__xludf.DUMMYFUNCTION("""COMPUTED_VALUE"""),"마늘")</f>
        <v>마늘</v>
      </c>
    </row>
    <row r="6636">
      <c r="A6636" s="2" t="str">
        <f>IFERROR(__xludf.DUMMYFUNCTION("""COMPUTED_VALUE"""),"안심펀치 쓰리강냉이")</f>
        <v>안심펀치 쓰리강냉이</v>
      </c>
      <c r="B6636" s="2" t="str">
        <f>IFERROR(__xludf.DUMMYFUNCTION("""COMPUTED_VALUE"""),"버터")</f>
        <v>버터</v>
      </c>
    </row>
    <row r="6637">
      <c r="A6637" s="2" t="str">
        <f>IFERROR(__xludf.DUMMYFUNCTION("""COMPUTED_VALUE"""),"안심펀치 쓰리강냉이")</f>
        <v>안심펀치 쓰리강냉이</v>
      </c>
      <c r="B6637" s="2" t="str">
        <f>IFERROR(__xludf.DUMMYFUNCTION("""COMPUTED_VALUE"""),"청주")</f>
        <v>청주</v>
      </c>
    </row>
    <row r="6638">
      <c r="A6638" s="2" t="str">
        <f>IFERROR(__xludf.DUMMYFUNCTION("""COMPUTED_VALUE"""),"안심펀치 쓰리강냉이")</f>
        <v>안심펀치 쓰리강냉이</v>
      </c>
      <c r="B6638" s="2" t="str">
        <f>IFERROR(__xludf.DUMMYFUNCTION("""COMPUTED_VALUE"""),"양파")</f>
        <v>양파</v>
      </c>
    </row>
    <row r="6639">
      <c r="A6639" s="2" t="str">
        <f>IFERROR(__xludf.DUMMYFUNCTION("""COMPUTED_VALUE"""),"안심펀치 쓰리강냉이")</f>
        <v>안심펀치 쓰리강냉이</v>
      </c>
      <c r="B6639" s="2" t="str">
        <f>IFERROR(__xludf.DUMMYFUNCTION("""COMPUTED_VALUE"""),"대파")</f>
        <v>대파</v>
      </c>
    </row>
    <row r="6640">
      <c r="A6640" s="2" t="str">
        <f>IFERROR(__xludf.DUMMYFUNCTION("""COMPUTED_VALUE"""),"긴풍면")</f>
        <v>긴풍면</v>
      </c>
      <c r="B6640" s="2" t="str">
        <f>IFERROR(__xludf.DUMMYFUNCTION("""COMPUTED_VALUE"""),"소고기 안심")</f>
        <v>소고기 안심</v>
      </c>
    </row>
    <row r="6641">
      <c r="A6641" s="2" t="str">
        <f>IFERROR(__xludf.DUMMYFUNCTION("""COMPUTED_VALUE"""),"긴풍면")</f>
        <v>긴풍면</v>
      </c>
      <c r="B6641" s="2" t="str">
        <f>IFERROR(__xludf.DUMMYFUNCTION("""COMPUTED_VALUE"""),"무")</f>
        <v>무</v>
      </c>
    </row>
    <row r="6642">
      <c r="A6642" s="2" t="str">
        <f>IFERROR(__xludf.DUMMYFUNCTION("""COMPUTED_VALUE"""),"긴풍면")</f>
        <v>긴풍면</v>
      </c>
      <c r="B6642" s="2" t="str">
        <f>IFERROR(__xludf.DUMMYFUNCTION("""COMPUTED_VALUE"""),"피시소스")</f>
        <v>피시소스</v>
      </c>
    </row>
    <row r="6643">
      <c r="A6643" s="2" t="str">
        <f>IFERROR(__xludf.DUMMYFUNCTION("""COMPUTED_VALUE"""),"긴풍면")</f>
        <v>긴풍면</v>
      </c>
      <c r="B6643" s="2" t="str">
        <f>IFERROR(__xludf.DUMMYFUNCTION("""COMPUTED_VALUE"""),"굴소스")</f>
        <v>굴소스</v>
      </c>
    </row>
    <row r="6644">
      <c r="A6644" s="2" t="str">
        <f>IFERROR(__xludf.DUMMYFUNCTION("""COMPUTED_VALUE"""),"긴풍면")</f>
        <v>긴풍면</v>
      </c>
      <c r="B6644" s="2" t="str">
        <f>IFERROR(__xludf.DUMMYFUNCTION("""COMPUTED_VALUE"""),"밀가루")</f>
        <v>밀가루</v>
      </c>
    </row>
    <row r="6645">
      <c r="A6645" s="2" t="str">
        <f>IFERROR(__xludf.DUMMYFUNCTION("""COMPUTED_VALUE"""),"긴풍면")</f>
        <v>긴풍면</v>
      </c>
      <c r="B6645" s="2" t="str">
        <f>IFERROR(__xludf.DUMMYFUNCTION("""COMPUTED_VALUE"""),"대파")</f>
        <v>대파</v>
      </c>
    </row>
    <row r="6646">
      <c r="A6646" s="2" t="str">
        <f>IFERROR(__xludf.DUMMYFUNCTION("""COMPUTED_VALUE"""),"긴풍면")</f>
        <v>긴풍면</v>
      </c>
      <c r="B6646" s="2" t="str">
        <f>IFERROR(__xludf.DUMMYFUNCTION("""COMPUTED_VALUE"""),"들기름")</f>
        <v>들기름</v>
      </c>
    </row>
    <row r="6647">
      <c r="A6647" s="2" t="str">
        <f>IFERROR(__xludf.DUMMYFUNCTION("""COMPUTED_VALUE"""),"긴풍면")</f>
        <v>긴풍면</v>
      </c>
      <c r="B6647" s="2" t="str">
        <f>IFERROR(__xludf.DUMMYFUNCTION("""COMPUTED_VALUE"""),"맛술")</f>
        <v>맛술</v>
      </c>
    </row>
    <row r="6648">
      <c r="A6648" s="2" t="str">
        <f>IFERROR(__xludf.DUMMYFUNCTION("""COMPUTED_VALUE"""),"긴풍면")</f>
        <v>긴풍면</v>
      </c>
      <c r="B6648" s="2" t="str">
        <f>IFERROR(__xludf.DUMMYFUNCTION("""COMPUTED_VALUE"""),"식초")</f>
        <v>식초</v>
      </c>
    </row>
    <row r="6649">
      <c r="A6649" s="2" t="str">
        <f>IFERROR(__xludf.DUMMYFUNCTION("""COMPUTED_VALUE"""),"긴풍면")</f>
        <v>긴풍면</v>
      </c>
      <c r="B6649" s="2" t="str">
        <f>IFERROR(__xludf.DUMMYFUNCTION("""COMPUTED_VALUE"""),"고춧가루")</f>
        <v>고춧가루</v>
      </c>
    </row>
    <row r="6650">
      <c r="A6650" s="2" t="str">
        <f>IFERROR(__xludf.DUMMYFUNCTION("""COMPUTED_VALUE"""),"긴풍면")</f>
        <v>긴풍면</v>
      </c>
      <c r="B6650" s="2" t="str">
        <f>IFERROR(__xludf.DUMMYFUNCTION("""COMPUTED_VALUE"""),"다진 마늘")</f>
        <v>다진 마늘</v>
      </c>
    </row>
    <row r="6651">
      <c r="A6651" s="2" t="str">
        <f>IFERROR(__xludf.DUMMYFUNCTION("""COMPUTED_VALUE"""),"우동 튀튀♬")</f>
        <v>우동 튀튀♬</v>
      </c>
      <c r="B6651" s="2" t="str">
        <f>IFERROR(__xludf.DUMMYFUNCTION("""COMPUTED_VALUE"""),"애호박")</f>
        <v>애호박</v>
      </c>
    </row>
    <row r="6652">
      <c r="A6652" s="2" t="str">
        <f>IFERROR(__xludf.DUMMYFUNCTION("""COMPUTED_VALUE"""),"우동 튀튀♬")</f>
        <v>우동 튀튀♬</v>
      </c>
      <c r="B6652" s="2" t="str">
        <f>IFERROR(__xludf.DUMMYFUNCTION("""COMPUTED_VALUE"""),"가지")</f>
        <v>가지</v>
      </c>
    </row>
    <row r="6653">
      <c r="A6653" s="2" t="str">
        <f>IFERROR(__xludf.DUMMYFUNCTION("""COMPUTED_VALUE"""),"우동 튀튀♬")</f>
        <v>우동 튀튀♬</v>
      </c>
      <c r="B6653" s="2" t="str">
        <f>IFERROR(__xludf.DUMMYFUNCTION("""COMPUTED_VALUE"""),"만가닥버섯")</f>
        <v>만가닥버섯</v>
      </c>
    </row>
    <row r="6654">
      <c r="A6654" s="2" t="str">
        <f>IFERROR(__xludf.DUMMYFUNCTION("""COMPUTED_VALUE"""),"우동 튀튀♬")</f>
        <v>우동 튀튀♬</v>
      </c>
      <c r="B6654" s="2" t="str">
        <f>IFERROR(__xludf.DUMMYFUNCTION("""COMPUTED_VALUE"""),"관자")</f>
        <v>관자</v>
      </c>
    </row>
    <row r="6655">
      <c r="A6655" s="2" t="str">
        <f>IFERROR(__xludf.DUMMYFUNCTION("""COMPUTED_VALUE"""),"우동 튀튀♬")</f>
        <v>우동 튀튀♬</v>
      </c>
      <c r="B6655" s="2" t="str">
        <f>IFERROR(__xludf.DUMMYFUNCTION("""COMPUTED_VALUE"""),"무")</f>
        <v>무</v>
      </c>
    </row>
    <row r="6656">
      <c r="A6656" s="2" t="str">
        <f>IFERROR(__xludf.DUMMYFUNCTION("""COMPUTED_VALUE"""),"우동 튀튀♬")</f>
        <v>우동 튀튀♬</v>
      </c>
      <c r="B6656" s="2" t="str">
        <f>IFERROR(__xludf.DUMMYFUNCTION("""COMPUTED_VALUE"""),"쪽파")</f>
        <v>쪽파</v>
      </c>
    </row>
    <row r="6657">
      <c r="A6657" s="2" t="str">
        <f>IFERROR(__xludf.DUMMYFUNCTION("""COMPUTED_VALUE"""),"우동 튀튀♬")</f>
        <v>우동 튀튀♬</v>
      </c>
      <c r="B6657" s="2" t="str">
        <f>IFERROR(__xludf.DUMMYFUNCTION("""COMPUTED_VALUE"""),"밀가루")</f>
        <v>밀가루</v>
      </c>
    </row>
    <row r="6658">
      <c r="A6658" s="2" t="str">
        <f>IFERROR(__xludf.DUMMYFUNCTION("""COMPUTED_VALUE"""),"우동 튀튀♬")</f>
        <v>우동 튀튀♬</v>
      </c>
      <c r="B6658" s="2" t="str">
        <f>IFERROR(__xludf.DUMMYFUNCTION("""COMPUTED_VALUE"""),"소금")</f>
        <v>소금</v>
      </c>
    </row>
    <row r="6659">
      <c r="A6659" s="2" t="str">
        <f>IFERROR(__xludf.DUMMYFUNCTION("""COMPUTED_VALUE"""),"우동 튀튀♬")</f>
        <v>우동 튀튀♬</v>
      </c>
      <c r="B6659" s="2" t="str">
        <f>IFERROR(__xludf.DUMMYFUNCTION("""COMPUTED_VALUE"""),"맛술")</f>
        <v>맛술</v>
      </c>
    </row>
    <row r="6660">
      <c r="A6660" s="2" t="str">
        <f>IFERROR(__xludf.DUMMYFUNCTION("""COMPUTED_VALUE"""),"우동 튀튀♬")</f>
        <v>우동 튀튀♬</v>
      </c>
      <c r="B6660" s="2" t="str">
        <f>IFERROR(__xludf.DUMMYFUNCTION("""COMPUTED_VALUE"""),"간장")</f>
        <v>간장</v>
      </c>
    </row>
    <row r="6661">
      <c r="A6661" s="2" t="str">
        <f>IFERROR(__xludf.DUMMYFUNCTION("""COMPUTED_VALUE"""),"우동 튀튀♬")</f>
        <v>우동 튀튀♬</v>
      </c>
      <c r="B6661" s="2" t="str">
        <f>IFERROR(__xludf.DUMMYFUNCTION("""COMPUTED_VALUE"""),"설탕")</f>
        <v>설탕</v>
      </c>
    </row>
    <row r="6662">
      <c r="A6662" s="2" t="str">
        <f>IFERROR(__xludf.DUMMYFUNCTION("""COMPUTED_VALUE"""),"우동 튀튀♬")</f>
        <v>우동 튀튀♬</v>
      </c>
      <c r="B6662" s="2" t="str">
        <f>IFERROR(__xludf.DUMMYFUNCTION("""COMPUTED_VALUE"""),"식초")</f>
        <v>식초</v>
      </c>
    </row>
    <row r="6663">
      <c r="A6663" s="2" t="str">
        <f>IFERROR(__xludf.DUMMYFUNCTION("""COMPUTED_VALUE"""),"우동 튀튀♬")</f>
        <v>우동 튀튀♬</v>
      </c>
      <c r="B6663" s="2" t="str">
        <f>IFERROR(__xludf.DUMMYFUNCTION("""COMPUTED_VALUE"""),"레몬")</f>
        <v>레몬</v>
      </c>
    </row>
    <row r="6664">
      <c r="A6664" s="2" t="str">
        <f>IFERROR(__xludf.DUMMYFUNCTION("""COMPUTED_VALUE"""),"산해딘미")</f>
        <v>산해딘미</v>
      </c>
      <c r="B6664" s="2" t="str">
        <f>IFERROR(__xludf.DUMMYFUNCTION("""COMPUTED_VALUE"""),"식빵")</f>
        <v>식빵</v>
      </c>
    </row>
    <row r="6665">
      <c r="A6665" s="2" t="str">
        <f>IFERROR(__xludf.DUMMYFUNCTION("""COMPUTED_VALUE"""),"산해딘미")</f>
        <v>산해딘미</v>
      </c>
      <c r="B6665" s="2" t="str">
        <f>IFERROR(__xludf.DUMMYFUNCTION("""COMPUTED_VALUE"""),"오징어")</f>
        <v>오징어</v>
      </c>
    </row>
    <row r="6666">
      <c r="A6666" s="2" t="str">
        <f>IFERROR(__xludf.DUMMYFUNCTION("""COMPUTED_VALUE"""),"산해딘미")</f>
        <v>산해딘미</v>
      </c>
      <c r="B6666" s="2" t="str">
        <f>IFERROR(__xludf.DUMMYFUNCTION("""COMPUTED_VALUE"""),"새우")</f>
        <v>새우</v>
      </c>
    </row>
    <row r="6667">
      <c r="A6667" s="2" t="str">
        <f>IFERROR(__xludf.DUMMYFUNCTION("""COMPUTED_VALUE"""),"산해딘미")</f>
        <v>산해딘미</v>
      </c>
      <c r="B6667" s="2" t="str">
        <f>IFERROR(__xludf.DUMMYFUNCTION("""COMPUTED_VALUE"""),"황민어")</f>
        <v>황민어</v>
      </c>
    </row>
    <row r="6668">
      <c r="A6668" s="2" t="str">
        <f>IFERROR(__xludf.DUMMYFUNCTION("""COMPUTED_VALUE"""),"산해딘미")</f>
        <v>산해딘미</v>
      </c>
      <c r="B6668" s="2" t="str">
        <f>IFERROR(__xludf.DUMMYFUNCTION("""COMPUTED_VALUE"""),"통조림 옥수수")</f>
        <v>통조림 옥수수</v>
      </c>
    </row>
    <row r="6669">
      <c r="A6669" s="2" t="str">
        <f>IFERROR(__xludf.DUMMYFUNCTION("""COMPUTED_VALUE"""),"산해딘미")</f>
        <v>산해딘미</v>
      </c>
      <c r="B6669" s="2" t="str">
        <f>IFERROR(__xludf.DUMMYFUNCTION("""COMPUTED_VALUE"""),"슬라이스 모차렐라치즈")</f>
        <v>슬라이스 모차렐라치즈</v>
      </c>
    </row>
    <row r="6670">
      <c r="A6670" s="2" t="str">
        <f>IFERROR(__xludf.DUMMYFUNCTION("""COMPUTED_VALUE"""),"산해딘미")</f>
        <v>산해딘미</v>
      </c>
      <c r="B6670" s="2" t="str">
        <f>IFERROR(__xludf.DUMMYFUNCTION("""COMPUTED_VALUE"""),"사과")</f>
        <v>사과</v>
      </c>
    </row>
    <row r="6671">
      <c r="A6671" s="2" t="str">
        <f>IFERROR(__xludf.DUMMYFUNCTION("""COMPUTED_VALUE"""),"산해딘미")</f>
        <v>산해딘미</v>
      </c>
      <c r="B6671" s="2" t="str">
        <f>IFERROR(__xludf.DUMMYFUNCTION("""COMPUTED_VALUE"""),"청국장")</f>
        <v>청국장</v>
      </c>
    </row>
    <row r="6672">
      <c r="A6672" s="2" t="str">
        <f>IFERROR(__xludf.DUMMYFUNCTION("""COMPUTED_VALUE"""),"산해딘미")</f>
        <v>산해딘미</v>
      </c>
      <c r="B6672" s="2" t="str">
        <f>IFERROR(__xludf.DUMMYFUNCTION("""COMPUTED_VALUE"""),"요구르트")</f>
        <v>요구르트</v>
      </c>
    </row>
    <row r="6673">
      <c r="A6673" s="2" t="str">
        <f>IFERROR(__xludf.DUMMYFUNCTION("""COMPUTED_VALUE"""),"산해딘미")</f>
        <v>산해딘미</v>
      </c>
      <c r="B6673" s="2" t="str">
        <f>IFERROR(__xludf.DUMMYFUNCTION("""COMPUTED_VALUE"""),"부추")</f>
        <v>부추</v>
      </c>
    </row>
    <row r="6674">
      <c r="A6674" s="2" t="str">
        <f>IFERROR(__xludf.DUMMYFUNCTION("""COMPUTED_VALUE"""),"산해딘미")</f>
        <v>산해딘미</v>
      </c>
      <c r="B6674" s="2" t="str">
        <f>IFERROR(__xludf.DUMMYFUNCTION("""COMPUTED_VALUE"""),"달걀")</f>
        <v>달걀</v>
      </c>
    </row>
    <row r="6675">
      <c r="A6675" s="2" t="str">
        <f>IFERROR(__xludf.DUMMYFUNCTION("""COMPUTED_VALUE"""),"산해딘미")</f>
        <v>산해딘미</v>
      </c>
      <c r="B6675" s="2" t="str">
        <f>IFERROR(__xludf.DUMMYFUNCTION("""COMPUTED_VALUE"""),"소금")</f>
        <v>소금</v>
      </c>
    </row>
    <row r="6676">
      <c r="A6676" s="2" t="str">
        <f>IFERROR(__xludf.DUMMYFUNCTION("""COMPUTED_VALUE"""),"산해딘미")</f>
        <v>산해딘미</v>
      </c>
      <c r="B6676" s="2" t="str">
        <f>IFERROR(__xludf.DUMMYFUNCTION("""COMPUTED_VALUE"""),"밀가루")</f>
        <v>밀가루</v>
      </c>
    </row>
    <row r="6677">
      <c r="A6677" s="2" t="str">
        <f>IFERROR(__xludf.DUMMYFUNCTION("""COMPUTED_VALUE"""),"산해딘미")</f>
        <v>산해딘미</v>
      </c>
      <c r="B6677" s="2" t="str">
        <f>IFERROR(__xludf.DUMMYFUNCTION("""COMPUTED_VALUE"""),"버터")</f>
        <v>버터</v>
      </c>
    </row>
    <row r="6678">
      <c r="A6678" s="2" t="str">
        <f>IFERROR(__xludf.DUMMYFUNCTION("""COMPUTED_VALUE"""),"산해딘미")</f>
        <v>산해딘미</v>
      </c>
      <c r="B6678" s="2" t="str">
        <f>IFERROR(__xludf.DUMMYFUNCTION("""COMPUTED_VALUE"""),"설탕")</f>
        <v>설탕</v>
      </c>
    </row>
    <row r="6679">
      <c r="A6679" s="2" t="str">
        <f>IFERROR(__xludf.DUMMYFUNCTION("""COMPUTED_VALUE"""),"산해딘미")</f>
        <v>산해딘미</v>
      </c>
      <c r="B6679" s="2" t="str">
        <f>IFERROR(__xludf.DUMMYFUNCTION("""COMPUTED_VALUE"""),"올리브오일")</f>
        <v>올리브오일</v>
      </c>
    </row>
    <row r="6680">
      <c r="A6680" s="2" t="str">
        <f>IFERROR(__xludf.DUMMYFUNCTION("""COMPUTED_VALUE"""),"산해딘미")</f>
        <v>산해딘미</v>
      </c>
      <c r="B6680" s="2" t="str">
        <f>IFERROR(__xludf.DUMMYFUNCTION("""COMPUTED_VALUE"""),"마요네즈")</f>
        <v>마요네즈</v>
      </c>
    </row>
    <row r="6681">
      <c r="A6681" s="2" t="str">
        <f>IFERROR(__xludf.DUMMYFUNCTION("""COMPUTED_VALUE"""),"산해딘미")</f>
        <v>산해딘미</v>
      </c>
      <c r="B6681" s="2" t="str">
        <f>IFERROR(__xludf.DUMMYFUNCTION("""COMPUTED_VALUE"""),"레몬")</f>
        <v>레몬</v>
      </c>
    </row>
    <row r="6682">
      <c r="A6682" s="2" t="str">
        <f>IFERROR(__xludf.DUMMYFUNCTION("""COMPUTED_VALUE"""),"딘토불이 떡볶이")</f>
        <v>딘토불이 떡볶이</v>
      </c>
      <c r="B6682" s="2" t="str">
        <f>IFERROR(__xludf.DUMMYFUNCTION("""COMPUTED_VALUE"""),"매생이")</f>
        <v>매생이</v>
      </c>
    </row>
    <row r="6683">
      <c r="A6683" s="2" t="str">
        <f>IFERROR(__xludf.DUMMYFUNCTION("""COMPUTED_VALUE"""),"딘토불이 떡볶이")</f>
        <v>딘토불이 떡볶이</v>
      </c>
      <c r="B6683" s="2" t="str">
        <f>IFERROR(__xludf.DUMMYFUNCTION("""COMPUTED_VALUE"""),"민어")</f>
        <v>민어</v>
      </c>
    </row>
    <row r="6684">
      <c r="A6684" s="2" t="str">
        <f>IFERROR(__xludf.DUMMYFUNCTION("""COMPUTED_VALUE"""),"딘토불이 떡볶이")</f>
        <v>딘토불이 떡볶이</v>
      </c>
      <c r="B6684" s="2" t="str">
        <f>IFERROR(__xludf.DUMMYFUNCTION("""COMPUTED_VALUE"""),"찹쌀가루")</f>
        <v>찹쌀가루</v>
      </c>
    </row>
    <row r="6685">
      <c r="A6685" s="2" t="str">
        <f>IFERROR(__xludf.DUMMYFUNCTION("""COMPUTED_VALUE"""),"딘토불이 떡볶이")</f>
        <v>딘토불이 떡볶이</v>
      </c>
      <c r="B6685" s="2" t="str">
        <f>IFERROR(__xludf.DUMMYFUNCTION("""COMPUTED_VALUE"""),"채끝살")</f>
        <v>채끝살</v>
      </c>
    </row>
    <row r="6686">
      <c r="A6686" s="2" t="str">
        <f>IFERROR(__xludf.DUMMYFUNCTION("""COMPUTED_VALUE"""),"딘토불이 떡볶이")</f>
        <v>딘토불이 떡볶이</v>
      </c>
      <c r="B6686" s="2" t="str">
        <f>IFERROR(__xludf.DUMMYFUNCTION("""COMPUTED_VALUE"""),"손질새우")</f>
        <v>손질새우</v>
      </c>
    </row>
    <row r="6687">
      <c r="A6687" s="2" t="str">
        <f>IFERROR(__xludf.DUMMYFUNCTION("""COMPUTED_VALUE"""),"딘토불이 떡볶이")</f>
        <v>딘토불이 떡볶이</v>
      </c>
      <c r="B6687" s="2" t="str">
        <f>IFERROR(__xludf.DUMMYFUNCTION("""COMPUTED_VALUE"""),"가죽나물")</f>
        <v>가죽나물</v>
      </c>
    </row>
    <row r="6688">
      <c r="A6688" s="2" t="str">
        <f>IFERROR(__xludf.DUMMYFUNCTION("""COMPUTED_VALUE"""),"딘토불이 떡볶이")</f>
        <v>딘토불이 떡볶이</v>
      </c>
      <c r="B6688" s="2" t="str">
        <f>IFERROR(__xludf.DUMMYFUNCTION("""COMPUTED_VALUE"""),"깻잎장아찌")</f>
        <v>깻잎장아찌</v>
      </c>
    </row>
    <row r="6689">
      <c r="A6689" s="2" t="str">
        <f>IFERROR(__xludf.DUMMYFUNCTION("""COMPUTED_VALUE"""),"딘토불이 떡볶이")</f>
        <v>딘토불이 떡볶이</v>
      </c>
      <c r="B6689" s="2" t="str">
        <f>IFERROR(__xludf.DUMMYFUNCTION("""COMPUTED_VALUE"""),"고추장아찌")</f>
        <v>고추장아찌</v>
      </c>
    </row>
    <row r="6690">
      <c r="A6690" s="2" t="str">
        <f>IFERROR(__xludf.DUMMYFUNCTION("""COMPUTED_VALUE"""),"딘토불이 떡볶이")</f>
        <v>딘토불이 떡볶이</v>
      </c>
      <c r="B6690" s="2" t="str">
        <f>IFERROR(__xludf.DUMMYFUNCTION("""COMPUTED_VALUE"""),"장조림")</f>
        <v>장조림</v>
      </c>
    </row>
    <row r="6691">
      <c r="A6691" s="2" t="str">
        <f>IFERROR(__xludf.DUMMYFUNCTION("""COMPUTED_VALUE"""),"딘토불이 떡볶이")</f>
        <v>딘토불이 떡볶이</v>
      </c>
      <c r="B6691" s="2" t="str">
        <f>IFERROR(__xludf.DUMMYFUNCTION("""COMPUTED_VALUE"""),"사골육수")</f>
        <v>사골육수</v>
      </c>
    </row>
    <row r="6692">
      <c r="A6692" s="2" t="str">
        <f>IFERROR(__xludf.DUMMYFUNCTION("""COMPUTED_VALUE"""),"딘토불이 떡볶이")</f>
        <v>딘토불이 떡볶이</v>
      </c>
      <c r="B6692" s="2" t="str">
        <f>IFERROR(__xludf.DUMMYFUNCTION("""COMPUTED_VALUE"""),"밀가루")</f>
        <v>밀가루</v>
      </c>
    </row>
    <row r="6693">
      <c r="A6693" s="2" t="str">
        <f>IFERROR(__xludf.DUMMYFUNCTION("""COMPUTED_VALUE"""),"딘토불이 떡볶이")</f>
        <v>딘토불이 떡볶이</v>
      </c>
      <c r="B6693" s="2" t="str">
        <f>IFERROR(__xludf.DUMMYFUNCTION("""COMPUTED_VALUE"""),"소금")</f>
        <v>소금</v>
      </c>
    </row>
    <row r="6694">
      <c r="A6694" s="2" t="str">
        <f>IFERROR(__xludf.DUMMYFUNCTION("""COMPUTED_VALUE"""),"딘토불이 떡볶이")</f>
        <v>딘토불이 떡볶이</v>
      </c>
      <c r="B6694" s="2" t="str">
        <f>IFERROR(__xludf.DUMMYFUNCTION("""COMPUTED_VALUE"""),"후추")</f>
        <v>후추</v>
      </c>
    </row>
    <row r="6695">
      <c r="A6695" s="2" t="str">
        <f>IFERROR(__xludf.DUMMYFUNCTION("""COMPUTED_VALUE"""),"딘토불이 떡볶이")</f>
        <v>딘토불이 떡볶이</v>
      </c>
      <c r="B6695" s="2" t="str">
        <f>IFERROR(__xludf.DUMMYFUNCTION("""COMPUTED_VALUE"""),"양파")</f>
        <v>양파</v>
      </c>
    </row>
    <row r="6696">
      <c r="A6696" s="2" t="str">
        <f>IFERROR(__xludf.DUMMYFUNCTION("""COMPUTED_VALUE"""),"딘토불이 떡볶이")</f>
        <v>딘토불이 떡볶이</v>
      </c>
      <c r="B6696" s="2" t="str">
        <f>IFERROR(__xludf.DUMMYFUNCTION("""COMPUTED_VALUE"""),"설탕")</f>
        <v>설탕</v>
      </c>
    </row>
    <row r="6697">
      <c r="A6697" s="2" t="str">
        <f>IFERROR(__xludf.DUMMYFUNCTION("""COMPUTED_VALUE"""),"딘토불이 떡볶이")</f>
        <v>딘토불이 떡볶이</v>
      </c>
      <c r="B6697" s="2" t="str">
        <f>IFERROR(__xludf.DUMMYFUNCTION("""COMPUTED_VALUE"""),"식초")</f>
        <v>식초</v>
      </c>
    </row>
    <row r="6698">
      <c r="A6698" s="2" t="str">
        <f>IFERROR(__xludf.DUMMYFUNCTION("""COMPUTED_VALUE"""),"딘토불이 떡볶이")</f>
        <v>딘토불이 떡볶이</v>
      </c>
      <c r="B6698" s="2" t="str">
        <f>IFERROR(__xludf.DUMMYFUNCTION("""COMPUTED_VALUE"""),"전분")</f>
        <v>전분</v>
      </c>
    </row>
    <row r="6699">
      <c r="A6699" s="2" t="str">
        <f>IFERROR(__xludf.DUMMYFUNCTION("""COMPUTED_VALUE"""),"Caesar Salad with Deep fried oyster")</f>
        <v>Caesar Salad with Deep fried oyster</v>
      </c>
      <c r="B6699" s="2" t="str">
        <f>IFERROR(__xludf.DUMMYFUNCTION("""COMPUTED_VALUE"""),"식빵")</f>
        <v>식빵</v>
      </c>
    </row>
    <row r="6700">
      <c r="A6700" s="2" t="str">
        <f>IFERROR(__xludf.DUMMYFUNCTION("""COMPUTED_VALUE"""),"Caesar Salad with Deep fried oyster")</f>
        <v>Caesar Salad with Deep fried oyster</v>
      </c>
      <c r="B6700" s="2" t="str">
        <f>IFERROR(__xludf.DUMMYFUNCTION("""COMPUTED_VALUE"""),"새우젓")</f>
        <v>새우젓</v>
      </c>
    </row>
    <row r="6701">
      <c r="A6701" s="2" t="str">
        <f>IFERROR(__xludf.DUMMYFUNCTION("""COMPUTED_VALUE"""),"Caesar Salad with Deep fried oyster")</f>
        <v>Caesar Salad with Deep fried oyster</v>
      </c>
      <c r="B6701" s="2" t="str">
        <f>IFERROR(__xludf.DUMMYFUNCTION("""COMPUTED_VALUE"""),"멸치액젓")</f>
        <v>멸치액젓</v>
      </c>
    </row>
    <row r="6702">
      <c r="A6702" s="2" t="str">
        <f>IFERROR(__xludf.DUMMYFUNCTION("""COMPUTED_VALUE"""),"Caesar Salad with Deep fried oyster")</f>
        <v>Caesar Salad with Deep fried oyster</v>
      </c>
      <c r="B6702" s="2" t="str">
        <f>IFERROR(__xludf.DUMMYFUNCTION("""COMPUTED_VALUE"""),"알배추")</f>
        <v>알배추</v>
      </c>
    </row>
    <row r="6703">
      <c r="A6703" s="2" t="str">
        <f>IFERROR(__xludf.DUMMYFUNCTION("""COMPUTED_VALUE"""),"Caesar Salad with Deep fried oyster")</f>
        <v>Caesar Salad with Deep fried oyster</v>
      </c>
      <c r="B6703" s="2" t="str">
        <f>IFERROR(__xludf.DUMMYFUNCTION("""COMPUTED_VALUE"""),"굴")</f>
        <v>굴</v>
      </c>
    </row>
    <row r="6704">
      <c r="A6704" s="2" t="str">
        <f>IFERROR(__xludf.DUMMYFUNCTION("""COMPUTED_VALUE"""),"Caesar Salad with Deep fried oyster")</f>
        <v>Caesar Salad with Deep fried oyster</v>
      </c>
      <c r="B6704" s="2" t="str">
        <f>IFERROR(__xludf.DUMMYFUNCTION("""COMPUTED_VALUE"""),"베이컨")</f>
        <v>베이컨</v>
      </c>
    </row>
    <row r="6705">
      <c r="A6705" s="2" t="str">
        <f>IFERROR(__xludf.DUMMYFUNCTION("""COMPUTED_VALUE"""),"Caesar Salad with Deep fried oyster")</f>
        <v>Caesar Salad with Deep fried oyster</v>
      </c>
      <c r="B6705" s="2" t="str">
        <f>IFERROR(__xludf.DUMMYFUNCTION("""COMPUTED_VALUE"""),"허니머스터드")</f>
        <v>허니머스터드</v>
      </c>
    </row>
    <row r="6706">
      <c r="A6706" s="2" t="str">
        <f>IFERROR(__xludf.DUMMYFUNCTION("""COMPUTED_VALUE"""),"Caesar Salad with Deep fried oyster")</f>
        <v>Caesar Salad with Deep fried oyster</v>
      </c>
      <c r="B6706" s="2" t="str">
        <f>IFERROR(__xludf.DUMMYFUNCTION("""COMPUTED_VALUE"""),"파르메산 치즈가루")</f>
        <v>파르메산 치즈가루</v>
      </c>
    </row>
    <row r="6707">
      <c r="A6707" s="2" t="str">
        <f>IFERROR(__xludf.DUMMYFUNCTION("""COMPUTED_VALUE"""),"Caesar Salad with Deep fried oyster")</f>
        <v>Caesar Salad with Deep fried oyster</v>
      </c>
      <c r="B6707" s="2" t="str">
        <f>IFERROR(__xludf.DUMMYFUNCTION("""COMPUTED_VALUE"""),"팩 샐러드")</f>
        <v>팩 샐러드</v>
      </c>
    </row>
    <row r="6708">
      <c r="A6708" s="2" t="str">
        <f>IFERROR(__xludf.DUMMYFUNCTION("""COMPUTED_VALUE"""),"Caesar Salad with Deep fried oyster")</f>
        <v>Caesar Salad with Deep fried oyster</v>
      </c>
      <c r="B6708" s="2" t="str">
        <f>IFERROR(__xludf.DUMMYFUNCTION("""COMPUTED_VALUE"""),"버터")</f>
        <v>버터</v>
      </c>
    </row>
    <row r="6709">
      <c r="A6709" s="2" t="str">
        <f>IFERROR(__xludf.DUMMYFUNCTION("""COMPUTED_VALUE"""),"Caesar Salad with Deep fried oyster")</f>
        <v>Caesar Salad with Deep fried oyster</v>
      </c>
      <c r="B6709" s="2" t="str">
        <f>IFERROR(__xludf.DUMMYFUNCTION("""COMPUTED_VALUE"""),"올리브오일")</f>
        <v>올리브오일</v>
      </c>
    </row>
    <row r="6710">
      <c r="A6710" s="2" t="str">
        <f>IFERROR(__xludf.DUMMYFUNCTION("""COMPUTED_VALUE"""),"Caesar Salad with Deep fried oyster")</f>
        <v>Caesar Salad with Deep fried oyster</v>
      </c>
      <c r="B6710" s="2" t="str">
        <f>IFERROR(__xludf.DUMMYFUNCTION("""COMPUTED_VALUE"""),"달걀")</f>
        <v>달걀</v>
      </c>
    </row>
    <row r="6711">
      <c r="A6711" s="2" t="str">
        <f>IFERROR(__xludf.DUMMYFUNCTION("""COMPUTED_VALUE"""),"Caesar Salad with Deep fried oyster")</f>
        <v>Caesar Salad with Deep fried oyster</v>
      </c>
      <c r="B6711" s="2" t="str">
        <f>IFERROR(__xludf.DUMMYFUNCTION("""COMPUTED_VALUE"""),"후추")</f>
        <v>후추</v>
      </c>
    </row>
    <row r="6712">
      <c r="A6712" s="2" t="str">
        <f>IFERROR(__xludf.DUMMYFUNCTION("""COMPUTED_VALUE"""),"Caesar Salad with Deep fried oyster")</f>
        <v>Caesar Salad with Deep fried oyster</v>
      </c>
      <c r="B6712" s="2" t="str">
        <f>IFERROR(__xludf.DUMMYFUNCTION("""COMPUTED_VALUE"""),"밀가루")</f>
        <v>밀가루</v>
      </c>
    </row>
    <row r="6713">
      <c r="A6713" s="2" t="str">
        <f>IFERROR(__xludf.DUMMYFUNCTION("""COMPUTED_VALUE"""),"Caesar Salad with Deep fried oyster")</f>
        <v>Caesar Salad with Deep fried oyster</v>
      </c>
      <c r="B6713" s="2" t="str">
        <f>IFERROR(__xludf.DUMMYFUNCTION("""COMPUTED_VALUE"""),"식용유")</f>
        <v>식용유</v>
      </c>
    </row>
    <row r="6714">
      <c r="A6714" s="2" t="str">
        <f>IFERROR(__xludf.DUMMYFUNCTION("""COMPUTED_VALUE"""),"Caesar Salad with Deep fried oyster")</f>
        <v>Caesar Salad with Deep fried oyster</v>
      </c>
      <c r="B6714" s="2" t="str">
        <f>IFERROR(__xludf.DUMMYFUNCTION("""COMPUTED_VALUE"""),"레몬")</f>
        <v>레몬</v>
      </c>
    </row>
    <row r="6715">
      <c r="A6715" s="2" t="str">
        <f>IFERROR(__xludf.DUMMYFUNCTION("""COMPUTED_VALUE"""),"Caesar Salad with Deep fried oyster")</f>
        <v>Caesar Salad with Deep fried oyster</v>
      </c>
      <c r="B6715" s="2" t="str">
        <f>IFERROR(__xludf.DUMMYFUNCTION("""COMPUTED_VALUE"""),"다진 마늘")</f>
        <v>다진 마늘</v>
      </c>
    </row>
    <row r="6716">
      <c r="A6716" s="2" t="str">
        <f>IFERROR(__xludf.DUMMYFUNCTION("""COMPUTED_VALUE"""),"돈코츠 드소")</f>
        <v>돈코츠 드소</v>
      </c>
      <c r="B6716" s="2" t="str">
        <f>IFERROR(__xludf.DUMMYFUNCTION("""COMPUTED_VALUE"""),"토르티야")</f>
        <v>토르티야</v>
      </c>
    </row>
    <row r="6717">
      <c r="A6717" s="2" t="str">
        <f>IFERROR(__xludf.DUMMYFUNCTION("""COMPUTED_VALUE"""),"돈코츠 드소")</f>
        <v>돈코츠 드소</v>
      </c>
      <c r="B6717" s="2" t="str">
        <f>IFERROR(__xludf.DUMMYFUNCTION("""COMPUTED_VALUE"""),"다진 돼지고기")</f>
        <v>다진 돼지고기</v>
      </c>
    </row>
    <row r="6718">
      <c r="A6718" s="2" t="str">
        <f>IFERROR(__xludf.DUMMYFUNCTION("""COMPUTED_VALUE"""),"돈코츠 드소")</f>
        <v>돈코츠 드소</v>
      </c>
      <c r="B6718" s="2" t="str">
        <f>IFERROR(__xludf.DUMMYFUNCTION("""COMPUTED_VALUE"""),"베이컨")</f>
        <v>베이컨</v>
      </c>
    </row>
    <row r="6719">
      <c r="A6719" s="2" t="str">
        <f>IFERROR(__xludf.DUMMYFUNCTION("""COMPUTED_VALUE"""),"돈코츠 드소")</f>
        <v>돈코츠 드소</v>
      </c>
      <c r="B6719" s="2" t="str">
        <f>IFERROR(__xludf.DUMMYFUNCTION("""COMPUTED_VALUE"""),"사골육수")</f>
        <v>사골육수</v>
      </c>
    </row>
    <row r="6720">
      <c r="A6720" s="2" t="str">
        <f>IFERROR(__xludf.DUMMYFUNCTION("""COMPUTED_VALUE"""),"돈코츠 드소")</f>
        <v>돈코츠 드소</v>
      </c>
      <c r="B6720" s="2" t="str">
        <f>IFERROR(__xludf.DUMMYFUNCTION("""COMPUTED_VALUE"""),"슬라이스 모차렐라치즈")</f>
        <v>슬라이스 모차렐라치즈</v>
      </c>
    </row>
    <row r="6721">
      <c r="A6721" s="2" t="str">
        <f>IFERROR(__xludf.DUMMYFUNCTION("""COMPUTED_VALUE"""),"돈코츠 드소")</f>
        <v>돈코츠 드소</v>
      </c>
      <c r="B6721" s="2" t="str">
        <f>IFERROR(__xludf.DUMMYFUNCTION("""COMPUTED_VALUE"""),"슬라이스 체다치즈")</f>
        <v>슬라이스 체다치즈</v>
      </c>
    </row>
    <row r="6722">
      <c r="A6722" s="2" t="str">
        <f>IFERROR(__xludf.DUMMYFUNCTION("""COMPUTED_VALUE"""),"돈코츠 드소")</f>
        <v>돈코츠 드소</v>
      </c>
      <c r="B6722" s="2" t="str">
        <f>IFERROR(__xludf.DUMMYFUNCTION("""COMPUTED_VALUE"""),"안창살")</f>
        <v>안창살</v>
      </c>
    </row>
    <row r="6723">
      <c r="A6723" s="2" t="str">
        <f>IFERROR(__xludf.DUMMYFUNCTION("""COMPUTED_VALUE"""),"돈코츠 드소")</f>
        <v>돈코츠 드소</v>
      </c>
      <c r="B6723" s="2" t="str">
        <f>IFERROR(__xludf.DUMMYFUNCTION("""COMPUTED_VALUE"""),"브로콜리")</f>
        <v>브로콜리</v>
      </c>
    </row>
    <row r="6724">
      <c r="A6724" s="2" t="str">
        <f>IFERROR(__xludf.DUMMYFUNCTION("""COMPUTED_VALUE"""),"돈코츠 드소")</f>
        <v>돈코츠 드소</v>
      </c>
      <c r="B6724" s="2" t="str">
        <f>IFERROR(__xludf.DUMMYFUNCTION("""COMPUTED_VALUE"""),"버터")</f>
        <v>버터</v>
      </c>
    </row>
    <row r="6725">
      <c r="A6725" s="2" t="str">
        <f>IFERROR(__xludf.DUMMYFUNCTION("""COMPUTED_VALUE"""),"돈코츠 드소")</f>
        <v>돈코츠 드소</v>
      </c>
      <c r="B6725" s="2" t="str">
        <f>IFERROR(__xludf.DUMMYFUNCTION("""COMPUTED_VALUE"""),"마늘")</f>
        <v>마늘</v>
      </c>
    </row>
    <row r="6726">
      <c r="A6726" s="2" t="str">
        <f>IFERROR(__xludf.DUMMYFUNCTION("""COMPUTED_VALUE"""),"돈코츠 드소")</f>
        <v>돈코츠 드소</v>
      </c>
      <c r="B6726" s="2" t="str">
        <f>IFERROR(__xludf.DUMMYFUNCTION("""COMPUTED_VALUE"""),"양파")</f>
        <v>양파</v>
      </c>
    </row>
    <row r="6727">
      <c r="A6727" s="2" t="str">
        <f>IFERROR(__xludf.DUMMYFUNCTION("""COMPUTED_VALUE"""),"돈코츠 드소")</f>
        <v>돈코츠 드소</v>
      </c>
      <c r="B6727" s="2" t="str">
        <f>IFERROR(__xludf.DUMMYFUNCTION("""COMPUTED_VALUE"""),"대파")</f>
        <v>대파</v>
      </c>
    </row>
    <row r="6728">
      <c r="A6728" s="2" t="str">
        <f>IFERROR(__xludf.DUMMYFUNCTION("""COMPUTED_VALUE"""),"돈코츠 드소")</f>
        <v>돈코츠 드소</v>
      </c>
      <c r="B6728" s="2" t="str">
        <f>IFERROR(__xludf.DUMMYFUNCTION("""COMPUTED_VALUE"""),"된장")</f>
        <v>된장</v>
      </c>
    </row>
    <row r="6729">
      <c r="A6729" s="2" t="str">
        <f>IFERROR(__xludf.DUMMYFUNCTION("""COMPUTED_VALUE"""),"돈코츠 드소")</f>
        <v>돈코츠 드소</v>
      </c>
      <c r="B6729" s="2" t="str">
        <f>IFERROR(__xludf.DUMMYFUNCTION("""COMPUTED_VALUE"""),"후추")</f>
        <v>후추</v>
      </c>
    </row>
    <row r="6730">
      <c r="A6730" s="2" t="str">
        <f>IFERROR(__xludf.DUMMYFUNCTION("""COMPUTED_VALUE"""),"장어튀겼쌈")</f>
        <v>장어튀겼쌈</v>
      </c>
      <c r="B6730" s="2" t="str">
        <f>IFERROR(__xludf.DUMMYFUNCTION("""COMPUTED_VALUE"""),"무")</f>
        <v>무</v>
      </c>
    </row>
    <row r="6731">
      <c r="A6731" s="2" t="str">
        <f>IFERROR(__xludf.DUMMYFUNCTION("""COMPUTED_VALUE"""),"장어튀겼쌈")</f>
        <v>장어튀겼쌈</v>
      </c>
      <c r="B6731" s="2" t="str">
        <f>IFERROR(__xludf.DUMMYFUNCTION("""COMPUTED_VALUE"""),"장어")</f>
        <v>장어</v>
      </c>
    </row>
    <row r="6732">
      <c r="A6732" s="2" t="str">
        <f>IFERROR(__xludf.DUMMYFUNCTION("""COMPUTED_VALUE"""),"장어튀겼쌈")</f>
        <v>장어튀겼쌈</v>
      </c>
      <c r="B6732" s="2" t="str">
        <f>IFERROR(__xludf.DUMMYFUNCTION("""COMPUTED_VALUE"""),"명란젓")</f>
        <v>명란젓</v>
      </c>
    </row>
    <row r="6733">
      <c r="A6733" s="2" t="str">
        <f>IFERROR(__xludf.DUMMYFUNCTION("""COMPUTED_VALUE"""),"장어튀겼쌈")</f>
        <v>장어튀겼쌈</v>
      </c>
      <c r="B6733" s="2" t="str">
        <f>IFERROR(__xludf.DUMMYFUNCTION("""COMPUTED_VALUE"""),"오징어다리")</f>
        <v>오징어다리</v>
      </c>
    </row>
    <row r="6734">
      <c r="A6734" s="2" t="str">
        <f>IFERROR(__xludf.DUMMYFUNCTION("""COMPUTED_VALUE"""),"장어튀겼쌈")</f>
        <v>장어튀겼쌈</v>
      </c>
      <c r="B6734" s="2" t="str">
        <f>IFERROR(__xludf.DUMMYFUNCTION("""COMPUTED_VALUE"""),"양파")</f>
        <v>양파</v>
      </c>
    </row>
    <row r="6735">
      <c r="A6735" s="2" t="str">
        <f>IFERROR(__xludf.DUMMYFUNCTION("""COMPUTED_VALUE"""),"장어튀겼쌈")</f>
        <v>장어튀겼쌈</v>
      </c>
      <c r="B6735" s="2" t="str">
        <f>IFERROR(__xludf.DUMMYFUNCTION("""COMPUTED_VALUE"""),"밀가루")</f>
        <v>밀가루</v>
      </c>
    </row>
    <row r="6736">
      <c r="A6736" s="2" t="str">
        <f>IFERROR(__xludf.DUMMYFUNCTION("""COMPUTED_VALUE"""),"장어튀겼쌈")</f>
        <v>장어튀겼쌈</v>
      </c>
      <c r="B6736" s="2" t="str">
        <f>IFERROR(__xludf.DUMMYFUNCTION("""COMPUTED_VALUE"""),"전분")</f>
        <v>전분</v>
      </c>
    </row>
    <row r="6737">
      <c r="A6737" s="2" t="str">
        <f>IFERROR(__xludf.DUMMYFUNCTION("""COMPUTED_VALUE"""),"장어튀겼쌈")</f>
        <v>장어튀겼쌈</v>
      </c>
      <c r="B6737" s="2" t="str">
        <f>IFERROR(__xludf.DUMMYFUNCTION("""COMPUTED_VALUE"""),"달걀")</f>
        <v>달걀</v>
      </c>
    </row>
    <row r="6738">
      <c r="A6738" s="2" t="str">
        <f>IFERROR(__xludf.DUMMYFUNCTION("""COMPUTED_VALUE"""),"장어튀겼쌈")</f>
        <v>장어튀겼쌈</v>
      </c>
      <c r="B6738" s="2" t="str">
        <f>IFERROR(__xludf.DUMMYFUNCTION("""COMPUTED_VALUE"""),"식용유")</f>
        <v>식용유</v>
      </c>
    </row>
    <row r="6739">
      <c r="A6739" s="2" t="str">
        <f>IFERROR(__xludf.DUMMYFUNCTION("""COMPUTED_VALUE"""),"장어튀겼쌈")</f>
        <v>장어튀겼쌈</v>
      </c>
      <c r="B6739" s="2" t="str">
        <f>IFERROR(__xludf.DUMMYFUNCTION("""COMPUTED_VALUE"""),"소금")</f>
        <v>소금</v>
      </c>
    </row>
    <row r="6740">
      <c r="A6740" s="2" t="str">
        <f>IFERROR(__xludf.DUMMYFUNCTION("""COMPUTED_VALUE"""),"장어튀겼쌈")</f>
        <v>장어튀겼쌈</v>
      </c>
      <c r="B6740" s="2" t="str">
        <f>IFERROR(__xludf.DUMMYFUNCTION("""COMPUTED_VALUE"""),"마요네즈")</f>
        <v>마요네즈</v>
      </c>
    </row>
    <row r="6741">
      <c r="A6741" s="2" t="str">
        <f>IFERROR(__xludf.DUMMYFUNCTION("""COMPUTED_VALUE"""),"장어튀겼쌈")</f>
        <v>장어튀겼쌈</v>
      </c>
      <c r="B6741" s="2" t="str">
        <f>IFERROR(__xludf.DUMMYFUNCTION("""COMPUTED_VALUE"""),"다진 마늘")</f>
        <v>다진 마늘</v>
      </c>
    </row>
    <row r="6742">
      <c r="A6742" s="2" t="str">
        <f>IFERROR(__xludf.DUMMYFUNCTION("""COMPUTED_VALUE"""),"장어튀겼쌈")</f>
        <v>장어튀겼쌈</v>
      </c>
      <c r="B6742" s="2" t="str">
        <f>IFERROR(__xludf.DUMMYFUNCTION("""COMPUTED_VALUE"""),"설탕")</f>
        <v>설탕</v>
      </c>
    </row>
    <row r="6743">
      <c r="A6743" s="2" t="str">
        <f>IFERROR(__xludf.DUMMYFUNCTION("""COMPUTED_VALUE"""),"장어튀겼쌈")</f>
        <v>장어튀겼쌈</v>
      </c>
      <c r="B6743" s="2" t="str">
        <f>IFERROR(__xludf.DUMMYFUNCTION("""COMPUTED_VALUE"""),"레몬")</f>
        <v>레몬</v>
      </c>
    </row>
    <row r="6744">
      <c r="A6744" s="2" t="str">
        <f>IFERROR(__xludf.DUMMYFUNCTION("""COMPUTED_VALUE"""),"육회한 파튀")</f>
        <v>육회한 파튀</v>
      </c>
      <c r="B6744" s="2" t="str">
        <f>IFERROR(__xludf.DUMMYFUNCTION("""COMPUTED_VALUE"""),"튀김가루")</f>
        <v>튀김가루</v>
      </c>
    </row>
    <row r="6745">
      <c r="A6745" s="2" t="str">
        <f>IFERROR(__xludf.DUMMYFUNCTION("""COMPUTED_VALUE"""),"육회한 파튀")</f>
        <v>육회한 파튀</v>
      </c>
      <c r="B6745" s="2" t="str">
        <f>IFERROR(__xludf.DUMMYFUNCTION("""COMPUTED_VALUE"""),"무")</f>
        <v>무</v>
      </c>
    </row>
    <row r="6746">
      <c r="A6746" s="2" t="str">
        <f>IFERROR(__xludf.DUMMYFUNCTION("""COMPUTED_VALUE"""),"육회한 파튀")</f>
        <v>육회한 파튀</v>
      </c>
      <c r="B6746" s="2" t="str">
        <f>IFERROR(__xludf.DUMMYFUNCTION("""COMPUTED_VALUE"""),"생강청")</f>
        <v>생강청</v>
      </c>
    </row>
    <row r="6747">
      <c r="A6747" s="2" t="str">
        <f>IFERROR(__xludf.DUMMYFUNCTION("""COMPUTED_VALUE"""),"육회한 파튀")</f>
        <v>육회한 파튀</v>
      </c>
      <c r="B6747" s="2" t="str">
        <f>IFERROR(__xludf.DUMMYFUNCTION("""COMPUTED_VALUE"""),"채끝등심")</f>
        <v>채끝등심</v>
      </c>
    </row>
    <row r="6748">
      <c r="A6748" s="2" t="str">
        <f>IFERROR(__xludf.DUMMYFUNCTION("""COMPUTED_VALUE"""),"육회한 파튀")</f>
        <v>육회한 파튀</v>
      </c>
      <c r="B6748" s="2" t="str">
        <f>IFERROR(__xludf.DUMMYFUNCTION("""COMPUTED_VALUE"""),"머스터드소스")</f>
        <v>머스터드소스</v>
      </c>
    </row>
    <row r="6749">
      <c r="A6749" s="2" t="str">
        <f>IFERROR(__xludf.DUMMYFUNCTION("""COMPUTED_VALUE"""),"육회한 파튀")</f>
        <v>육회한 파튀</v>
      </c>
      <c r="B6749" s="2" t="str">
        <f>IFERROR(__xludf.DUMMYFUNCTION("""COMPUTED_VALUE"""),"견과류")</f>
        <v>견과류</v>
      </c>
    </row>
    <row r="6750">
      <c r="A6750" s="2" t="str">
        <f>IFERROR(__xludf.DUMMYFUNCTION("""COMPUTED_VALUE"""),"육회한 파튀")</f>
        <v>육회한 파튀</v>
      </c>
      <c r="B6750" s="2" t="str">
        <f>IFERROR(__xludf.DUMMYFUNCTION("""COMPUTED_VALUE"""),"대파")</f>
        <v>대파</v>
      </c>
    </row>
    <row r="6751">
      <c r="A6751" s="2" t="str">
        <f>IFERROR(__xludf.DUMMYFUNCTION("""COMPUTED_VALUE"""),"육회한 파튀")</f>
        <v>육회한 파튀</v>
      </c>
      <c r="B6751" s="2" t="str">
        <f>IFERROR(__xludf.DUMMYFUNCTION("""COMPUTED_VALUE"""),"고춧가루")</f>
        <v>고춧가루</v>
      </c>
    </row>
    <row r="6752">
      <c r="A6752" s="2" t="str">
        <f>IFERROR(__xludf.DUMMYFUNCTION("""COMPUTED_VALUE"""),"육회한 파튀")</f>
        <v>육회한 파튀</v>
      </c>
      <c r="B6752" s="2" t="str">
        <f>IFERROR(__xludf.DUMMYFUNCTION("""COMPUTED_VALUE"""),"후추")</f>
        <v>후추</v>
      </c>
    </row>
    <row r="6753">
      <c r="A6753" s="2" t="str">
        <f>IFERROR(__xludf.DUMMYFUNCTION("""COMPUTED_VALUE"""),"육회한 파튀")</f>
        <v>육회한 파튀</v>
      </c>
      <c r="B6753" s="2" t="str">
        <f>IFERROR(__xludf.DUMMYFUNCTION("""COMPUTED_VALUE"""),"간장")</f>
        <v>간장</v>
      </c>
    </row>
    <row r="6754">
      <c r="A6754" s="2" t="str">
        <f>IFERROR(__xludf.DUMMYFUNCTION("""COMPUTED_VALUE"""),"육회한 파튀")</f>
        <v>육회한 파튀</v>
      </c>
      <c r="B6754" s="2" t="str">
        <f>IFERROR(__xludf.DUMMYFUNCTION("""COMPUTED_VALUE"""),"설탕")</f>
        <v>설탕</v>
      </c>
    </row>
    <row r="6755">
      <c r="A6755" s="2" t="str">
        <f>IFERROR(__xludf.DUMMYFUNCTION("""COMPUTED_VALUE"""),"육회한 파튀")</f>
        <v>육회한 파튀</v>
      </c>
      <c r="B6755" s="2" t="str">
        <f>IFERROR(__xludf.DUMMYFUNCTION("""COMPUTED_VALUE"""),"고추장")</f>
        <v>고추장</v>
      </c>
    </row>
    <row r="6756">
      <c r="A6756" s="2" t="str">
        <f>IFERROR(__xludf.DUMMYFUNCTION("""COMPUTED_VALUE"""),"육회한 파튀")</f>
        <v>육회한 파튀</v>
      </c>
      <c r="B6756" s="2" t="str">
        <f>IFERROR(__xludf.DUMMYFUNCTION("""COMPUTED_VALUE"""),"참기름")</f>
        <v>참기름</v>
      </c>
    </row>
    <row r="6757">
      <c r="A6757" s="2" t="str">
        <f>IFERROR(__xludf.DUMMYFUNCTION("""COMPUTED_VALUE"""),"육회한 파튀")</f>
        <v>육회한 파튀</v>
      </c>
      <c r="B6757" s="2" t="str">
        <f>IFERROR(__xludf.DUMMYFUNCTION("""COMPUTED_VALUE"""),"다진 마늘")</f>
        <v>다진 마늘</v>
      </c>
    </row>
    <row r="6758">
      <c r="A6758" s="2" t="str">
        <f>IFERROR(__xludf.DUMMYFUNCTION("""COMPUTED_VALUE"""),"육회한 파튀")</f>
        <v>육회한 파튀</v>
      </c>
      <c r="B6758" s="2" t="str">
        <f>IFERROR(__xludf.DUMMYFUNCTION("""COMPUTED_VALUE"""),"마요네즈")</f>
        <v>마요네즈</v>
      </c>
    </row>
    <row r="6759">
      <c r="A6759" s="2" t="str">
        <f>IFERROR(__xludf.DUMMYFUNCTION("""COMPUTED_VALUE"""),"피자하면 LA야~ LA야♬")</f>
        <v>피자하면 LA야~ LA야♬</v>
      </c>
      <c r="B6759" s="2" t="str">
        <f>IFERROR(__xludf.DUMMYFUNCTION("""COMPUTED_VALUE"""),"삼겹살")</f>
        <v>삼겹살</v>
      </c>
    </row>
    <row r="6760">
      <c r="A6760" s="2" t="str">
        <f>IFERROR(__xludf.DUMMYFUNCTION("""COMPUTED_VALUE"""),"피자하면 LA야~ LA야♬")</f>
        <v>피자하면 LA야~ LA야♬</v>
      </c>
      <c r="B6760" s="2" t="str">
        <f>IFERROR(__xludf.DUMMYFUNCTION("""COMPUTED_VALUE"""),"채끝등심")</f>
        <v>채끝등심</v>
      </c>
    </row>
    <row r="6761">
      <c r="A6761" s="2" t="str">
        <f>IFERROR(__xludf.DUMMYFUNCTION("""COMPUTED_VALUE"""),"피자하면 LA야~ LA야♬")</f>
        <v>피자하면 LA야~ LA야♬</v>
      </c>
      <c r="B6761" s="2" t="str">
        <f>IFERROR(__xludf.DUMMYFUNCTION("""COMPUTED_VALUE"""),"로즈마리")</f>
        <v>로즈마리</v>
      </c>
    </row>
    <row r="6762">
      <c r="A6762" s="2" t="str">
        <f>IFERROR(__xludf.DUMMYFUNCTION("""COMPUTED_VALUE"""),"피자하면 LA야~ LA야♬")</f>
        <v>피자하면 LA야~ LA야♬</v>
      </c>
      <c r="B6762" s="2" t="str">
        <f>IFERROR(__xludf.DUMMYFUNCTION("""COMPUTED_VALUE"""),"파슬리")</f>
        <v>파슬리</v>
      </c>
    </row>
    <row r="6763">
      <c r="A6763" s="2" t="str">
        <f>IFERROR(__xludf.DUMMYFUNCTION("""COMPUTED_VALUE"""),"피자하면 LA야~ LA야♬")</f>
        <v>피자하면 LA야~ LA야♬</v>
      </c>
      <c r="B6763" s="2" t="str">
        <f>IFERROR(__xludf.DUMMYFUNCTION("""COMPUTED_VALUE"""),"양송이버섯")</f>
        <v>양송이버섯</v>
      </c>
    </row>
    <row r="6764">
      <c r="A6764" s="2" t="str">
        <f>IFERROR(__xludf.DUMMYFUNCTION("""COMPUTED_VALUE"""),"피자하면 LA야~ LA야♬")</f>
        <v>피자하면 LA야~ LA야♬</v>
      </c>
      <c r="B6764" s="2" t="str">
        <f>IFERROR(__xludf.DUMMYFUNCTION("""COMPUTED_VALUE"""),"파프리카")</f>
        <v>파프리카</v>
      </c>
    </row>
    <row r="6765">
      <c r="A6765" s="2" t="str">
        <f>IFERROR(__xludf.DUMMYFUNCTION("""COMPUTED_VALUE"""),"피자하면 LA야~ LA야♬")</f>
        <v>피자하면 LA야~ LA야♬</v>
      </c>
      <c r="B6765" s="2" t="str">
        <f>IFERROR(__xludf.DUMMYFUNCTION("""COMPUTED_VALUE"""),"베이컨")</f>
        <v>베이컨</v>
      </c>
    </row>
    <row r="6766">
      <c r="A6766" s="2" t="str">
        <f>IFERROR(__xludf.DUMMYFUNCTION("""COMPUTED_VALUE"""),"피자하면 LA야~ LA야♬")</f>
        <v>피자하면 LA야~ LA야♬</v>
      </c>
      <c r="B6766" s="2" t="str">
        <f>IFERROR(__xludf.DUMMYFUNCTION("""COMPUTED_VALUE"""),"토마토소스")</f>
        <v>토마토소스</v>
      </c>
    </row>
    <row r="6767">
      <c r="A6767" s="2" t="str">
        <f>IFERROR(__xludf.DUMMYFUNCTION("""COMPUTED_VALUE"""),"피자하면 LA야~ LA야♬")</f>
        <v>피자하면 LA야~ LA야♬</v>
      </c>
      <c r="B6767" s="2" t="str">
        <f>IFERROR(__xludf.DUMMYFUNCTION("""COMPUTED_VALUE"""),"파르메산치즈 가루")</f>
        <v>파르메산치즈 가루</v>
      </c>
    </row>
    <row r="6768">
      <c r="A6768" s="2" t="str">
        <f>IFERROR(__xludf.DUMMYFUNCTION("""COMPUTED_VALUE"""),"피자하면 LA야~ LA야♬")</f>
        <v>피자하면 LA야~ LA야♬</v>
      </c>
      <c r="B6768" s="2" t="str">
        <f>IFERROR(__xludf.DUMMYFUNCTION("""COMPUTED_VALUE"""),"모차렐라치즈")</f>
        <v>모차렐라치즈</v>
      </c>
    </row>
    <row r="6769">
      <c r="A6769" s="2" t="str">
        <f>IFERROR(__xludf.DUMMYFUNCTION("""COMPUTED_VALUE"""),"피자하면 LA야~ LA야♬")</f>
        <v>피자하면 LA야~ LA야♬</v>
      </c>
      <c r="B6769" s="2" t="str">
        <f>IFERROR(__xludf.DUMMYFUNCTION("""COMPUTED_VALUE"""),"밀가루")</f>
        <v>밀가루</v>
      </c>
    </row>
    <row r="6770">
      <c r="A6770" s="2" t="str">
        <f>IFERROR(__xludf.DUMMYFUNCTION("""COMPUTED_VALUE"""),"피자하면 LA야~ LA야♬")</f>
        <v>피자하면 LA야~ LA야♬</v>
      </c>
      <c r="B6770" s="2" t="str">
        <f>IFERROR(__xludf.DUMMYFUNCTION("""COMPUTED_VALUE"""),"소금")</f>
        <v>소금</v>
      </c>
    </row>
    <row r="6771">
      <c r="A6771" s="2" t="str">
        <f>IFERROR(__xludf.DUMMYFUNCTION("""COMPUTED_VALUE"""),"피자하면 LA야~ LA야♬")</f>
        <v>피자하면 LA야~ LA야♬</v>
      </c>
      <c r="B6771" s="2" t="str">
        <f>IFERROR(__xludf.DUMMYFUNCTION("""COMPUTED_VALUE"""),"양파")</f>
        <v>양파</v>
      </c>
    </row>
    <row r="6772">
      <c r="A6772" s="2" t="str">
        <f>IFERROR(__xludf.DUMMYFUNCTION("""COMPUTED_VALUE"""),"피자하면 LA야~ LA야♬")</f>
        <v>피자하면 LA야~ LA야♬</v>
      </c>
      <c r="B6772" s="2" t="str">
        <f>IFERROR(__xludf.DUMMYFUNCTION("""COMPUTED_VALUE"""),"마늘")</f>
        <v>마늘</v>
      </c>
    </row>
    <row r="6773">
      <c r="A6773" s="2" t="str">
        <f>IFERROR(__xludf.DUMMYFUNCTION("""COMPUTED_VALUE"""),"피자하면 LA야~ LA야♬")</f>
        <v>피자하면 LA야~ LA야♬</v>
      </c>
      <c r="B6773" s="2" t="str">
        <f>IFERROR(__xludf.DUMMYFUNCTION("""COMPUTED_VALUE"""),"후추")</f>
        <v>후추</v>
      </c>
    </row>
    <row r="6774">
      <c r="A6774" s="2" t="str">
        <f>IFERROR(__xludf.DUMMYFUNCTION("""COMPUTED_VALUE"""),"역시 피자는 시카고야~ 시카고야♬")</f>
        <v>역시 피자는 시카고야~ 시카고야♬</v>
      </c>
      <c r="B6774" s="2" t="str">
        <f>IFERROR(__xludf.DUMMYFUNCTION("""COMPUTED_VALUE"""),"달걀")</f>
        <v>달걀</v>
      </c>
    </row>
    <row r="6775">
      <c r="A6775" s="2" t="str">
        <f>IFERROR(__xludf.DUMMYFUNCTION("""COMPUTED_VALUE"""),"역시 피자는 시카고야~ 시카고야♬")</f>
        <v>역시 피자는 시카고야~ 시카고야♬</v>
      </c>
      <c r="B6775" s="2" t="str">
        <f>IFERROR(__xludf.DUMMYFUNCTION("""COMPUTED_VALUE"""),"파르메산치즈 가루")</f>
        <v>파르메산치즈 가루</v>
      </c>
    </row>
    <row r="6776">
      <c r="A6776" s="2" t="str">
        <f>IFERROR(__xludf.DUMMYFUNCTION("""COMPUTED_VALUE"""),"역시 피자는 시카고야~ 시카고야♬")</f>
        <v>역시 피자는 시카고야~ 시카고야♬</v>
      </c>
      <c r="B6776" s="2" t="str">
        <f>IFERROR(__xludf.DUMMYFUNCTION("""COMPUTED_VALUE"""),"로즈마리")</f>
        <v>로즈마리</v>
      </c>
    </row>
    <row r="6777">
      <c r="A6777" s="2" t="str">
        <f>IFERROR(__xludf.DUMMYFUNCTION("""COMPUTED_VALUE"""),"역시 피자는 시카고야~ 시카고야♬")</f>
        <v>역시 피자는 시카고야~ 시카고야♬</v>
      </c>
      <c r="B6777" s="2" t="str">
        <f>IFERROR(__xludf.DUMMYFUNCTION("""COMPUTED_VALUE"""),"슬라이스 햄")</f>
        <v>슬라이스 햄</v>
      </c>
    </row>
    <row r="6778">
      <c r="A6778" s="2" t="str">
        <f>IFERROR(__xludf.DUMMYFUNCTION("""COMPUTED_VALUE"""),"역시 피자는 시카고야~ 시카고야♬")</f>
        <v>역시 피자는 시카고야~ 시카고야♬</v>
      </c>
      <c r="B6778" s="2" t="str">
        <f>IFERROR(__xludf.DUMMYFUNCTION("""COMPUTED_VALUE"""),"베이컨")</f>
        <v>베이컨</v>
      </c>
    </row>
    <row r="6779">
      <c r="A6779" s="2" t="str">
        <f>IFERROR(__xludf.DUMMYFUNCTION("""COMPUTED_VALUE"""),"역시 피자는 시카고야~ 시카고야♬")</f>
        <v>역시 피자는 시카고야~ 시카고야♬</v>
      </c>
      <c r="B6779" s="2" t="str">
        <f>IFERROR(__xludf.DUMMYFUNCTION("""COMPUTED_VALUE"""),"양송이버섯")</f>
        <v>양송이버섯</v>
      </c>
    </row>
    <row r="6780">
      <c r="A6780" s="2" t="str">
        <f>IFERROR(__xludf.DUMMYFUNCTION("""COMPUTED_VALUE"""),"역시 피자는 시카고야~ 시카고야♬")</f>
        <v>역시 피자는 시카고야~ 시카고야♬</v>
      </c>
      <c r="B6780" s="2" t="str">
        <f>IFERROR(__xludf.DUMMYFUNCTION("""COMPUTED_VALUE"""),"토마토소스")</f>
        <v>토마토소스</v>
      </c>
    </row>
    <row r="6781">
      <c r="A6781" s="2" t="str">
        <f>IFERROR(__xludf.DUMMYFUNCTION("""COMPUTED_VALUE"""),"역시 피자는 시카고야~ 시카고야♬")</f>
        <v>역시 피자는 시카고야~ 시카고야♬</v>
      </c>
      <c r="B6781" s="2" t="str">
        <f>IFERROR(__xludf.DUMMYFUNCTION("""COMPUTED_VALUE"""),"모차렐라치즈")</f>
        <v>모차렐라치즈</v>
      </c>
    </row>
    <row r="6782">
      <c r="A6782" s="2" t="str">
        <f>IFERROR(__xludf.DUMMYFUNCTION("""COMPUTED_VALUE"""),"역시 피자는 시카고야~ 시카고야♬")</f>
        <v>역시 피자는 시카고야~ 시카고야♬</v>
      </c>
      <c r="B6782" s="2" t="str">
        <f>IFERROR(__xludf.DUMMYFUNCTION("""COMPUTED_VALUE"""),"슬라이스 체다치즈")</f>
        <v>슬라이스 체다치즈</v>
      </c>
    </row>
    <row r="6783">
      <c r="A6783" s="2" t="str">
        <f>IFERROR(__xludf.DUMMYFUNCTION("""COMPUTED_VALUE"""),"역시 피자는 시카고야~ 시카고야♬")</f>
        <v>역시 피자는 시카고야~ 시카고야♬</v>
      </c>
      <c r="B6783" s="2" t="str">
        <f>IFERROR(__xludf.DUMMYFUNCTION("""COMPUTED_VALUE"""),"슬라이스 에멘탈치즈")</f>
        <v>슬라이스 에멘탈치즈</v>
      </c>
    </row>
    <row r="6784">
      <c r="A6784" s="2" t="str">
        <f>IFERROR(__xludf.DUMMYFUNCTION("""COMPUTED_VALUE"""),"역시 피자는 시카고야~ 시카고야♬")</f>
        <v>역시 피자는 시카고야~ 시카고야♬</v>
      </c>
      <c r="B6784" s="2" t="str">
        <f>IFERROR(__xludf.DUMMYFUNCTION("""COMPUTED_VALUE"""),"파슬리")</f>
        <v>파슬리</v>
      </c>
    </row>
    <row r="6785">
      <c r="A6785" s="2" t="str">
        <f>IFERROR(__xludf.DUMMYFUNCTION("""COMPUTED_VALUE"""),"역시 피자는 시카고야~ 시카고야♬")</f>
        <v>역시 피자는 시카고야~ 시카고야♬</v>
      </c>
      <c r="B6785" s="2" t="str">
        <f>IFERROR(__xludf.DUMMYFUNCTION("""COMPUTED_VALUE"""),"밀가루")</f>
        <v>밀가루</v>
      </c>
    </row>
    <row r="6786">
      <c r="A6786" s="2" t="str">
        <f>IFERROR(__xludf.DUMMYFUNCTION("""COMPUTED_VALUE"""),"역시 피자는 시카고야~ 시카고야♬")</f>
        <v>역시 피자는 시카고야~ 시카고야♬</v>
      </c>
      <c r="B6786" s="2" t="str">
        <f>IFERROR(__xludf.DUMMYFUNCTION("""COMPUTED_VALUE"""),"달걀")</f>
        <v>달걀</v>
      </c>
    </row>
    <row r="6787">
      <c r="A6787" s="2" t="str">
        <f>IFERROR(__xludf.DUMMYFUNCTION("""COMPUTED_VALUE"""),"역시 피자는 시카고야~ 시카고야♬")</f>
        <v>역시 피자는 시카고야~ 시카고야♬</v>
      </c>
      <c r="B6787" s="2" t="str">
        <f>IFERROR(__xludf.DUMMYFUNCTION("""COMPUTED_VALUE"""),"올리브오일")</f>
        <v>올리브오일</v>
      </c>
    </row>
    <row r="6788">
      <c r="A6788" s="2" t="str">
        <f>IFERROR(__xludf.DUMMYFUNCTION("""COMPUTED_VALUE"""),"역시 피자는 시카고야~ 시카고야♬")</f>
        <v>역시 피자는 시카고야~ 시카고야♬</v>
      </c>
      <c r="B6788" s="2" t="str">
        <f>IFERROR(__xludf.DUMMYFUNCTION("""COMPUTED_VALUE"""),"소금")</f>
        <v>소금</v>
      </c>
    </row>
    <row r="6789">
      <c r="A6789" s="2" t="str">
        <f>IFERROR(__xludf.DUMMYFUNCTION("""COMPUTED_VALUE"""),"역시 피자는 시카고야~ 시카고야♬")</f>
        <v>역시 피자는 시카고야~ 시카고야♬</v>
      </c>
      <c r="B6789" s="2" t="str">
        <f>IFERROR(__xludf.DUMMYFUNCTION("""COMPUTED_VALUE"""),"버터")</f>
        <v>버터</v>
      </c>
    </row>
    <row r="6790">
      <c r="A6790" s="2" t="str">
        <f>IFERROR(__xludf.DUMMYFUNCTION("""COMPUTED_VALUE"""),"역시 피자는 시카고야~ 시카고야♬")</f>
        <v>역시 피자는 시카고야~ 시카고야♬</v>
      </c>
      <c r="B6790" s="2" t="str">
        <f>IFERROR(__xludf.DUMMYFUNCTION("""COMPUTED_VALUE"""),"마늘")</f>
        <v>마늘</v>
      </c>
    </row>
    <row r="6791">
      <c r="A6791" s="2" t="str">
        <f>IFERROR(__xludf.DUMMYFUNCTION("""COMPUTED_VALUE"""),"역시 피자는 시카고야~ 시카고야♬")</f>
        <v>역시 피자는 시카고야~ 시카고야♬</v>
      </c>
      <c r="B6791" s="2" t="str">
        <f>IFERROR(__xludf.DUMMYFUNCTION("""COMPUTED_VALUE"""),"후추")</f>
        <v>후추</v>
      </c>
    </row>
    <row r="6792">
      <c r="A6792" s="2" t="str">
        <f>IFERROR(__xludf.DUMMYFUNCTION("""COMPUTED_VALUE"""),"어차피 우승은 나자냐~")</f>
        <v>어차피 우승은 나자냐~</v>
      </c>
      <c r="B6792" s="2" t="str">
        <f>IFERROR(__xludf.DUMMYFUNCTION("""COMPUTED_VALUE"""),"전복")</f>
        <v>전복</v>
      </c>
    </row>
    <row r="6793">
      <c r="A6793" s="2" t="str">
        <f>IFERROR(__xludf.DUMMYFUNCTION("""COMPUTED_VALUE"""),"어차피 우승은 나자냐~")</f>
        <v>어차피 우승은 나자냐~</v>
      </c>
      <c r="B6793" s="2" t="str">
        <f>IFERROR(__xludf.DUMMYFUNCTION("""COMPUTED_VALUE"""),"새우")</f>
        <v>새우</v>
      </c>
    </row>
    <row r="6794">
      <c r="A6794" s="2" t="str">
        <f>IFERROR(__xludf.DUMMYFUNCTION("""COMPUTED_VALUE"""),"어차피 우승은 나자냐~")</f>
        <v>어차피 우승은 나자냐~</v>
      </c>
      <c r="B6794" s="2" t="str">
        <f>IFERROR(__xludf.DUMMYFUNCTION("""COMPUTED_VALUE"""),"우유")</f>
        <v>우유</v>
      </c>
    </row>
    <row r="6795">
      <c r="A6795" s="2" t="str">
        <f>IFERROR(__xludf.DUMMYFUNCTION("""COMPUTED_VALUE"""),"어차피 우승은 나자냐~")</f>
        <v>어차피 우승은 나자냐~</v>
      </c>
      <c r="B6795" s="2" t="str">
        <f>IFERROR(__xludf.DUMMYFUNCTION("""COMPUTED_VALUE"""),"카망베르치즈")</f>
        <v>카망베르치즈</v>
      </c>
    </row>
    <row r="6796">
      <c r="A6796" s="2" t="str">
        <f>IFERROR(__xludf.DUMMYFUNCTION("""COMPUTED_VALUE"""),"어차피 우승은 나자냐~")</f>
        <v>어차피 우승은 나자냐~</v>
      </c>
      <c r="B6796" s="2" t="str">
        <f>IFERROR(__xludf.DUMMYFUNCTION("""COMPUTED_VALUE"""),"모차렐라치즈")</f>
        <v>모차렐라치즈</v>
      </c>
    </row>
    <row r="6797">
      <c r="A6797" s="2" t="str">
        <f>IFERROR(__xludf.DUMMYFUNCTION("""COMPUTED_VALUE"""),"어차피 우승은 나자냐~")</f>
        <v>어차피 우승은 나자냐~</v>
      </c>
      <c r="B6797" s="2" t="str">
        <f>IFERROR(__xludf.DUMMYFUNCTION("""COMPUTED_VALUE"""),"취장아찌")</f>
        <v>취장아찌</v>
      </c>
    </row>
    <row r="6798">
      <c r="A6798" s="2" t="str">
        <f>IFERROR(__xludf.DUMMYFUNCTION("""COMPUTED_VALUE"""),"어차피 우승은 나자냐~")</f>
        <v>어차피 우승은 나자냐~</v>
      </c>
      <c r="B6798" s="2" t="str">
        <f>IFERROR(__xludf.DUMMYFUNCTION("""COMPUTED_VALUE"""),"양념명란젓")</f>
        <v>양념명란젓</v>
      </c>
    </row>
    <row r="6799">
      <c r="A6799" s="2" t="str">
        <f>IFERROR(__xludf.DUMMYFUNCTION("""COMPUTED_VALUE"""),"어차피 우승은 나자냐~")</f>
        <v>어차피 우승은 나자냐~</v>
      </c>
      <c r="B6799" s="2" t="str">
        <f>IFERROR(__xludf.DUMMYFUNCTION("""COMPUTED_VALUE"""),"톳가루")</f>
        <v>톳가루</v>
      </c>
    </row>
    <row r="6800">
      <c r="A6800" s="2" t="str">
        <f>IFERROR(__xludf.DUMMYFUNCTION("""COMPUTED_VALUE"""),"어차피 우승은 나자냐~")</f>
        <v>어차피 우승은 나자냐~</v>
      </c>
      <c r="B6800" s="2" t="str">
        <f>IFERROR(__xludf.DUMMYFUNCTION("""COMPUTED_VALUE"""),"달걀")</f>
        <v>달걀</v>
      </c>
    </row>
    <row r="6801">
      <c r="A6801" s="2" t="str">
        <f>IFERROR(__xludf.DUMMYFUNCTION("""COMPUTED_VALUE"""),"어차피 우승은 나자냐~")</f>
        <v>어차피 우승은 나자냐~</v>
      </c>
      <c r="B6801" s="2" t="str">
        <f>IFERROR(__xludf.DUMMYFUNCTION("""COMPUTED_VALUE"""),"소금")</f>
        <v>소금</v>
      </c>
    </row>
    <row r="6802">
      <c r="A6802" s="2" t="str">
        <f>IFERROR(__xludf.DUMMYFUNCTION("""COMPUTED_VALUE"""),"어차피 우승은 나자냐~")</f>
        <v>어차피 우승은 나자냐~</v>
      </c>
      <c r="B6802" s="2" t="str">
        <f>IFERROR(__xludf.DUMMYFUNCTION("""COMPUTED_VALUE"""),"버터")</f>
        <v>버터</v>
      </c>
    </row>
    <row r="6803">
      <c r="A6803" s="2" t="str">
        <f>IFERROR(__xludf.DUMMYFUNCTION("""COMPUTED_VALUE"""),"어차피 우승은 나자냐~")</f>
        <v>어차피 우승은 나자냐~</v>
      </c>
      <c r="B6803" s="2" t="str">
        <f>IFERROR(__xludf.DUMMYFUNCTION("""COMPUTED_VALUE"""),"밀가루")</f>
        <v>밀가루</v>
      </c>
    </row>
    <row r="6804">
      <c r="A6804" s="2" t="str">
        <f>IFERROR(__xludf.DUMMYFUNCTION("""COMPUTED_VALUE"""),"어차피 우승은 나자냐~")</f>
        <v>어차피 우승은 나자냐~</v>
      </c>
      <c r="B6804" s="2" t="str">
        <f>IFERROR(__xludf.DUMMYFUNCTION("""COMPUTED_VALUE"""),"달걀")</f>
        <v>달걀</v>
      </c>
    </row>
    <row r="6805">
      <c r="A6805" s="2" t="str">
        <f>IFERROR(__xludf.DUMMYFUNCTION("""COMPUTED_VALUE"""),"어차피 우승은 나자냐~")</f>
        <v>어차피 우승은 나자냐~</v>
      </c>
      <c r="B6805" s="2" t="str">
        <f>IFERROR(__xludf.DUMMYFUNCTION("""COMPUTED_VALUE"""),"후추")</f>
        <v>후추</v>
      </c>
    </row>
    <row r="6806">
      <c r="A6806" s="2" t="str">
        <f>IFERROR(__xludf.DUMMYFUNCTION("""COMPUTED_VALUE"""),"어차피 우승은 나자냐~")</f>
        <v>어차피 우승은 나자냐~</v>
      </c>
      <c r="B6806" s="2" t="str">
        <f>IFERROR(__xludf.DUMMYFUNCTION("""COMPUTED_VALUE"""),"마늘")</f>
        <v>마늘</v>
      </c>
    </row>
    <row r="6807">
      <c r="A6807" s="2" t="str">
        <f>IFERROR(__xludf.DUMMYFUNCTION("""COMPUTED_VALUE"""),"어차피 우승은 나자냐~")</f>
        <v>어차피 우승은 나자냐~</v>
      </c>
      <c r="B6807" s="2" t="str">
        <f>IFERROR(__xludf.DUMMYFUNCTION("""COMPUTED_VALUE"""),"참기름")</f>
        <v>참기름</v>
      </c>
    </row>
    <row r="6808">
      <c r="A6808" s="2" t="str">
        <f>IFERROR(__xludf.DUMMYFUNCTION("""COMPUTED_VALUE"""),"크로켓 맛있찌")</f>
        <v>크로켓 맛있찌</v>
      </c>
      <c r="B6808" s="2" t="str">
        <f>IFERROR(__xludf.DUMMYFUNCTION("""COMPUTED_VALUE"""),"양상추")</f>
        <v>양상추</v>
      </c>
    </row>
    <row r="6809">
      <c r="A6809" s="2" t="str">
        <f>IFERROR(__xludf.DUMMYFUNCTION("""COMPUTED_VALUE"""),"크로켓 맛있찌")</f>
        <v>크로켓 맛있찌</v>
      </c>
      <c r="B6809" s="2" t="str">
        <f>IFERROR(__xludf.DUMMYFUNCTION("""COMPUTED_VALUE"""),"총각김치")</f>
        <v>총각김치</v>
      </c>
    </row>
    <row r="6810">
      <c r="A6810" s="2" t="str">
        <f>IFERROR(__xludf.DUMMYFUNCTION("""COMPUTED_VALUE"""),"크로켓 맛있찌")</f>
        <v>크로켓 맛있찌</v>
      </c>
      <c r="B6810" s="2" t="str">
        <f>IFERROR(__xludf.DUMMYFUNCTION("""COMPUTED_VALUE"""),"브로콜리")</f>
        <v>브로콜리</v>
      </c>
    </row>
    <row r="6811">
      <c r="A6811" s="2" t="str">
        <f>IFERROR(__xludf.DUMMYFUNCTION("""COMPUTED_VALUE"""),"크로켓 맛있찌")</f>
        <v>크로켓 맛있찌</v>
      </c>
      <c r="B6811" s="2" t="str">
        <f>IFERROR(__xludf.DUMMYFUNCTION("""COMPUTED_VALUE"""),"콜리플라워")</f>
        <v>콜리플라워</v>
      </c>
    </row>
    <row r="6812">
      <c r="A6812" s="2" t="str">
        <f>IFERROR(__xludf.DUMMYFUNCTION("""COMPUTED_VALUE"""),"크로켓 맛있찌")</f>
        <v>크로켓 맛있찌</v>
      </c>
      <c r="B6812" s="2" t="str">
        <f>IFERROR(__xludf.DUMMYFUNCTION("""COMPUTED_VALUE"""),"아스파라거스")</f>
        <v>아스파라거스</v>
      </c>
    </row>
    <row r="6813">
      <c r="A6813" s="2" t="str">
        <f>IFERROR(__xludf.DUMMYFUNCTION("""COMPUTED_VALUE"""),"크로켓 맛있찌")</f>
        <v>크로켓 맛있찌</v>
      </c>
      <c r="B6813" s="2" t="str">
        <f>IFERROR(__xludf.DUMMYFUNCTION("""COMPUTED_VALUE"""),"양념명란젓")</f>
        <v>양념명란젓</v>
      </c>
    </row>
    <row r="6814">
      <c r="A6814" s="2" t="str">
        <f>IFERROR(__xludf.DUMMYFUNCTION("""COMPUTED_VALUE"""),"크로켓 맛있찌")</f>
        <v>크로켓 맛있찌</v>
      </c>
      <c r="B6814" s="2" t="str">
        <f>IFERROR(__xludf.DUMMYFUNCTION("""COMPUTED_VALUE"""),"크림치즈")</f>
        <v>크림치즈</v>
      </c>
    </row>
    <row r="6815">
      <c r="A6815" s="2" t="str">
        <f>IFERROR(__xludf.DUMMYFUNCTION("""COMPUTED_VALUE"""),"크로켓 맛있찌")</f>
        <v>크로켓 맛있찌</v>
      </c>
      <c r="B6815" s="2" t="str">
        <f>IFERROR(__xludf.DUMMYFUNCTION("""COMPUTED_VALUE"""),"베이컨")</f>
        <v>베이컨</v>
      </c>
    </row>
    <row r="6816">
      <c r="A6816" s="2" t="str">
        <f>IFERROR(__xludf.DUMMYFUNCTION("""COMPUTED_VALUE"""),"크로켓 맛있찌")</f>
        <v>크로켓 맛있찌</v>
      </c>
      <c r="B6816" s="2" t="str">
        <f>IFERROR(__xludf.DUMMYFUNCTION("""COMPUTED_VALUE"""),"토마토")</f>
        <v>토마토</v>
      </c>
    </row>
    <row r="6817">
      <c r="A6817" s="2" t="str">
        <f>IFERROR(__xludf.DUMMYFUNCTION("""COMPUTED_VALUE"""),"크로켓 맛있찌")</f>
        <v>크로켓 맛있찌</v>
      </c>
      <c r="B6817" s="2" t="str">
        <f>IFERROR(__xludf.DUMMYFUNCTION("""COMPUTED_VALUE"""),"울외장아찌")</f>
        <v>울외장아찌</v>
      </c>
    </row>
    <row r="6818">
      <c r="A6818" s="2" t="str">
        <f>IFERROR(__xludf.DUMMYFUNCTION("""COMPUTED_VALUE"""),"크로켓 맛있찌")</f>
        <v>크로켓 맛있찌</v>
      </c>
      <c r="B6818" s="2" t="str">
        <f>IFERROR(__xludf.DUMMYFUNCTION("""COMPUTED_VALUE"""),"취장아찌")</f>
        <v>취장아찌</v>
      </c>
    </row>
    <row r="6819">
      <c r="A6819" s="2" t="str">
        <f>IFERROR(__xludf.DUMMYFUNCTION("""COMPUTED_VALUE"""),"크로켓 맛있찌")</f>
        <v>크로켓 맛있찌</v>
      </c>
      <c r="B6819" s="2" t="str">
        <f>IFERROR(__xludf.DUMMYFUNCTION("""COMPUTED_VALUE"""),"파르메산치즈")</f>
        <v>파르메산치즈</v>
      </c>
    </row>
    <row r="6820">
      <c r="A6820" s="2" t="str">
        <f>IFERROR(__xludf.DUMMYFUNCTION("""COMPUTED_VALUE"""),"크로켓 맛있찌")</f>
        <v>크로켓 맛있찌</v>
      </c>
      <c r="B6820" s="2" t="str">
        <f>IFERROR(__xludf.DUMMYFUNCTION("""COMPUTED_VALUE"""),"달걀")</f>
        <v>달걀</v>
      </c>
    </row>
    <row r="6821">
      <c r="A6821" s="2" t="str">
        <f>IFERROR(__xludf.DUMMYFUNCTION("""COMPUTED_VALUE"""),"크로켓 맛있찌")</f>
        <v>크로켓 맛있찌</v>
      </c>
      <c r="B6821" s="2" t="str">
        <f>IFERROR(__xludf.DUMMYFUNCTION("""COMPUTED_VALUE"""),"소금")</f>
        <v>소금</v>
      </c>
    </row>
    <row r="6822">
      <c r="A6822" s="2" t="str">
        <f>IFERROR(__xludf.DUMMYFUNCTION("""COMPUTED_VALUE"""),"크로켓 맛있찌")</f>
        <v>크로켓 맛있찌</v>
      </c>
      <c r="B6822" s="2" t="str">
        <f>IFERROR(__xludf.DUMMYFUNCTION("""COMPUTED_VALUE"""),"올리브오일")</f>
        <v>올리브오일</v>
      </c>
    </row>
    <row r="6823">
      <c r="A6823" s="2" t="str">
        <f>IFERROR(__xludf.DUMMYFUNCTION("""COMPUTED_VALUE"""),"크로켓 맛있찌")</f>
        <v>크로켓 맛있찌</v>
      </c>
      <c r="B6823" s="2" t="str">
        <f>IFERROR(__xludf.DUMMYFUNCTION("""COMPUTED_VALUE"""),"후추")</f>
        <v>후추</v>
      </c>
    </row>
    <row r="6824">
      <c r="A6824" s="2" t="str">
        <f>IFERROR(__xludf.DUMMYFUNCTION("""COMPUTED_VALUE"""),"크로켓 맛있찌")</f>
        <v>크로켓 맛있찌</v>
      </c>
      <c r="B6824" s="2" t="str">
        <f>IFERROR(__xludf.DUMMYFUNCTION("""COMPUTED_VALUE"""),"식초")</f>
        <v>식초</v>
      </c>
    </row>
    <row r="6825">
      <c r="A6825" s="2" t="str">
        <f>IFERROR(__xludf.DUMMYFUNCTION("""COMPUTED_VALUE"""),"크로켓 맛있찌")</f>
        <v>크로켓 맛있찌</v>
      </c>
      <c r="B6825" s="2" t="str">
        <f>IFERROR(__xludf.DUMMYFUNCTION("""COMPUTED_VALUE"""),"밀가루")</f>
        <v>밀가루</v>
      </c>
    </row>
    <row r="6826">
      <c r="A6826" s="2" t="str">
        <f>IFERROR(__xludf.DUMMYFUNCTION("""COMPUTED_VALUE"""),"크로켓 맛있찌")</f>
        <v>크로켓 맛있찌</v>
      </c>
      <c r="B6826" s="2" t="str">
        <f>IFERROR(__xludf.DUMMYFUNCTION("""COMPUTED_VALUE"""),"마늘")</f>
        <v>마늘</v>
      </c>
    </row>
    <row r="6827">
      <c r="A6827" s="2" t="str">
        <f>IFERROR(__xludf.DUMMYFUNCTION("""COMPUTED_VALUE"""),"크로켓 맛있찌")</f>
        <v>크로켓 맛있찌</v>
      </c>
      <c r="B6827" s="2" t="str">
        <f>IFERROR(__xludf.DUMMYFUNCTION("""COMPUTED_VALUE"""),"청양고추")</f>
        <v>청양고추</v>
      </c>
    </row>
    <row r="6828">
      <c r="A6828" s="2" t="str">
        <f>IFERROR(__xludf.DUMMYFUNCTION("""COMPUTED_VALUE"""),"크로켓 맛있찌")</f>
        <v>크로켓 맛있찌</v>
      </c>
      <c r="B6828" s="2" t="str">
        <f>IFERROR(__xludf.DUMMYFUNCTION("""COMPUTED_VALUE"""),"고춧가루")</f>
        <v>고춧가루</v>
      </c>
    </row>
    <row r="6829">
      <c r="A6829" s="2" t="str">
        <f>IFERROR(__xludf.DUMMYFUNCTION("""COMPUTED_VALUE"""),"크로켓 맛있찌")</f>
        <v>크로켓 맛있찌</v>
      </c>
      <c r="B6829" s="2" t="str">
        <f>IFERROR(__xludf.DUMMYFUNCTION("""COMPUTED_VALUE"""),"설탕")</f>
        <v>설탕</v>
      </c>
    </row>
    <row r="6830">
      <c r="A6830" s="2" t="str">
        <f>IFERROR(__xludf.DUMMYFUNCTION("""COMPUTED_VALUE"""),"제육과의 동침")</f>
        <v>제육과의 동침</v>
      </c>
      <c r="B6830" s="2" t="str">
        <f>IFERROR(__xludf.DUMMYFUNCTION("""COMPUTED_VALUE"""),"무")</f>
        <v>무</v>
      </c>
    </row>
    <row r="6831">
      <c r="A6831" s="2" t="str">
        <f>IFERROR(__xludf.DUMMYFUNCTION("""COMPUTED_VALUE"""),"제육과의 동침")</f>
        <v>제육과의 동침</v>
      </c>
      <c r="B6831" s="2" t="str">
        <f>IFERROR(__xludf.DUMMYFUNCTION("""COMPUTED_VALUE"""),"사과")</f>
        <v>사과</v>
      </c>
    </row>
    <row r="6832">
      <c r="A6832" s="2" t="str">
        <f>IFERROR(__xludf.DUMMYFUNCTION("""COMPUTED_VALUE"""),"제육과의 동침")</f>
        <v>제육과의 동침</v>
      </c>
      <c r="B6832" s="2" t="str">
        <f>IFERROR(__xludf.DUMMYFUNCTION("""COMPUTED_VALUE"""),"양상추")</f>
        <v>양상추</v>
      </c>
    </row>
    <row r="6833">
      <c r="A6833" s="2" t="str">
        <f>IFERROR(__xludf.DUMMYFUNCTION("""COMPUTED_VALUE"""),"제육과의 동침")</f>
        <v>제육과의 동침</v>
      </c>
      <c r="B6833" s="2" t="str">
        <f>IFERROR(__xludf.DUMMYFUNCTION("""COMPUTED_VALUE"""),"방울토마토")</f>
        <v>방울토마토</v>
      </c>
    </row>
    <row r="6834">
      <c r="A6834" s="2" t="str">
        <f>IFERROR(__xludf.DUMMYFUNCTION("""COMPUTED_VALUE"""),"제육과의 동침")</f>
        <v>제육과의 동침</v>
      </c>
      <c r="B6834" s="2" t="str">
        <f>IFERROR(__xludf.DUMMYFUNCTION("""COMPUTED_VALUE"""),"삼겹살")</f>
        <v>삼겹살</v>
      </c>
    </row>
    <row r="6835">
      <c r="A6835" s="2" t="str">
        <f>IFERROR(__xludf.DUMMYFUNCTION("""COMPUTED_VALUE"""),"제육과의 동침")</f>
        <v>제육과의 동침</v>
      </c>
      <c r="B6835" s="2" t="str">
        <f>IFERROR(__xludf.DUMMYFUNCTION("""COMPUTED_VALUE"""),"아스파라거스")</f>
        <v>아스파라거스</v>
      </c>
    </row>
    <row r="6836">
      <c r="A6836" s="2" t="str">
        <f>IFERROR(__xludf.DUMMYFUNCTION("""COMPUTED_VALUE"""),"제육과의 동침")</f>
        <v>제육과의 동침</v>
      </c>
      <c r="B6836" s="2" t="str">
        <f>IFERROR(__xludf.DUMMYFUNCTION("""COMPUTED_VALUE"""),"콜리플라워")</f>
        <v>콜리플라워</v>
      </c>
    </row>
    <row r="6837">
      <c r="A6837" s="2" t="str">
        <f>IFERROR(__xludf.DUMMYFUNCTION("""COMPUTED_VALUE"""),"제육과의 동침")</f>
        <v>제육과의 동침</v>
      </c>
      <c r="B6837" s="2" t="str">
        <f>IFERROR(__xludf.DUMMYFUNCTION("""COMPUTED_VALUE"""),"토마토소스")</f>
        <v>토마토소스</v>
      </c>
    </row>
    <row r="6838">
      <c r="A6838" s="2" t="str">
        <f>IFERROR(__xludf.DUMMYFUNCTION("""COMPUTED_VALUE"""),"제육과의 동침")</f>
        <v>제육과의 동침</v>
      </c>
      <c r="B6838" s="2" t="str">
        <f>IFERROR(__xludf.DUMMYFUNCTION("""COMPUTED_VALUE"""),"라면수프")</f>
        <v>라면수프</v>
      </c>
    </row>
    <row r="6839">
      <c r="A6839" s="2" t="str">
        <f>IFERROR(__xludf.DUMMYFUNCTION("""COMPUTED_VALUE"""),"제육과의 동침")</f>
        <v>제육과의 동침</v>
      </c>
      <c r="B6839" s="2" t="str">
        <f>IFERROR(__xludf.DUMMYFUNCTION("""COMPUTED_VALUE"""),"소금")</f>
        <v>소금</v>
      </c>
    </row>
    <row r="6840">
      <c r="A6840" s="2" t="str">
        <f>IFERROR(__xludf.DUMMYFUNCTION("""COMPUTED_VALUE"""),"제육과의 동침")</f>
        <v>제육과의 동침</v>
      </c>
      <c r="B6840" s="2" t="str">
        <f>IFERROR(__xludf.DUMMYFUNCTION("""COMPUTED_VALUE"""),"다진 마늘")</f>
        <v>다진 마늘</v>
      </c>
    </row>
    <row r="6841">
      <c r="A6841" s="2" t="str">
        <f>IFERROR(__xludf.DUMMYFUNCTION("""COMPUTED_VALUE"""),"제육과의 동침")</f>
        <v>제육과의 동침</v>
      </c>
      <c r="B6841" s="2" t="str">
        <f>IFERROR(__xludf.DUMMYFUNCTION("""COMPUTED_VALUE"""),"설탕")</f>
        <v>설탕</v>
      </c>
    </row>
    <row r="6842">
      <c r="A6842" s="2" t="str">
        <f>IFERROR(__xludf.DUMMYFUNCTION("""COMPUTED_VALUE"""),"제육과의 동침")</f>
        <v>제육과의 동침</v>
      </c>
      <c r="B6842" s="2" t="str">
        <f>IFERROR(__xludf.DUMMYFUNCTION("""COMPUTED_VALUE"""),"식초")</f>
        <v>식초</v>
      </c>
    </row>
    <row r="6843">
      <c r="A6843" s="2" t="str">
        <f>IFERROR(__xludf.DUMMYFUNCTION("""COMPUTED_VALUE"""),"제육과의 동침")</f>
        <v>제육과의 동침</v>
      </c>
      <c r="B6843" s="2" t="str">
        <f>IFERROR(__xludf.DUMMYFUNCTION("""COMPUTED_VALUE"""),"양파")</f>
        <v>양파</v>
      </c>
    </row>
    <row r="6844">
      <c r="A6844" s="2" t="str">
        <f>IFERROR(__xludf.DUMMYFUNCTION("""COMPUTED_VALUE"""),"제육과의 동침")</f>
        <v>제육과의 동침</v>
      </c>
      <c r="B6844" s="2" t="str">
        <f>IFERROR(__xludf.DUMMYFUNCTION("""COMPUTED_VALUE"""),"대파")</f>
        <v>대파</v>
      </c>
    </row>
    <row r="6845">
      <c r="A6845" s="2" t="str">
        <f>IFERROR(__xludf.DUMMYFUNCTION("""COMPUTED_VALUE"""),"제육과의 동침")</f>
        <v>제육과의 동침</v>
      </c>
      <c r="B6845" s="2" t="str">
        <f>IFERROR(__xludf.DUMMYFUNCTION("""COMPUTED_VALUE"""),"후추")</f>
        <v>후추</v>
      </c>
    </row>
    <row r="6846">
      <c r="A6846" s="2" t="str">
        <f>IFERROR(__xludf.DUMMYFUNCTION("""COMPUTED_VALUE"""),"제육과의 동침")</f>
        <v>제육과의 동침</v>
      </c>
      <c r="B6846" s="2" t="str">
        <f>IFERROR(__xludf.DUMMYFUNCTION("""COMPUTED_VALUE"""),"즉석밥")</f>
        <v>즉석밥</v>
      </c>
    </row>
    <row r="6847">
      <c r="A6847" s="2" t="str">
        <f>IFERROR(__xludf.DUMMYFUNCTION("""COMPUTED_VALUE"""),"제육과의 동침")</f>
        <v>제육과의 동침</v>
      </c>
      <c r="B6847" s="2" t="str">
        <f>IFERROR(__xludf.DUMMYFUNCTION("""COMPUTED_VALUE"""),"고추")</f>
        <v>고추</v>
      </c>
    </row>
    <row r="6848">
      <c r="A6848" s="2" t="str">
        <f>IFERROR(__xludf.DUMMYFUNCTION("""COMPUTED_VALUE"""),"보쌈하새우")</f>
        <v>보쌈하새우</v>
      </c>
      <c r="B6848" s="2" t="str">
        <f>IFERROR(__xludf.DUMMYFUNCTION("""COMPUTED_VALUE"""),"게")</f>
        <v>게</v>
      </c>
    </row>
    <row r="6849">
      <c r="A6849" s="2" t="str">
        <f>IFERROR(__xludf.DUMMYFUNCTION("""COMPUTED_VALUE"""),"보쌈하새우")</f>
        <v>보쌈하새우</v>
      </c>
      <c r="B6849" s="2" t="str">
        <f>IFERROR(__xludf.DUMMYFUNCTION("""COMPUTED_VALUE"""),"새우")</f>
        <v>새우</v>
      </c>
    </row>
    <row r="6850">
      <c r="A6850" s="2" t="str">
        <f>IFERROR(__xludf.DUMMYFUNCTION("""COMPUTED_VALUE"""),"보쌈하새우")</f>
        <v>보쌈하새우</v>
      </c>
      <c r="B6850" s="2" t="str">
        <f>IFERROR(__xludf.DUMMYFUNCTION("""COMPUTED_VALUE"""),"삼겹살")</f>
        <v>삼겹살</v>
      </c>
    </row>
    <row r="6851">
      <c r="A6851" s="2" t="str">
        <f>IFERROR(__xludf.DUMMYFUNCTION("""COMPUTED_VALUE"""),"보쌈하새우")</f>
        <v>보쌈하새우</v>
      </c>
      <c r="B6851" s="2" t="str">
        <f>IFERROR(__xludf.DUMMYFUNCTION("""COMPUTED_VALUE"""),"더치커피")</f>
        <v>더치커피</v>
      </c>
    </row>
    <row r="6852">
      <c r="A6852" s="2" t="str">
        <f>IFERROR(__xludf.DUMMYFUNCTION("""COMPUTED_VALUE"""),"보쌈하새우")</f>
        <v>보쌈하새우</v>
      </c>
      <c r="B6852" s="2" t="str">
        <f>IFERROR(__xludf.DUMMYFUNCTION("""COMPUTED_VALUE"""),"알배추")</f>
        <v>알배추</v>
      </c>
    </row>
    <row r="6853">
      <c r="A6853" s="2" t="str">
        <f>IFERROR(__xludf.DUMMYFUNCTION("""COMPUTED_VALUE"""),"보쌈하새우")</f>
        <v>보쌈하새우</v>
      </c>
      <c r="B6853" s="2" t="str">
        <f>IFERROR(__xludf.DUMMYFUNCTION("""COMPUTED_VALUE"""),"아스파라거스")</f>
        <v>아스파라거스</v>
      </c>
    </row>
    <row r="6854">
      <c r="A6854" s="2" t="str">
        <f>IFERROR(__xludf.DUMMYFUNCTION("""COMPUTED_VALUE"""),"보쌈하새우")</f>
        <v>보쌈하새우</v>
      </c>
      <c r="B6854" s="2" t="str">
        <f>IFERROR(__xludf.DUMMYFUNCTION("""COMPUTED_VALUE"""),"무")</f>
        <v>무</v>
      </c>
    </row>
    <row r="6855">
      <c r="A6855" s="2" t="str">
        <f>IFERROR(__xludf.DUMMYFUNCTION("""COMPUTED_VALUE"""),"보쌈하새우")</f>
        <v>보쌈하새우</v>
      </c>
      <c r="B6855" s="2" t="str">
        <f>IFERROR(__xludf.DUMMYFUNCTION("""COMPUTED_VALUE"""),"토마토소스")</f>
        <v>토마토소스</v>
      </c>
    </row>
    <row r="6856">
      <c r="A6856" s="2" t="str">
        <f>IFERROR(__xludf.DUMMYFUNCTION("""COMPUTED_VALUE"""),"보쌈하새우")</f>
        <v>보쌈하새우</v>
      </c>
      <c r="B6856" s="2" t="str">
        <f>IFERROR(__xludf.DUMMYFUNCTION("""COMPUTED_VALUE"""),"깻잎")</f>
        <v>깻잎</v>
      </c>
    </row>
    <row r="6857">
      <c r="A6857" s="2" t="str">
        <f>IFERROR(__xludf.DUMMYFUNCTION("""COMPUTED_VALUE"""),"보쌈하새우")</f>
        <v>보쌈하새우</v>
      </c>
      <c r="B6857" s="2" t="str">
        <f>IFERROR(__xludf.DUMMYFUNCTION("""COMPUTED_VALUE"""),"고춧가루")</f>
        <v>고춧가루</v>
      </c>
    </row>
    <row r="6858">
      <c r="A6858" s="2" t="str">
        <f>IFERROR(__xludf.DUMMYFUNCTION("""COMPUTED_VALUE"""),"보쌈하새우")</f>
        <v>보쌈하새우</v>
      </c>
      <c r="B6858" s="2" t="str">
        <f>IFERROR(__xludf.DUMMYFUNCTION("""COMPUTED_VALUE"""),"발사믹식초")</f>
        <v>발사믹식초</v>
      </c>
    </row>
    <row r="6859">
      <c r="A6859" s="2" t="str">
        <f>IFERROR(__xludf.DUMMYFUNCTION("""COMPUTED_VALUE"""),"보쌈하새우")</f>
        <v>보쌈하새우</v>
      </c>
      <c r="B6859" s="2" t="str">
        <f>IFERROR(__xludf.DUMMYFUNCTION("""COMPUTED_VALUE"""),"간장")</f>
        <v>간장</v>
      </c>
    </row>
    <row r="6860">
      <c r="A6860" s="2" t="str">
        <f>IFERROR(__xludf.DUMMYFUNCTION("""COMPUTED_VALUE"""),"보쌈하새우")</f>
        <v>보쌈하새우</v>
      </c>
      <c r="B6860" s="2" t="str">
        <f>IFERROR(__xludf.DUMMYFUNCTION("""COMPUTED_VALUE"""),"설탕")</f>
        <v>설탕</v>
      </c>
    </row>
    <row r="6861">
      <c r="A6861" s="2" t="str">
        <f>IFERROR(__xludf.DUMMYFUNCTION("""COMPUTED_VALUE"""),"보쌈하새우")</f>
        <v>보쌈하새우</v>
      </c>
      <c r="B6861" s="2" t="str">
        <f>IFERROR(__xludf.DUMMYFUNCTION("""COMPUTED_VALUE"""),"양파")</f>
        <v>양파</v>
      </c>
    </row>
    <row r="6862">
      <c r="A6862" s="2" t="str">
        <f>IFERROR(__xludf.DUMMYFUNCTION("""COMPUTED_VALUE"""),"보쌈하새우")</f>
        <v>보쌈하새우</v>
      </c>
      <c r="B6862" s="2" t="str">
        <f>IFERROR(__xludf.DUMMYFUNCTION("""COMPUTED_VALUE"""),"대파")</f>
        <v>대파</v>
      </c>
    </row>
    <row r="6863">
      <c r="A6863" s="2" t="str">
        <f>IFERROR(__xludf.DUMMYFUNCTION("""COMPUTED_VALUE"""),"보쌈하새우")</f>
        <v>보쌈하새우</v>
      </c>
      <c r="B6863" s="2" t="str">
        <f>IFERROR(__xludf.DUMMYFUNCTION("""COMPUTED_VALUE"""),"고추")</f>
        <v>고추</v>
      </c>
    </row>
    <row r="6864">
      <c r="A6864" s="2" t="str">
        <f>IFERROR(__xludf.DUMMYFUNCTION("""COMPUTED_VALUE"""),"보쌈하새우")</f>
        <v>보쌈하새우</v>
      </c>
      <c r="B6864" s="2" t="str">
        <f>IFERROR(__xludf.DUMMYFUNCTION("""COMPUTED_VALUE"""),"맛술")</f>
        <v>맛술</v>
      </c>
    </row>
    <row r="6865">
      <c r="A6865" s="2" t="str">
        <f>IFERROR(__xludf.DUMMYFUNCTION("""COMPUTED_VALUE"""),"보쌈하새우")</f>
        <v>보쌈하새우</v>
      </c>
      <c r="B6865" s="2" t="str">
        <f>IFERROR(__xludf.DUMMYFUNCTION("""COMPUTED_VALUE"""),"소금")</f>
        <v>소금</v>
      </c>
    </row>
    <row r="6866">
      <c r="A6866" s="2" t="str">
        <f>IFERROR(__xludf.DUMMYFUNCTION("""COMPUTED_VALUE"""),"보쌈하새우")</f>
        <v>보쌈하새우</v>
      </c>
      <c r="B6866" s="2" t="str">
        <f>IFERROR(__xludf.DUMMYFUNCTION("""COMPUTED_VALUE"""),"고춧가루")</f>
        <v>고춧가루</v>
      </c>
    </row>
    <row r="6867">
      <c r="A6867" s="2" t="str">
        <f>IFERROR(__xludf.DUMMYFUNCTION("""COMPUTED_VALUE"""),"보쌈하새우")</f>
        <v>보쌈하새우</v>
      </c>
      <c r="B6867" s="2" t="str">
        <f>IFERROR(__xludf.DUMMYFUNCTION("""COMPUTED_VALUE"""),"식초")</f>
        <v>식초</v>
      </c>
    </row>
    <row r="6868">
      <c r="A6868" s="2" t="str">
        <f>IFERROR(__xludf.DUMMYFUNCTION("""COMPUTED_VALUE"""),"돔비지마")</f>
        <v>돔비지마</v>
      </c>
      <c r="B6868" s="2" t="str">
        <f>IFERROR(__xludf.DUMMYFUNCTION("""COMPUTED_VALUE"""),"감성돔 살")</f>
        <v>감성돔 살</v>
      </c>
    </row>
    <row r="6869">
      <c r="A6869" s="2" t="str">
        <f>IFERROR(__xludf.DUMMYFUNCTION("""COMPUTED_VALUE"""),"돔비지마")</f>
        <v>돔비지마</v>
      </c>
      <c r="B6869" s="2" t="str">
        <f>IFERROR(__xludf.DUMMYFUNCTION("""COMPUTED_VALUE"""),"자숙새우")</f>
        <v>자숙새우</v>
      </c>
    </row>
    <row r="6870">
      <c r="A6870" s="2" t="str">
        <f>IFERROR(__xludf.DUMMYFUNCTION("""COMPUTED_VALUE"""),"돔비지마")</f>
        <v>돔비지마</v>
      </c>
      <c r="B6870" s="2" t="str">
        <f>IFERROR(__xludf.DUMMYFUNCTION("""COMPUTED_VALUE"""),"전복")</f>
        <v>전복</v>
      </c>
    </row>
    <row r="6871">
      <c r="A6871" s="2" t="str">
        <f>IFERROR(__xludf.DUMMYFUNCTION("""COMPUTED_VALUE"""),"돔비지마")</f>
        <v>돔비지마</v>
      </c>
      <c r="B6871" s="2" t="str">
        <f>IFERROR(__xludf.DUMMYFUNCTION("""COMPUTED_VALUE"""),"비지")</f>
        <v>비지</v>
      </c>
    </row>
    <row r="6872">
      <c r="A6872" s="2" t="str">
        <f>IFERROR(__xludf.DUMMYFUNCTION("""COMPUTED_VALUE"""),"돔비지마")</f>
        <v>돔비지마</v>
      </c>
      <c r="B6872" s="2" t="str">
        <f>IFERROR(__xludf.DUMMYFUNCTION("""COMPUTED_VALUE"""),"장어구이소스")</f>
        <v>장어구이소스</v>
      </c>
    </row>
    <row r="6873">
      <c r="A6873" s="2" t="str">
        <f>IFERROR(__xludf.DUMMYFUNCTION("""COMPUTED_VALUE"""),"돔비지마")</f>
        <v>돔비지마</v>
      </c>
      <c r="B6873" s="2" t="str">
        <f>IFERROR(__xludf.DUMMYFUNCTION("""COMPUTED_VALUE"""),"인절미")</f>
        <v>인절미</v>
      </c>
    </row>
    <row r="6874">
      <c r="A6874" s="2" t="str">
        <f>IFERROR(__xludf.DUMMYFUNCTION("""COMPUTED_VALUE"""),"돔비지마")</f>
        <v>돔비지마</v>
      </c>
      <c r="B6874" s="2" t="str">
        <f>IFERROR(__xludf.DUMMYFUNCTION("""COMPUTED_VALUE"""),"마늘쫑 장아찌")</f>
        <v>마늘쫑 장아찌</v>
      </c>
    </row>
    <row r="6875">
      <c r="A6875" s="2" t="str">
        <f>IFERROR(__xludf.DUMMYFUNCTION("""COMPUTED_VALUE"""),"돔비지마")</f>
        <v>돔비지마</v>
      </c>
      <c r="B6875" s="2" t="str">
        <f>IFERROR(__xludf.DUMMYFUNCTION("""COMPUTED_VALUE"""),"삶은 달걀")</f>
        <v>삶은 달걀</v>
      </c>
    </row>
    <row r="6876">
      <c r="A6876" s="2" t="str">
        <f>IFERROR(__xludf.DUMMYFUNCTION("""COMPUTED_VALUE"""),"돔비지마")</f>
        <v>돔비지마</v>
      </c>
      <c r="B6876" s="2" t="str">
        <f>IFERROR(__xludf.DUMMYFUNCTION("""COMPUTED_VALUE"""),"양파")</f>
        <v>양파</v>
      </c>
    </row>
    <row r="6877">
      <c r="A6877" s="2" t="str">
        <f>IFERROR(__xludf.DUMMYFUNCTION("""COMPUTED_VALUE"""),"돔비지마")</f>
        <v>돔비지마</v>
      </c>
      <c r="B6877" s="2" t="str">
        <f>IFERROR(__xludf.DUMMYFUNCTION("""COMPUTED_VALUE"""),"대파")</f>
        <v>대파</v>
      </c>
    </row>
    <row r="6878">
      <c r="A6878" s="2" t="str">
        <f>IFERROR(__xludf.DUMMYFUNCTION("""COMPUTED_VALUE"""),"돔비지마")</f>
        <v>돔비지마</v>
      </c>
      <c r="B6878" s="2" t="str">
        <f>IFERROR(__xludf.DUMMYFUNCTION("""COMPUTED_VALUE"""),"고추")</f>
        <v>고추</v>
      </c>
    </row>
    <row r="6879">
      <c r="A6879" s="2" t="str">
        <f>IFERROR(__xludf.DUMMYFUNCTION("""COMPUTED_VALUE"""),"돔비지마")</f>
        <v>돔비지마</v>
      </c>
      <c r="B6879" s="2" t="str">
        <f>IFERROR(__xludf.DUMMYFUNCTION("""COMPUTED_VALUE"""),"레몬")</f>
        <v>레몬</v>
      </c>
    </row>
    <row r="6880">
      <c r="A6880" s="2" t="str">
        <f>IFERROR(__xludf.DUMMYFUNCTION("""COMPUTED_VALUE"""),"돔비지마")</f>
        <v>돔비지마</v>
      </c>
      <c r="B6880" s="2" t="str">
        <f>IFERROR(__xludf.DUMMYFUNCTION("""COMPUTED_VALUE"""),"밀가루")</f>
        <v>밀가루</v>
      </c>
    </row>
    <row r="6881">
      <c r="A6881" s="2" t="str">
        <f>IFERROR(__xludf.DUMMYFUNCTION("""COMPUTED_VALUE"""),"돔비지마")</f>
        <v>돔비지마</v>
      </c>
      <c r="B6881" s="2" t="str">
        <f>IFERROR(__xludf.DUMMYFUNCTION("""COMPUTED_VALUE"""),"소금")</f>
        <v>소금</v>
      </c>
    </row>
    <row r="6882">
      <c r="A6882" s="2" t="str">
        <f>IFERROR(__xludf.DUMMYFUNCTION("""COMPUTED_VALUE"""),"돔비지마")</f>
        <v>돔비지마</v>
      </c>
      <c r="B6882" s="2" t="str">
        <f>IFERROR(__xludf.DUMMYFUNCTION("""COMPUTED_VALUE"""),"후추")</f>
        <v>후추</v>
      </c>
    </row>
    <row r="6883">
      <c r="A6883" s="2" t="str">
        <f>IFERROR(__xludf.DUMMYFUNCTION("""COMPUTED_VALUE"""),"돔비지마")</f>
        <v>돔비지마</v>
      </c>
      <c r="B6883" s="2" t="str">
        <f>IFERROR(__xludf.DUMMYFUNCTION("""COMPUTED_VALUE"""),"올리브오일")</f>
        <v>올리브오일</v>
      </c>
    </row>
    <row r="6884">
      <c r="A6884" s="2" t="str">
        <f>IFERROR(__xludf.DUMMYFUNCTION("""COMPUTED_VALUE"""),"돔비지마")</f>
        <v>돔비지마</v>
      </c>
      <c r="B6884" s="2" t="str">
        <f>IFERROR(__xludf.DUMMYFUNCTION("""COMPUTED_VALUE"""),"버터")</f>
        <v>버터</v>
      </c>
    </row>
    <row r="6885">
      <c r="A6885" s="2" t="str">
        <f>IFERROR(__xludf.DUMMYFUNCTION("""COMPUTED_VALUE"""),"돔비지마")</f>
        <v>돔비지마</v>
      </c>
      <c r="B6885" s="2" t="str">
        <f>IFERROR(__xludf.DUMMYFUNCTION("""COMPUTED_VALUE"""),"마요네즈")</f>
        <v>마요네즈</v>
      </c>
    </row>
    <row r="6886">
      <c r="A6886" s="2" t="str">
        <f>IFERROR(__xludf.DUMMYFUNCTION("""COMPUTED_VALUE"""),"마파 돔돔돔돔♬")</f>
        <v>마파 돔돔돔돔♬</v>
      </c>
      <c r="B6886" s="2" t="str">
        <f>IFERROR(__xludf.DUMMYFUNCTION("""COMPUTED_VALUE"""),"감성돔")</f>
        <v>감성돔</v>
      </c>
    </row>
    <row r="6887">
      <c r="A6887" s="2" t="str">
        <f>IFERROR(__xludf.DUMMYFUNCTION("""COMPUTED_VALUE"""),"마파 돔돔돔돔♬")</f>
        <v>마파 돔돔돔돔♬</v>
      </c>
      <c r="B6887" s="2" t="str">
        <f>IFERROR(__xludf.DUMMYFUNCTION("""COMPUTED_VALUE"""),"오징어")</f>
        <v>오징어</v>
      </c>
    </row>
    <row r="6888">
      <c r="A6888" s="2" t="str">
        <f>IFERROR(__xludf.DUMMYFUNCTION("""COMPUTED_VALUE"""),"마파 돔돔돔돔♬")</f>
        <v>마파 돔돔돔돔♬</v>
      </c>
      <c r="B6888" s="2" t="str">
        <f>IFERROR(__xludf.DUMMYFUNCTION("""COMPUTED_VALUE"""),"달걀")</f>
        <v>달걀</v>
      </c>
    </row>
    <row r="6889">
      <c r="A6889" s="2" t="str">
        <f>IFERROR(__xludf.DUMMYFUNCTION("""COMPUTED_VALUE"""),"마파 돔돔돔돔♬")</f>
        <v>마파 돔돔돔돔♬</v>
      </c>
      <c r="B6889" s="2" t="str">
        <f>IFERROR(__xludf.DUMMYFUNCTION("""COMPUTED_VALUE"""),"자숙새우")</f>
        <v>자숙새우</v>
      </c>
    </row>
    <row r="6890">
      <c r="A6890" s="2" t="str">
        <f>IFERROR(__xludf.DUMMYFUNCTION("""COMPUTED_VALUE"""),"마파 돔돔돔돔♬")</f>
        <v>마파 돔돔돔돔♬</v>
      </c>
      <c r="B6890" s="2" t="str">
        <f>IFERROR(__xludf.DUMMYFUNCTION("""COMPUTED_VALUE"""),"전복")</f>
        <v>전복</v>
      </c>
    </row>
    <row r="6891">
      <c r="A6891" s="2" t="str">
        <f>IFERROR(__xludf.DUMMYFUNCTION("""COMPUTED_VALUE"""),"마파 돔돔돔돔♬")</f>
        <v>마파 돔돔돔돔♬</v>
      </c>
      <c r="B6891" s="2" t="str">
        <f>IFERROR(__xludf.DUMMYFUNCTION("""COMPUTED_VALUE"""),"두부")</f>
        <v>두부</v>
      </c>
    </row>
    <row r="6892">
      <c r="A6892" s="2" t="str">
        <f>IFERROR(__xludf.DUMMYFUNCTION("""COMPUTED_VALUE"""),"마파 돔돔돔돔♬")</f>
        <v>마파 돔돔돔돔♬</v>
      </c>
      <c r="B6892" s="2" t="str">
        <f>IFERROR(__xludf.DUMMYFUNCTION("""COMPUTED_VALUE"""),"항정살")</f>
        <v>항정살</v>
      </c>
    </row>
    <row r="6893">
      <c r="A6893" s="2" t="str">
        <f>IFERROR(__xludf.DUMMYFUNCTION("""COMPUTED_VALUE"""),"마파 돔돔돔돔♬")</f>
        <v>마파 돔돔돔돔♬</v>
      </c>
      <c r="B6893" s="2" t="str">
        <f>IFERROR(__xludf.DUMMYFUNCTION("""COMPUTED_VALUE"""),"고추기름")</f>
        <v>고추기름</v>
      </c>
    </row>
    <row r="6894">
      <c r="A6894" s="2" t="str">
        <f>IFERROR(__xludf.DUMMYFUNCTION("""COMPUTED_VALUE"""),"마파 돔돔돔돔♬")</f>
        <v>마파 돔돔돔돔♬</v>
      </c>
      <c r="B6894" s="2" t="str">
        <f>IFERROR(__xludf.DUMMYFUNCTION("""COMPUTED_VALUE"""),"두반장")</f>
        <v>두반장</v>
      </c>
    </row>
    <row r="6895">
      <c r="A6895" s="2" t="str">
        <f>IFERROR(__xludf.DUMMYFUNCTION("""COMPUTED_VALUE"""),"마파 돔돔돔돔♬")</f>
        <v>마파 돔돔돔돔♬</v>
      </c>
      <c r="B6895" s="2" t="str">
        <f>IFERROR(__xludf.DUMMYFUNCTION("""COMPUTED_VALUE"""),"굴소스")</f>
        <v>굴소스</v>
      </c>
    </row>
    <row r="6896">
      <c r="A6896" s="2" t="str">
        <f>IFERROR(__xludf.DUMMYFUNCTION("""COMPUTED_VALUE"""),"마파 돔돔돔돔♬")</f>
        <v>마파 돔돔돔돔♬</v>
      </c>
      <c r="B6896" s="2" t="str">
        <f>IFERROR(__xludf.DUMMYFUNCTION("""COMPUTED_VALUE"""),"마늘")</f>
        <v>마늘</v>
      </c>
    </row>
    <row r="6897">
      <c r="A6897" s="2" t="str">
        <f>IFERROR(__xludf.DUMMYFUNCTION("""COMPUTED_VALUE"""),"마파 돔돔돔돔♬")</f>
        <v>마파 돔돔돔돔♬</v>
      </c>
      <c r="B6897" s="2" t="str">
        <f>IFERROR(__xludf.DUMMYFUNCTION("""COMPUTED_VALUE"""),"대파")</f>
        <v>대파</v>
      </c>
    </row>
    <row r="6898">
      <c r="A6898" s="2" t="str">
        <f>IFERROR(__xludf.DUMMYFUNCTION("""COMPUTED_VALUE"""),"마파 돔돔돔돔♬")</f>
        <v>마파 돔돔돔돔♬</v>
      </c>
      <c r="B6898" s="2" t="str">
        <f>IFERROR(__xludf.DUMMYFUNCTION("""COMPUTED_VALUE"""),"양파")</f>
        <v>양파</v>
      </c>
    </row>
    <row r="6899">
      <c r="A6899" s="2" t="str">
        <f>IFERROR(__xludf.DUMMYFUNCTION("""COMPUTED_VALUE"""),"마파 돔돔돔돔♬")</f>
        <v>마파 돔돔돔돔♬</v>
      </c>
      <c r="B6899" s="2" t="str">
        <f>IFERROR(__xludf.DUMMYFUNCTION("""COMPUTED_VALUE"""),"즉석밥")</f>
        <v>즉석밥</v>
      </c>
    </row>
    <row r="6900">
      <c r="A6900" s="2" t="str">
        <f>IFERROR(__xludf.DUMMYFUNCTION("""COMPUTED_VALUE"""),"마파 돔돔돔돔♬")</f>
        <v>마파 돔돔돔돔♬</v>
      </c>
      <c r="B6900" s="2" t="str">
        <f>IFERROR(__xludf.DUMMYFUNCTION("""COMPUTED_VALUE"""),"전분")</f>
        <v>전분</v>
      </c>
    </row>
    <row r="6901">
      <c r="A6901" s="2" t="str">
        <f>IFERROR(__xludf.DUMMYFUNCTION("""COMPUTED_VALUE"""),"마파 돔돔돔돔♬")</f>
        <v>마파 돔돔돔돔♬</v>
      </c>
      <c r="B6901" s="2" t="str">
        <f>IFERROR(__xludf.DUMMYFUNCTION("""COMPUTED_VALUE"""),"청주")</f>
        <v>청주</v>
      </c>
    </row>
    <row r="6902">
      <c r="A6902" s="2" t="str">
        <f>IFERROR(__xludf.DUMMYFUNCTION("""COMPUTED_VALUE"""),"마파 돔돔돔돔♬")</f>
        <v>마파 돔돔돔돔♬</v>
      </c>
      <c r="B6902" s="2" t="str">
        <f>IFERROR(__xludf.DUMMYFUNCTION("""COMPUTED_VALUE"""),"식용유")</f>
        <v>식용유</v>
      </c>
    </row>
    <row r="6903">
      <c r="A6903" s="2" t="str">
        <f>IFERROR(__xludf.DUMMYFUNCTION("""COMPUTED_VALUE"""),"마파 돔돔돔돔♬")</f>
        <v>마파 돔돔돔돔♬</v>
      </c>
      <c r="B6903" s="2" t="str">
        <f>IFERROR(__xludf.DUMMYFUNCTION("""COMPUTED_VALUE"""),"설탕")</f>
        <v>설탕</v>
      </c>
    </row>
    <row r="6904">
      <c r="A6904" s="2" t="str">
        <f>IFERROR(__xludf.DUMMYFUNCTION("""COMPUTED_VALUE"""),"마파 돔돔돔돔♬")</f>
        <v>마파 돔돔돔돔♬</v>
      </c>
      <c r="B6904" s="2" t="str">
        <f>IFERROR(__xludf.DUMMYFUNCTION("""COMPUTED_VALUE"""),"맛술")</f>
        <v>맛술</v>
      </c>
    </row>
    <row r="6905">
      <c r="A6905" s="2" t="str">
        <f>IFERROR(__xludf.DUMMYFUNCTION("""COMPUTED_VALUE"""),"마파 돔돔돔돔♬")</f>
        <v>마파 돔돔돔돔♬</v>
      </c>
      <c r="B6905" s="2" t="str">
        <f>IFERROR(__xludf.DUMMYFUNCTION("""COMPUTED_VALUE"""),"간장")</f>
        <v>간장</v>
      </c>
    </row>
    <row r="6906">
      <c r="A6906" s="2" t="str">
        <f>IFERROR(__xludf.DUMMYFUNCTION("""COMPUTED_VALUE"""),"마파 돔돔돔돔♬")</f>
        <v>마파 돔돔돔돔♬</v>
      </c>
      <c r="B6906" s="2" t="str">
        <f>IFERROR(__xludf.DUMMYFUNCTION("""COMPUTED_VALUE"""),"전분")</f>
        <v>전분</v>
      </c>
    </row>
    <row r="6907">
      <c r="A6907" s="2" t="str">
        <f>IFERROR(__xludf.DUMMYFUNCTION("""COMPUTED_VALUE"""),"짜장과 정열을 그대에게")</f>
        <v>짜장과 정열을 그대에게</v>
      </c>
      <c r="B6907" s="2" t="str">
        <f>IFERROR(__xludf.DUMMYFUNCTION("""COMPUTED_VALUE"""),"두부")</f>
        <v>두부</v>
      </c>
    </row>
    <row r="6908">
      <c r="A6908" s="2" t="str">
        <f>IFERROR(__xludf.DUMMYFUNCTION("""COMPUTED_VALUE"""),"짜장과 정열을 그대에게")</f>
        <v>짜장과 정열을 그대에게</v>
      </c>
      <c r="B6908" s="2" t="str">
        <f>IFERROR(__xludf.DUMMYFUNCTION("""COMPUTED_VALUE"""),"춘장")</f>
        <v>춘장</v>
      </c>
    </row>
    <row r="6909">
      <c r="A6909" s="2" t="str">
        <f>IFERROR(__xludf.DUMMYFUNCTION("""COMPUTED_VALUE"""),"짜장과 정열을 그대에게")</f>
        <v>짜장과 정열을 그대에게</v>
      </c>
      <c r="B6909" s="2" t="str">
        <f>IFERROR(__xludf.DUMMYFUNCTION("""COMPUTED_VALUE"""),"애호박")</f>
        <v>애호박</v>
      </c>
    </row>
    <row r="6910">
      <c r="A6910" s="2" t="str">
        <f>IFERROR(__xludf.DUMMYFUNCTION("""COMPUTED_VALUE"""),"짜장과 정열을 그대에게")</f>
        <v>짜장과 정열을 그대에게</v>
      </c>
      <c r="B6910" s="2" t="str">
        <f>IFERROR(__xludf.DUMMYFUNCTION("""COMPUTED_VALUE"""),"항정살")</f>
        <v>항정살</v>
      </c>
    </row>
    <row r="6911">
      <c r="A6911" s="2" t="str">
        <f>IFERROR(__xludf.DUMMYFUNCTION("""COMPUTED_VALUE"""),"짜장과 정열을 그대에게")</f>
        <v>짜장과 정열을 그대에게</v>
      </c>
      <c r="B6911" s="2" t="str">
        <f>IFERROR(__xludf.DUMMYFUNCTION("""COMPUTED_VALUE"""),"굴소스")</f>
        <v>굴소스</v>
      </c>
    </row>
    <row r="6912">
      <c r="A6912" s="2" t="str">
        <f>IFERROR(__xludf.DUMMYFUNCTION("""COMPUTED_VALUE"""),"짜장과 정열을 그대에게")</f>
        <v>짜장과 정열을 그대에게</v>
      </c>
      <c r="B6912" s="2" t="str">
        <f>IFERROR(__xludf.DUMMYFUNCTION("""COMPUTED_VALUE"""),"마늘")</f>
        <v>마늘</v>
      </c>
    </row>
    <row r="6913">
      <c r="A6913" s="2" t="str">
        <f>IFERROR(__xludf.DUMMYFUNCTION("""COMPUTED_VALUE"""),"짜장과 정열을 그대에게")</f>
        <v>짜장과 정열을 그대에게</v>
      </c>
      <c r="B6913" s="2" t="str">
        <f>IFERROR(__xludf.DUMMYFUNCTION("""COMPUTED_VALUE"""),"대파")</f>
        <v>대파</v>
      </c>
    </row>
    <row r="6914">
      <c r="A6914" s="2" t="str">
        <f>IFERROR(__xludf.DUMMYFUNCTION("""COMPUTED_VALUE"""),"짜장과 정열을 그대에게")</f>
        <v>짜장과 정열을 그대에게</v>
      </c>
      <c r="B6914" s="2" t="str">
        <f>IFERROR(__xludf.DUMMYFUNCTION("""COMPUTED_VALUE"""),"양파")</f>
        <v>양파</v>
      </c>
    </row>
    <row r="6915">
      <c r="A6915" s="2" t="str">
        <f>IFERROR(__xludf.DUMMYFUNCTION("""COMPUTED_VALUE"""),"짜장과 정열을 그대에게")</f>
        <v>짜장과 정열을 그대에게</v>
      </c>
      <c r="B6915" s="2" t="str">
        <f>IFERROR(__xludf.DUMMYFUNCTION("""COMPUTED_VALUE"""),"밀가루")</f>
        <v>밀가루</v>
      </c>
    </row>
    <row r="6916">
      <c r="A6916" s="2" t="str">
        <f>IFERROR(__xludf.DUMMYFUNCTION("""COMPUTED_VALUE"""),"짜장과 정열을 그대에게")</f>
        <v>짜장과 정열을 그대에게</v>
      </c>
      <c r="B6916" s="2" t="str">
        <f>IFERROR(__xludf.DUMMYFUNCTION("""COMPUTED_VALUE"""),"소금")</f>
        <v>소금</v>
      </c>
    </row>
    <row r="6917">
      <c r="A6917" s="2" t="str">
        <f>IFERROR(__xludf.DUMMYFUNCTION("""COMPUTED_VALUE"""),"짜장과 정열을 그대에게")</f>
        <v>짜장과 정열을 그대에게</v>
      </c>
      <c r="B6917" s="2" t="str">
        <f>IFERROR(__xludf.DUMMYFUNCTION("""COMPUTED_VALUE"""),"간장")</f>
        <v>간장</v>
      </c>
    </row>
    <row r="6918">
      <c r="A6918" s="2" t="str">
        <f>IFERROR(__xludf.DUMMYFUNCTION("""COMPUTED_VALUE"""),"짜장과 정열을 그대에게")</f>
        <v>짜장과 정열을 그대에게</v>
      </c>
      <c r="B6918" s="2" t="str">
        <f>IFERROR(__xludf.DUMMYFUNCTION("""COMPUTED_VALUE"""),"설탕")</f>
        <v>설탕</v>
      </c>
    </row>
    <row r="6919">
      <c r="A6919" s="2" t="str">
        <f>IFERROR(__xludf.DUMMYFUNCTION("""COMPUTED_VALUE"""),"짜장과 정열을 그대에게")</f>
        <v>짜장과 정열을 그대에게</v>
      </c>
      <c r="B6919" s="2" t="str">
        <f>IFERROR(__xludf.DUMMYFUNCTION("""COMPUTED_VALUE"""),"전분")</f>
        <v>전분</v>
      </c>
    </row>
    <row r="6920">
      <c r="A6920" s="2" t="str">
        <f>IFERROR(__xludf.DUMMYFUNCTION("""COMPUTED_VALUE"""),"낙지엄지척♬")</f>
        <v>낙지엄지척♬</v>
      </c>
      <c r="B6920" s="2" t="str">
        <f>IFERROR(__xludf.DUMMYFUNCTION("""COMPUTED_VALUE"""),"무")</f>
        <v>무</v>
      </c>
    </row>
    <row r="6921">
      <c r="A6921" s="2" t="str">
        <f>IFERROR(__xludf.DUMMYFUNCTION("""COMPUTED_VALUE"""),"낙지엄지척♬")</f>
        <v>낙지엄지척♬</v>
      </c>
      <c r="B6921" s="2" t="str">
        <f>IFERROR(__xludf.DUMMYFUNCTION("""COMPUTED_VALUE"""),"인스턴트 재첩국")</f>
        <v>인스턴트 재첩국</v>
      </c>
    </row>
    <row r="6922">
      <c r="A6922" s="2" t="str">
        <f>IFERROR(__xludf.DUMMYFUNCTION("""COMPUTED_VALUE"""),"낙지엄지척♬")</f>
        <v>낙지엄지척♬</v>
      </c>
      <c r="B6922" s="2" t="str">
        <f>IFERROR(__xludf.DUMMYFUNCTION("""COMPUTED_VALUE"""),"소고기 등심")</f>
        <v>소고기 등심</v>
      </c>
    </row>
    <row r="6923">
      <c r="A6923" s="2" t="str">
        <f>IFERROR(__xludf.DUMMYFUNCTION("""COMPUTED_VALUE"""),"낙지엄지척♬")</f>
        <v>낙지엄지척♬</v>
      </c>
      <c r="B6923" s="2" t="str">
        <f>IFERROR(__xludf.DUMMYFUNCTION("""COMPUTED_VALUE"""),"낙지")</f>
        <v>낙지</v>
      </c>
    </row>
    <row r="6924">
      <c r="A6924" s="2" t="str">
        <f>IFERROR(__xludf.DUMMYFUNCTION("""COMPUTED_VALUE"""),"낙지엄지척♬")</f>
        <v>낙지엄지척♬</v>
      </c>
      <c r="B6924" s="2" t="str">
        <f>IFERROR(__xludf.DUMMYFUNCTION("""COMPUTED_VALUE"""),"애호박")</f>
        <v>애호박</v>
      </c>
    </row>
    <row r="6925">
      <c r="A6925" s="2" t="str">
        <f>IFERROR(__xludf.DUMMYFUNCTION("""COMPUTED_VALUE"""),"낙지엄지척♬")</f>
        <v>낙지엄지척♬</v>
      </c>
      <c r="B6925" s="2" t="str">
        <f>IFERROR(__xludf.DUMMYFUNCTION("""COMPUTED_VALUE"""),"조개젓")</f>
        <v>조개젓</v>
      </c>
    </row>
    <row r="6926">
      <c r="A6926" s="2" t="str">
        <f>IFERROR(__xludf.DUMMYFUNCTION("""COMPUTED_VALUE"""),"낙지엄지척♬")</f>
        <v>낙지엄지척♬</v>
      </c>
      <c r="B6926" s="2" t="str">
        <f>IFERROR(__xludf.DUMMYFUNCTION("""COMPUTED_VALUE"""),"전복")</f>
        <v>전복</v>
      </c>
    </row>
    <row r="6927">
      <c r="A6927" s="2" t="str">
        <f>IFERROR(__xludf.DUMMYFUNCTION("""COMPUTED_VALUE"""),"낙지엄지척♬")</f>
        <v>낙지엄지척♬</v>
      </c>
      <c r="B6927" s="2" t="str">
        <f>IFERROR(__xludf.DUMMYFUNCTION("""COMPUTED_VALUE"""),"마늘")</f>
        <v>마늘</v>
      </c>
    </row>
    <row r="6928">
      <c r="A6928" s="2" t="str">
        <f>IFERROR(__xludf.DUMMYFUNCTION("""COMPUTED_VALUE"""),"낙지엄지척♬")</f>
        <v>낙지엄지척♬</v>
      </c>
      <c r="B6928" s="2" t="str">
        <f>IFERROR(__xludf.DUMMYFUNCTION("""COMPUTED_VALUE"""),"대파")</f>
        <v>대파</v>
      </c>
    </row>
    <row r="6929">
      <c r="A6929" s="2" t="str">
        <f>IFERROR(__xludf.DUMMYFUNCTION("""COMPUTED_VALUE"""),"낙지엄지척♬")</f>
        <v>낙지엄지척♬</v>
      </c>
      <c r="B6929" s="2" t="str">
        <f>IFERROR(__xludf.DUMMYFUNCTION("""COMPUTED_VALUE"""),"간장")</f>
        <v>간장</v>
      </c>
    </row>
    <row r="6930">
      <c r="A6930" s="2" t="str">
        <f>IFERROR(__xludf.DUMMYFUNCTION("""COMPUTED_VALUE"""),"낙지엄지척♬")</f>
        <v>낙지엄지척♬</v>
      </c>
      <c r="B6930" s="2" t="str">
        <f>IFERROR(__xludf.DUMMYFUNCTION("""COMPUTED_VALUE"""),"고춧가루")</f>
        <v>고춧가루</v>
      </c>
    </row>
    <row r="6931">
      <c r="A6931" s="2" t="str">
        <f>IFERROR(__xludf.DUMMYFUNCTION("""COMPUTED_VALUE"""),"낙지엄지척♬")</f>
        <v>낙지엄지척♬</v>
      </c>
      <c r="B6931" s="2" t="str">
        <f>IFERROR(__xludf.DUMMYFUNCTION("""COMPUTED_VALUE"""),"소금")</f>
        <v>소금</v>
      </c>
    </row>
    <row r="6932">
      <c r="A6932" s="2" t="str">
        <f>IFERROR(__xludf.DUMMYFUNCTION("""COMPUTED_VALUE"""),"낙지엄지척♬")</f>
        <v>낙지엄지척♬</v>
      </c>
      <c r="B6932" s="2" t="str">
        <f>IFERROR(__xludf.DUMMYFUNCTION("""COMPUTED_VALUE"""),"후추")</f>
        <v>후추</v>
      </c>
    </row>
    <row r="6933">
      <c r="A6933" s="2" t="str">
        <f>IFERROR(__xludf.DUMMYFUNCTION("""COMPUTED_VALUE"""),"낙지엄지척♬")</f>
        <v>낙지엄지척♬</v>
      </c>
      <c r="B6933" s="2" t="str">
        <f>IFERROR(__xludf.DUMMYFUNCTION("""COMPUTED_VALUE"""),"식초")</f>
        <v>식초</v>
      </c>
    </row>
    <row r="6934">
      <c r="A6934" s="2" t="str">
        <f>IFERROR(__xludf.DUMMYFUNCTION("""COMPUTED_VALUE"""),"낙지엄지척♬")</f>
        <v>낙지엄지척♬</v>
      </c>
      <c r="B6934" s="2" t="str">
        <f>IFERROR(__xludf.DUMMYFUNCTION("""COMPUTED_VALUE"""),"참기름")</f>
        <v>참기름</v>
      </c>
    </row>
    <row r="6935">
      <c r="A6935" s="2" t="str">
        <f>IFERROR(__xludf.DUMMYFUNCTION("""COMPUTED_VALUE"""),"낙지엄지척♬")</f>
        <v>낙지엄지척♬</v>
      </c>
      <c r="B6935" s="2" t="str">
        <f>IFERROR(__xludf.DUMMYFUNCTION("""COMPUTED_VALUE"""),"올리브오일")</f>
        <v>올리브오일</v>
      </c>
    </row>
    <row r="6936">
      <c r="A6936" s="2" t="str">
        <f>IFERROR(__xludf.DUMMYFUNCTION("""COMPUTED_VALUE"""),"무빙스타")</f>
        <v>무빙스타</v>
      </c>
      <c r="B6936" s="2" t="str">
        <f>IFERROR(__xludf.DUMMYFUNCTION("""COMPUTED_VALUE"""),"고추장")</f>
        <v>고추장</v>
      </c>
    </row>
    <row r="6937">
      <c r="A6937" s="2" t="str">
        <f>IFERROR(__xludf.DUMMYFUNCTION("""COMPUTED_VALUE"""),"무빙스타")</f>
        <v>무빙스타</v>
      </c>
      <c r="B6937" s="2" t="str">
        <f>IFERROR(__xludf.DUMMYFUNCTION("""COMPUTED_VALUE"""),"삼겹살")</f>
        <v>삼겹살</v>
      </c>
    </row>
    <row r="6938">
      <c r="A6938" s="2" t="str">
        <f>IFERROR(__xludf.DUMMYFUNCTION("""COMPUTED_VALUE"""),"무빙스타")</f>
        <v>무빙스타</v>
      </c>
      <c r="B6938" s="2" t="str">
        <f>IFERROR(__xludf.DUMMYFUNCTION("""COMPUTED_VALUE"""),"무")</f>
        <v>무</v>
      </c>
    </row>
    <row r="6939">
      <c r="A6939" s="2" t="str">
        <f>IFERROR(__xludf.DUMMYFUNCTION("""COMPUTED_VALUE"""),"무빙스타")</f>
        <v>무빙스타</v>
      </c>
      <c r="B6939" s="2" t="str">
        <f>IFERROR(__xludf.DUMMYFUNCTION("""COMPUTED_VALUE"""),"아몬드")</f>
        <v>아몬드</v>
      </c>
    </row>
    <row r="6940">
      <c r="A6940" s="2" t="str">
        <f>IFERROR(__xludf.DUMMYFUNCTION("""COMPUTED_VALUE"""),"무빙스타")</f>
        <v>무빙스타</v>
      </c>
      <c r="B6940" s="2" t="str">
        <f>IFERROR(__xludf.DUMMYFUNCTION("""COMPUTED_VALUE"""),"통조림옥수수")</f>
        <v>통조림옥수수</v>
      </c>
    </row>
    <row r="6941">
      <c r="A6941" s="2" t="str">
        <f>IFERROR(__xludf.DUMMYFUNCTION("""COMPUTED_VALUE"""),"무빙스타")</f>
        <v>무빙스타</v>
      </c>
      <c r="B6941" s="2" t="str">
        <f>IFERROR(__xludf.DUMMYFUNCTION("""COMPUTED_VALUE"""),"소금")</f>
        <v>소금</v>
      </c>
    </row>
    <row r="6942">
      <c r="A6942" s="2" t="str">
        <f>IFERROR(__xludf.DUMMYFUNCTION("""COMPUTED_VALUE"""),"무빙스타")</f>
        <v>무빙스타</v>
      </c>
      <c r="B6942" s="2" t="str">
        <f>IFERROR(__xludf.DUMMYFUNCTION("""COMPUTED_VALUE"""),"대파")</f>
        <v>대파</v>
      </c>
    </row>
    <row r="6943">
      <c r="A6943" s="2" t="str">
        <f>IFERROR(__xludf.DUMMYFUNCTION("""COMPUTED_VALUE"""),"무빙스타")</f>
        <v>무빙스타</v>
      </c>
      <c r="B6943" s="2" t="str">
        <f>IFERROR(__xludf.DUMMYFUNCTION("""COMPUTED_VALUE"""),"마늘")</f>
        <v>마늘</v>
      </c>
    </row>
    <row r="6944">
      <c r="A6944" s="2" t="str">
        <f>IFERROR(__xludf.DUMMYFUNCTION("""COMPUTED_VALUE"""),"무빙스타")</f>
        <v>무빙스타</v>
      </c>
      <c r="B6944" s="2" t="str">
        <f>IFERROR(__xludf.DUMMYFUNCTION("""COMPUTED_VALUE"""),"간장")</f>
        <v>간장</v>
      </c>
    </row>
    <row r="6945">
      <c r="A6945" s="2" t="str">
        <f>IFERROR(__xludf.DUMMYFUNCTION("""COMPUTED_VALUE"""),"무빙스타")</f>
        <v>무빙스타</v>
      </c>
      <c r="B6945" s="2" t="str">
        <f>IFERROR(__xludf.DUMMYFUNCTION("""COMPUTED_VALUE"""),"밀가루")</f>
        <v>밀가루</v>
      </c>
    </row>
    <row r="6946">
      <c r="A6946" s="2" t="str">
        <f>IFERROR(__xludf.DUMMYFUNCTION("""COMPUTED_VALUE"""),"무빙스타")</f>
        <v>무빙스타</v>
      </c>
      <c r="B6946" s="2" t="str">
        <f>IFERROR(__xludf.DUMMYFUNCTION("""COMPUTED_VALUE"""),"마요네즈")</f>
        <v>마요네즈</v>
      </c>
    </row>
    <row r="6947">
      <c r="A6947" s="2" t="str">
        <f>IFERROR(__xludf.DUMMYFUNCTION("""COMPUTED_VALUE"""),"퍼펙트 스튜")</f>
        <v>퍼펙트 스튜</v>
      </c>
      <c r="B6947" s="2" t="str">
        <f>IFERROR(__xludf.DUMMYFUNCTION("""COMPUTED_VALUE"""),"고추장")</f>
        <v>고추장</v>
      </c>
    </row>
    <row r="6948">
      <c r="A6948" s="2" t="str">
        <f>IFERROR(__xludf.DUMMYFUNCTION("""COMPUTED_VALUE"""),"퍼펙트 스튜")</f>
        <v>퍼펙트 스튜</v>
      </c>
      <c r="B6948" s="2" t="str">
        <f>IFERROR(__xludf.DUMMYFUNCTION("""COMPUTED_VALUE"""),"감자")</f>
        <v>감자</v>
      </c>
    </row>
    <row r="6949">
      <c r="A6949" s="2" t="str">
        <f>IFERROR(__xludf.DUMMYFUNCTION("""COMPUTED_VALUE"""),"퍼펙트 스튜")</f>
        <v>퍼펙트 스튜</v>
      </c>
      <c r="B6949" s="2" t="str">
        <f>IFERROR(__xludf.DUMMYFUNCTION("""COMPUTED_VALUE"""),"간 소고기")</f>
        <v>간 소고기</v>
      </c>
    </row>
    <row r="6950">
      <c r="A6950" s="2" t="str">
        <f>IFERROR(__xludf.DUMMYFUNCTION("""COMPUTED_VALUE"""),"퍼펙트 스튜")</f>
        <v>퍼펙트 스튜</v>
      </c>
      <c r="B6950" s="2" t="str">
        <f>IFERROR(__xludf.DUMMYFUNCTION("""COMPUTED_VALUE"""),"소금")</f>
        <v>소금</v>
      </c>
    </row>
    <row r="6951">
      <c r="A6951" s="2" t="str">
        <f>IFERROR(__xludf.DUMMYFUNCTION("""COMPUTED_VALUE"""),"퍼펙트 스튜")</f>
        <v>퍼펙트 스튜</v>
      </c>
      <c r="B6951" s="2" t="str">
        <f>IFERROR(__xludf.DUMMYFUNCTION("""COMPUTED_VALUE"""),"양파")</f>
        <v>양파</v>
      </c>
    </row>
    <row r="6952">
      <c r="A6952" s="2" t="str">
        <f>IFERROR(__xludf.DUMMYFUNCTION("""COMPUTED_VALUE"""),"퍼펙트 스튜")</f>
        <v>퍼펙트 스튜</v>
      </c>
      <c r="B6952" s="2" t="str">
        <f>IFERROR(__xludf.DUMMYFUNCTION("""COMPUTED_VALUE"""),"당근")</f>
        <v>당근</v>
      </c>
    </row>
    <row r="6953">
      <c r="A6953" s="2" t="str">
        <f>IFERROR(__xludf.DUMMYFUNCTION("""COMPUTED_VALUE"""),"퍼펙트 스튜")</f>
        <v>퍼펙트 스튜</v>
      </c>
      <c r="B6953" s="2" t="str">
        <f>IFERROR(__xludf.DUMMYFUNCTION("""COMPUTED_VALUE"""),"마늘")</f>
        <v>마늘</v>
      </c>
    </row>
    <row r="6954">
      <c r="A6954" s="2" t="str">
        <f>IFERROR(__xludf.DUMMYFUNCTION("""COMPUTED_VALUE"""),"퍼펙트 스튜")</f>
        <v>퍼펙트 스튜</v>
      </c>
      <c r="B6954" s="2" t="str">
        <f>IFERROR(__xludf.DUMMYFUNCTION("""COMPUTED_VALUE"""),"밀가루")</f>
        <v>밀가루</v>
      </c>
    </row>
    <row r="6955">
      <c r="A6955" s="2" t="str">
        <f>IFERROR(__xludf.DUMMYFUNCTION("""COMPUTED_VALUE"""),"퍼펙트 스튜")</f>
        <v>퍼펙트 스튜</v>
      </c>
      <c r="B6955" s="2" t="str">
        <f>IFERROR(__xludf.DUMMYFUNCTION("""COMPUTED_VALUE"""),"레드와인")</f>
        <v>레드와인</v>
      </c>
    </row>
    <row r="6956">
      <c r="A6956" s="2" t="str">
        <f>IFERROR(__xludf.DUMMYFUNCTION("""COMPUTED_VALUE"""),"퍼펙트 스튜")</f>
        <v>퍼펙트 스튜</v>
      </c>
      <c r="B6956" s="2" t="str">
        <f>IFERROR(__xludf.DUMMYFUNCTION("""COMPUTED_VALUE"""),"버터")</f>
        <v>버터</v>
      </c>
    </row>
    <row r="6957">
      <c r="A6957" s="2" t="str">
        <f>IFERROR(__xludf.DUMMYFUNCTION("""COMPUTED_VALUE"""),"퍼펙트 스튜")</f>
        <v>퍼펙트 스튜</v>
      </c>
      <c r="B6957" s="2" t="str">
        <f>IFERROR(__xludf.DUMMYFUNCTION("""COMPUTED_VALUE"""),"후추")</f>
        <v>후추</v>
      </c>
    </row>
    <row r="6958">
      <c r="A6958" s="2" t="str">
        <f>IFERROR(__xludf.DUMMYFUNCTION("""COMPUTED_VALUE"""),"퍼펙트 스튜")</f>
        <v>퍼펙트 스튜</v>
      </c>
      <c r="B6958" s="2" t="str">
        <f>IFERROR(__xludf.DUMMYFUNCTION("""COMPUTED_VALUE"""),"고추")</f>
        <v>고추</v>
      </c>
    </row>
    <row r="6959">
      <c r="A6959" s="2" t="str">
        <f>IFERROR(__xludf.DUMMYFUNCTION("""COMPUTED_VALUE"""),"소면이 술술")</f>
        <v>소면이 술술</v>
      </c>
      <c r="B6959" s="2" t="str">
        <f>IFERROR(__xludf.DUMMYFUNCTION("""COMPUTED_VALUE"""),"무")</f>
        <v>무</v>
      </c>
    </row>
    <row r="6960">
      <c r="A6960" s="2" t="str">
        <f>IFERROR(__xludf.DUMMYFUNCTION("""COMPUTED_VALUE"""),"소면이 술술")</f>
        <v>소면이 술술</v>
      </c>
      <c r="B6960" s="2" t="str">
        <f>IFERROR(__xludf.DUMMYFUNCTION("""COMPUTED_VALUE"""),"애호박")</f>
        <v>애호박</v>
      </c>
    </row>
    <row r="6961">
      <c r="A6961" s="2" t="str">
        <f>IFERROR(__xludf.DUMMYFUNCTION("""COMPUTED_VALUE"""),"소면이 술술")</f>
        <v>소면이 술술</v>
      </c>
      <c r="B6961" s="2" t="str">
        <f>IFERROR(__xludf.DUMMYFUNCTION("""COMPUTED_VALUE"""),"고추 장아찌")</f>
        <v>고추 장아찌</v>
      </c>
    </row>
    <row r="6962">
      <c r="A6962" s="2" t="str">
        <f>IFERROR(__xludf.DUMMYFUNCTION("""COMPUTED_VALUE"""),"소면이 술술")</f>
        <v>소면이 술술</v>
      </c>
      <c r="B6962" s="2" t="str">
        <f>IFERROR(__xludf.DUMMYFUNCTION("""COMPUTED_VALUE"""),"고춧가루")</f>
        <v>고춧가루</v>
      </c>
    </row>
    <row r="6963">
      <c r="A6963" s="2" t="str">
        <f>IFERROR(__xludf.DUMMYFUNCTION("""COMPUTED_VALUE"""),"소면이 술술")</f>
        <v>소면이 술술</v>
      </c>
      <c r="B6963" s="2" t="str">
        <f>IFERROR(__xludf.DUMMYFUNCTION("""COMPUTED_VALUE"""),"인스턴트 갈비탕")</f>
        <v>인스턴트 갈비탕</v>
      </c>
    </row>
    <row r="6964">
      <c r="A6964" s="2" t="str">
        <f>IFERROR(__xludf.DUMMYFUNCTION("""COMPUTED_VALUE"""),"소면이 술술")</f>
        <v>소면이 술술</v>
      </c>
      <c r="B6964" s="2" t="str">
        <f>IFERROR(__xludf.DUMMYFUNCTION("""COMPUTED_VALUE"""),"소고기 등심")</f>
        <v>소고기 등심</v>
      </c>
    </row>
    <row r="6965">
      <c r="A6965" s="2" t="str">
        <f>IFERROR(__xludf.DUMMYFUNCTION("""COMPUTED_VALUE"""),"소면이 술술")</f>
        <v>소면이 술술</v>
      </c>
      <c r="B6965" s="2" t="str">
        <f>IFERROR(__xludf.DUMMYFUNCTION("""COMPUTED_VALUE"""),"냉이")</f>
        <v>냉이</v>
      </c>
    </row>
    <row r="6966">
      <c r="A6966" s="2" t="str">
        <f>IFERROR(__xludf.DUMMYFUNCTION("""COMPUTED_VALUE"""),"소면이 술술")</f>
        <v>소면이 술술</v>
      </c>
      <c r="B6966" s="2" t="str">
        <f>IFERROR(__xludf.DUMMYFUNCTION("""COMPUTED_VALUE"""),"시금치")</f>
        <v>시금치</v>
      </c>
    </row>
    <row r="6967">
      <c r="A6967" s="2" t="str">
        <f>IFERROR(__xludf.DUMMYFUNCTION("""COMPUTED_VALUE"""),"소면이 술술")</f>
        <v>소면이 술술</v>
      </c>
      <c r="B6967" s="2" t="str">
        <f>IFERROR(__xludf.DUMMYFUNCTION("""COMPUTED_VALUE"""),"대파")</f>
        <v>대파</v>
      </c>
    </row>
    <row r="6968">
      <c r="A6968" s="2" t="str">
        <f>IFERROR(__xludf.DUMMYFUNCTION("""COMPUTED_VALUE"""),"소면이 술술")</f>
        <v>소면이 술술</v>
      </c>
      <c r="B6968" s="2" t="str">
        <f>IFERROR(__xludf.DUMMYFUNCTION("""COMPUTED_VALUE"""),"양파")</f>
        <v>양파</v>
      </c>
    </row>
    <row r="6969">
      <c r="A6969" s="2" t="str">
        <f>IFERROR(__xludf.DUMMYFUNCTION("""COMPUTED_VALUE"""),"소면이 술술")</f>
        <v>소면이 술술</v>
      </c>
      <c r="B6969" s="2" t="str">
        <f>IFERROR(__xludf.DUMMYFUNCTION("""COMPUTED_VALUE"""),"간장")</f>
        <v>간장</v>
      </c>
    </row>
    <row r="6970">
      <c r="A6970" s="2" t="str">
        <f>IFERROR(__xludf.DUMMYFUNCTION("""COMPUTED_VALUE"""),"소면이 술술")</f>
        <v>소면이 술술</v>
      </c>
      <c r="B6970" s="2" t="str">
        <f>IFERROR(__xludf.DUMMYFUNCTION("""COMPUTED_VALUE"""),"소금")</f>
        <v>소금</v>
      </c>
    </row>
    <row r="6971">
      <c r="A6971" s="2" t="str">
        <f>IFERROR(__xludf.DUMMYFUNCTION("""COMPUTED_VALUE"""),"소면이 술술")</f>
        <v>소면이 술술</v>
      </c>
      <c r="B6971" s="2" t="str">
        <f>IFERROR(__xludf.DUMMYFUNCTION("""COMPUTED_VALUE"""),"고춧가루")</f>
        <v>고춧가루</v>
      </c>
    </row>
    <row r="6972">
      <c r="A6972" s="2" t="str">
        <f>IFERROR(__xludf.DUMMYFUNCTION("""COMPUTED_VALUE"""),"소면이 술술")</f>
        <v>소면이 술술</v>
      </c>
      <c r="B6972" s="2" t="str">
        <f>IFERROR(__xludf.DUMMYFUNCTION("""COMPUTED_VALUE"""),"마늘")</f>
        <v>마늘</v>
      </c>
    </row>
    <row r="6973">
      <c r="A6973" s="2" t="str">
        <f>IFERROR(__xludf.DUMMYFUNCTION("""COMPUTED_VALUE"""),"소면이 술술")</f>
        <v>소면이 술술</v>
      </c>
      <c r="B6973" s="2" t="str">
        <f>IFERROR(__xludf.DUMMYFUNCTION("""COMPUTED_VALUE"""),"전분")</f>
        <v>전분</v>
      </c>
    </row>
    <row r="6974">
      <c r="A6974" s="2" t="str">
        <f>IFERROR(__xludf.DUMMYFUNCTION("""COMPUTED_VALUE"""),"소면이 술술")</f>
        <v>소면이 술술</v>
      </c>
      <c r="B6974" s="2" t="str">
        <f>IFERROR(__xludf.DUMMYFUNCTION("""COMPUTED_VALUE"""),"후추")</f>
        <v>후추</v>
      </c>
    </row>
    <row r="6975">
      <c r="A6975" s="2" t="str">
        <f>IFERROR(__xludf.DUMMYFUNCTION("""COMPUTED_VALUE"""),"소면이 술술")</f>
        <v>소면이 술술</v>
      </c>
      <c r="B6975" s="2" t="str">
        <f>IFERROR(__xludf.DUMMYFUNCTION("""COMPUTED_VALUE"""),"즉석밥")</f>
        <v>즉석밥</v>
      </c>
    </row>
    <row r="6976">
      <c r="A6976" s="2" t="str">
        <f>IFERROR(__xludf.DUMMYFUNCTION("""COMPUTED_VALUE"""),"박살면")</f>
        <v>박살면</v>
      </c>
      <c r="B6976" s="2" t="str">
        <f>IFERROR(__xludf.DUMMYFUNCTION("""COMPUTED_VALUE"""),"어포")</f>
        <v>어포</v>
      </c>
    </row>
    <row r="6977">
      <c r="A6977" s="2" t="str">
        <f>IFERROR(__xludf.DUMMYFUNCTION("""COMPUTED_VALUE"""),"박살면")</f>
        <v>박살면</v>
      </c>
      <c r="B6977" s="2" t="str">
        <f>IFERROR(__xludf.DUMMYFUNCTION("""COMPUTED_VALUE"""),"애호박")</f>
        <v>애호박</v>
      </c>
    </row>
    <row r="6978">
      <c r="A6978" s="2" t="str">
        <f>IFERROR(__xludf.DUMMYFUNCTION("""COMPUTED_VALUE"""),"박살면")</f>
        <v>박살면</v>
      </c>
      <c r="B6978" s="2" t="str">
        <f>IFERROR(__xludf.DUMMYFUNCTION("""COMPUTED_VALUE"""),"삼겹살")</f>
        <v>삼겹살</v>
      </c>
    </row>
    <row r="6979">
      <c r="A6979" s="2" t="str">
        <f>IFERROR(__xludf.DUMMYFUNCTION("""COMPUTED_VALUE"""),"박살면")</f>
        <v>박살면</v>
      </c>
      <c r="B6979" s="2" t="str">
        <f>IFERROR(__xludf.DUMMYFUNCTION("""COMPUTED_VALUE"""),"오징어")</f>
        <v>오징어</v>
      </c>
    </row>
    <row r="6980">
      <c r="A6980" s="2" t="str">
        <f>IFERROR(__xludf.DUMMYFUNCTION("""COMPUTED_VALUE"""),"박살면")</f>
        <v>박살면</v>
      </c>
      <c r="B6980" s="2" t="str">
        <f>IFERROR(__xludf.DUMMYFUNCTION("""COMPUTED_VALUE"""),"멸치육수")</f>
        <v>멸치육수</v>
      </c>
    </row>
    <row r="6981">
      <c r="A6981" s="2" t="str">
        <f>IFERROR(__xludf.DUMMYFUNCTION("""COMPUTED_VALUE"""),"박살면")</f>
        <v>박살면</v>
      </c>
      <c r="B6981" s="2" t="str">
        <f>IFERROR(__xludf.DUMMYFUNCTION("""COMPUTED_VALUE"""),"멸치액젓")</f>
        <v>멸치액젓</v>
      </c>
    </row>
    <row r="6982">
      <c r="A6982" s="2" t="str">
        <f>IFERROR(__xludf.DUMMYFUNCTION("""COMPUTED_VALUE"""),"박살면")</f>
        <v>박살면</v>
      </c>
      <c r="B6982" s="2" t="str">
        <f>IFERROR(__xludf.DUMMYFUNCTION("""COMPUTED_VALUE"""),"액상조미료")</f>
        <v>액상조미료</v>
      </c>
    </row>
    <row r="6983">
      <c r="A6983" s="2" t="str">
        <f>IFERROR(__xludf.DUMMYFUNCTION("""COMPUTED_VALUE"""),"박살면")</f>
        <v>박살면</v>
      </c>
      <c r="B6983" s="2" t="str">
        <f>IFERROR(__xludf.DUMMYFUNCTION("""COMPUTED_VALUE"""),"밀가루")</f>
        <v>밀가루</v>
      </c>
    </row>
    <row r="6984">
      <c r="A6984" s="2" t="str">
        <f>IFERROR(__xludf.DUMMYFUNCTION("""COMPUTED_VALUE"""),"박살면")</f>
        <v>박살면</v>
      </c>
      <c r="B6984" s="2" t="str">
        <f>IFERROR(__xludf.DUMMYFUNCTION("""COMPUTED_VALUE"""),"마늘")</f>
        <v>마늘</v>
      </c>
    </row>
    <row r="6985">
      <c r="A6985" s="2" t="str">
        <f>IFERROR(__xludf.DUMMYFUNCTION("""COMPUTED_VALUE"""),"박살면")</f>
        <v>박살면</v>
      </c>
      <c r="B6985" s="2" t="str">
        <f>IFERROR(__xludf.DUMMYFUNCTION("""COMPUTED_VALUE"""),"대파")</f>
        <v>대파</v>
      </c>
    </row>
    <row r="6986">
      <c r="A6986" s="2" t="str">
        <f>IFERROR(__xludf.DUMMYFUNCTION("""COMPUTED_VALUE"""),"박살면")</f>
        <v>박살면</v>
      </c>
      <c r="B6986" s="2" t="str">
        <f>IFERROR(__xludf.DUMMYFUNCTION("""COMPUTED_VALUE"""),"양파")</f>
        <v>양파</v>
      </c>
    </row>
    <row r="6987">
      <c r="A6987" s="2" t="str">
        <f>IFERROR(__xludf.DUMMYFUNCTION("""COMPUTED_VALUE"""),"박살면")</f>
        <v>박살면</v>
      </c>
      <c r="B6987" s="2" t="str">
        <f>IFERROR(__xludf.DUMMYFUNCTION("""COMPUTED_VALUE"""),"고추")</f>
        <v>고추</v>
      </c>
    </row>
    <row r="6988">
      <c r="A6988" s="2" t="str">
        <f>IFERROR(__xludf.DUMMYFUNCTION("""COMPUTED_VALUE"""),"박살면")</f>
        <v>박살면</v>
      </c>
      <c r="B6988" s="2" t="str">
        <f>IFERROR(__xludf.DUMMYFUNCTION("""COMPUTED_VALUE"""),"간장")</f>
        <v>간장</v>
      </c>
    </row>
    <row r="6989">
      <c r="A6989" s="2" t="str">
        <f>IFERROR(__xludf.DUMMYFUNCTION("""COMPUTED_VALUE"""),"박살면")</f>
        <v>박살면</v>
      </c>
      <c r="B6989" s="2" t="str">
        <f>IFERROR(__xludf.DUMMYFUNCTION("""COMPUTED_VALUE"""),"맛술")</f>
        <v>맛술</v>
      </c>
    </row>
    <row r="6990">
      <c r="A6990" s="2" t="str">
        <f>IFERROR(__xludf.DUMMYFUNCTION("""COMPUTED_VALUE"""),"박살면")</f>
        <v>박살면</v>
      </c>
      <c r="B6990" s="2" t="str">
        <f>IFERROR(__xludf.DUMMYFUNCTION("""COMPUTED_VALUE"""),"후추")</f>
        <v>후추</v>
      </c>
    </row>
    <row r="6991">
      <c r="A6991" s="2" t="str">
        <f>IFERROR(__xludf.DUMMYFUNCTION("""COMPUTED_VALUE"""),"박살면")</f>
        <v>박살면</v>
      </c>
      <c r="B6991" s="2" t="str">
        <f>IFERROR(__xludf.DUMMYFUNCTION("""COMPUTED_VALUE"""),"설탕")</f>
        <v>설탕</v>
      </c>
    </row>
    <row r="6992">
      <c r="A6992" s="2" t="str">
        <f>IFERROR(__xludf.DUMMYFUNCTION("""COMPUTED_VALUE"""),"아빠의 바다")</f>
        <v>아빠의 바다</v>
      </c>
      <c r="B6992" s="2" t="str">
        <f>IFERROR(__xludf.DUMMYFUNCTION("""COMPUTED_VALUE"""),"전복")</f>
        <v>전복</v>
      </c>
    </row>
    <row r="6993">
      <c r="A6993" s="2" t="str">
        <f>IFERROR(__xludf.DUMMYFUNCTION("""COMPUTED_VALUE"""),"아빠의 바다")</f>
        <v>아빠의 바다</v>
      </c>
      <c r="B6993" s="2" t="str">
        <f>IFERROR(__xludf.DUMMYFUNCTION("""COMPUTED_VALUE"""),"메이플시럽")</f>
        <v>메이플시럽</v>
      </c>
    </row>
    <row r="6994">
      <c r="A6994" s="2" t="str">
        <f>IFERROR(__xludf.DUMMYFUNCTION("""COMPUTED_VALUE"""),"아빠의 바다")</f>
        <v>아빠의 바다</v>
      </c>
      <c r="B6994" s="2" t="str">
        <f>IFERROR(__xludf.DUMMYFUNCTION("""COMPUTED_VALUE"""),"굴소스")</f>
        <v>굴소스</v>
      </c>
    </row>
    <row r="6995">
      <c r="A6995" s="2" t="str">
        <f>IFERROR(__xludf.DUMMYFUNCTION("""COMPUTED_VALUE"""),"아빠의 바다")</f>
        <v>아빠의 바다</v>
      </c>
      <c r="B6995" s="2" t="str">
        <f>IFERROR(__xludf.DUMMYFUNCTION("""COMPUTED_VALUE"""),"오징어")</f>
        <v>오징어</v>
      </c>
    </row>
    <row r="6996">
      <c r="A6996" s="2" t="str">
        <f>IFERROR(__xludf.DUMMYFUNCTION("""COMPUTED_VALUE"""),"아빠의 바다")</f>
        <v>아빠의 바다</v>
      </c>
      <c r="B6996" s="2" t="str">
        <f>IFERROR(__xludf.DUMMYFUNCTION("""COMPUTED_VALUE"""),"파프리카")</f>
        <v>파프리카</v>
      </c>
    </row>
    <row r="6997">
      <c r="A6997" s="2" t="str">
        <f>IFERROR(__xludf.DUMMYFUNCTION("""COMPUTED_VALUE"""),"아빠의 바다")</f>
        <v>아빠의 바다</v>
      </c>
      <c r="B6997" s="2" t="str">
        <f>IFERROR(__xludf.DUMMYFUNCTION("""COMPUTED_VALUE"""),"양파")</f>
        <v>양파</v>
      </c>
    </row>
    <row r="6998">
      <c r="A6998" s="2" t="str">
        <f>IFERROR(__xludf.DUMMYFUNCTION("""COMPUTED_VALUE"""),"아빠의 바다")</f>
        <v>아빠의 바다</v>
      </c>
      <c r="B6998" s="2" t="str">
        <f>IFERROR(__xludf.DUMMYFUNCTION("""COMPUTED_VALUE"""),"대파")</f>
        <v>대파</v>
      </c>
    </row>
    <row r="6999">
      <c r="A6999" s="2" t="str">
        <f>IFERROR(__xludf.DUMMYFUNCTION("""COMPUTED_VALUE"""),"아빠의 바다")</f>
        <v>아빠의 바다</v>
      </c>
      <c r="B6999" s="2" t="str">
        <f>IFERROR(__xludf.DUMMYFUNCTION("""COMPUTED_VALUE"""),"고춧가루")</f>
        <v>고춧가루</v>
      </c>
    </row>
    <row r="7000">
      <c r="A7000" s="2" t="str">
        <f>IFERROR(__xludf.DUMMYFUNCTION("""COMPUTED_VALUE"""),"아빠의 바다")</f>
        <v>아빠의 바다</v>
      </c>
      <c r="B7000" s="2" t="str">
        <f>IFERROR(__xludf.DUMMYFUNCTION("""COMPUTED_VALUE"""),"양파")</f>
        <v>양파</v>
      </c>
    </row>
    <row r="7001">
      <c r="A7001" s="2" t="str">
        <f>IFERROR(__xludf.DUMMYFUNCTION("""COMPUTED_VALUE"""),"아빠의 바다")</f>
        <v>아빠의 바다</v>
      </c>
      <c r="B7001" s="2" t="str">
        <f>IFERROR(__xludf.DUMMYFUNCTION("""COMPUTED_VALUE"""),"마늘")</f>
        <v>마늘</v>
      </c>
    </row>
    <row r="7002">
      <c r="A7002" s="2" t="str">
        <f>IFERROR(__xludf.DUMMYFUNCTION("""COMPUTED_VALUE"""),"아빠의 바다")</f>
        <v>아빠의 바다</v>
      </c>
      <c r="B7002" s="2" t="str">
        <f>IFERROR(__xludf.DUMMYFUNCTION("""COMPUTED_VALUE"""),"케첩")</f>
        <v>케첩</v>
      </c>
    </row>
    <row r="7003">
      <c r="A7003" s="2" t="str">
        <f>IFERROR(__xludf.DUMMYFUNCTION("""COMPUTED_VALUE"""),"아빠의 바다")</f>
        <v>아빠의 바다</v>
      </c>
      <c r="B7003" s="2" t="str">
        <f>IFERROR(__xludf.DUMMYFUNCTION("""COMPUTED_VALUE"""),"고추장")</f>
        <v>고추장</v>
      </c>
    </row>
    <row r="7004">
      <c r="A7004" s="2" t="str">
        <f>IFERROR(__xludf.DUMMYFUNCTION("""COMPUTED_VALUE"""),"아빠의 바다")</f>
        <v>아빠의 바다</v>
      </c>
      <c r="B7004" s="2" t="str">
        <f>IFERROR(__xludf.DUMMYFUNCTION("""COMPUTED_VALUE"""),"참기름")</f>
        <v>참기름</v>
      </c>
    </row>
    <row r="7005">
      <c r="A7005" s="2" t="str">
        <f>IFERROR(__xludf.DUMMYFUNCTION("""COMPUTED_VALUE"""),"아빠의 바다")</f>
        <v>아빠의 바다</v>
      </c>
      <c r="B7005" s="2" t="str">
        <f>IFERROR(__xludf.DUMMYFUNCTION("""COMPUTED_VALUE"""),"고추")</f>
        <v>고추</v>
      </c>
    </row>
    <row r="7006">
      <c r="A7006" s="2" t="str">
        <f>IFERROR(__xludf.DUMMYFUNCTION("""COMPUTED_VALUE"""),"엄마의 바다")</f>
        <v>엄마의 바다</v>
      </c>
      <c r="B7006" s="2" t="str">
        <f>IFERROR(__xludf.DUMMYFUNCTION("""COMPUTED_VALUE"""),"전복")</f>
        <v>전복</v>
      </c>
    </row>
    <row r="7007">
      <c r="A7007" s="2" t="str">
        <f>IFERROR(__xludf.DUMMYFUNCTION("""COMPUTED_VALUE"""),"엄마의 바다")</f>
        <v>엄마의 바다</v>
      </c>
      <c r="B7007" s="2" t="str">
        <f>IFERROR(__xludf.DUMMYFUNCTION("""COMPUTED_VALUE"""),"양념돼지갈비")</f>
        <v>양념돼지갈비</v>
      </c>
    </row>
    <row r="7008">
      <c r="A7008" s="2" t="str">
        <f>IFERROR(__xludf.DUMMYFUNCTION("""COMPUTED_VALUE"""),"엄마의 바다")</f>
        <v>엄마의 바다</v>
      </c>
      <c r="B7008" s="2" t="str">
        <f>IFERROR(__xludf.DUMMYFUNCTION("""COMPUTED_VALUE"""),"소갈빗살")</f>
        <v>소갈빗살</v>
      </c>
    </row>
    <row r="7009">
      <c r="A7009" s="2" t="str">
        <f>IFERROR(__xludf.DUMMYFUNCTION("""COMPUTED_VALUE"""),"엄마의 바다")</f>
        <v>엄마의 바다</v>
      </c>
      <c r="B7009" s="2" t="str">
        <f>IFERROR(__xludf.DUMMYFUNCTION("""COMPUTED_VALUE"""),"대추")</f>
        <v>대추</v>
      </c>
    </row>
    <row r="7010">
      <c r="A7010" s="2" t="str">
        <f>IFERROR(__xludf.DUMMYFUNCTION("""COMPUTED_VALUE"""),"엄마의 바다")</f>
        <v>엄마의 바다</v>
      </c>
      <c r="B7010" s="2" t="str">
        <f>IFERROR(__xludf.DUMMYFUNCTION("""COMPUTED_VALUE"""),"매실원액")</f>
        <v>매실원액</v>
      </c>
    </row>
    <row r="7011">
      <c r="A7011" s="2" t="str">
        <f>IFERROR(__xludf.DUMMYFUNCTION("""COMPUTED_VALUE"""),"엄마의 바다")</f>
        <v>엄마의 바다</v>
      </c>
      <c r="B7011" s="2" t="str">
        <f>IFERROR(__xludf.DUMMYFUNCTION("""COMPUTED_VALUE"""),"배추김치")</f>
        <v>배추김치</v>
      </c>
    </row>
    <row r="7012">
      <c r="A7012" s="2" t="str">
        <f>IFERROR(__xludf.DUMMYFUNCTION("""COMPUTED_VALUE"""),"엄마의 바다")</f>
        <v>엄마의 바다</v>
      </c>
      <c r="B7012" s="2" t="str">
        <f>IFERROR(__xludf.DUMMYFUNCTION("""COMPUTED_VALUE"""),"깻잎장아찌")</f>
        <v>깻잎장아찌</v>
      </c>
    </row>
    <row r="7013">
      <c r="A7013" s="2" t="str">
        <f>IFERROR(__xludf.DUMMYFUNCTION("""COMPUTED_VALUE"""),"엄마의 바다")</f>
        <v>엄마의 바다</v>
      </c>
      <c r="B7013" s="2" t="str">
        <f>IFERROR(__xludf.DUMMYFUNCTION("""COMPUTED_VALUE"""),"굴소스")</f>
        <v>굴소스</v>
      </c>
    </row>
    <row r="7014">
      <c r="A7014" s="2" t="str">
        <f>IFERROR(__xludf.DUMMYFUNCTION("""COMPUTED_VALUE"""),"엄마의 바다")</f>
        <v>엄마의 바다</v>
      </c>
      <c r="B7014" s="2" t="str">
        <f>IFERROR(__xludf.DUMMYFUNCTION("""COMPUTED_VALUE"""),"설탕")</f>
        <v>설탕</v>
      </c>
    </row>
    <row r="7015">
      <c r="A7015" s="2" t="str">
        <f>IFERROR(__xludf.DUMMYFUNCTION("""COMPUTED_VALUE"""),"엄마의 바다")</f>
        <v>엄마의 바다</v>
      </c>
      <c r="B7015" s="2" t="str">
        <f>IFERROR(__xludf.DUMMYFUNCTION("""COMPUTED_VALUE"""),"간장")</f>
        <v>간장</v>
      </c>
    </row>
    <row r="7016">
      <c r="A7016" s="2" t="str">
        <f>IFERROR(__xludf.DUMMYFUNCTION("""COMPUTED_VALUE"""),"엄마의 바다")</f>
        <v>엄마의 바다</v>
      </c>
      <c r="B7016" s="2" t="str">
        <f>IFERROR(__xludf.DUMMYFUNCTION("""COMPUTED_VALUE"""),"대파")</f>
        <v>대파</v>
      </c>
    </row>
    <row r="7017">
      <c r="A7017" s="2" t="str">
        <f>IFERROR(__xludf.DUMMYFUNCTION("""COMPUTED_VALUE"""),"엄마의 바다")</f>
        <v>엄마의 바다</v>
      </c>
      <c r="B7017" s="2" t="str">
        <f>IFERROR(__xludf.DUMMYFUNCTION("""COMPUTED_VALUE"""),"양파")</f>
        <v>양파</v>
      </c>
    </row>
    <row r="7018">
      <c r="A7018" s="2" t="str">
        <f>IFERROR(__xludf.DUMMYFUNCTION("""COMPUTED_VALUE"""),"엄마의 바다")</f>
        <v>엄마의 바다</v>
      </c>
      <c r="B7018" s="2" t="str">
        <f>IFERROR(__xludf.DUMMYFUNCTION("""COMPUTED_VALUE"""),"당근")</f>
        <v>당근</v>
      </c>
    </row>
    <row r="7019">
      <c r="A7019" s="2" t="str">
        <f>IFERROR(__xludf.DUMMYFUNCTION("""COMPUTED_VALUE"""),"엄마의 바다")</f>
        <v>엄마의 바다</v>
      </c>
      <c r="B7019" s="2" t="str">
        <f>IFERROR(__xludf.DUMMYFUNCTION("""COMPUTED_VALUE"""),"마늘")</f>
        <v>마늘</v>
      </c>
    </row>
    <row r="7020">
      <c r="A7020" s="2" t="str">
        <f>IFERROR(__xludf.DUMMYFUNCTION("""COMPUTED_VALUE"""),"엄마의 바다")</f>
        <v>엄마의 바다</v>
      </c>
      <c r="B7020" s="2" t="str">
        <f>IFERROR(__xludf.DUMMYFUNCTION("""COMPUTED_VALUE"""),"밀가루")</f>
        <v>밀가루</v>
      </c>
    </row>
    <row r="7021">
      <c r="A7021" s="2" t="str">
        <f>IFERROR(__xludf.DUMMYFUNCTION("""COMPUTED_VALUE"""),"엄마의 바다")</f>
        <v>엄마의 바다</v>
      </c>
      <c r="B7021" s="2" t="str">
        <f>IFERROR(__xludf.DUMMYFUNCTION("""COMPUTED_VALUE"""),"식초")</f>
        <v>식초</v>
      </c>
    </row>
    <row r="7022">
      <c r="A7022" s="2" t="str">
        <f>IFERROR(__xludf.DUMMYFUNCTION("""COMPUTED_VALUE"""),"엄마의 바다")</f>
        <v>엄마의 바다</v>
      </c>
      <c r="B7022" s="2" t="str">
        <f>IFERROR(__xludf.DUMMYFUNCTION("""COMPUTED_VALUE"""),"깨")</f>
        <v>깨</v>
      </c>
    </row>
    <row r="7023">
      <c r="A7023" s="2" t="str">
        <f>IFERROR(__xludf.DUMMYFUNCTION("""COMPUTED_VALUE"""),"믿어주길 바라♬")</f>
        <v>믿어주길 바라♬</v>
      </c>
      <c r="B7023" s="2" t="str">
        <f>IFERROR(__xludf.DUMMYFUNCTION("""COMPUTED_VALUE"""),"옥수수수프 분말")</f>
        <v>옥수수수프 분말</v>
      </c>
    </row>
    <row r="7024">
      <c r="A7024" s="2" t="str">
        <f>IFERROR(__xludf.DUMMYFUNCTION("""COMPUTED_VALUE"""),"믿어주길 바라♬")</f>
        <v>믿어주길 바라♬</v>
      </c>
      <c r="B7024" s="2" t="str">
        <f>IFERROR(__xludf.DUMMYFUNCTION("""COMPUTED_VALUE"""),"우유")</f>
        <v>우유</v>
      </c>
    </row>
    <row r="7025">
      <c r="A7025" s="2" t="str">
        <f>IFERROR(__xludf.DUMMYFUNCTION("""COMPUTED_VALUE"""),"믿어주길 바라♬")</f>
        <v>믿어주길 바라♬</v>
      </c>
      <c r="B7025" s="2" t="str">
        <f>IFERROR(__xludf.DUMMYFUNCTION("""COMPUTED_VALUE"""),"포도")</f>
        <v>포도</v>
      </c>
    </row>
    <row r="7026">
      <c r="A7026" s="2" t="str">
        <f>IFERROR(__xludf.DUMMYFUNCTION("""COMPUTED_VALUE"""),"믿어주길 바라♬")</f>
        <v>믿어주길 바라♬</v>
      </c>
      <c r="B7026" s="2" t="str">
        <f>IFERROR(__xludf.DUMMYFUNCTION("""COMPUTED_VALUE"""),"천혜향")</f>
        <v>천혜향</v>
      </c>
    </row>
    <row r="7027">
      <c r="A7027" s="2" t="str">
        <f>IFERROR(__xludf.DUMMYFUNCTION("""COMPUTED_VALUE"""),"믿어주길 바라♬")</f>
        <v>믿어주길 바라♬</v>
      </c>
      <c r="B7027" s="2" t="str">
        <f>IFERROR(__xludf.DUMMYFUNCTION("""COMPUTED_VALUE"""),"석류식초")</f>
        <v>석류식초</v>
      </c>
    </row>
    <row r="7028">
      <c r="A7028" s="2" t="str">
        <f>IFERROR(__xludf.DUMMYFUNCTION("""COMPUTED_VALUE"""),"믿어주길 바라♬")</f>
        <v>믿어주길 바라♬</v>
      </c>
      <c r="B7028" s="2" t="str">
        <f>IFERROR(__xludf.DUMMYFUNCTION("""COMPUTED_VALUE"""),"팬케이크 가루")</f>
        <v>팬케이크 가루</v>
      </c>
    </row>
    <row r="7029">
      <c r="A7029" s="2" t="str">
        <f>IFERROR(__xludf.DUMMYFUNCTION("""COMPUTED_VALUE"""),"믿어주길 바라♬")</f>
        <v>믿어주길 바라♬</v>
      </c>
      <c r="B7029" s="2" t="str">
        <f>IFERROR(__xludf.DUMMYFUNCTION("""COMPUTED_VALUE"""),"채끝등심")</f>
        <v>채끝등심</v>
      </c>
    </row>
    <row r="7030">
      <c r="A7030" s="2" t="str">
        <f>IFERROR(__xludf.DUMMYFUNCTION("""COMPUTED_VALUE"""),"믿어주길 바라♬")</f>
        <v>믿어주길 바라♬</v>
      </c>
      <c r="B7030" s="2" t="str">
        <f>IFERROR(__xludf.DUMMYFUNCTION("""COMPUTED_VALUE"""),"블랙올리브 페이스트")</f>
        <v>블랙올리브 페이스트</v>
      </c>
    </row>
    <row r="7031">
      <c r="A7031" s="2" t="str">
        <f>IFERROR(__xludf.DUMMYFUNCTION("""COMPUTED_VALUE"""),"믿어주길 바라♬")</f>
        <v>믿어주길 바라♬</v>
      </c>
      <c r="B7031" s="2" t="str">
        <f>IFERROR(__xludf.DUMMYFUNCTION("""COMPUTED_VALUE"""),"무장아찌")</f>
        <v>무장아찌</v>
      </c>
    </row>
    <row r="7032">
      <c r="A7032" s="2" t="str">
        <f>IFERROR(__xludf.DUMMYFUNCTION("""COMPUTED_VALUE"""),"믿어주길 바라♬")</f>
        <v>믿어주길 바라♬</v>
      </c>
      <c r="B7032" s="2" t="str">
        <f>IFERROR(__xludf.DUMMYFUNCTION("""COMPUTED_VALUE"""),"고추장아찌")</f>
        <v>고추장아찌</v>
      </c>
    </row>
    <row r="7033">
      <c r="A7033" s="2" t="str">
        <f>IFERROR(__xludf.DUMMYFUNCTION("""COMPUTED_VALUE"""),"믿어주길 바라♬")</f>
        <v>믿어주길 바라♬</v>
      </c>
      <c r="B7033" s="2" t="str">
        <f>IFERROR(__xludf.DUMMYFUNCTION("""COMPUTED_VALUE"""),"해시 브라운 포테이토")</f>
        <v>해시 브라운 포테이토</v>
      </c>
    </row>
    <row r="7034">
      <c r="A7034" s="2" t="str">
        <f>IFERROR(__xludf.DUMMYFUNCTION("""COMPUTED_VALUE"""),"믿어주길 바라♬")</f>
        <v>믿어주길 바라♬</v>
      </c>
      <c r="B7034" s="2" t="str">
        <f>IFERROR(__xludf.DUMMYFUNCTION("""COMPUTED_VALUE"""),"캐비아")</f>
        <v>캐비아</v>
      </c>
    </row>
    <row r="7035">
      <c r="A7035" s="2" t="str">
        <f>IFERROR(__xludf.DUMMYFUNCTION("""COMPUTED_VALUE"""),"믿어주길 바라♬")</f>
        <v>믿어주길 바라♬</v>
      </c>
      <c r="B7035" s="2" t="str">
        <f>IFERROR(__xludf.DUMMYFUNCTION("""COMPUTED_VALUE"""),"말린 과일칩")</f>
        <v>말린 과일칩</v>
      </c>
    </row>
    <row r="7036">
      <c r="A7036" s="2" t="str">
        <f>IFERROR(__xludf.DUMMYFUNCTION("""COMPUTED_VALUE"""),"믿어주길 바라♬")</f>
        <v>믿어주길 바라♬</v>
      </c>
      <c r="B7036" s="2" t="str">
        <f>IFERROR(__xludf.DUMMYFUNCTION("""COMPUTED_VALUE"""),"소금")</f>
        <v>소금</v>
      </c>
    </row>
    <row r="7037">
      <c r="A7037" s="2" t="str">
        <f>IFERROR(__xludf.DUMMYFUNCTION("""COMPUTED_VALUE"""),"믿어주길 바라♬")</f>
        <v>믿어주길 바라♬</v>
      </c>
      <c r="B7037" s="2" t="str">
        <f>IFERROR(__xludf.DUMMYFUNCTION("""COMPUTED_VALUE"""),"올리브오일")</f>
        <v>올리브오일</v>
      </c>
    </row>
    <row r="7038">
      <c r="A7038" s="2" t="str">
        <f>IFERROR(__xludf.DUMMYFUNCTION("""COMPUTED_VALUE"""),"믿어주길 바라♬")</f>
        <v>믿어주길 바라♬</v>
      </c>
      <c r="B7038" s="2" t="str">
        <f>IFERROR(__xludf.DUMMYFUNCTION("""COMPUTED_VALUE"""),"후추")</f>
        <v>후추</v>
      </c>
    </row>
    <row r="7039">
      <c r="A7039" s="2" t="str">
        <f>IFERROR(__xludf.DUMMYFUNCTION("""COMPUTED_VALUE"""),"믿어주길 바라♬")</f>
        <v>믿어주길 바라♬</v>
      </c>
      <c r="B7039" s="2" t="str">
        <f>IFERROR(__xludf.DUMMYFUNCTION("""COMPUTED_VALUE"""),"설탕")</f>
        <v>설탕</v>
      </c>
    </row>
    <row r="7040">
      <c r="A7040" s="2" t="str">
        <f>IFERROR(__xludf.DUMMYFUNCTION("""COMPUTED_VALUE"""),"믿어주길 바라♬")</f>
        <v>믿어주길 바라♬</v>
      </c>
      <c r="B7040" s="2" t="str">
        <f>IFERROR(__xludf.DUMMYFUNCTION("""COMPUTED_VALUE"""),"된장")</f>
        <v>된장</v>
      </c>
    </row>
    <row r="7041">
      <c r="A7041" s="2" t="str">
        <f>IFERROR(__xludf.DUMMYFUNCTION("""COMPUTED_VALUE"""),"믿어주길 바라♬")</f>
        <v>믿어주길 바라♬</v>
      </c>
      <c r="B7041" s="2" t="str">
        <f>IFERROR(__xludf.DUMMYFUNCTION("""COMPUTED_VALUE"""),"식초")</f>
        <v>식초</v>
      </c>
    </row>
    <row r="7042">
      <c r="A7042" s="2" t="str">
        <f>IFERROR(__xludf.DUMMYFUNCTION("""COMPUTED_VALUE"""),"믿어주길 바라♬")</f>
        <v>믿어주길 바라♬</v>
      </c>
      <c r="B7042" s="2" t="str">
        <f>IFERROR(__xludf.DUMMYFUNCTION("""COMPUTED_VALUE"""),"다진 마늘")</f>
        <v>다진 마늘</v>
      </c>
    </row>
    <row r="7043">
      <c r="A7043" s="2" t="str">
        <f>IFERROR(__xludf.DUMMYFUNCTION("""COMPUTED_VALUE"""),"믿어주길 바라♬")</f>
        <v>믿어주길 바라♬</v>
      </c>
      <c r="B7043" s="2" t="str">
        <f>IFERROR(__xludf.DUMMYFUNCTION("""COMPUTED_VALUE"""),"대파")</f>
        <v>대파</v>
      </c>
    </row>
    <row r="7044">
      <c r="A7044" s="2" t="str">
        <f>IFERROR(__xludf.DUMMYFUNCTION("""COMPUTED_VALUE"""),"믿어주길 바라♬")</f>
        <v>믿어주길 바라♬</v>
      </c>
      <c r="B7044" s="2" t="str">
        <f>IFERROR(__xludf.DUMMYFUNCTION("""COMPUTED_VALUE"""),"양파")</f>
        <v>양파</v>
      </c>
    </row>
    <row r="7045">
      <c r="A7045" s="2" t="str">
        <f>IFERROR(__xludf.DUMMYFUNCTION("""COMPUTED_VALUE"""),"믿어주길 바라♬")</f>
        <v>믿어주길 바라♬</v>
      </c>
      <c r="B7045" s="2" t="str">
        <f>IFERROR(__xludf.DUMMYFUNCTION("""COMPUTED_VALUE"""),"참기름")</f>
        <v>참기름</v>
      </c>
    </row>
    <row r="7046">
      <c r="A7046" s="2" t="str">
        <f>IFERROR(__xludf.DUMMYFUNCTION("""COMPUTED_VALUE"""),"아임 쇼 맨♬")</f>
        <v>아임 쇼 맨♬</v>
      </c>
      <c r="B7046" s="2" t="str">
        <f>IFERROR(__xludf.DUMMYFUNCTION("""COMPUTED_VALUE"""),"연시")</f>
        <v>연시</v>
      </c>
    </row>
    <row r="7047">
      <c r="A7047" s="2" t="str">
        <f>IFERROR(__xludf.DUMMYFUNCTION("""COMPUTED_VALUE"""),"아임 쇼 맨♬")</f>
        <v>아임 쇼 맨♬</v>
      </c>
      <c r="B7047" s="2" t="str">
        <f>IFERROR(__xludf.DUMMYFUNCTION("""COMPUTED_VALUE"""),"마누카 꿀")</f>
        <v>마누카 꿀</v>
      </c>
    </row>
    <row r="7048">
      <c r="A7048" s="2" t="str">
        <f>IFERROR(__xludf.DUMMYFUNCTION("""COMPUTED_VALUE"""),"아임 쇼 맨♬")</f>
        <v>아임 쇼 맨♬</v>
      </c>
      <c r="B7048" s="2" t="str">
        <f>IFERROR(__xludf.DUMMYFUNCTION("""COMPUTED_VALUE"""),"황태포")</f>
        <v>황태포</v>
      </c>
    </row>
    <row r="7049">
      <c r="A7049" s="2" t="str">
        <f>IFERROR(__xludf.DUMMYFUNCTION("""COMPUTED_VALUE"""),"아임 쇼 맨♬")</f>
        <v>아임 쇼 맨♬</v>
      </c>
      <c r="B7049" s="2" t="str">
        <f>IFERROR(__xludf.DUMMYFUNCTION("""COMPUTED_VALUE"""),"해시 브라운 포테이토")</f>
        <v>해시 브라운 포테이토</v>
      </c>
    </row>
    <row r="7050">
      <c r="A7050" s="2" t="str">
        <f>IFERROR(__xludf.DUMMYFUNCTION("""COMPUTED_VALUE"""),"아임 쇼 맨♬")</f>
        <v>아임 쇼 맨♬</v>
      </c>
      <c r="B7050" s="2" t="str">
        <f>IFERROR(__xludf.DUMMYFUNCTION("""COMPUTED_VALUE"""),"굴비")</f>
        <v>굴비</v>
      </c>
    </row>
    <row r="7051">
      <c r="A7051" s="2" t="str">
        <f>IFERROR(__xludf.DUMMYFUNCTION("""COMPUTED_VALUE"""),"아임 쇼 맨♬")</f>
        <v>아임 쇼 맨♬</v>
      </c>
      <c r="B7051" s="2" t="str">
        <f>IFERROR(__xludf.DUMMYFUNCTION("""COMPUTED_VALUE"""),"삼겹살")</f>
        <v>삼겹살</v>
      </c>
    </row>
    <row r="7052">
      <c r="A7052" s="2" t="str">
        <f>IFERROR(__xludf.DUMMYFUNCTION("""COMPUTED_VALUE"""),"아임 쇼 맨♬")</f>
        <v>아임 쇼 맨♬</v>
      </c>
      <c r="B7052" s="2" t="str">
        <f>IFERROR(__xludf.DUMMYFUNCTION("""COMPUTED_VALUE"""),"파프리카")</f>
        <v>파프리카</v>
      </c>
    </row>
    <row r="7053">
      <c r="A7053" s="2" t="str">
        <f>IFERROR(__xludf.DUMMYFUNCTION("""COMPUTED_VALUE"""),"아임 쇼 맨♬")</f>
        <v>아임 쇼 맨♬</v>
      </c>
      <c r="B7053" s="2" t="str">
        <f>IFERROR(__xludf.DUMMYFUNCTION("""COMPUTED_VALUE"""),"매실원액")</f>
        <v>매실원액</v>
      </c>
    </row>
    <row r="7054">
      <c r="A7054" s="2" t="str">
        <f>IFERROR(__xludf.DUMMYFUNCTION("""COMPUTED_VALUE"""),"아임 쇼 맨♬")</f>
        <v>아임 쇼 맨♬</v>
      </c>
      <c r="B7054" s="2" t="str">
        <f>IFERROR(__xludf.DUMMYFUNCTION("""COMPUTED_VALUE"""),"캐비아")</f>
        <v>캐비아</v>
      </c>
    </row>
    <row r="7055">
      <c r="A7055" s="2" t="str">
        <f>IFERROR(__xludf.DUMMYFUNCTION("""COMPUTED_VALUE"""),"아임 쇼 맨♬")</f>
        <v>아임 쇼 맨♬</v>
      </c>
      <c r="B7055" s="2" t="str">
        <f>IFERROR(__xludf.DUMMYFUNCTION("""COMPUTED_VALUE"""),"참외")</f>
        <v>참외</v>
      </c>
    </row>
    <row r="7056">
      <c r="A7056" s="2" t="str">
        <f>IFERROR(__xludf.DUMMYFUNCTION("""COMPUTED_VALUE"""),"아임 쇼 맨♬")</f>
        <v>아임 쇼 맨♬</v>
      </c>
      <c r="B7056" s="2" t="str">
        <f>IFERROR(__xludf.DUMMYFUNCTION("""COMPUTED_VALUE"""),"연유")</f>
        <v>연유</v>
      </c>
    </row>
    <row r="7057">
      <c r="A7057" s="2" t="str">
        <f>IFERROR(__xludf.DUMMYFUNCTION("""COMPUTED_VALUE"""),"아임 쇼 맨♬")</f>
        <v>아임 쇼 맨♬</v>
      </c>
      <c r="B7057" s="2" t="str">
        <f>IFERROR(__xludf.DUMMYFUNCTION("""COMPUTED_VALUE"""),"양파")</f>
        <v>양파</v>
      </c>
    </row>
    <row r="7058">
      <c r="A7058" s="2" t="str">
        <f>IFERROR(__xludf.DUMMYFUNCTION("""COMPUTED_VALUE"""),"아임 쇼 맨♬")</f>
        <v>아임 쇼 맨♬</v>
      </c>
      <c r="B7058" s="2" t="str">
        <f>IFERROR(__xludf.DUMMYFUNCTION("""COMPUTED_VALUE"""),"레몬")</f>
        <v>레몬</v>
      </c>
    </row>
    <row r="7059">
      <c r="A7059" s="2" t="str">
        <f>IFERROR(__xludf.DUMMYFUNCTION("""COMPUTED_VALUE"""),"아임 쇼 맨♬")</f>
        <v>아임 쇼 맨♬</v>
      </c>
      <c r="B7059" s="2" t="str">
        <f>IFERROR(__xludf.DUMMYFUNCTION("""COMPUTED_VALUE"""),"마요네즈")</f>
        <v>마요네즈</v>
      </c>
    </row>
    <row r="7060">
      <c r="A7060" s="2" t="str">
        <f>IFERROR(__xludf.DUMMYFUNCTION("""COMPUTED_VALUE"""),"아임 쇼 맨♬")</f>
        <v>아임 쇼 맨♬</v>
      </c>
      <c r="B7060" s="2" t="str">
        <f>IFERROR(__xludf.DUMMYFUNCTION("""COMPUTED_VALUE"""),"밀가루")</f>
        <v>밀가루</v>
      </c>
    </row>
    <row r="7061">
      <c r="A7061" s="2" t="str">
        <f>IFERROR(__xludf.DUMMYFUNCTION("""COMPUTED_VALUE"""),"아임 쇼 맨♬")</f>
        <v>아임 쇼 맨♬</v>
      </c>
      <c r="B7061" s="2" t="str">
        <f>IFERROR(__xludf.DUMMYFUNCTION("""COMPUTED_VALUE"""),"청주")</f>
        <v>청주</v>
      </c>
    </row>
    <row r="7062">
      <c r="A7062" s="2" t="str">
        <f>IFERROR(__xludf.DUMMYFUNCTION("""COMPUTED_VALUE"""),"아임 쇼 맨♬")</f>
        <v>아임 쇼 맨♬</v>
      </c>
      <c r="B7062" s="2" t="str">
        <f>IFERROR(__xludf.DUMMYFUNCTION("""COMPUTED_VALUE"""),"마늘")</f>
        <v>마늘</v>
      </c>
    </row>
    <row r="7063">
      <c r="A7063" s="2" t="str">
        <f>IFERROR(__xludf.DUMMYFUNCTION("""COMPUTED_VALUE"""),"아임 쇼 맨♬")</f>
        <v>아임 쇼 맨♬</v>
      </c>
      <c r="B7063" s="2" t="str">
        <f>IFERROR(__xludf.DUMMYFUNCTION("""COMPUTED_VALUE"""),"고추")</f>
        <v>고추</v>
      </c>
    </row>
    <row r="7064">
      <c r="A7064" s="2" t="str">
        <f>IFERROR(__xludf.DUMMYFUNCTION("""COMPUTED_VALUE"""),"아임 쇼 맨♬")</f>
        <v>아임 쇼 맨♬</v>
      </c>
      <c r="B7064" s="2" t="str">
        <f>IFERROR(__xludf.DUMMYFUNCTION("""COMPUTED_VALUE"""),"대파")</f>
        <v>대파</v>
      </c>
    </row>
    <row r="7065">
      <c r="A7065" s="2" t="str">
        <f>IFERROR(__xludf.DUMMYFUNCTION("""COMPUTED_VALUE"""),"아임 쇼 맨♬")</f>
        <v>아임 쇼 맨♬</v>
      </c>
      <c r="B7065" s="2" t="str">
        <f>IFERROR(__xludf.DUMMYFUNCTION("""COMPUTED_VALUE"""),"고춧가루")</f>
        <v>고춧가루</v>
      </c>
    </row>
    <row r="7066">
      <c r="A7066" s="2" t="str">
        <f>IFERROR(__xludf.DUMMYFUNCTION("""COMPUTED_VALUE"""),"아임 쇼 맨♬")</f>
        <v>아임 쇼 맨♬</v>
      </c>
      <c r="B7066" s="2" t="str">
        <f>IFERROR(__xludf.DUMMYFUNCTION("""COMPUTED_VALUE"""),"간장")</f>
        <v>간장</v>
      </c>
    </row>
    <row r="7067">
      <c r="A7067" s="2" t="str">
        <f>IFERROR(__xludf.DUMMYFUNCTION("""COMPUTED_VALUE"""),"아임 쇼 맨♬")</f>
        <v>아임 쇼 맨♬</v>
      </c>
      <c r="B7067" s="2" t="str">
        <f>IFERROR(__xludf.DUMMYFUNCTION("""COMPUTED_VALUE"""),"맛술")</f>
        <v>맛술</v>
      </c>
    </row>
    <row r="7068">
      <c r="A7068" s="2" t="str">
        <f>IFERROR(__xludf.DUMMYFUNCTION("""COMPUTED_VALUE"""),"아임 쇼 맨♬")</f>
        <v>아임 쇼 맨♬</v>
      </c>
      <c r="B7068" s="2" t="str">
        <f>IFERROR(__xludf.DUMMYFUNCTION("""COMPUTED_VALUE"""),"설탕")</f>
        <v>설탕</v>
      </c>
    </row>
    <row r="7069">
      <c r="A7069" s="2" t="str">
        <f>IFERROR(__xludf.DUMMYFUNCTION("""COMPUTED_VALUE"""),"아임 쇼 맨♬")</f>
        <v>아임 쇼 맨♬</v>
      </c>
      <c r="B7069" s="2" t="str">
        <f>IFERROR(__xludf.DUMMYFUNCTION("""COMPUTED_VALUE"""),"소금")</f>
        <v>소금</v>
      </c>
    </row>
    <row r="7070">
      <c r="A7070" s="2" t="str">
        <f>IFERROR(__xludf.DUMMYFUNCTION("""COMPUTED_VALUE"""),"골뱅이 완전히 새됐어♬")</f>
        <v>골뱅이 완전히 새됐어♬</v>
      </c>
      <c r="B7070" s="2" t="str">
        <f>IFERROR(__xludf.DUMMYFUNCTION("""COMPUTED_VALUE"""),"골뱅이 통조림")</f>
        <v>골뱅이 통조림</v>
      </c>
    </row>
    <row r="7071">
      <c r="A7071" s="2" t="str">
        <f>IFERROR(__xludf.DUMMYFUNCTION("""COMPUTED_VALUE"""),"골뱅이 완전히 새됐어♬")</f>
        <v>골뱅이 완전히 새됐어♬</v>
      </c>
      <c r="B7071" s="2" t="str">
        <f>IFERROR(__xludf.DUMMYFUNCTION("""COMPUTED_VALUE"""),"통삼겹살")</f>
        <v>통삼겹살</v>
      </c>
    </row>
    <row r="7072">
      <c r="A7072" s="2" t="str">
        <f>IFERROR(__xludf.DUMMYFUNCTION("""COMPUTED_VALUE"""),"골뱅이 완전히 새됐어♬")</f>
        <v>골뱅이 완전히 새됐어♬</v>
      </c>
      <c r="B7072" s="2" t="str">
        <f>IFERROR(__xludf.DUMMYFUNCTION("""COMPUTED_VALUE"""),"배추김치")</f>
        <v>배추김치</v>
      </c>
    </row>
    <row r="7073">
      <c r="A7073" s="2" t="str">
        <f>IFERROR(__xludf.DUMMYFUNCTION("""COMPUTED_VALUE"""),"골뱅이 완전히 새됐어♬")</f>
        <v>골뱅이 완전히 새됐어♬</v>
      </c>
      <c r="B7073" s="2" t="str">
        <f>IFERROR(__xludf.DUMMYFUNCTION("""COMPUTED_VALUE"""),"분홍소시지")</f>
        <v>분홍소시지</v>
      </c>
    </row>
    <row r="7074">
      <c r="A7074" s="2" t="str">
        <f>IFERROR(__xludf.DUMMYFUNCTION("""COMPUTED_VALUE"""),"골뱅이 완전히 새됐어♬")</f>
        <v>골뱅이 완전히 새됐어♬</v>
      </c>
      <c r="B7074" s="2" t="str">
        <f>IFERROR(__xludf.DUMMYFUNCTION("""COMPUTED_VALUE"""),"밀가루")</f>
        <v>밀가루</v>
      </c>
    </row>
    <row r="7075">
      <c r="A7075" s="2" t="str">
        <f>IFERROR(__xludf.DUMMYFUNCTION("""COMPUTED_VALUE"""),"골뱅이 완전히 새됐어♬")</f>
        <v>골뱅이 완전히 새됐어♬</v>
      </c>
      <c r="B7075" s="2" t="str">
        <f>IFERROR(__xludf.DUMMYFUNCTION("""COMPUTED_VALUE"""),"버터")</f>
        <v>버터</v>
      </c>
    </row>
    <row r="7076">
      <c r="A7076" s="2" t="str">
        <f>IFERROR(__xludf.DUMMYFUNCTION("""COMPUTED_VALUE"""),"골뱅이 완전히 새됐어♬")</f>
        <v>골뱅이 완전히 새됐어♬</v>
      </c>
      <c r="B7076" s="2" t="str">
        <f>IFERROR(__xludf.DUMMYFUNCTION("""COMPUTED_VALUE"""),"설탕")</f>
        <v>설탕</v>
      </c>
    </row>
    <row r="7077">
      <c r="A7077" s="2" t="str">
        <f>IFERROR(__xludf.DUMMYFUNCTION("""COMPUTED_VALUE"""),"골뱅이 완전히 새됐어♬")</f>
        <v>골뱅이 완전히 새됐어♬</v>
      </c>
      <c r="B7077" s="2" t="str">
        <f>IFERROR(__xludf.DUMMYFUNCTION("""COMPUTED_VALUE"""),"고춧가루")</f>
        <v>고춧가루</v>
      </c>
    </row>
    <row r="7078">
      <c r="A7078" s="2" t="str">
        <f>IFERROR(__xludf.DUMMYFUNCTION("""COMPUTED_VALUE"""),"골뱅이 완전히 새됐어♬")</f>
        <v>골뱅이 완전히 새됐어♬</v>
      </c>
      <c r="B7078" s="2" t="str">
        <f>IFERROR(__xludf.DUMMYFUNCTION("""COMPUTED_VALUE"""),"간장")</f>
        <v>간장</v>
      </c>
    </row>
    <row r="7079">
      <c r="A7079" s="2" t="str">
        <f>IFERROR(__xludf.DUMMYFUNCTION("""COMPUTED_VALUE"""),"골뱅이 완전히 새됐어♬")</f>
        <v>골뱅이 완전히 새됐어♬</v>
      </c>
      <c r="B7079" s="2" t="str">
        <f>IFERROR(__xludf.DUMMYFUNCTION("""COMPUTED_VALUE"""),"전분")</f>
        <v>전분</v>
      </c>
    </row>
    <row r="7080">
      <c r="A7080" s="2" t="str">
        <f>IFERROR(__xludf.DUMMYFUNCTION("""COMPUTED_VALUE"""),"골뱅이 완전히 새됐어♬")</f>
        <v>골뱅이 완전히 새됐어♬</v>
      </c>
      <c r="B7080" s="2" t="str">
        <f>IFERROR(__xludf.DUMMYFUNCTION("""COMPUTED_VALUE"""),"식초")</f>
        <v>식초</v>
      </c>
    </row>
    <row r="7081">
      <c r="A7081" s="2" t="str">
        <f>IFERROR(__xludf.DUMMYFUNCTION("""COMPUTED_VALUE"""),"골뱅이 완전히 새됐어♬")</f>
        <v>골뱅이 완전히 새됐어♬</v>
      </c>
      <c r="B7081" s="2" t="str">
        <f>IFERROR(__xludf.DUMMYFUNCTION("""COMPUTED_VALUE"""),"설탕")</f>
        <v>설탕</v>
      </c>
    </row>
    <row r="7082">
      <c r="A7082" s="2" t="str">
        <f>IFERROR(__xludf.DUMMYFUNCTION("""COMPUTED_VALUE"""),"골뱅이 완전히 새됐어♬")</f>
        <v>골뱅이 완전히 새됐어♬</v>
      </c>
      <c r="B7082" s="2" t="str">
        <f>IFERROR(__xludf.DUMMYFUNCTION("""COMPUTED_VALUE"""),"청양고추")</f>
        <v>청양고추</v>
      </c>
    </row>
    <row r="7083">
      <c r="A7083" s="2" t="str">
        <f>IFERROR(__xludf.DUMMYFUNCTION("""COMPUTED_VALUE"""),"골뱅이 프린세스")</f>
        <v>골뱅이 프린세스</v>
      </c>
      <c r="B7083" s="2" t="str">
        <f>IFERROR(__xludf.DUMMYFUNCTION("""COMPUTED_VALUE"""),"골뱅이 통조림")</f>
        <v>골뱅이 통조림</v>
      </c>
    </row>
    <row r="7084">
      <c r="A7084" s="2" t="str">
        <f>IFERROR(__xludf.DUMMYFUNCTION("""COMPUTED_VALUE"""),"골뱅이 프린세스")</f>
        <v>골뱅이 프린세스</v>
      </c>
      <c r="B7084" s="2" t="str">
        <f>IFERROR(__xludf.DUMMYFUNCTION("""COMPUTED_VALUE"""),"비엔나소시지")</f>
        <v>비엔나소시지</v>
      </c>
    </row>
    <row r="7085">
      <c r="A7085" s="2" t="str">
        <f>IFERROR(__xludf.DUMMYFUNCTION("""COMPUTED_VALUE"""),"골뱅이 프린세스")</f>
        <v>골뱅이 프린세스</v>
      </c>
      <c r="B7085" s="2" t="str">
        <f>IFERROR(__xludf.DUMMYFUNCTION("""COMPUTED_VALUE"""),"플레인요거트")</f>
        <v>플레인요거트</v>
      </c>
    </row>
    <row r="7086">
      <c r="A7086" s="2" t="str">
        <f>IFERROR(__xludf.DUMMYFUNCTION("""COMPUTED_VALUE"""),"골뱅이 프린세스")</f>
        <v>골뱅이 프린세스</v>
      </c>
      <c r="B7086" s="2" t="str">
        <f>IFERROR(__xludf.DUMMYFUNCTION("""COMPUTED_VALUE"""),"크림치즈")</f>
        <v>크림치즈</v>
      </c>
    </row>
    <row r="7087">
      <c r="A7087" s="2" t="str">
        <f>IFERROR(__xludf.DUMMYFUNCTION("""COMPUTED_VALUE"""),"골뱅이 프린세스")</f>
        <v>골뱅이 프린세스</v>
      </c>
      <c r="B7087" s="2" t="str">
        <f>IFERROR(__xludf.DUMMYFUNCTION("""COMPUTED_VALUE"""),"모차렐라치즈")</f>
        <v>모차렐라치즈</v>
      </c>
    </row>
    <row r="7088">
      <c r="A7088" s="2" t="str">
        <f>IFERROR(__xludf.DUMMYFUNCTION("""COMPUTED_VALUE"""),"골뱅이 프린세스")</f>
        <v>골뱅이 프린세스</v>
      </c>
      <c r="B7088" s="2" t="str">
        <f>IFERROR(__xludf.DUMMYFUNCTION("""COMPUTED_VALUE"""),"버터")</f>
        <v>버터</v>
      </c>
    </row>
    <row r="7089">
      <c r="A7089" s="2" t="str">
        <f>IFERROR(__xludf.DUMMYFUNCTION("""COMPUTED_VALUE"""),"골뱅이 프린세스")</f>
        <v>골뱅이 프린세스</v>
      </c>
      <c r="B7089" s="2" t="str">
        <f>IFERROR(__xludf.DUMMYFUNCTION("""COMPUTED_VALUE"""),"마늘")</f>
        <v>마늘</v>
      </c>
    </row>
    <row r="7090">
      <c r="A7090" s="2" t="str">
        <f>IFERROR(__xludf.DUMMYFUNCTION("""COMPUTED_VALUE"""),"골뱅이 프린세스")</f>
        <v>골뱅이 프린세스</v>
      </c>
      <c r="B7090" s="2" t="str">
        <f>IFERROR(__xludf.DUMMYFUNCTION("""COMPUTED_VALUE"""),"소금")</f>
        <v>소금</v>
      </c>
    </row>
    <row r="7091">
      <c r="A7091" s="2" t="str">
        <f>IFERROR(__xludf.DUMMYFUNCTION("""COMPUTED_VALUE"""),"골뱅이 프린세스")</f>
        <v>골뱅이 프린세스</v>
      </c>
      <c r="B7091" s="2" t="str">
        <f>IFERROR(__xludf.DUMMYFUNCTION("""COMPUTED_VALUE"""),"후추")</f>
        <v>후추</v>
      </c>
    </row>
    <row r="7092">
      <c r="A7092" s="2" t="str">
        <f>IFERROR(__xludf.DUMMYFUNCTION("""COMPUTED_VALUE"""),"골뱅이 프린세스")</f>
        <v>골뱅이 프린세스</v>
      </c>
      <c r="B7092" s="2" t="str">
        <f>IFERROR(__xludf.DUMMYFUNCTION("""COMPUTED_VALUE"""),"밀가루")</f>
        <v>밀가루</v>
      </c>
    </row>
    <row r="7093">
      <c r="A7093" s="2" t="str">
        <f>IFERROR(__xludf.DUMMYFUNCTION("""COMPUTED_VALUE"""),"골뱅이 프린세스")</f>
        <v>골뱅이 프린세스</v>
      </c>
      <c r="B7093" s="2" t="str">
        <f>IFERROR(__xludf.DUMMYFUNCTION("""COMPUTED_VALUE"""),"화이트와인")</f>
        <v>화이트와인</v>
      </c>
    </row>
    <row r="7094">
      <c r="A7094" s="2" t="str">
        <f>IFERROR(__xludf.DUMMYFUNCTION("""COMPUTED_VALUE"""),"골뱅이 프린세스")</f>
        <v>골뱅이 프린세스</v>
      </c>
      <c r="B7094" s="2" t="str">
        <f>IFERROR(__xludf.DUMMYFUNCTION("""COMPUTED_VALUE"""),"간장")</f>
        <v>간장</v>
      </c>
    </row>
    <row r="7095">
      <c r="A7095" s="2" t="str">
        <f>IFERROR(__xludf.DUMMYFUNCTION("""COMPUTED_VALUE"""),"골뱅이 프린세스")</f>
        <v>골뱅이 프린세스</v>
      </c>
      <c r="B7095" s="2" t="str">
        <f>IFERROR(__xludf.DUMMYFUNCTION("""COMPUTED_VALUE"""),"전분")</f>
        <v>전분</v>
      </c>
    </row>
    <row r="7096">
      <c r="A7096" s="2" t="str">
        <f>IFERROR(__xludf.DUMMYFUNCTION("""COMPUTED_VALUE"""),"골뱅이 프린세스")</f>
        <v>골뱅이 프린세스</v>
      </c>
      <c r="B7096" s="2" t="str">
        <f>IFERROR(__xludf.DUMMYFUNCTION("""COMPUTED_VALUE"""),"청양고추")</f>
        <v>청양고추</v>
      </c>
    </row>
    <row r="7097">
      <c r="A7097" s="2" t="str">
        <f>IFERROR(__xludf.DUMMYFUNCTION("""COMPUTED_VALUE"""),"맵단세트")</f>
        <v>맵단세트</v>
      </c>
      <c r="B7097" s="2" t="str">
        <f>IFERROR(__xludf.DUMMYFUNCTION("""COMPUTED_VALUE"""),"떡국떡")</f>
        <v>떡국떡</v>
      </c>
    </row>
    <row r="7098">
      <c r="A7098" s="2" t="str">
        <f>IFERROR(__xludf.DUMMYFUNCTION("""COMPUTED_VALUE"""),"맵단세트")</f>
        <v>맵단세트</v>
      </c>
      <c r="B7098" s="2" t="str">
        <f>IFERROR(__xludf.DUMMYFUNCTION("""COMPUTED_VALUE"""),"통삼겹살")</f>
        <v>통삼겹살</v>
      </c>
    </row>
    <row r="7099">
      <c r="A7099" s="2" t="str">
        <f>IFERROR(__xludf.DUMMYFUNCTION("""COMPUTED_VALUE"""),"맵단세트")</f>
        <v>맵단세트</v>
      </c>
      <c r="B7099" s="2" t="str">
        <f>IFERROR(__xludf.DUMMYFUNCTION("""COMPUTED_VALUE"""),"사과")</f>
        <v>사과</v>
      </c>
    </row>
    <row r="7100">
      <c r="A7100" s="2" t="str">
        <f>IFERROR(__xludf.DUMMYFUNCTION("""COMPUTED_VALUE"""),"맵단세트")</f>
        <v>맵단세트</v>
      </c>
      <c r="B7100" s="2" t="str">
        <f>IFERROR(__xludf.DUMMYFUNCTION("""COMPUTED_VALUE"""),"계피가루")</f>
        <v>계피가루</v>
      </c>
    </row>
    <row r="7101">
      <c r="A7101" s="2" t="str">
        <f>IFERROR(__xludf.DUMMYFUNCTION("""COMPUTED_VALUE"""),"맵단세트")</f>
        <v>맵단세트</v>
      </c>
      <c r="B7101" s="2" t="str">
        <f>IFERROR(__xludf.DUMMYFUNCTION("""COMPUTED_VALUE"""),"맛소금")</f>
        <v>맛소금</v>
      </c>
    </row>
    <row r="7102">
      <c r="A7102" s="2" t="str">
        <f>IFERROR(__xludf.DUMMYFUNCTION("""COMPUTED_VALUE"""),"맵단세트")</f>
        <v>맵단세트</v>
      </c>
      <c r="B7102" s="2" t="str">
        <f>IFERROR(__xludf.DUMMYFUNCTION("""COMPUTED_VALUE"""),"짜장라면수프")</f>
        <v>짜장라면수프</v>
      </c>
    </row>
    <row r="7103">
      <c r="A7103" s="2" t="str">
        <f>IFERROR(__xludf.DUMMYFUNCTION("""COMPUTED_VALUE"""),"맵단세트")</f>
        <v>맵단세트</v>
      </c>
      <c r="B7103" s="2" t="str">
        <f>IFERROR(__xludf.DUMMYFUNCTION("""COMPUTED_VALUE"""),"버터")</f>
        <v>버터</v>
      </c>
    </row>
    <row r="7104">
      <c r="A7104" s="2" t="str">
        <f>IFERROR(__xludf.DUMMYFUNCTION("""COMPUTED_VALUE"""),"맵단세트")</f>
        <v>맵단세트</v>
      </c>
      <c r="B7104" s="2" t="str">
        <f>IFERROR(__xludf.DUMMYFUNCTION("""COMPUTED_VALUE"""),"양파")</f>
        <v>양파</v>
      </c>
    </row>
    <row r="7105">
      <c r="A7105" s="2" t="str">
        <f>IFERROR(__xludf.DUMMYFUNCTION("""COMPUTED_VALUE"""),"맵단세트")</f>
        <v>맵단세트</v>
      </c>
      <c r="B7105" s="2" t="str">
        <f>IFERROR(__xludf.DUMMYFUNCTION("""COMPUTED_VALUE"""),"대파")</f>
        <v>대파</v>
      </c>
    </row>
    <row r="7106">
      <c r="A7106" s="2" t="str">
        <f>IFERROR(__xludf.DUMMYFUNCTION("""COMPUTED_VALUE"""),"맵단세트")</f>
        <v>맵단세트</v>
      </c>
      <c r="B7106" s="2" t="str">
        <f>IFERROR(__xludf.DUMMYFUNCTION("""COMPUTED_VALUE"""),"고춧가루")</f>
        <v>고춧가루</v>
      </c>
    </row>
    <row r="7107">
      <c r="A7107" s="2" t="str">
        <f>IFERROR(__xludf.DUMMYFUNCTION("""COMPUTED_VALUE"""),"맵단세트")</f>
        <v>맵단세트</v>
      </c>
      <c r="B7107" s="2" t="str">
        <f>IFERROR(__xludf.DUMMYFUNCTION("""COMPUTED_VALUE"""),"고추장")</f>
        <v>고추장</v>
      </c>
    </row>
    <row r="7108">
      <c r="A7108" s="2" t="str">
        <f>IFERROR(__xludf.DUMMYFUNCTION("""COMPUTED_VALUE"""),"맵단세트")</f>
        <v>맵단세트</v>
      </c>
      <c r="B7108" s="2" t="str">
        <f>IFERROR(__xludf.DUMMYFUNCTION("""COMPUTED_VALUE"""),"간장")</f>
        <v>간장</v>
      </c>
    </row>
    <row r="7109">
      <c r="A7109" s="2" t="str">
        <f>IFERROR(__xludf.DUMMYFUNCTION("""COMPUTED_VALUE"""),"맵단세트")</f>
        <v>맵단세트</v>
      </c>
      <c r="B7109" s="2" t="str">
        <f>IFERROR(__xludf.DUMMYFUNCTION("""COMPUTED_VALUE"""),"전분")</f>
        <v>전분</v>
      </c>
    </row>
    <row r="7110">
      <c r="A7110" s="2" t="str">
        <f>IFERROR(__xludf.DUMMYFUNCTION("""COMPUTED_VALUE"""),"맵단세트")</f>
        <v>맵단세트</v>
      </c>
      <c r="B7110" s="2" t="str">
        <f>IFERROR(__xludf.DUMMYFUNCTION("""COMPUTED_VALUE"""),"설탕")</f>
        <v>설탕</v>
      </c>
    </row>
    <row r="7111">
      <c r="A7111" s="2" t="str">
        <f>IFERROR(__xludf.DUMMYFUNCTION("""COMPUTED_VALUE"""),"니가 젓소")</f>
        <v>니가 젓소</v>
      </c>
      <c r="B7111" s="2" t="str">
        <f>IFERROR(__xludf.DUMMYFUNCTION("""COMPUTED_VALUE"""),"분홍소시지")</f>
        <v>분홍소시지</v>
      </c>
    </row>
    <row r="7112">
      <c r="A7112" s="2" t="str">
        <f>IFERROR(__xludf.DUMMYFUNCTION("""COMPUTED_VALUE"""),"니가 젓소")</f>
        <v>니가 젓소</v>
      </c>
      <c r="B7112" s="2" t="str">
        <f>IFERROR(__xludf.DUMMYFUNCTION("""COMPUTED_VALUE"""),"떡볶이 떡")</f>
        <v>떡볶이 떡</v>
      </c>
    </row>
    <row r="7113">
      <c r="A7113" s="2" t="str">
        <f>IFERROR(__xludf.DUMMYFUNCTION("""COMPUTED_VALUE"""),"니가 젓소")</f>
        <v>니가 젓소</v>
      </c>
      <c r="B7113" s="2" t="str">
        <f>IFERROR(__xludf.DUMMYFUNCTION("""COMPUTED_VALUE"""),"오징어젓")</f>
        <v>오징어젓</v>
      </c>
    </row>
    <row r="7114">
      <c r="A7114" s="2" t="str">
        <f>IFERROR(__xludf.DUMMYFUNCTION("""COMPUTED_VALUE"""),"니가 젓소")</f>
        <v>니가 젓소</v>
      </c>
      <c r="B7114" s="2" t="str">
        <f>IFERROR(__xludf.DUMMYFUNCTION("""COMPUTED_VALUE"""),"채소수프분말")</f>
        <v>채소수프분말</v>
      </c>
    </row>
    <row r="7115">
      <c r="A7115" s="2" t="str">
        <f>IFERROR(__xludf.DUMMYFUNCTION("""COMPUTED_VALUE"""),"니가 젓소")</f>
        <v>니가 젓소</v>
      </c>
      <c r="B7115" s="2" t="str">
        <f>IFERROR(__xludf.DUMMYFUNCTION("""COMPUTED_VALUE"""),"견과류멸치볶음")</f>
        <v>견과류멸치볶음</v>
      </c>
    </row>
    <row r="7116">
      <c r="A7116" s="2" t="str">
        <f>IFERROR(__xludf.DUMMYFUNCTION("""COMPUTED_VALUE"""),"니가 젓소")</f>
        <v>니가 젓소</v>
      </c>
      <c r="B7116" s="2" t="str">
        <f>IFERROR(__xludf.DUMMYFUNCTION("""COMPUTED_VALUE"""),"낙지젓")</f>
        <v>낙지젓</v>
      </c>
    </row>
    <row r="7117">
      <c r="A7117" s="2" t="str">
        <f>IFERROR(__xludf.DUMMYFUNCTION("""COMPUTED_VALUE"""),"니가 젓소")</f>
        <v>니가 젓소</v>
      </c>
      <c r="B7117" s="2" t="str">
        <f>IFERROR(__xludf.DUMMYFUNCTION("""COMPUTED_VALUE"""),"모차렐라치즈")</f>
        <v>모차렐라치즈</v>
      </c>
    </row>
    <row r="7118">
      <c r="A7118" s="2" t="str">
        <f>IFERROR(__xludf.DUMMYFUNCTION("""COMPUTED_VALUE"""),"니가 젓소")</f>
        <v>니가 젓소</v>
      </c>
      <c r="B7118" s="2" t="str">
        <f>IFERROR(__xludf.DUMMYFUNCTION("""COMPUTED_VALUE"""),"전분")</f>
        <v>전분</v>
      </c>
    </row>
    <row r="7119">
      <c r="A7119" s="2" t="str">
        <f>IFERROR(__xludf.DUMMYFUNCTION("""COMPUTED_VALUE"""),"니가 젓소")</f>
        <v>니가 젓소</v>
      </c>
      <c r="B7119" s="2" t="str">
        <f>IFERROR(__xludf.DUMMYFUNCTION("""COMPUTED_VALUE"""),"밀가루")</f>
        <v>밀가루</v>
      </c>
    </row>
    <row r="7120">
      <c r="A7120" s="2" t="str">
        <f>IFERROR(__xludf.DUMMYFUNCTION("""COMPUTED_VALUE"""),"니가 젓소")</f>
        <v>니가 젓소</v>
      </c>
      <c r="B7120" s="2" t="str">
        <f>IFERROR(__xludf.DUMMYFUNCTION("""COMPUTED_VALUE"""),"달걀")</f>
        <v>달걀</v>
      </c>
    </row>
    <row r="7121">
      <c r="A7121" s="2" t="str">
        <f>IFERROR(__xludf.DUMMYFUNCTION("""COMPUTED_VALUE"""),"니가 젓소")</f>
        <v>니가 젓소</v>
      </c>
      <c r="B7121" s="2" t="str">
        <f>IFERROR(__xludf.DUMMYFUNCTION("""COMPUTED_VALUE"""),"고춧가루")</f>
        <v>고춧가루</v>
      </c>
    </row>
    <row r="7122">
      <c r="A7122" s="2" t="str">
        <f>IFERROR(__xludf.DUMMYFUNCTION("""COMPUTED_VALUE"""),"니가 젓소")</f>
        <v>니가 젓소</v>
      </c>
      <c r="B7122" s="2" t="str">
        <f>IFERROR(__xludf.DUMMYFUNCTION("""COMPUTED_VALUE"""),"설탕")</f>
        <v>설탕</v>
      </c>
    </row>
    <row r="7123">
      <c r="A7123" s="2" t="str">
        <f>IFERROR(__xludf.DUMMYFUNCTION("""COMPUTED_VALUE"""),"니가 젓소")</f>
        <v>니가 젓소</v>
      </c>
      <c r="B7123" s="2" t="str">
        <f>IFERROR(__xludf.DUMMYFUNCTION("""COMPUTED_VALUE"""),"케첩")</f>
        <v>케첩</v>
      </c>
    </row>
    <row r="7124">
      <c r="A7124" s="2" t="str">
        <f>IFERROR(__xludf.DUMMYFUNCTION("""COMPUTED_VALUE"""),"니가 젓소")</f>
        <v>니가 젓소</v>
      </c>
      <c r="B7124" s="2" t="str">
        <f>IFERROR(__xludf.DUMMYFUNCTION("""COMPUTED_VALUE"""),"다진 마늘")</f>
        <v>다진 마늘</v>
      </c>
    </row>
    <row r="7125">
      <c r="A7125" s="2" t="str">
        <f>IFERROR(__xludf.DUMMYFUNCTION("""COMPUTED_VALUE"""),"니가 젓소")</f>
        <v>니가 젓소</v>
      </c>
      <c r="B7125" s="2" t="str">
        <f>IFERROR(__xludf.DUMMYFUNCTION("""COMPUTED_VALUE"""),"양파")</f>
        <v>양파</v>
      </c>
    </row>
    <row r="7126">
      <c r="A7126" s="2" t="str">
        <f>IFERROR(__xludf.DUMMYFUNCTION("""COMPUTED_VALUE"""),"니가 젓소")</f>
        <v>니가 젓소</v>
      </c>
      <c r="B7126" s="2" t="str">
        <f>IFERROR(__xludf.DUMMYFUNCTION("""COMPUTED_VALUE"""),"물엿")</f>
        <v>물엿</v>
      </c>
    </row>
    <row r="7127">
      <c r="A7127" s="2" t="str">
        <f>IFERROR(__xludf.DUMMYFUNCTION("""COMPUTED_VALUE"""),"니가 젓소")</f>
        <v>니가 젓소</v>
      </c>
      <c r="B7127" s="2" t="str">
        <f>IFERROR(__xludf.DUMMYFUNCTION("""COMPUTED_VALUE"""),"참기름")</f>
        <v>참기름</v>
      </c>
    </row>
    <row r="7128">
      <c r="A7128" s="2" t="str">
        <f>IFERROR(__xludf.DUMMYFUNCTION("""COMPUTED_VALUE"""),"오늘 밤 안주는 나야 나♬")</f>
        <v>오늘 밤 안주는 나야 나♬</v>
      </c>
      <c r="B7128" s="2" t="str">
        <f>IFERROR(__xludf.DUMMYFUNCTION("""COMPUTED_VALUE"""),"플레인 요거트")</f>
        <v>플레인 요거트</v>
      </c>
    </row>
    <row r="7129">
      <c r="A7129" s="2" t="str">
        <f>IFERROR(__xludf.DUMMYFUNCTION("""COMPUTED_VALUE"""),"오늘 밤 안주는 나야 나♬")</f>
        <v>오늘 밤 안주는 나야 나♬</v>
      </c>
      <c r="B7129" s="2" t="str">
        <f>IFERROR(__xludf.DUMMYFUNCTION("""COMPUTED_VALUE"""),"아보카도")</f>
        <v>아보카도</v>
      </c>
    </row>
    <row r="7130">
      <c r="A7130" s="2" t="str">
        <f>IFERROR(__xludf.DUMMYFUNCTION("""COMPUTED_VALUE"""),"오늘 밤 안주는 나야 나♬")</f>
        <v>오늘 밤 안주는 나야 나♬</v>
      </c>
      <c r="B7130" s="2" t="str">
        <f>IFERROR(__xludf.DUMMYFUNCTION("""COMPUTED_VALUE"""),"마스카르포네 치즈")</f>
        <v>마스카르포네 치즈</v>
      </c>
    </row>
    <row r="7131">
      <c r="A7131" s="2" t="str">
        <f>IFERROR(__xludf.DUMMYFUNCTION("""COMPUTED_VALUE"""),"오늘 밤 안주는 나야 나♬")</f>
        <v>오늘 밤 안주는 나야 나♬</v>
      </c>
      <c r="B7131" s="2" t="str">
        <f>IFERROR(__xludf.DUMMYFUNCTION("""COMPUTED_VALUE"""),"설탕")</f>
        <v>설탕</v>
      </c>
    </row>
    <row r="7132">
      <c r="A7132" s="2" t="str">
        <f>IFERROR(__xludf.DUMMYFUNCTION("""COMPUTED_VALUE"""),"오늘 밤 안주는 나야 나♬")</f>
        <v>오늘 밤 안주는 나야 나♬</v>
      </c>
      <c r="B7132" s="2" t="str">
        <f>IFERROR(__xludf.DUMMYFUNCTION("""COMPUTED_VALUE"""),"달걀")</f>
        <v>달걀</v>
      </c>
    </row>
    <row r="7133">
      <c r="A7133" s="2" t="str">
        <f>IFERROR(__xludf.DUMMYFUNCTION("""COMPUTED_VALUE"""),"오늘 밤 안주는 나야 나♬")</f>
        <v>오늘 밤 안주는 나야 나♬</v>
      </c>
      <c r="B7133" s="2" t="str">
        <f>IFERROR(__xludf.DUMMYFUNCTION("""COMPUTED_VALUE"""),"밀가루")</f>
        <v>밀가루</v>
      </c>
    </row>
    <row r="7134">
      <c r="A7134" s="2" t="str">
        <f>IFERROR(__xludf.DUMMYFUNCTION("""COMPUTED_VALUE"""),"오늘 밤 안주는 나야 나♬")</f>
        <v>오늘 밤 안주는 나야 나♬</v>
      </c>
      <c r="B7134" s="2" t="str">
        <f>IFERROR(__xludf.DUMMYFUNCTION("""COMPUTED_VALUE"""),"소금")</f>
        <v>소금</v>
      </c>
    </row>
    <row r="7135">
      <c r="A7135" s="2" t="str">
        <f>IFERROR(__xludf.DUMMYFUNCTION("""COMPUTED_VALUE"""),"오늘 밤 안주는 나야 나♬")</f>
        <v>오늘 밤 안주는 나야 나♬</v>
      </c>
      <c r="B7135" s="2" t="str">
        <f>IFERROR(__xludf.DUMMYFUNCTION("""COMPUTED_VALUE"""),"버터")</f>
        <v>버터</v>
      </c>
    </row>
    <row r="7136">
      <c r="A7136" s="2" t="str">
        <f>IFERROR(__xludf.DUMMYFUNCTION("""COMPUTED_VALUE"""),"오늘 밤 안주는 나야 나♬")</f>
        <v>오늘 밤 안주는 나야 나♬</v>
      </c>
      <c r="B7136" s="2" t="str">
        <f>IFERROR(__xludf.DUMMYFUNCTION("""COMPUTED_VALUE"""),"레몬")</f>
        <v>레몬</v>
      </c>
    </row>
    <row r="7137">
      <c r="A7137" s="2" t="str">
        <f>IFERROR(__xludf.DUMMYFUNCTION("""COMPUTED_VALUE"""),"안심하고 드세요")</f>
        <v>안심하고 드세요</v>
      </c>
      <c r="B7137" s="2" t="str">
        <f>IFERROR(__xludf.DUMMYFUNCTION("""COMPUTED_VALUE"""),"소고기 안심")</f>
        <v>소고기 안심</v>
      </c>
    </row>
    <row r="7138">
      <c r="A7138" s="2" t="str">
        <f>IFERROR(__xludf.DUMMYFUNCTION("""COMPUTED_VALUE"""),"안심하고 드세요")</f>
        <v>안심하고 드세요</v>
      </c>
      <c r="B7138" s="2" t="str">
        <f>IFERROR(__xludf.DUMMYFUNCTION("""COMPUTED_VALUE"""),"허브크림치즈")</f>
        <v>허브크림치즈</v>
      </c>
    </row>
    <row r="7139">
      <c r="A7139" s="2" t="str">
        <f>IFERROR(__xludf.DUMMYFUNCTION("""COMPUTED_VALUE"""),"안심하고 드세요")</f>
        <v>안심하고 드세요</v>
      </c>
      <c r="B7139" s="2" t="str">
        <f>IFERROR(__xludf.DUMMYFUNCTION("""COMPUTED_VALUE"""),"트러플 치즈소스")</f>
        <v>트러플 치즈소스</v>
      </c>
    </row>
    <row r="7140">
      <c r="A7140" s="2" t="str">
        <f>IFERROR(__xludf.DUMMYFUNCTION("""COMPUTED_VALUE"""),"안심하고 드세요")</f>
        <v>안심하고 드세요</v>
      </c>
      <c r="B7140" s="2" t="str">
        <f>IFERROR(__xludf.DUMMYFUNCTION("""COMPUTED_VALUE"""),"과일치즈")</f>
        <v>과일치즈</v>
      </c>
    </row>
    <row r="7141">
      <c r="A7141" s="2" t="str">
        <f>IFERROR(__xludf.DUMMYFUNCTION("""COMPUTED_VALUE"""),"안심하고 드세요")</f>
        <v>안심하고 드세요</v>
      </c>
      <c r="B7141" s="2" t="str">
        <f>IFERROR(__xludf.DUMMYFUNCTION("""COMPUTED_VALUE"""),"고다치즈")</f>
        <v>고다치즈</v>
      </c>
    </row>
    <row r="7142">
      <c r="A7142" s="2" t="str">
        <f>IFERROR(__xludf.DUMMYFUNCTION("""COMPUTED_VALUE"""),"안심하고 드세요")</f>
        <v>안심하고 드세요</v>
      </c>
      <c r="B7142" s="2" t="str">
        <f>IFERROR(__xludf.DUMMYFUNCTION("""COMPUTED_VALUE"""),"카사바칩")</f>
        <v>카사바칩</v>
      </c>
    </row>
    <row r="7143">
      <c r="A7143" s="2" t="str">
        <f>IFERROR(__xludf.DUMMYFUNCTION("""COMPUTED_VALUE"""),"안심하고 드세요")</f>
        <v>안심하고 드세요</v>
      </c>
      <c r="B7143" s="2" t="str">
        <f>IFERROR(__xludf.DUMMYFUNCTION("""COMPUTED_VALUE"""),"타임")</f>
        <v>타임</v>
      </c>
    </row>
    <row r="7144">
      <c r="A7144" s="2" t="str">
        <f>IFERROR(__xludf.DUMMYFUNCTION("""COMPUTED_VALUE"""),"안심하고 드세요")</f>
        <v>안심하고 드세요</v>
      </c>
      <c r="B7144" s="2" t="str">
        <f>IFERROR(__xludf.DUMMYFUNCTION("""COMPUTED_VALUE"""),"플레인 요거트")</f>
        <v>플레인 요거트</v>
      </c>
    </row>
    <row r="7145">
      <c r="A7145" s="2" t="str">
        <f>IFERROR(__xludf.DUMMYFUNCTION("""COMPUTED_VALUE"""),"안심하고 드세요")</f>
        <v>안심하고 드세요</v>
      </c>
      <c r="B7145" s="2" t="str">
        <f>IFERROR(__xludf.DUMMYFUNCTION("""COMPUTED_VALUE"""),"블루베리 퓌레")</f>
        <v>블루베리 퓌레</v>
      </c>
    </row>
    <row r="7146">
      <c r="A7146" s="2" t="str">
        <f>IFERROR(__xludf.DUMMYFUNCTION("""COMPUTED_VALUE"""),"안심하고 드세요")</f>
        <v>안심하고 드세요</v>
      </c>
      <c r="B7146" s="2" t="str">
        <f>IFERROR(__xludf.DUMMYFUNCTION("""COMPUTED_VALUE"""),"칼라만시원액")</f>
        <v>칼라만시원액</v>
      </c>
    </row>
    <row r="7147">
      <c r="A7147" s="2" t="str">
        <f>IFERROR(__xludf.DUMMYFUNCTION("""COMPUTED_VALUE"""),"안심하고 드세요")</f>
        <v>안심하고 드세요</v>
      </c>
      <c r="B7147" s="2" t="str">
        <f>IFERROR(__xludf.DUMMYFUNCTION("""COMPUTED_VALUE"""),"발사믹 식초")</f>
        <v>발사믹 식초</v>
      </c>
    </row>
    <row r="7148">
      <c r="A7148" s="2" t="str">
        <f>IFERROR(__xludf.DUMMYFUNCTION("""COMPUTED_VALUE"""),"안심하고 드세요")</f>
        <v>안심하고 드세요</v>
      </c>
      <c r="B7148" s="2" t="str">
        <f>IFERROR(__xludf.DUMMYFUNCTION("""COMPUTED_VALUE"""),"올리브 오일")</f>
        <v>올리브 오일</v>
      </c>
    </row>
    <row r="7149">
      <c r="A7149" s="2" t="str">
        <f>IFERROR(__xludf.DUMMYFUNCTION("""COMPUTED_VALUE"""),"안심하고 드세요")</f>
        <v>안심하고 드세요</v>
      </c>
      <c r="B7149" s="2" t="str">
        <f>IFERROR(__xludf.DUMMYFUNCTION("""COMPUTED_VALUE"""),"후추")</f>
        <v>후추</v>
      </c>
    </row>
    <row r="7150">
      <c r="A7150" s="2" t="str">
        <f>IFERROR(__xludf.DUMMYFUNCTION("""COMPUTED_VALUE"""),"안심하고 드세요")</f>
        <v>안심하고 드세요</v>
      </c>
      <c r="B7150" s="2" t="str">
        <f>IFERROR(__xludf.DUMMYFUNCTION("""COMPUTED_VALUE"""),"소금")</f>
        <v>소금</v>
      </c>
    </row>
    <row r="7151">
      <c r="A7151" s="2" t="str">
        <f>IFERROR(__xludf.DUMMYFUNCTION("""COMPUTED_VALUE"""),"안심하고 드세요")</f>
        <v>안심하고 드세요</v>
      </c>
      <c r="B7151" s="2" t="str">
        <f>IFERROR(__xludf.DUMMYFUNCTION("""COMPUTED_VALUE"""),"달걀")</f>
        <v>달걀</v>
      </c>
    </row>
    <row r="7152">
      <c r="A7152" s="2" t="str">
        <f>IFERROR(__xludf.DUMMYFUNCTION("""COMPUTED_VALUE"""),"안심하고 드세요")</f>
        <v>안심하고 드세요</v>
      </c>
      <c r="B7152" s="2" t="str">
        <f>IFERROR(__xludf.DUMMYFUNCTION("""COMPUTED_VALUE"""),"밀가루")</f>
        <v>밀가루</v>
      </c>
    </row>
    <row r="7153">
      <c r="A7153" s="2" t="str">
        <f>IFERROR(__xludf.DUMMYFUNCTION("""COMPUTED_VALUE"""),"안심하고 드세요")</f>
        <v>안심하고 드세요</v>
      </c>
      <c r="B7153" s="2" t="str">
        <f>IFERROR(__xludf.DUMMYFUNCTION("""COMPUTED_VALUE"""),"레몬")</f>
        <v>레몬</v>
      </c>
    </row>
    <row r="7154">
      <c r="A7154" s="2" t="str">
        <f>IFERROR(__xludf.DUMMYFUNCTION("""COMPUTED_VALUE"""),"울면 안 돼♬")</f>
        <v>울면 안 돼♬</v>
      </c>
      <c r="B7154" s="2" t="str">
        <f>IFERROR(__xludf.DUMMYFUNCTION("""COMPUTED_VALUE"""),"자차이")</f>
        <v>자차이</v>
      </c>
    </row>
    <row r="7155">
      <c r="A7155" s="2" t="str">
        <f>IFERROR(__xludf.DUMMYFUNCTION("""COMPUTED_VALUE"""),"울면 안 돼♬")</f>
        <v>울면 안 돼♬</v>
      </c>
      <c r="B7155" s="2" t="str">
        <f>IFERROR(__xludf.DUMMYFUNCTION("""COMPUTED_VALUE"""),"항정살")</f>
        <v>항정살</v>
      </c>
    </row>
    <row r="7156">
      <c r="A7156" s="2" t="str">
        <f>IFERROR(__xludf.DUMMYFUNCTION("""COMPUTED_VALUE"""),"울면 안 돼♬")</f>
        <v>울면 안 돼♬</v>
      </c>
      <c r="B7156" s="2" t="str">
        <f>IFERROR(__xludf.DUMMYFUNCTION("""COMPUTED_VALUE"""),"가리비관자")</f>
        <v>가리비관자</v>
      </c>
    </row>
    <row r="7157">
      <c r="A7157" s="2" t="str">
        <f>IFERROR(__xludf.DUMMYFUNCTION("""COMPUTED_VALUE"""),"울면 안 돼♬")</f>
        <v>울면 안 돼♬</v>
      </c>
      <c r="B7157" s="2" t="str">
        <f>IFERROR(__xludf.DUMMYFUNCTION("""COMPUTED_VALUE"""),"새우")</f>
        <v>새우</v>
      </c>
    </row>
    <row r="7158">
      <c r="A7158" s="2" t="str">
        <f>IFERROR(__xludf.DUMMYFUNCTION("""COMPUTED_VALUE"""),"울면 안 돼♬")</f>
        <v>울면 안 돼♬</v>
      </c>
      <c r="B7158" s="2" t="str">
        <f>IFERROR(__xludf.DUMMYFUNCTION("""COMPUTED_VALUE"""),"인스턴트 쌀국수")</f>
        <v>인스턴트 쌀국수</v>
      </c>
    </row>
    <row r="7159">
      <c r="A7159" s="2" t="str">
        <f>IFERROR(__xludf.DUMMYFUNCTION("""COMPUTED_VALUE"""),"울면 안 돼♬")</f>
        <v>울면 안 돼♬</v>
      </c>
      <c r="B7159" s="2" t="str">
        <f>IFERROR(__xludf.DUMMYFUNCTION("""COMPUTED_VALUE"""),"아스파라거스")</f>
        <v>아스파라거스</v>
      </c>
    </row>
    <row r="7160">
      <c r="A7160" s="2" t="str">
        <f>IFERROR(__xludf.DUMMYFUNCTION("""COMPUTED_VALUE"""),"울면 안 돼♬")</f>
        <v>울면 안 돼♬</v>
      </c>
      <c r="B7160" s="2" t="str">
        <f>IFERROR(__xludf.DUMMYFUNCTION("""COMPUTED_VALUE"""),"달걀")</f>
        <v>달걀</v>
      </c>
    </row>
    <row r="7161">
      <c r="A7161" s="2" t="str">
        <f>IFERROR(__xludf.DUMMYFUNCTION("""COMPUTED_VALUE"""),"울면 안 돼♬")</f>
        <v>울면 안 돼♬</v>
      </c>
      <c r="B7161" s="2" t="str">
        <f>IFERROR(__xludf.DUMMYFUNCTION("""COMPUTED_VALUE"""),"버터")</f>
        <v>버터</v>
      </c>
    </row>
    <row r="7162">
      <c r="A7162" s="2" t="str">
        <f>IFERROR(__xludf.DUMMYFUNCTION("""COMPUTED_VALUE"""),"울면 안 돼♬")</f>
        <v>울면 안 돼♬</v>
      </c>
      <c r="B7162" s="2" t="str">
        <f>IFERROR(__xludf.DUMMYFUNCTION("""COMPUTED_VALUE"""),"전분")</f>
        <v>전분</v>
      </c>
    </row>
    <row r="7163">
      <c r="A7163" s="2" t="str">
        <f>IFERROR(__xludf.DUMMYFUNCTION("""COMPUTED_VALUE"""),"울면 안 돼♬")</f>
        <v>울면 안 돼♬</v>
      </c>
      <c r="B7163" s="2" t="str">
        <f>IFERROR(__xludf.DUMMYFUNCTION("""COMPUTED_VALUE"""),"소금")</f>
        <v>소금</v>
      </c>
    </row>
    <row r="7164">
      <c r="A7164" s="2" t="str">
        <f>IFERROR(__xludf.DUMMYFUNCTION("""COMPUTED_VALUE"""),"울면 안 돼♬")</f>
        <v>울면 안 돼♬</v>
      </c>
      <c r="B7164" s="2" t="str">
        <f>IFERROR(__xludf.DUMMYFUNCTION("""COMPUTED_VALUE"""),"양파")</f>
        <v>양파</v>
      </c>
    </row>
    <row r="7165">
      <c r="A7165" s="2" t="str">
        <f>IFERROR(__xludf.DUMMYFUNCTION("""COMPUTED_VALUE"""),"울면 안 돼♬")</f>
        <v>울면 안 돼♬</v>
      </c>
      <c r="B7165" s="2" t="str">
        <f>IFERROR(__xludf.DUMMYFUNCTION("""COMPUTED_VALUE"""),"전분")</f>
        <v>전분</v>
      </c>
    </row>
    <row r="7166">
      <c r="A7166" s="2" t="str">
        <f>IFERROR(__xludf.DUMMYFUNCTION("""COMPUTED_VALUE"""),"수프 원샷")</f>
        <v>수프 원샷</v>
      </c>
      <c r="B7166" s="2" t="str">
        <f>IFERROR(__xludf.DUMMYFUNCTION("""COMPUTED_VALUE"""),"사과")</f>
        <v>사과</v>
      </c>
    </row>
    <row r="7167">
      <c r="A7167" s="2" t="str">
        <f>IFERROR(__xludf.DUMMYFUNCTION("""COMPUTED_VALUE"""),"수프 원샷")</f>
        <v>수프 원샷</v>
      </c>
      <c r="B7167" s="2" t="str">
        <f>IFERROR(__xludf.DUMMYFUNCTION("""COMPUTED_VALUE"""),"아보카도")</f>
        <v>아보카도</v>
      </c>
    </row>
    <row r="7168">
      <c r="A7168" s="2" t="str">
        <f>IFERROR(__xludf.DUMMYFUNCTION("""COMPUTED_VALUE"""),"수프 원샷")</f>
        <v>수프 원샷</v>
      </c>
      <c r="B7168" s="2" t="str">
        <f>IFERROR(__xludf.DUMMYFUNCTION("""COMPUTED_VALUE"""),"마스카르포네 치즈")</f>
        <v>마스카르포네 치즈</v>
      </c>
    </row>
    <row r="7169">
      <c r="A7169" s="2" t="str">
        <f>IFERROR(__xludf.DUMMYFUNCTION("""COMPUTED_VALUE"""),"수프 원샷")</f>
        <v>수프 원샷</v>
      </c>
      <c r="B7169" s="2" t="str">
        <f>IFERROR(__xludf.DUMMYFUNCTION("""COMPUTED_VALUE"""),"페퍼민트")</f>
        <v>페퍼민트</v>
      </c>
    </row>
    <row r="7170">
      <c r="A7170" s="2" t="str">
        <f>IFERROR(__xludf.DUMMYFUNCTION("""COMPUTED_VALUE"""),"수프 원샷")</f>
        <v>수프 원샷</v>
      </c>
      <c r="B7170" s="2" t="str">
        <f>IFERROR(__xludf.DUMMYFUNCTION("""COMPUTED_VALUE"""),"애플망고 요거트")</f>
        <v>애플망고 요거트</v>
      </c>
    </row>
    <row r="7171">
      <c r="A7171" s="2" t="str">
        <f>IFERROR(__xludf.DUMMYFUNCTION("""COMPUTED_VALUE"""),"수프 원샷")</f>
        <v>수프 원샷</v>
      </c>
      <c r="B7171" s="2" t="str">
        <f>IFERROR(__xludf.DUMMYFUNCTION("""COMPUTED_VALUE"""),"생강청")</f>
        <v>생강청</v>
      </c>
    </row>
    <row r="7172">
      <c r="A7172" s="2" t="str">
        <f>IFERROR(__xludf.DUMMYFUNCTION("""COMPUTED_VALUE"""),"수프 원샷")</f>
        <v>수프 원샷</v>
      </c>
      <c r="B7172" s="2" t="str">
        <f>IFERROR(__xludf.DUMMYFUNCTION("""COMPUTED_VALUE"""),"고구마죽")</f>
        <v>고구마죽</v>
      </c>
    </row>
    <row r="7173">
      <c r="A7173" s="2" t="str">
        <f>IFERROR(__xludf.DUMMYFUNCTION("""COMPUTED_VALUE"""),"수프 원샷")</f>
        <v>수프 원샷</v>
      </c>
      <c r="B7173" s="2" t="str">
        <f>IFERROR(__xludf.DUMMYFUNCTION("""COMPUTED_VALUE"""),"라임")</f>
        <v>라임</v>
      </c>
    </row>
    <row r="7174">
      <c r="A7174" s="2" t="str">
        <f>IFERROR(__xludf.DUMMYFUNCTION("""COMPUTED_VALUE"""),"수프 원샷")</f>
        <v>수프 원샷</v>
      </c>
      <c r="B7174" s="2" t="str">
        <f>IFERROR(__xludf.DUMMYFUNCTION("""COMPUTED_VALUE"""),"트러플 소금")</f>
        <v>트러플 소금</v>
      </c>
    </row>
    <row r="7175">
      <c r="A7175" s="2" t="str">
        <f>IFERROR(__xludf.DUMMYFUNCTION("""COMPUTED_VALUE"""),"수프 원샷")</f>
        <v>수프 원샷</v>
      </c>
      <c r="B7175" s="2" t="str">
        <f>IFERROR(__xludf.DUMMYFUNCTION("""COMPUTED_VALUE"""),"로즈마리")</f>
        <v>로즈마리</v>
      </c>
    </row>
    <row r="7176">
      <c r="A7176" s="2" t="str">
        <f>IFERROR(__xludf.DUMMYFUNCTION("""COMPUTED_VALUE"""),"수프 원샷")</f>
        <v>수프 원샷</v>
      </c>
      <c r="B7176" s="2" t="str">
        <f>IFERROR(__xludf.DUMMYFUNCTION("""COMPUTED_VALUE"""),"타임")</f>
        <v>타임</v>
      </c>
    </row>
    <row r="7177">
      <c r="A7177" s="2" t="str">
        <f>IFERROR(__xludf.DUMMYFUNCTION("""COMPUTED_VALUE"""),"수프 원샷")</f>
        <v>수프 원샷</v>
      </c>
      <c r="B7177" s="2" t="str">
        <f>IFERROR(__xludf.DUMMYFUNCTION("""COMPUTED_VALUE"""),"당근")</f>
        <v>당근</v>
      </c>
    </row>
    <row r="7178">
      <c r="A7178" s="2" t="str">
        <f>IFERROR(__xludf.DUMMYFUNCTION("""COMPUTED_VALUE"""),"수프 원샷")</f>
        <v>수프 원샷</v>
      </c>
      <c r="B7178" s="2" t="str">
        <f>IFERROR(__xludf.DUMMYFUNCTION("""COMPUTED_VALUE"""),"레몬")</f>
        <v>레몬</v>
      </c>
    </row>
    <row r="7179">
      <c r="A7179" s="2" t="str">
        <f>IFERROR(__xludf.DUMMYFUNCTION("""COMPUTED_VALUE"""),"수프 원샷")</f>
        <v>수프 원샷</v>
      </c>
      <c r="B7179" s="2" t="str">
        <f>IFERROR(__xludf.DUMMYFUNCTION("""COMPUTED_VALUE"""),"청양고추")</f>
        <v>청양고추</v>
      </c>
    </row>
    <row r="7180">
      <c r="A7180" s="2" t="str">
        <f>IFERROR(__xludf.DUMMYFUNCTION("""COMPUTED_VALUE"""),"수프 원샷")</f>
        <v>수프 원샷</v>
      </c>
      <c r="B7180" s="2" t="str">
        <f>IFERROR(__xludf.DUMMYFUNCTION("""COMPUTED_VALUE"""),"소금")</f>
        <v>소금</v>
      </c>
    </row>
    <row r="7181">
      <c r="A7181" s="2" t="str">
        <f>IFERROR(__xludf.DUMMYFUNCTION("""COMPUTED_VALUE"""),"수프 원샷")</f>
        <v>수프 원샷</v>
      </c>
      <c r="B7181" s="2" t="str">
        <f>IFERROR(__xludf.DUMMYFUNCTION("""COMPUTED_VALUE"""),"후추")</f>
        <v>후추</v>
      </c>
    </row>
    <row r="7182">
      <c r="A7182" s="2" t="str">
        <f>IFERROR(__xludf.DUMMYFUNCTION("""COMPUTED_VALUE"""),"수프 원샷")</f>
        <v>수프 원샷</v>
      </c>
      <c r="B7182" s="2" t="str">
        <f>IFERROR(__xludf.DUMMYFUNCTION("""COMPUTED_VALUE"""),"대파")</f>
        <v>대파</v>
      </c>
    </row>
    <row r="7183">
      <c r="A7183" s="2" t="str">
        <f>IFERROR(__xludf.DUMMYFUNCTION("""COMPUTED_VALUE"""),"에너지닭")</f>
        <v>에너지닭</v>
      </c>
      <c r="B7183" s="2" t="str">
        <f>IFERROR(__xludf.DUMMYFUNCTION("""COMPUTED_VALUE"""),"삼계탕용 닭")</f>
        <v>삼계탕용 닭</v>
      </c>
    </row>
    <row r="7184">
      <c r="A7184" s="2" t="str">
        <f>IFERROR(__xludf.DUMMYFUNCTION("""COMPUTED_VALUE"""),"에너지닭")</f>
        <v>에너지닭</v>
      </c>
      <c r="B7184" s="2" t="str">
        <f>IFERROR(__xludf.DUMMYFUNCTION("""COMPUTED_VALUE"""),"애호박")</f>
        <v>애호박</v>
      </c>
    </row>
    <row r="7185">
      <c r="A7185" s="2" t="str">
        <f>IFERROR(__xludf.DUMMYFUNCTION("""COMPUTED_VALUE"""),"에너지닭")</f>
        <v>에너지닭</v>
      </c>
      <c r="B7185" s="2" t="str">
        <f>IFERROR(__xludf.DUMMYFUNCTION("""COMPUTED_VALUE"""),"파프리카")</f>
        <v>파프리카</v>
      </c>
    </row>
    <row r="7186">
      <c r="A7186" s="2" t="str">
        <f>IFERROR(__xludf.DUMMYFUNCTION("""COMPUTED_VALUE"""),"에너지닭")</f>
        <v>에너지닭</v>
      </c>
      <c r="B7186" s="2" t="str">
        <f>IFERROR(__xludf.DUMMYFUNCTION("""COMPUTED_VALUE"""),"베이컨")</f>
        <v>베이컨</v>
      </c>
    </row>
    <row r="7187">
      <c r="A7187" s="2" t="str">
        <f>IFERROR(__xludf.DUMMYFUNCTION("""COMPUTED_VALUE"""),"에너지닭")</f>
        <v>에너지닭</v>
      </c>
      <c r="B7187" s="2" t="str">
        <f>IFERROR(__xludf.DUMMYFUNCTION("""COMPUTED_VALUE"""),"떡갈비")</f>
        <v>떡갈비</v>
      </c>
    </row>
    <row r="7188">
      <c r="A7188" s="2" t="str">
        <f>IFERROR(__xludf.DUMMYFUNCTION("""COMPUTED_VALUE"""),"에너지닭")</f>
        <v>에너지닭</v>
      </c>
      <c r="B7188" s="2" t="str">
        <f>IFERROR(__xludf.DUMMYFUNCTION("""COMPUTED_VALUE"""),"통조림 햄")</f>
        <v>통조림 햄</v>
      </c>
    </row>
    <row r="7189">
      <c r="A7189" s="2" t="str">
        <f>IFERROR(__xludf.DUMMYFUNCTION("""COMPUTED_VALUE"""),"에너지닭")</f>
        <v>에너지닭</v>
      </c>
      <c r="B7189" s="2" t="str">
        <f>IFERROR(__xludf.DUMMYFUNCTION("""COMPUTED_VALUE"""),"우유")</f>
        <v>우유</v>
      </c>
    </row>
    <row r="7190">
      <c r="A7190" s="2" t="str">
        <f>IFERROR(__xludf.DUMMYFUNCTION("""COMPUTED_VALUE"""),"에너지닭")</f>
        <v>에너지닭</v>
      </c>
      <c r="B7190" s="2" t="str">
        <f>IFERROR(__xludf.DUMMYFUNCTION("""COMPUTED_VALUE"""),"슬라이스 체다치즈")</f>
        <v>슬라이스 체다치즈</v>
      </c>
    </row>
    <row r="7191">
      <c r="A7191" s="2" t="str">
        <f>IFERROR(__xludf.DUMMYFUNCTION("""COMPUTED_VALUE"""),"에너지닭")</f>
        <v>에너지닭</v>
      </c>
      <c r="B7191" s="2" t="str">
        <f>IFERROR(__xludf.DUMMYFUNCTION("""COMPUTED_VALUE"""),"양배추")</f>
        <v>양배추</v>
      </c>
    </row>
    <row r="7192">
      <c r="A7192" s="2" t="str">
        <f>IFERROR(__xludf.DUMMYFUNCTION("""COMPUTED_VALUE"""),"에너지닭")</f>
        <v>에너지닭</v>
      </c>
      <c r="B7192" s="2" t="str">
        <f>IFERROR(__xludf.DUMMYFUNCTION("""COMPUTED_VALUE"""),"피클")</f>
        <v>피클</v>
      </c>
    </row>
    <row r="7193">
      <c r="A7193" s="2" t="str">
        <f>IFERROR(__xludf.DUMMYFUNCTION("""COMPUTED_VALUE"""),"에너지닭")</f>
        <v>에너지닭</v>
      </c>
      <c r="B7193" s="2" t="str">
        <f>IFERROR(__xludf.DUMMYFUNCTION("""COMPUTED_VALUE"""),"머스터드소스")</f>
        <v>머스터드소스</v>
      </c>
    </row>
    <row r="7194">
      <c r="A7194" s="2" t="str">
        <f>IFERROR(__xludf.DUMMYFUNCTION("""COMPUTED_VALUE"""),"에너지닭")</f>
        <v>에너지닭</v>
      </c>
      <c r="B7194" s="2" t="str">
        <f>IFERROR(__xludf.DUMMYFUNCTION("""COMPUTED_VALUE"""),"모차렐라치즈")</f>
        <v>모차렐라치즈</v>
      </c>
    </row>
    <row r="7195">
      <c r="A7195" s="2" t="str">
        <f>IFERROR(__xludf.DUMMYFUNCTION("""COMPUTED_VALUE"""),"에너지닭")</f>
        <v>에너지닭</v>
      </c>
      <c r="B7195" s="2" t="str">
        <f>IFERROR(__xludf.DUMMYFUNCTION("""COMPUTED_VALUE"""),"소금")</f>
        <v>소금</v>
      </c>
    </row>
    <row r="7196">
      <c r="A7196" s="2" t="str">
        <f>IFERROR(__xludf.DUMMYFUNCTION("""COMPUTED_VALUE"""),"에너지닭")</f>
        <v>에너지닭</v>
      </c>
      <c r="B7196" s="2" t="str">
        <f>IFERROR(__xludf.DUMMYFUNCTION("""COMPUTED_VALUE"""),"후추")</f>
        <v>후추</v>
      </c>
    </row>
    <row r="7197">
      <c r="A7197" s="2" t="str">
        <f>IFERROR(__xludf.DUMMYFUNCTION("""COMPUTED_VALUE"""),"에너지닭")</f>
        <v>에너지닭</v>
      </c>
      <c r="B7197" s="2" t="str">
        <f>IFERROR(__xludf.DUMMYFUNCTION("""COMPUTED_VALUE"""),"밀가루")</f>
        <v>밀가루</v>
      </c>
    </row>
    <row r="7198">
      <c r="A7198" s="2" t="str">
        <f>IFERROR(__xludf.DUMMYFUNCTION("""COMPUTED_VALUE"""),"에너지닭")</f>
        <v>에너지닭</v>
      </c>
      <c r="B7198" s="2" t="str">
        <f>IFERROR(__xludf.DUMMYFUNCTION("""COMPUTED_VALUE"""),"양파")</f>
        <v>양파</v>
      </c>
    </row>
    <row r="7199">
      <c r="A7199" s="2" t="str">
        <f>IFERROR(__xludf.DUMMYFUNCTION("""COMPUTED_VALUE"""),"에너지닭")</f>
        <v>에너지닭</v>
      </c>
      <c r="B7199" s="2" t="str">
        <f>IFERROR(__xludf.DUMMYFUNCTION("""COMPUTED_VALUE"""),"대파")</f>
        <v>대파</v>
      </c>
    </row>
    <row r="7200">
      <c r="A7200" s="2" t="str">
        <f>IFERROR(__xludf.DUMMYFUNCTION("""COMPUTED_VALUE"""),"에너지닭")</f>
        <v>에너지닭</v>
      </c>
      <c r="B7200" s="2" t="str">
        <f>IFERROR(__xludf.DUMMYFUNCTION("""COMPUTED_VALUE"""),"다진 마늘")</f>
        <v>다진 마늘</v>
      </c>
    </row>
    <row r="7201">
      <c r="A7201" s="2" t="str">
        <f>IFERROR(__xludf.DUMMYFUNCTION("""COMPUTED_VALUE"""),"에너지닭")</f>
        <v>에너지닭</v>
      </c>
      <c r="B7201" s="2" t="str">
        <f>IFERROR(__xludf.DUMMYFUNCTION("""COMPUTED_VALUE"""),"버터")</f>
        <v>버터</v>
      </c>
    </row>
    <row r="7202">
      <c r="A7202" s="2" t="str">
        <f>IFERROR(__xludf.DUMMYFUNCTION("""COMPUTED_VALUE"""),"에너지닭")</f>
        <v>에너지닭</v>
      </c>
      <c r="B7202" s="2" t="str">
        <f>IFERROR(__xludf.DUMMYFUNCTION("""COMPUTED_VALUE"""),"마요네즈")</f>
        <v>마요네즈</v>
      </c>
    </row>
    <row r="7203">
      <c r="A7203" s="2" t="str">
        <f>IFERROR(__xludf.DUMMYFUNCTION("""COMPUTED_VALUE"""),"에너지닭")</f>
        <v>에너지닭</v>
      </c>
      <c r="B7203" s="2" t="str">
        <f>IFERROR(__xludf.DUMMYFUNCTION("""COMPUTED_VALUE"""),"쌈장")</f>
        <v>쌈장</v>
      </c>
    </row>
    <row r="7204">
      <c r="A7204" s="2" t="str">
        <f>IFERROR(__xludf.DUMMYFUNCTION("""COMPUTED_VALUE"""),"에너지닭")</f>
        <v>에너지닭</v>
      </c>
      <c r="B7204" s="2" t="str">
        <f>IFERROR(__xludf.DUMMYFUNCTION("""COMPUTED_VALUE"""),"식초")</f>
        <v>식초</v>
      </c>
    </row>
    <row r="7205">
      <c r="A7205" s="2" t="str">
        <f>IFERROR(__xludf.DUMMYFUNCTION("""COMPUTED_VALUE"""),"에너지닭")</f>
        <v>에너지닭</v>
      </c>
      <c r="B7205" s="2" t="str">
        <f>IFERROR(__xludf.DUMMYFUNCTION("""COMPUTED_VALUE"""),"케첩")</f>
        <v>케첩</v>
      </c>
    </row>
    <row r="7206">
      <c r="A7206" s="2" t="str">
        <f>IFERROR(__xludf.DUMMYFUNCTION("""COMPUTED_VALUE"""),"에너지닭")</f>
        <v>에너지닭</v>
      </c>
      <c r="B7206" s="2" t="str">
        <f>IFERROR(__xludf.DUMMYFUNCTION("""COMPUTED_VALUE"""),"설탕")</f>
        <v>설탕</v>
      </c>
    </row>
    <row r="7207">
      <c r="A7207" s="2" t="str">
        <f>IFERROR(__xludf.DUMMYFUNCTION("""COMPUTED_VALUE"""),"에너지닭")</f>
        <v>에너지닭</v>
      </c>
      <c r="B7207" s="2" t="str">
        <f>IFERROR(__xludf.DUMMYFUNCTION("""COMPUTED_VALUE"""),"레몬")</f>
        <v>레몬</v>
      </c>
    </row>
    <row r="7208">
      <c r="A7208" s="2" t="str">
        <f>IFERROR(__xludf.DUMMYFUNCTION("""COMPUTED_VALUE"""),"오삼포테이토")</f>
        <v>오삼포테이토</v>
      </c>
      <c r="B7208" s="2" t="str">
        <f>IFERROR(__xludf.DUMMYFUNCTION("""COMPUTED_VALUE"""),"감자")</f>
        <v>감자</v>
      </c>
    </row>
    <row r="7209">
      <c r="A7209" s="2" t="str">
        <f>IFERROR(__xludf.DUMMYFUNCTION("""COMPUTED_VALUE"""),"오삼포테이토")</f>
        <v>오삼포테이토</v>
      </c>
      <c r="B7209" s="2" t="str">
        <f>IFERROR(__xludf.DUMMYFUNCTION("""COMPUTED_VALUE"""),"오렌지")</f>
        <v>오렌지</v>
      </c>
    </row>
    <row r="7210">
      <c r="A7210" s="2" t="str">
        <f>IFERROR(__xludf.DUMMYFUNCTION("""COMPUTED_VALUE"""),"오삼포테이토")</f>
        <v>오삼포테이토</v>
      </c>
      <c r="B7210" s="2" t="str">
        <f>IFERROR(__xludf.DUMMYFUNCTION("""COMPUTED_VALUE"""),"삼겹살")</f>
        <v>삼겹살</v>
      </c>
    </row>
    <row r="7211">
      <c r="A7211" s="2" t="str">
        <f>IFERROR(__xludf.DUMMYFUNCTION("""COMPUTED_VALUE"""),"오삼포테이토")</f>
        <v>오삼포테이토</v>
      </c>
      <c r="B7211" s="2" t="str">
        <f>IFERROR(__xludf.DUMMYFUNCTION("""COMPUTED_VALUE"""),"우유")</f>
        <v>우유</v>
      </c>
    </row>
    <row r="7212">
      <c r="A7212" s="2" t="str">
        <f>IFERROR(__xludf.DUMMYFUNCTION("""COMPUTED_VALUE"""),"오삼포테이토")</f>
        <v>오삼포테이토</v>
      </c>
      <c r="B7212" s="2" t="str">
        <f>IFERROR(__xludf.DUMMYFUNCTION("""COMPUTED_VALUE"""),"슬라이스 체다치즈")</f>
        <v>슬라이스 체다치즈</v>
      </c>
    </row>
    <row r="7213">
      <c r="A7213" s="2" t="str">
        <f>IFERROR(__xludf.DUMMYFUNCTION("""COMPUTED_VALUE"""),"오삼포테이토")</f>
        <v>오삼포테이토</v>
      </c>
      <c r="B7213" s="2" t="str">
        <f>IFERROR(__xludf.DUMMYFUNCTION("""COMPUTED_VALUE"""),"베이컨")</f>
        <v>베이컨</v>
      </c>
    </row>
    <row r="7214">
      <c r="A7214" s="2" t="str">
        <f>IFERROR(__xludf.DUMMYFUNCTION("""COMPUTED_VALUE"""),"오삼포테이토")</f>
        <v>오삼포테이토</v>
      </c>
      <c r="B7214" s="2" t="str">
        <f>IFERROR(__xludf.DUMMYFUNCTION("""COMPUTED_VALUE"""),"방울토마토")</f>
        <v>방울토마토</v>
      </c>
    </row>
    <row r="7215">
      <c r="A7215" s="2" t="str">
        <f>IFERROR(__xludf.DUMMYFUNCTION("""COMPUTED_VALUE"""),"오삼포테이토")</f>
        <v>오삼포테이토</v>
      </c>
      <c r="B7215" s="2" t="str">
        <f>IFERROR(__xludf.DUMMYFUNCTION("""COMPUTED_VALUE"""),"양파")</f>
        <v>양파</v>
      </c>
    </row>
    <row r="7216">
      <c r="A7216" s="2" t="str">
        <f>IFERROR(__xludf.DUMMYFUNCTION("""COMPUTED_VALUE"""),"오삼포테이토")</f>
        <v>오삼포테이토</v>
      </c>
      <c r="B7216" s="2" t="str">
        <f>IFERROR(__xludf.DUMMYFUNCTION("""COMPUTED_VALUE"""),"마늘")</f>
        <v>마늘</v>
      </c>
    </row>
    <row r="7217">
      <c r="A7217" s="2" t="str">
        <f>IFERROR(__xludf.DUMMYFUNCTION("""COMPUTED_VALUE"""),"오삼포테이토")</f>
        <v>오삼포테이토</v>
      </c>
      <c r="B7217" s="2" t="str">
        <f>IFERROR(__xludf.DUMMYFUNCTION("""COMPUTED_VALUE"""),"고추")</f>
        <v>고추</v>
      </c>
    </row>
    <row r="7218">
      <c r="A7218" s="2" t="str">
        <f>IFERROR(__xludf.DUMMYFUNCTION("""COMPUTED_VALUE"""),"오삼포테이토")</f>
        <v>오삼포테이토</v>
      </c>
      <c r="B7218" s="2" t="str">
        <f>IFERROR(__xludf.DUMMYFUNCTION("""COMPUTED_VALUE"""),"소금")</f>
        <v>소금</v>
      </c>
    </row>
    <row r="7219">
      <c r="A7219" s="2" t="str">
        <f>IFERROR(__xludf.DUMMYFUNCTION("""COMPUTED_VALUE"""),"오삼포테이토")</f>
        <v>오삼포테이토</v>
      </c>
      <c r="B7219" s="2" t="str">
        <f>IFERROR(__xludf.DUMMYFUNCTION("""COMPUTED_VALUE"""),"후추")</f>
        <v>후추</v>
      </c>
    </row>
    <row r="7220">
      <c r="A7220" s="2" t="str">
        <f>IFERROR(__xludf.DUMMYFUNCTION("""COMPUTED_VALUE"""),"오삼포테이토")</f>
        <v>오삼포테이토</v>
      </c>
      <c r="B7220" s="2" t="str">
        <f>IFERROR(__xludf.DUMMYFUNCTION("""COMPUTED_VALUE"""),"버터")</f>
        <v>버터</v>
      </c>
    </row>
    <row r="7221">
      <c r="A7221" s="2" t="str">
        <f>IFERROR(__xludf.DUMMYFUNCTION("""COMPUTED_VALUE"""),"오삼포테이토")</f>
        <v>오삼포테이토</v>
      </c>
      <c r="B7221" s="2" t="str">
        <f>IFERROR(__xludf.DUMMYFUNCTION("""COMPUTED_VALUE"""),"대파")</f>
        <v>대파</v>
      </c>
    </row>
    <row r="7222">
      <c r="A7222" s="2" t="str">
        <f>IFERROR(__xludf.DUMMYFUNCTION("""COMPUTED_VALUE"""),"shake it♬ 버거")</f>
        <v>shake it♬ 버거</v>
      </c>
      <c r="B7222" s="2" t="str">
        <f>IFERROR(__xludf.DUMMYFUNCTION("""COMPUTED_VALUE"""),"삼겹살")</f>
        <v>삼겹살</v>
      </c>
    </row>
    <row r="7223">
      <c r="A7223" s="2" t="str">
        <f>IFERROR(__xludf.DUMMYFUNCTION("""COMPUTED_VALUE"""),"shake it♬ 버거")</f>
        <v>shake it♬ 버거</v>
      </c>
      <c r="B7223" s="2" t="str">
        <f>IFERROR(__xludf.DUMMYFUNCTION("""COMPUTED_VALUE"""),"떡갈비")</f>
        <v>떡갈비</v>
      </c>
    </row>
    <row r="7224">
      <c r="A7224" s="2" t="str">
        <f>IFERROR(__xludf.DUMMYFUNCTION("""COMPUTED_VALUE"""),"shake it♬ 버거")</f>
        <v>shake it♬ 버거</v>
      </c>
      <c r="B7224" s="2" t="str">
        <f>IFERROR(__xludf.DUMMYFUNCTION("""COMPUTED_VALUE"""),"감자")</f>
        <v>감자</v>
      </c>
    </row>
    <row r="7225">
      <c r="A7225" s="2" t="str">
        <f>IFERROR(__xludf.DUMMYFUNCTION("""COMPUTED_VALUE"""),"shake it♬ 버거")</f>
        <v>shake it♬ 버거</v>
      </c>
      <c r="B7225" s="2" t="str">
        <f>IFERROR(__xludf.DUMMYFUNCTION("""COMPUTED_VALUE"""),"머스터드소스")</f>
        <v>머스터드소스</v>
      </c>
    </row>
    <row r="7226">
      <c r="A7226" s="2" t="str">
        <f>IFERROR(__xludf.DUMMYFUNCTION("""COMPUTED_VALUE"""),"shake it♬ 버거")</f>
        <v>shake it♬ 버거</v>
      </c>
      <c r="B7226" s="2" t="str">
        <f>IFERROR(__xludf.DUMMYFUNCTION("""COMPUTED_VALUE"""),"피클")</f>
        <v>피클</v>
      </c>
    </row>
    <row r="7227">
      <c r="A7227" s="2" t="str">
        <f>IFERROR(__xludf.DUMMYFUNCTION("""COMPUTED_VALUE"""),"shake it♬ 버거")</f>
        <v>shake it♬ 버거</v>
      </c>
      <c r="B7227" s="2" t="str">
        <f>IFERROR(__xludf.DUMMYFUNCTION("""COMPUTED_VALUE"""),"슬라이스 체다치즈")</f>
        <v>슬라이스 체다치즈</v>
      </c>
    </row>
    <row r="7228">
      <c r="A7228" s="2" t="str">
        <f>IFERROR(__xludf.DUMMYFUNCTION("""COMPUTED_VALUE"""),"shake it♬ 버거")</f>
        <v>shake it♬ 버거</v>
      </c>
      <c r="B7228" s="2" t="str">
        <f>IFERROR(__xludf.DUMMYFUNCTION("""COMPUTED_VALUE"""),"방울토마토")</f>
        <v>방울토마토</v>
      </c>
    </row>
    <row r="7229">
      <c r="A7229" s="2" t="str">
        <f>IFERROR(__xludf.DUMMYFUNCTION("""COMPUTED_VALUE"""),"shake it♬ 버거")</f>
        <v>shake it♬ 버거</v>
      </c>
      <c r="B7229" s="2" t="str">
        <f>IFERROR(__xludf.DUMMYFUNCTION("""COMPUTED_VALUE"""),"베이컨")</f>
        <v>베이컨</v>
      </c>
    </row>
    <row r="7230">
      <c r="A7230" s="2" t="str">
        <f>IFERROR(__xludf.DUMMYFUNCTION("""COMPUTED_VALUE"""),"shake it♬ 버거")</f>
        <v>shake it♬ 버거</v>
      </c>
      <c r="B7230" s="2" t="str">
        <f>IFERROR(__xludf.DUMMYFUNCTION("""COMPUTED_VALUE"""),"모닝빵")</f>
        <v>모닝빵</v>
      </c>
    </row>
    <row r="7231">
      <c r="A7231" s="2" t="str">
        <f>IFERROR(__xludf.DUMMYFUNCTION("""COMPUTED_VALUE"""),"shake it♬ 버거")</f>
        <v>shake it♬ 버거</v>
      </c>
      <c r="B7231" s="2" t="str">
        <f>IFERROR(__xludf.DUMMYFUNCTION("""COMPUTED_VALUE"""),"양상추")</f>
        <v>양상추</v>
      </c>
    </row>
    <row r="7232">
      <c r="A7232" s="2" t="str">
        <f>IFERROR(__xludf.DUMMYFUNCTION("""COMPUTED_VALUE"""),"shake it♬ 버거")</f>
        <v>shake it♬ 버거</v>
      </c>
      <c r="B7232" s="2" t="str">
        <f>IFERROR(__xludf.DUMMYFUNCTION("""COMPUTED_VALUE"""),"마요네즈")</f>
        <v>마요네즈</v>
      </c>
    </row>
    <row r="7233">
      <c r="A7233" s="2" t="str">
        <f>IFERROR(__xludf.DUMMYFUNCTION("""COMPUTED_VALUE"""),"shake it♬ 버거")</f>
        <v>shake it♬ 버거</v>
      </c>
      <c r="B7233" s="2" t="str">
        <f>IFERROR(__xludf.DUMMYFUNCTION("""COMPUTED_VALUE"""),"레몬")</f>
        <v>레몬</v>
      </c>
    </row>
    <row r="7234">
      <c r="A7234" s="2" t="str">
        <f>IFERROR(__xludf.DUMMYFUNCTION("""COMPUTED_VALUE"""),"shake it♬ 버거")</f>
        <v>shake it♬ 버거</v>
      </c>
      <c r="B7234" s="2" t="str">
        <f>IFERROR(__xludf.DUMMYFUNCTION("""COMPUTED_VALUE"""),"후추")</f>
        <v>후추</v>
      </c>
    </row>
    <row r="7235">
      <c r="A7235" s="2" t="str">
        <f>IFERROR(__xludf.DUMMYFUNCTION("""COMPUTED_VALUE"""),"shake it♬ 버거")</f>
        <v>shake it♬ 버거</v>
      </c>
      <c r="B7235" s="2" t="str">
        <f>IFERROR(__xludf.DUMMYFUNCTION("""COMPUTED_VALUE"""),"양파")</f>
        <v>양파</v>
      </c>
    </row>
    <row r="7236">
      <c r="A7236" s="2" t="str">
        <f>IFERROR(__xludf.DUMMYFUNCTION("""COMPUTED_VALUE"""),"무~보이♬")</f>
        <v>무~보이♬</v>
      </c>
      <c r="B7236" s="2" t="str">
        <f>IFERROR(__xludf.DUMMYFUNCTION("""COMPUTED_VALUE"""),"방울토마토")</f>
        <v>방울토마토</v>
      </c>
    </row>
    <row r="7237">
      <c r="A7237" s="2" t="str">
        <f>IFERROR(__xludf.DUMMYFUNCTION("""COMPUTED_VALUE"""),"무~보이♬")</f>
        <v>무~보이♬</v>
      </c>
      <c r="B7237" s="2" t="str">
        <f>IFERROR(__xludf.DUMMYFUNCTION("""COMPUTED_VALUE"""),"국거리용 소고기")</f>
        <v>국거리용 소고기</v>
      </c>
    </row>
    <row r="7238">
      <c r="A7238" s="2" t="str">
        <f>IFERROR(__xludf.DUMMYFUNCTION("""COMPUTED_VALUE"""),"무~보이♬")</f>
        <v>무~보이♬</v>
      </c>
      <c r="B7238" s="2" t="str">
        <f>IFERROR(__xludf.DUMMYFUNCTION("""COMPUTED_VALUE"""),"베이컨")</f>
        <v>베이컨</v>
      </c>
    </row>
    <row r="7239">
      <c r="A7239" s="2" t="str">
        <f>IFERROR(__xludf.DUMMYFUNCTION("""COMPUTED_VALUE"""),"무~보이♬")</f>
        <v>무~보이♬</v>
      </c>
      <c r="B7239" s="2" t="str">
        <f>IFERROR(__xludf.DUMMYFUNCTION("""COMPUTED_VALUE"""),"파스타면")</f>
        <v>파스타면</v>
      </c>
    </row>
    <row r="7240">
      <c r="A7240" s="2" t="str">
        <f>IFERROR(__xludf.DUMMYFUNCTION("""COMPUTED_VALUE"""),"무~보이♬")</f>
        <v>무~보이♬</v>
      </c>
      <c r="B7240" s="2" t="str">
        <f>IFERROR(__xludf.DUMMYFUNCTION("""COMPUTED_VALUE"""),"무")</f>
        <v>무</v>
      </c>
    </row>
    <row r="7241">
      <c r="A7241" s="2" t="str">
        <f>IFERROR(__xludf.DUMMYFUNCTION("""COMPUTED_VALUE"""),"무~보이♬")</f>
        <v>무~보이♬</v>
      </c>
      <c r="B7241" s="2" t="str">
        <f>IFERROR(__xludf.DUMMYFUNCTION("""COMPUTED_VALUE"""),"달걀")</f>
        <v>달걀</v>
      </c>
    </row>
    <row r="7242">
      <c r="A7242" s="2" t="str">
        <f>IFERROR(__xludf.DUMMYFUNCTION("""COMPUTED_VALUE"""),"무~보이♬")</f>
        <v>무~보이♬</v>
      </c>
      <c r="B7242" s="2" t="str">
        <f>IFERROR(__xludf.DUMMYFUNCTION("""COMPUTED_VALUE"""),"양파")</f>
        <v>양파</v>
      </c>
    </row>
    <row r="7243">
      <c r="A7243" s="2" t="str">
        <f>IFERROR(__xludf.DUMMYFUNCTION("""COMPUTED_VALUE"""),"무~보이♬")</f>
        <v>무~보이♬</v>
      </c>
      <c r="B7243" s="2" t="str">
        <f>IFERROR(__xludf.DUMMYFUNCTION("""COMPUTED_VALUE"""),"대파")</f>
        <v>대파</v>
      </c>
    </row>
    <row r="7244">
      <c r="A7244" s="2" t="str">
        <f>IFERROR(__xludf.DUMMYFUNCTION("""COMPUTED_VALUE"""),"무~보이♬")</f>
        <v>무~보이♬</v>
      </c>
      <c r="B7244" s="2" t="str">
        <f>IFERROR(__xludf.DUMMYFUNCTION("""COMPUTED_VALUE"""),"당근")</f>
        <v>당근</v>
      </c>
    </row>
    <row r="7245">
      <c r="A7245" s="2" t="str">
        <f>IFERROR(__xludf.DUMMYFUNCTION("""COMPUTED_VALUE"""),"무~보이♬")</f>
        <v>무~보이♬</v>
      </c>
      <c r="B7245" s="2" t="str">
        <f>IFERROR(__xludf.DUMMYFUNCTION("""COMPUTED_VALUE"""),"후추")</f>
        <v>후추</v>
      </c>
    </row>
    <row r="7246">
      <c r="A7246" s="2" t="str">
        <f>IFERROR(__xludf.DUMMYFUNCTION("""COMPUTED_VALUE"""),"무~보이♬")</f>
        <v>무~보이♬</v>
      </c>
      <c r="B7246" s="2" t="str">
        <f>IFERROR(__xludf.DUMMYFUNCTION("""COMPUTED_VALUE"""),"레드와인")</f>
        <v>레드와인</v>
      </c>
    </row>
    <row r="7247">
      <c r="A7247" s="2" t="str">
        <f>IFERROR(__xludf.DUMMYFUNCTION("""COMPUTED_VALUE"""),"무~보이♬")</f>
        <v>무~보이♬</v>
      </c>
      <c r="B7247" s="2" t="str">
        <f>IFERROR(__xludf.DUMMYFUNCTION("""COMPUTED_VALUE"""),"마늘")</f>
        <v>마늘</v>
      </c>
    </row>
    <row r="7248">
      <c r="A7248" s="2" t="str">
        <f>IFERROR(__xludf.DUMMYFUNCTION("""COMPUTED_VALUE"""),"무~보이♬")</f>
        <v>무~보이♬</v>
      </c>
      <c r="B7248" s="2" t="str">
        <f>IFERROR(__xludf.DUMMYFUNCTION("""COMPUTED_VALUE"""),"소금")</f>
        <v>소금</v>
      </c>
    </row>
    <row r="7249">
      <c r="A7249" s="2" t="str">
        <f>IFERROR(__xludf.DUMMYFUNCTION("""COMPUTED_VALUE"""),"무~보이♬")</f>
        <v>무~보이♬</v>
      </c>
      <c r="B7249" s="2" t="str">
        <f>IFERROR(__xludf.DUMMYFUNCTION("""COMPUTED_VALUE"""),"올리브오일")</f>
        <v>올리브오일</v>
      </c>
    </row>
    <row r="7250">
      <c r="A7250" s="2" t="str">
        <f>IFERROR(__xludf.DUMMYFUNCTION("""COMPUTED_VALUE"""),"미스동파육")</f>
        <v>미스동파육</v>
      </c>
      <c r="B7250" s="2" t="str">
        <f>IFERROR(__xludf.DUMMYFUNCTION("""COMPUTED_VALUE"""),"삼겹살")</f>
        <v>삼겹살</v>
      </c>
    </row>
    <row r="7251">
      <c r="A7251" s="2" t="str">
        <f>IFERROR(__xludf.DUMMYFUNCTION("""COMPUTED_VALUE"""),"미스동파육")</f>
        <v>미스동파육</v>
      </c>
      <c r="B7251" s="2" t="str">
        <f>IFERROR(__xludf.DUMMYFUNCTION("""COMPUTED_VALUE"""),"굴소스")</f>
        <v>굴소스</v>
      </c>
    </row>
    <row r="7252">
      <c r="A7252" s="2" t="str">
        <f>IFERROR(__xludf.DUMMYFUNCTION("""COMPUTED_VALUE"""),"미스동파육")</f>
        <v>미스동파육</v>
      </c>
      <c r="B7252" s="2" t="str">
        <f>IFERROR(__xludf.DUMMYFUNCTION("""COMPUTED_VALUE"""),"바나나")</f>
        <v>바나나</v>
      </c>
    </row>
    <row r="7253">
      <c r="A7253" s="2" t="str">
        <f>IFERROR(__xludf.DUMMYFUNCTION("""COMPUTED_VALUE"""),"미스동파육")</f>
        <v>미스동파육</v>
      </c>
      <c r="B7253" s="2" t="str">
        <f>IFERROR(__xludf.DUMMYFUNCTION("""COMPUTED_VALUE"""),"쌈추")</f>
        <v>쌈추</v>
      </c>
    </row>
    <row r="7254">
      <c r="A7254" s="2" t="str">
        <f>IFERROR(__xludf.DUMMYFUNCTION("""COMPUTED_VALUE"""),"미스동파육")</f>
        <v>미스동파육</v>
      </c>
      <c r="B7254" s="2" t="str">
        <f>IFERROR(__xludf.DUMMYFUNCTION("""COMPUTED_VALUE"""),"대파")</f>
        <v>대파</v>
      </c>
    </row>
    <row r="7255">
      <c r="A7255" s="2" t="str">
        <f>IFERROR(__xludf.DUMMYFUNCTION("""COMPUTED_VALUE"""),"미스동파육")</f>
        <v>미스동파육</v>
      </c>
      <c r="B7255" s="2" t="str">
        <f>IFERROR(__xludf.DUMMYFUNCTION("""COMPUTED_VALUE"""),"간장")</f>
        <v>간장</v>
      </c>
    </row>
    <row r="7256">
      <c r="A7256" s="2" t="str">
        <f>IFERROR(__xludf.DUMMYFUNCTION("""COMPUTED_VALUE"""),"미스동파육")</f>
        <v>미스동파육</v>
      </c>
      <c r="B7256" s="2" t="str">
        <f>IFERROR(__xludf.DUMMYFUNCTION("""COMPUTED_VALUE"""),"청주")</f>
        <v>청주</v>
      </c>
    </row>
    <row r="7257">
      <c r="A7257" s="2" t="str">
        <f>IFERROR(__xludf.DUMMYFUNCTION("""COMPUTED_VALUE"""),"미스동파육")</f>
        <v>미스동파육</v>
      </c>
      <c r="B7257" s="2" t="str">
        <f>IFERROR(__xludf.DUMMYFUNCTION("""COMPUTED_VALUE"""),"청양고추")</f>
        <v>청양고추</v>
      </c>
    </row>
    <row r="7258">
      <c r="A7258" s="2" t="str">
        <f>IFERROR(__xludf.DUMMYFUNCTION("""COMPUTED_VALUE"""),"미스동파육")</f>
        <v>미스동파육</v>
      </c>
      <c r="B7258" s="2" t="str">
        <f>IFERROR(__xludf.DUMMYFUNCTION("""COMPUTED_VALUE"""),"다진 마늘")</f>
        <v>다진 마늘</v>
      </c>
    </row>
    <row r="7259">
      <c r="A7259" s="2" t="str">
        <f>IFERROR(__xludf.DUMMYFUNCTION("""COMPUTED_VALUE"""),"미스동파육")</f>
        <v>미스동파육</v>
      </c>
      <c r="B7259" s="2" t="str">
        <f>IFERROR(__xludf.DUMMYFUNCTION("""COMPUTED_VALUE"""),"다진 생강")</f>
        <v>다진 생강</v>
      </c>
    </row>
    <row r="7260">
      <c r="A7260" s="2" t="str">
        <f>IFERROR(__xludf.DUMMYFUNCTION("""COMPUTED_VALUE"""),"미스동파육")</f>
        <v>미스동파육</v>
      </c>
      <c r="B7260" s="2" t="str">
        <f>IFERROR(__xludf.DUMMYFUNCTION("""COMPUTED_VALUE"""),"후추")</f>
        <v>후추</v>
      </c>
    </row>
    <row r="7261">
      <c r="A7261" s="2" t="str">
        <f>IFERROR(__xludf.DUMMYFUNCTION("""COMPUTED_VALUE"""),"미스동파육")</f>
        <v>미스동파육</v>
      </c>
      <c r="B7261" s="2" t="str">
        <f>IFERROR(__xludf.DUMMYFUNCTION("""COMPUTED_VALUE"""),"설탕")</f>
        <v>설탕</v>
      </c>
    </row>
    <row r="7262">
      <c r="A7262" s="2" t="str">
        <f>IFERROR(__xludf.DUMMYFUNCTION("""COMPUTED_VALUE"""),"미스동파육")</f>
        <v>미스동파육</v>
      </c>
      <c r="B7262" s="2" t="str">
        <f>IFERROR(__xludf.DUMMYFUNCTION("""COMPUTED_VALUE"""),"밀가루")</f>
        <v>밀가루</v>
      </c>
    </row>
    <row r="7263">
      <c r="A7263" s="2" t="str">
        <f>IFERROR(__xludf.DUMMYFUNCTION("""COMPUTED_VALUE"""),"미스동파육")</f>
        <v>미스동파육</v>
      </c>
      <c r="B7263" s="2" t="str">
        <f>IFERROR(__xludf.DUMMYFUNCTION("""COMPUTED_VALUE"""),"들기름")</f>
        <v>들기름</v>
      </c>
    </row>
    <row r="7264">
      <c r="A7264" s="2" t="str">
        <f>IFERROR(__xludf.DUMMYFUNCTION("""COMPUTED_VALUE"""),"미트코리아 진")</f>
        <v>미트코리아 진</v>
      </c>
      <c r="B7264" s="2" t="str">
        <f>IFERROR(__xludf.DUMMYFUNCTION("""COMPUTED_VALUE"""),"모차렐라치즈")</f>
        <v>모차렐라치즈</v>
      </c>
    </row>
    <row r="7265">
      <c r="A7265" s="2" t="str">
        <f>IFERROR(__xludf.DUMMYFUNCTION("""COMPUTED_VALUE"""),"미트코리아 진")</f>
        <v>미트코리아 진</v>
      </c>
      <c r="B7265" s="2" t="str">
        <f>IFERROR(__xludf.DUMMYFUNCTION("""COMPUTED_VALUE"""),"삼겹살")</f>
        <v>삼겹살</v>
      </c>
    </row>
    <row r="7266">
      <c r="A7266" s="2" t="str">
        <f>IFERROR(__xludf.DUMMYFUNCTION("""COMPUTED_VALUE"""),"미트코리아 진")</f>
        <v>미트코리아 진</v>
      </c>
      <c r="B7266" s="2" t="str">
        <f>IFERROR(__xludf.DUMMYFUNCTION("""COMPUTED_VALUE"""),"살치살")</f>
        <v>살치살</v>
      </c>
    </row>
    <row r="7267">
      <c r="A7267" s="2" t="str">
        <f>IFERROR(__xludf.DUMMYFUNCTION("""COMPUTED_VALUE"""),"미트코리아 진")</f>
        <v>미트코리아 진</v>
      </c>
      <c r="B7267" s="2" t="str">
        <f>IFERROR(__xludf.DUMMYFUNCTION("""COMPUTED_VALUE"""),"식빵")</f>
        <v>식빵</v>
      </c>
    </row>
    <row r="7268">
      <c r="A7268" s="2" t="str">
        <f>IFERROR(__xludf.DUMMYFUNCTION("""COMPUTED_VALUE"""),"미트코리아 진")</f>
        <v>미트코리아 진</v>
      </c>
      <c r="B7268" s="2" t="str">
        <f>IFERROR(__xludf.DUMMYFUNCTION("""COMPUTED_VALUE"""),"우유")</f>
        <v>우유</v>
      </c>
    </row>
    <row r="7269">
      <c r="A7269" s="2" t="str">
        <f>IFERROR(__xludf.DUMMYFUNCTION("""COMPUTED_VALUE"""),"미트코리아 진")</f>
        <v>미트코리아 진</v>
      </c>
      <c r="B7269" s="2" t="str">
        <f>IFERROR(__xludf.DUMMYFUNCTION("""COMPUTED_VALUE"""),"토마토소스")</f>
        <v>토마토소스</v>
      </c>
    </row>
    <row r="7270">
      <c r="A7270" s="2" t="str">
        <f>IFERROR(__xludf.DUMMYFUNCTION("""COMPUTED_VALUE"""),"미트코리아 진")</f>
        <v>미트코리아 진</v>
      </c>
      <c r="B7270" s="2" t="str">
        <f>IFERROR(__xludf.DUMMYFUNCTION("""COMPUTED_VALUE"""),"크림소스")</f>
        <v>크림소스</v>
      </c>
    </row>
    <row r="7271">
      <c r="A7271" s="2" t="str">
        <f>IFERROR(__xludf.DUMMYFUNCTION("""COMPUTED_VALUE"""),"미트코리아 진")</f>
        <v>미트코리아 진</v>
      </c>
      <c r="B7271" s="2" t="str">
        <f>IFERROR(__xludf.DUMMYFUNCTION("""COMPUTED_VALUE"""),"튀김과자")</f>
        <v>튀김과자</v>
      </c>
    </row>
    <row r="7272">
      <c r="A7272" s="2" t="str">
        <f>IFERROR(__xludf.DUMMYFUNCTION("""COMPUTED_VALUE"""),"미트코리아 진")</f>
        <v>미트코리아 진</v>
      </c>
      <c r="B7272" s="2" t="str">
        <f>IFERROR(__xludf.DUMMYFUNCTION("""COMPUTED_VALUE"""),"사과")</f>
        <v>사과</v>
      </c>
    </row>
    <row r="7273">
      <c r="A7273" s="2" t="str">
        <f>IFERROR(__xludf.DUMMYFUNCTION("""COMPUTED_VALUE"""),"미트코리아 진")</f>
        <v>미트코리아 진</v>
      </c>
      <c r="B7273" s="2" t="str">
        <f>IFERROR(__xludf.DUMMYFUNCTION("""COMPUTED_VALUE"""),"청양고추")</f>
        <v>청양고추</v>
      </c>
    </row>
    <row r="7274">
      <c r="A7274" s="2" t="str">
        <f>IFERROR(__xludf.DUMMYFUNCTION("""COMPUTED_VALUE"""),"미트코리아 진")</f>
        <v>미트코리아 진</v>
      </c>
      <c r="B7274" s="2" t="str">
        <f>IFERROR(__xludf.DUMMYFUNCTION("""COMPUTED_VALUE"""),"소금")</f>
        <v>소금</v>
      </c>
    </row>
    <row r="7275">
      <c r="A7275" s="2" t="str">
        <f>IFERROR(__xludf.DUMMYFUNCTION("""COMPUTED_VALUE"""),"미트코리아 진")</f>
        <v>미트코리아 진</v>
      </c>
      <c r="B7275" s="2" t="str">
        <f>IFERROR(__xludf.DUMMYFUNCTION("""COMPUTED_VALUE"""),"후추")</f>
        <v>후추</v>
      </c>
    </row>
    <row r="7276">
      <c r="A7276" s="2" t="str">
        <f>IFERROR(__xludf.DUMMYFUNCTION("""COMPUTED_VALUE"""),"미트코리아 진")</f>
        <v>미트코리아 진</v>
      </c>
      <c r="B7276" s="2" t="str">
        <f>IFERROR(__xludf.DUMMYFUNCTION("""COMPUTED_VALUE"""),"양파")</f>
        <v>양파</v>
      </c>
    </row>
    <row r="7277">
      <c r="A7277" s="2" t="str">
        <f>IFERROR(__xludf.DUMMYFUNCTION("""COMPUTED_VALUE"""),"미트코리아 진")</f>
        <v>미트코리아 진</v>
      </c>
      <c r="B7277" s="2" t="str">
        <f>IFERROR(__xludf.DUMMYFUNCTION("""COMPUTED_VALUE"""),"마늘")</f>
        <v>마늘</v>
      </c>
    </row>
    <row r="7278">
      <c r="A7278" s="2" t="str">
        <f>IFERROR(__xludf.DUMMYFUNCTION("""COMPUTED_VALUE"""),"미트코리아 진")</f>
        <v>미트코리아 진</v>
      </c>
      <c r="B7278" s="2" t="str">
        <f>IFERROR(__xludf.DUMMYFUNCTION("""COMPUTED_VALUE"""),"설탕")</f>
        <v>설탕</v>
      </c>
    </row>
    <row r="7279">
      <c r="A7279" s="2" t="str">
        <f>IFERROR(__xludf.DUMMYFUNCTION("""COMPUTED_VALUE"""),"미트코리아 진")</f>
        <v>미트코리아 진</v>
      </c>
      <c r="B7279" s="2" t="str">
        <f>IFERROR(__xludf.DUMMYFUNCTION("""COMPUTED_VALUE"""),"밀가루")</f>
        <v>밀가루</v>
      </c>
    </row>
    <row r="7280">
      <c r="A7280" s="2" t="str">
        <f>IFERROR(__xludf.DUMMYFUNCTION("""COMPUTED_VALUE"""),"미트코리아 진")</f>
        <v>미트코리아 진</v>
      </c>
      <c r="B7280" s="2" t="str">
        <f>IFERROR(__xludf.DUMMYFUNCTION("""COMPUTED_VALUE"""),"달걀")</f>
        <v>달걀</v>
      </c>
    </row>
    <row r="7281">
      <c r="A7281" s="2" t="str">
        <f>IFERROR(__xludf.DUMMYFUNCTION("""COMPUTED_VALUE"""),"가지에 빠져빠져♬")</f>
        <v>가지에 빠져빠져♬</v>
      </c>
      <c r="B7281" s="2" t="str">
        <f>IFERROR(__xludf.DUMMYFUNCTION("""COMPUTED_VALUE"""),"가지")</f>
        <v>가지</v>
      </c>
    </row>
    <row r="7282">
      <c r="A7282" s="2" t="str">
        <f>IFERROR(__xludf.DUMMYFUNCTION("""COMPUTED_VALUE"""),"가지에 빠져빠져♬")</f>
        <v>가지에 빠져빠져♬</v>
      </c>
      <c r="B7282" s="2" t="str">
        <f>IFERROR(__xludf.DUMMYFUNCTION("""COMPUTED_VALUE"""),"애호박")</f>
        <v>애호박</v>
      </c>
    </row>
    <row r="7283">
      <c r="A7283" s="2" t="str">
        <f>IFERROR(__xludf.DUMMYFUNCTION("""COMPUTED_VALUE"""),"가지에 빠져빠져♬")</f>
        <v>가지에 빠져빠져♬</v>
      </c>
      <c r="B7283" s="2" t="str">
        <f>IFERROR(__xludf.DUMMYFUNCTION("""COMPUTED_VALUE"""),"새송이버섯")</f>
        <v>새송이버섯</v>
      </c>
    </row>
    <row r="7284">
      <c r="A7284" s="2" t="str">
        <f>IFERROR(__xludf.DUMMYFUNCTION("""COMPUTED_VALUE"""),"가지에 빠져빠져♬")</f>
        <v>가지에 빠져빠져♬</v>
      </c>
      <c r="B7284" s="2" t="str">
        <f>IFERROR(__xludf.DUMMYFUNCTION("""COMPUTED_VALUE"""),"양배추")</f>
        <v>양배추</v>
      </c>
    </row>
    <row r="7285">
      <c r="A7285" s="2" t="str">
        <f>IFERROR(__xludf.DUMMYFUNCTION("""COMPUTED_VALUE"""),"가지에 빠져빠져♬")</f>
        <v>가지에 빠져빠져♬</v>
      </c>
      <c r="B7285" s="2" t="str">
        <f>IFERROR(__xludf.DUMMYFUNCTION("""COMPUTED_VALUE"""),"훈제연어")</f>
        <v>훈제연어</v>
      </c>
    </row>
    <row r="7286">
      <c r="A7286" s="2" t="str">
        <f>IFERROR(__xludf.DUMMYFUNCTION("""COMPUTED_VALUE"""),"가지에 빠져빠져♬")</f>
        <v>가지에 빠져빠져♬</v>
      </c>
      <c r="B7286" s="2" t="str">
        <f>IFERROR(__xludf.DUMMYFUNCTION("""COMPUTED_VALUE"""),"크림치즈")</f>
        <v>크림치즈</v>
      </c>
    </row>
    <row r="7287">
      <c r="A7287" s="2" t="str">
        <f>IFERROR(__xludf.DUMMYFUNCTION("""COMPUTED_VALUE"""),"가지에 빠져빠져♬")</f>
        <v>가지에 빠져빠져♬</v>
      </c>
      <c r="B7287" s="2" t="str">
        <f>IFERROR(__xludf.DUMMYFUNCTION("""COMPUTED_VALUE"""),"후리카케")</f>
        <v>후리카케</v>
      </c>
    </row>
    <row r="7288">
      <c r="A7288" s="2" t="str">
        <f>IFERROR(__xludf.DUMMYFUNCTION("""COMPUTED_VALUE"""),"가지에 빠져빠져♬")</f>
        <v>가지에 빠져빠져♬</v>
      </c>
      <c r="B7288" s="2" t="str">
        <f>IFERROR(__xludf.DUMMYFUNCTION("""COMPUTED_VALUE"""),"토마토소스")</f>
        <v>토마토소스</v>
      </c>
    </row>
    <row r="7289">
      <c r="A7289" s="2" t="str">
        <f>IFERROR(__xludf.DUMMYFUNCTION("""COMPUTED_VALUE"""),"가지에 빠져빠져♬")</f>
        <v>가지에 빠져빠져♬</v>
      </c>
      <c r="B7289" s="2" t="str">
        <f>IFERROR(__xludf.DUMMYFUNCTION("""COMPUTED_VALUE"""),"요거트")</f>
        <v>요거트</v>
      </c>
    </row>
    <row r="7290">
      <c r="A7290" s="2" t="str">
        <f>IFERROR(__xludf.DUMMYFUNCTION("""COMPUTED_VALUE"""),"가지에 빠져빠져♬")</f>
        <v>가지에 빠져빠져♬</v>
      </c>
      <c r="B7290" s="2" t="str">
        <f>IFERROR(__xludf.DUMMYFUNCTION("""COMPUTED_VALUE"""),"밀가루")</f>
        <v>밀가루</v>
      </c>
    </row>
    <row r="7291">
      <c r="A7291" s="2" t="str">
        <f>IFERROR(__xludf.DUMMYFUNCTION("""COMPUTED_VALUE"""),"가지에 빠져빠져♬")</f>
        <v>가지에 빠져빠져♬</v>
      </c>
      <c r="B7291" s="2" t="str">
        <f>IFERROR(__xludf.DUMMYFUNCTION("""COMPUTED_VALUE"""),"마늘")</f>
        <v>마늘</v>
      </c>
    </row>
    <row r="7292">
      <c r="A7292" s="2" t="str">
        <f>IFERROR(__xludf.DUMMYFUNCTION("""COMPUTED_VALUE"""),"가지에 빠져빠져♬")</f>
        <v>가지에 빠져빠져♬</v>
      </c>
      <c r="B7292" s="2" t="str">
        <f>IFERROR(__xludf.DUMMYFUNCTION("""COMPUTED_VALUE"""),"소금")</f>
        <v>소금</v>
      </c>
    </row>
    <row r="7293">
      <c r="A7293" s="2" t="str">
        <f>IFERROR(__xludf.DUMMYFUNCTION("""COMPUTED_VALUE"""),"가지에 빠져빠져♬")</f>
        <v>가지에 빠져빠져♬</v>
      </c>
      <c r="B7293" s="2" t="str">
        <f>IFERROR(__xludf.DUMMYFUNCTION("""COMPUTED_VALUE"""),"후추")</f>
        <v>후추</v>
      </c>
    </row>
    <row r="7294">
      <c r="A7294" s="2" t="str">
        <f>IFERROR(__xludf.DUMMYFUNCTION("""COMPUTED_VALUE"""),"가지에 빠져빠져♬")</f>
        <v>가지에 빠져빠져♬</v>
      </c>
      <c r="B7294" s="2" t="str">
        <f>IFERROR(__xludf.DUMMYFUNCTION("""COMPUTED_VALUE"""),"즉석밥")</f>
        <v>즉석밥</v>
      </c>
    </row>
    <row r="7295">
      <c r="A7295" s="2" t="str">
        <f>IFERROR(__xludf.DUMMYFUNCTION("""COMPUTED_VALUE"""),"가지에 빠져빠져♬")</f>
        <v>가지에 빠져빠져♬</v>
      </c>
      <c r="B7295" s="2" t="str">
        <f>IFERROR(__xludf.DUMMYFUNCTION("""COMPUTED_VALUE"""),"참기름")</f>
        <v>참기름</v>
      </c>
    </row>
    <row r="7296">
      <c r="A7296" s="2" t="str">
        <f>IFERROR(__xludf.DUMMYFUNCTION("""COMPUTED_VALUE"""),"가지에 빠져빠져♬")</f>
        <v>가지에 빠져빠져♬</v>
      </c>
      <c r="B7296" s="2" t="str">
        <f>IFERROR(__xludf.DUMMYFUNCTION("""COMPUTED_VALUE"""),"식초")</f>
        <v>식초</v>
      </c>
    </row>
    <row r="7297">
      <c r="A7297" s="2" t="str">
        <f>IFERROR(__xludf.DUMMYFUNCTION("""COMPUTED_VALUE"""),"가지에 빠져빠져♬")</f>
        <v>가지에 빠져빠져♬</v>
      </c>
      <c r="B7297" s="2" t="str">
        <f>IFERROR(__xludf.DUMMYFUNCTION("""COMPUTED_VALUE"""),"올리브오일")</f>
        <v>올리브오일</v>
      </c>
    </row>
    <row r="7298">
      <c r="A7298" s="2" t="str">
        <f>IFERROR(__xludf.DUMMYFUNCTION("""COMPUTED_VALUE"""),"가지에 빠져빠져♬")</f>
        <v>가지에 빠져빠져♬</v>
      </c>
      <c r="B7298" s="2" t="str">
        <f>IFERROR(__xludf.DUMMYFUNCTION("""COMPUTED_VALUE"""),"레몬")</f>
        <v>레몬</v>
      </c>
    </row>
    <row r="7299">
      <c r="A7299" s="2" t="str">
        <f>IFERROR(__xludf.DUMMYFUNCTION("""COMPUTED_VALUE"""),"가지에 빠져빠져♬")</f>
        <v>가지에 빠져빠져♬</v>
      </c>
      <c r="B7299" s="2" t="str">
        <f>IFERROR(__xludf.DUMMYFUNCTION("""COMPUTED_VALUE"""),"설탕")</f>
        <v>설탕</v>
      </c>
    </row>
    <row r="7300">
      <c r="A7300" s="2" t="str">
        <f>IFERROR(__xludf.DUMMYFUNCTION("""COMPUTED_VALUE"""),"난 이제 더 이상 찌개가 아니에요♬")</f>
        <v>난 이제 더 이상 찌개가 아니에요♬</v>
      </c>
      <c r="B7300" s="2" t="str">
        <f>IFERROR(__xludf.DUMMYFUNCTION("""COMPUTED_VALUE"""),"양배추")</f>
        <v>양배추</v>
      </c>
    </row>
    <row r="7301">
      <c r="A7301" s="2" t="str">
        <f>IFERROR(__xludf.DUMMYFUNCTION("""COMPUTED_VALUE"""),"난 이제 더 이상 찌개가 아니에요♬")</f>
        <v>난 이제 더 이상 찌개가 아니에요♬</v>
      </c>
      <c r="B7301" s="2" t="str">
        <f>IFERROR(__xludf.DUMMYFUNCTION("""COMPUTED_VALUE"""),"삼겹살")</f>
        <v>삼겹살</v>
      </c>
    </row>
    <row r="7302">
      <c r="A7302" s="2" t="str">
        <f>IFERROR(__xludf.DUMMYFUNCTION("""COMPUTED_VALUE"""),"난 이제 더 이상 찌개가 아니에요♬")</f>
        <v>난 이제 더 이상 찌개가 아니에요♬</v>
      </c>
      <c r="B7302" s="2" t="str">
        <f>IFERROR(__xludf.DUMMYFUNCTION("""COMPUTED_VALUE"""),"김치")</f>
        <v>김치</v>
      </c>
    </row>
    <row r="7303">
      <c r="A7303" s="2" t="str">
        <f>IFERROR(__xludf.DUMMYFUNCTION("""COMPUTED_VALUE"""),"난 이제 더 이상 찌개가 아니에요♬")</f>
        <v>난 이제 더 이상 찌개가 아니에요♬</v>
      </c>
      <c r="B7303" s="2" t="str">
        <f>IFERROR(__xludf.DUMMYFUNCTION("""COMPUTED_VALUE"""),"닭가슴살")</f>
        <v>닭가슴살</v>
      </c>
    </row>
    <row r="7304">
      <c r="A7304" s="2" t="str">
        <f>IFERROR(__xludf.DUMMYFUNCTION("""COMPUTED_VALUE"""),"난 이제 더 이상 찌개가 아니에요♬")</f>
        <v>난 이제 더 이상 찌개가 아니에요♬</v>
      </c>
      <c r="B7304" s="2" t="str">
        <f>IFERROR(__xludf.DUMMYFUNCTION("""COMPUTED_VALUE"""),"채끝살")</f>
        <v>채끝살</v>
      </c>
    </row>
    <row r="7305">
      <c r="A7305" s="2" t="str">
        <f>IFERROR(__xludf.DUMMYFUNCTION("""COMPUTED_VALUE"""),"난 이제 더 이상 찌개가 아니에요♬")</f>
        <v>난 이제 더 이상 찌개가 아니에요♬</v>
      </c>
      <c r="B7305" s="2" t="str">
        <f>IFERROR(__xludf.DUMMYFUNCTION("""COMPUTED_VALUE"""),"굴소스")</f>
        <v>굴소스</v>
      </c>
    </row>
    <row r="7306">
      <c r="A7306" s="2" t="str">
        <f>IFERROR(__xludf.DUMMYFUNCTION("""COMPUTED_VALUE"""),"난 이제 더 이상 찌개가 아니에요♬")</f>
        <v>난 이제 더 이상 찌개가 아니에요♬</v>
      </c>
      <c r="B7306" s="2" t="str">
        <f>IFERROR(__xludf.DUMMYFUNCTION("""COMPUTED_VALUE"""),"떡볶이 떡")</f>
        <v>떡볶이 떡</v>
      </c>
    </row>
    <row r="7307">
      <c r="A7307" s="2" t="str">
        <f>IFERROR(__xludf.DUMMYFUNCTION("""COMPUTED_VALUE"""),"난 이제 더 이상 찌개가 아니에요♬")</f>
        <v>난 이제 더 이상 찌개가 아니에요♬</v>
      </c>
      <c r="B7307" s="2" t="str">
        <f>IFERROR(__xludf.DUMMYFUNCTION("""COMPUTED_VALUE"""),"전복")</f>
        <v>전복</v>
      </c>
    </row>
    <row r="7308">
      <c r="A7308" s="2" t="str">
        <f>IFERROR(__xludf.DUMMYFUNCTION("""COMPUTED_VALUE"""),"난 이제 더 이상 찌개가 아니에요♬")</f>
        <v>난 이제 더 이상 찌개가 아니에요♬</v>
      </c>
      <c r="B7308" s="2" t="str">
        <f>IFERROR(__xludf.DUMMYFUNCTION("""COMPUTED_VALUE"""),"소금")</f>
        <v>소금</v>
      </c>
    </row>
    <row r="7309">
      <c r="A7309" s="2" t="str">
        <f>IFERROR(__xludf.DUMMYFUNCTION("""COMPUTED_VALUE"""),"난 이제 더 이상 찌개가 아니에요♬")</f>
        <v>난 이제 더 이상 찌개가 아니에요♬</v>
      </c>
      <c r="B7309" s="2" t="str">
        <f>IFERROR(__xludf.DUMMYFUNCTION("""COMPUTED_VALUE"""),"다진 마늘")</f>
        <v>다진 마늘</v>
      </c>
    </row>
    <row r="7310">
      <c r="A7310" s="2" t="str">
        <f>IFERROR(__xludf.DUMMYFUNCTION("""COMPUTED_VALUE"""),"난 이제 더 이상 찌개가 아니에요♬")</f>
        <v>난 이제 더 이상 찌개가 아니에요♬</v>
      </c>
      <c r="B7310" s="2" t="str">
        <f>IFERROR(__xludf.DUMMYFUNCTION("""COMPUTED_VALUE"""),"대파")</f>
        <v>대파</v>
      </c>
    </row>
    <row r="7311">
      <c r="A7311" s="2" t="str">
        <f>IFERROR(__xludf.DUMMYFUNCTION("""COMPUTED_VALUE"""),"난 이제 더 이상 찌개가 아니에요♬")</f>
        <v>난 이제 더 이상 찌개가 아니에요♬</v>
      </c>
      <c r="B7311" s="2" t="str">
        <f>IFERROR(__xludf.DUMMYFUNCTION("""COMPUTED_VALUE"""),"청주")</f>
        <v>청주</v>
      </c>
    </row>
    <row r="7312">
      <c r="A7312" s="2" t="str">
        <f>IFERROR(__xludf.DUMMYFUNCTION("""COMPUTED_VALUE"""),"난 이제 더 이상 찌개가 아니에요♬")</f>
        <v>난 이제 더 이상 찌개가 아니에요♬</v>
      </c>
      <c r="B7312" s="2" t="str">
        <f>IFERROR(__xludf.DUMMYFUNCTION("""COMPUTED_VALUE"""),"달걀")</f>
        <v>달걀</v>
      </c>
    </row>
    <row r="7313">
      <c r="A7313" s="2" t="str">
        <f>IFERROR(__xludf.DUMMYFUNCTION("""COMPUTED_VALUE"""),"난 이제 더 이상 찌개가 아니에요♬")</f>
        <v>난 이제 더 이상 찌개가 아니에요♬</v>
      </c>
      <c r="B7313" s="2" t="str">
        <f>IFERROR(__xludf.DUMMYFUNCTION("""COMPUTED_VALUE"""),"설탕")</f>
        <v>설탕</v>
      </c>
    </row>
    <row r="7314">
      <c r="A7314" s="2" t="str">
        <f>IFERROR(__xludf.DUMMYFUNCTION("""COMPUTED_VALUE"""),"미식이볼 맛있당께")</f>
        <v>미식이볼 맛있당께</v>
      </c>
      <c r="B7314" s="2" t="str">
        <f>IFERROR(__xludf.DUMMYFUNCTION("""COMPUTED_VALUE"""),"소고기 양지")</f>
        <v>소고기 양지</v>
      </c>
    </row>
    <row r="7315">
      <c r="A7315" s="2" t="str">
        <f>IFERROR(__xludf.DUMMYFUNCTION("""COMPUTED_VALUE"""),"미식이볼 맛있당께")</f>
        <v>미식이볼 맛있당께</v>
      </c>
      <c r="B7315" s="2" t="str">
        <f>IFERROR(__xludf.DUMMYFUNCTION("""COMPUTED_VALUE"""),"삼겹살")</f>
        <v>삼겹살</v>
      </c>
    </row>
    <row r="7316">
      <c r="A7316" s="2" t="str">
        <f>IFERROR(__xludf.DUMMYFUNCTION("""COMPUTED_VALUE"""),"미식이볼 맛있당께")</f>
        <v>미식이볼 맛있당께</v>
      </c>
      <c r="B7316" s="2" t="str">
        <f>IFERROR(__xludf.DUMMYFUNCTION("""COMPUTED_VALUE"""),"식빵")</f>
        <v>식빵</v>
      </c>
    </row>
    <row r="7317">
      <c r="A7317" s="2" t="str">
        <f>IFERROR(__xludf.DUMMYFUNCTION("""COMPUTED_VALUE"""),"미식이볼 맛있당께")</f>
        <v>미식이볼 맛있당께</v>
      </c>
      <c r="B7317" s="2" t="str">
        <f>IFERROR(__xludf.DUMMYFUNCTION("""COMPUTED_VALUE"""),"오이")</f>
        <v>오이</v>
      </c>
    </row>
    <row r="7318">
      <c r="A7318" s="2" t="str">
        <f>IFERROR(__xludf.DUMMYFUNCTION("""COMPUTED_VALUE"""),"미식이볼 맛있당께")</f>
        <v>미식이볼 맛있당께</v>
      </c>
      <c r="B7318" s="2" t="str">
        <f>IFERROR(__xludf.DUMMYFUNCTION("""COMPUTED_VALUE"""),"상추")</f>
        <v>상추</v>
      </c>
    </row>
    <row r="7319">
      <c r="A7319" s="2" t="str">
        <f>IFERROR(__xludf.DUMMYFUNCTION("""COMPUTED_VALUE"""),"미식이볼 맛있당께")</f>
        <v>미식이볼 맛있당께</v>
      </c>
      <c r="B7319" s="2" t="str">
        <f>IFERROR(__xludf.DUMMYFUNCTION("""COMPUTED_VALUE"""),"토마토")</f>
        <v>토마토</v>
      </c>
    </row>
    <row r="7320">
      <c r="A7320" s="2" t="str">
        <f>IFERROR(__xludf.DUMMYFUNCTION("""COMPUTED_VALUE"""),"미식이볼 맛있당께")</f>
        <v>미식이볼 맛있당께</v>
      </c>
      <c r="B7320" s="2" t="str">
        <f>IFERROR(__xludf.DUMMYFUNCTION("""COMPUTED_VALUE"""),"마늘")</f>
        <v>마늘</v>
      </c>
    </row>
    <row r="7321">
      <c r="A7321" s="2" t="str">
        <f>IFERROR(__xludf.DUMMYFUNCTION("""COMPUTED_VALUE"""),"미식이볼 맛있당께")</f>
        <v>미식이볼 맛있당께</v>
      </c>
      <c r="B7321" s="2" t="str">
        <f>IFERROR(__xludf.DUMMYFUNCTION("""COMPUTED_VALUE"""),"청양고추")</f>
        <v>청양고추</v>
      </c>
    </row>
    <row r="7322">
      <c r="A7322" s="2" t="str">
        <f>IFERROR(__xludf.DUMMYFUNCTION("""COMPUTED_VALUE"""),"미식이볼 맛있당께")</f>
        <v>미식이볼 맛있당께</v>
      </c>
      <c r="B7322" s="2" t="str">
        <f>IFERROR(__xludf.DUMMYFUNCTION("""COMPUTED_VALUE"""),"달걀")</f>
        <v>달걀</v>
      </c>
    </row>
    <row r="7323">
      <c r="A7323" s="2" t="str">
        <f>IFERROR(__xludf.DUMMYFUNCTION("""COMPUTED_VALUE"""),"미식이볼 맛있당께")</f>
        <v>미식이볼 맛있당께</v>
      </c>
      <c r="B7323" s="2" t="str">
        <f>IFERROR(__xludf.DUMMYFUNCTION("""COMPUTED_VALUE"""),"소금")</f>
        <v>소금</v>
      </c>
    </row>
    <row r="7324">
      <c r="A7324" s="2" t="str">
        <f>IFERROR(__xludf.DUMMYFUNCTION("""COMPUTED_VALUE"""),"미식이볼 맛있당께")</f>
        <v>미식이볼 맛있당께</v>
      </c>
      <c r="B7324" s="2" t="str">
        <f>IFERROR(__xludf.DUMMYFUNCTION("""COMPUTED_VALUE"""),"후추")</f>
        <v>후추</v>
      </c>
    </row>
    <row r="7325">
      <c r="A7325" s="2" t="str">
        <f>IFERROR(__xludf.DUMMYFUNCTION("""COMPUTED_VALUE"""),"미식이볼 맛있당께")</f>
        <v>미식이볼 맛있당께</v>
      </c>
      <c r="B7325" s="2" t="str">
        <f>IFERROR(__xludf.DUMMYFUNCTION("""COMPUTED_VALUE"""),"양파")</f>
        <v>양파</v>
      </c>
    </row>
    <row r="7326">
      <c r="A7326" s="2" t="str">
        <f>IFERROR(__xludf.DUMMYFUNCTION("""COMPUTED_VALUE"""),"미식이볼 맛있당께")</f>
        <v>미식이볼 맛있당께</v>
      </c>
      <c r="B7326" s="2" t="str">
        <f>IFERROR(__xludf.DUMMYFUNCTION("""COMPUTED_VALUE"""),"밀가루")</f>
        <v>밀가루</v>
      </c>
    </row>
    <row r="7327">
      <c r="A7327" s="2" t="str">
        <f>IFERROR(__xludf.DUMMYFUNCTION("""COMPUTED_VALUE"""),"미식이볼 맛있당께")</f>
        <v>미식이볼 맛있당께</v>
      </c>
      <c r="B7327" s="2" t="str">
        <f>IFERROR(__xludf.DUMMYFUNCTION("""COMPUTED_VALUE"""),"식초")</f>
        <v>식초</v>
      </c>
    </row>
    <row r="7328">
      <c r="A7328" s="2" t="str">
        <f>IFERROR(__xludf.DUMMYFUNCTION("""COMPUTED_VALUE"""),"미식이볼 맛있당께")</f>
        <v>미식이볼 맛있당께</v>
      </c>
      <c r="B7328" s="2" t="str">
        <f>IFERROR(__xludf.DUMMYFUNCTION("""COMPUTED_VALUE"""),"올리브오일")</f>
        <v>올리브오일</v>
      </c>
    </row>
    <row r="7329">
      <c r="A7329" s="2" t="str">
        <f>IFERROR(__xludf.DUMMYFUNCTION("""COMPUTED_VALUE"""),"미식이볼 맛있당께")</f>
        <v>미식이볼 맛있당께</v>
      </c>
      <c r="B7329" s="2" t="str">
        <f>IFERROR(__xludf.DUMMYFUNCTION("""COMPUTED_VALUE"""),"대파")</f>
        <v>대파</v>
      </c>
    </row>
    <row r="7330">
      <c r="A7330" s="2" t="str">
        <f>IFERROR(__xludf.DUMMYFUNCTION("""COMPUTED_VALUE"""),"이런 안주 파쌈?")</f>
        <v>이런 안주 파쌈?</v>
      </c>
      <c r="B7330" s="2" t="str">
        <f>IFERROR(__xludf.DUMMYFUNCTION("""COMPUTED_VALUE"""),"물만두")</f>
        <v>물만두</v>
      </c>
    </row>
    <row r="7331">
      <c r="A7331" s="2" t="str">
        <f>IFERROR(__xludf.DUMMYFUNCTION("""COMPUTED_VALUE"""),"이런 안주 파쌈?")</f>
        <v>이런 안주 파쌈?</v>
      </c>
      <c r="B7331" s="2" t="str">
        <f>IFERROR(__xludf.DUMMYFUNCTION("""COMPUTED_VALUE"""),"항정살")</f>
        <v>항정살</v>
      </c>
    </row>
    <row r="7332">
      <c r="A7332" s="2" t="str">
        <f>IFERROR(__xludf.DUMMYFUNCTION("""COMPUTED_VALUE"""),"이런 안주 파쌈?")</f>
        <v>이런 안주 파쌈?</v>
      </c>
      <c r="B7332" s="2" t="str">
        <f>IFERROR(__xludf.DUMMYFUNCTION("""COMPUTED_VALUE"""),"인스턴트 고기구이")</f>
        <v>인스턴트 고기구이</v>
      </c>
    </row>
    <row r="7333">
      <c r="A7333" s="2" t="str">
        <f>IFERROR(__xludf.DUMMYFUNCTION("""COMPUTED_VALUE"""),"이런 안주 파쌈?")</f>
        <v>이런 안주 파쌈?</v>
      </c>
      <c r="B7333" s="2" t="str">
        <f>IFERROR(__xludf.DUMMYFUNCTION("""COMPUTED_VALUE"""),"두부")</f>
        <v>두부</v>
      </c>
    </row>
    <row r="7334">
      <c r="A7334" s="2" t="str">
        <f>IFERROR(__xludf.DUMMYFUNCTION("""COMPUTED_VALUE"""),"이런 안주 파쌈?")</f>
        <v>이런 안주 파쌈?</v>
      </c>
      <c r="B7334" s="2" t="str">
        <f>IFERROR(__xludf.DUMMYFUNCTION("""COMPUTED_VALUE"""),"김")</f>
        <v>김</v>
      </c>
    </row>
    <row r="7335">
      <c r="A7335" s="2" t="str">
        <f>IFERROR(__xludf.DUMMYFUNCTION("""COMPUTED_VALUE"""),"이런 안주 파쌈?")</f>
        <v>이런 안주 파쌈?</v>
      </c>
      <c r="B7335" s="2" t="str">
        <f>IFERROR(__xludf.DUMMYFUNCTION("""COMPUTED_VALUE"""),"깻잎")</f>
        <v>깻잎</v>
      </c>
    </row>
    <row r="7336">
      <c r="A7336" s="2" t="str">
        <f>IFERROR(__xludf.DUMMYFUNCTION("""COMPUTED_VALUE"""),"이런 안주 파쌈?")</f>
        <v>이런 안주 파쌈?</v>
      </c>
      <c r="B7336" s="2" t="str">
        <f>IFERROR(__xludf.DUMMYFUNCTION("""COMPUTED_VALUE"""),"차돌박이")</f>
        <v>차돌박이</v>
      </c>
    </row>
    <row r="7337">
      <c r="A7337" s="2" t="str">
        <f>IFERROR(__xludf.DUMMYFUNCTION("""COMPUTED_VALUE"""),"이런 안주 파쌈?")</f>
        <v>이런 안주 파쌈?</v>
      </c>
      <c r="B7337" s="2" t="str">
        <f>IFERROR(__xludf.DUMMYFUNCTION("""COMPUTED_VALUE"""),"새송이버섯")</f>
        <v>새송이버섯</v>
      </c>
    </row>
    <row r="7338">
      <c r="A7338" s="2" t="str">
        <f>IFERROR(__xludf.DUMMYFUNCTION("""COMPUTED_VALUE"""),"이런 안주 파쌈?")</f>
        <v>이런 안주 파쌈?</v>
      </c>
      <c r="B7338" s="2" t="str">
        <f>IFERROR(__xludf.DUMMYFUNCTION("""COMPUTED_VALUE"""),"고춧가루")</f>
        <v>고춧가루</v>
      </c>
    </row>
    <row r="7339">
      <c r="A7339" s="2" t="str">
        <f>IFERROR(__xludf.DUMMYFUNCTION("""COMPUTED_VALUE"""),"이런 안주 파쌈?")</f>
        <v>이런 안주 파쌈?</v>
      </c>
      <c r="B7339" s="2" t="str">
        <f>IFERROR(__xludf.DUMMYFUNCTION("""COMPUTED_VALUE"""),"청양고추")</f>
        <v>청양고추</v>
      </c>
    </row>
    <row r="7340">
      <c r="A7340" s="2" t="str">
        <f>IFERROR(__xludf.DUMMYFUNCTION("""COMPUTED_VALUE"""),"이런 안주 파쌈?")</f>
        <v>이런 안주 파쌈?</v>
      </c>
      <c r="B7340" s="2" t="str">
        <f>IFERROR(__xludf.DUMMYFUNCTION("""COMPUTED_VALUE"""),"된장")</f>
        <v>된장</v>
      </c>
    </row>
    <row r="7341">
      <c r="A7341" s="2" t="str">
        <f>IFERROR(__xludf.DUMMYFUNCTION("""COMPUTED_VALUE"""),"이런 안주 파쌈?")</f>
        <v>이런 안주 파쌈?</v>
      </c>
      <c r="B7341" s="2" t="str">
        <f>IFERROR(__xludf.DUMMYFUNCTION("""COMPUTED_VALUE"""),"달걀")</f>
        <v>달걀</v>
      </c>
    </row>
    <row r="7342">
      <c r="A7342" s="2" t="str">
        <f>IFERROR(__xludf.DUMMYFUNCTION("""COMPUTED_VALUE"""),"이런 안주 파쌈?")</f>
        <v>이런 안주 파쌈?</v>
      </c>
      <c r="B7342" s="2" t="str">
        <f>IFERROR(__xludf.DUMMYFUNCTION("""COMPUTED_VALUE"""),"다진 마늘")</f>
        <v>다진 마늘</v>
      </c>
    </row>
    <row r="7343">
      <c r="A7343" s="2" t="str">
        <f>IFERROR(__xludf.DUMMYFUNCTION("""COMPUTED_VALUE"""),"이런 안주 파쌈?")</f>
        <v>이런 안주 파쌈?</v>
      </c>
      <c r="B7343" s="2" t="str">
        <f>IFERROR(__xludf.DUMMYFUNCTION("""COMPUTED_VALUE"""),"밀가루")</f>
        <v>밀가루</v>
      </c>
    </row>
    <row r="7344">
      <c r="A7344" s="2" t="str">
        <f>IFERROR(__xludf.DUMMYFUNCTION("""COMPUTED_VALUE"""),"이런 안주 파쌈?")</f>
        <v>이런 안주 파쌈?</v>
      </c>
      <c r="B7344" s="2" t="str">
        <f>IFERROR(__xludf.DUMMYFUNCTION("""COMPUTED_VALUE"""),"소금")</f>
        <v>소금</v>
      </c>
    </row>
    <row r="7345">
      <c r="A7345" s="2" t="str">
        <f>IFERROR(__xludf.DUMMYFUNCTION("""COMPUTED_VALUE"""),"이런 안주 파쌈?")</f>
        <v>이런 안주 파쌈?</v>
      </c>
      <c r="B7345" s="2" t="str">
        <f>IFERROR(__xludf.DUMMYFUNCTION("""COMPUTED_VALUE"""),"대파")</f>
        <v>대파</v>
      </c>
    </row>
    <row r="7346">
      <c r="A7346" s="2" t="str">
        <f>IFERROR(__xludf.DUMMYFUNCTION("""COMPUTED_VALUE"""),"이런 안주 파쌈?")</f>
        <v>이런 안주 파쌈?</v>
      </c>
      <c r="B7346" s="2" t="str">
        <f>IFERROR(__xludf.DUMMYFUNCTION("""COMPUTED_VALUE"""),"양파")</f>
        <v>양파</v>
      </c>
    </row>
    <row r="7347">
      <c r="A7347" s="2" t="str">
        <f>IFERROR(__xludf.DUMMYFUNCTION("""COMPUTED_VALUE"""),"이런 안주 파쌈?")</f>
        <v>이런 안주 파쌈?</v>
      </c>
      <c r="B7347" s="2" t="str">
        <f>IFERROR(__xludf.DUMMYFUNCTION("""COMPUTED_VALUE"""),"고추장")</f>
        <v>고추장</v>
      </c>
    </row>
    <row r="7348">
      <c r="A7348" s="2" t="str">
        <f>IFERROR(__xludf.DUMMYFUNCTION("""COMPUTED_VALUE"""),"이런 안주 파쌈?")</f>
        <v>이런 안주 파쌈?</v>
      </c>
      <c r="B7348" s="2" t="str">
        <f>IFERROR(__xludf.DUMMYFUNCTION("""COMPUTED_VALUE"""),"된장")</f>
        <v>된장</v>
      </c>
    </row>
    <row r="7349">
      <c r="A7349" s="2" t="str">
        <f>IFERROR(__xludf.DUMMYFUNCTION("""COMPUTED_VALUE"""),"국밥 맞고등?")</f>
        <v>국밥 맞고등?</v>
      </c>
      <c r="B7349" s="2" t="str">
        <f>IFERROR(__xludf.DUMMYFUNCTION("""COMPUTED_VALUE"""),"고등어")</f>
        <v>고등어</v>
      </c>
    </row>
    <row r="7350">
      <c r="A7350" s="2" t="str">
        <f>IFERROR(__xludf.DUMMYFUNCTION("""COMPUTED_VALUE"""),"국밥 맞고등?")</f>
        <v>국밥 맞고등?</v>
      </c>
      <c r="B7350" s="2" t="str">
        <f>IFERROR(__xludf.DUMMYFUNCTION("""COMPUTED_VALUE"""),"들깻가루")</f>
        <v>들깻가루</v>
      </c>
    </row>
    <row r="7351">
      <c r="A7351" s="2" t="str">
        <f>IFERROR(__xludf.DUMMYFUNCTION("""COMPUTED_VALUE"""),"국밥 맞고등?")</f>
        <v>국밥 맞고등?</v>
      </c>
      <c r="B7351" s="2" t="str">
        <f>IFERROR(__xludf.DUMMYFUNCTION("""COMPUTED_VALUE"""),"차돌박이")</f>
        <v>차돌박이</v>
      </c>
    </row>
    <row r="7352">
      <c r="A7352" s="2" t="str">
        <f>IFERROR(__xludf.DUMMYFUNCTION("""COMPUTED_VALUE"""),"국밥 맞고등?")</f>
        <v>국밥 맞고등?</v>
      </c>
      <c r="B7352" s="2" t="str">
        <f>IFERROR(__xludf.DUMMYFUNCTION("""COMPUTED_VALUE"""),"항정살")</f>
        <v>항정살</v>
      </c>
    </row>
    <row r="7353">
      <c r="A7353" s="2" t="str">
        <f>IFERROR(__xludf.DUMMYFUNCTION("""COMPUTED_VALUE"""),"국밥 맞고등?")</f>
        <v>국밥 맞고등?</v>
      </c>
      <c r="B7353" s="2" t="str">
        <f>IFERROR(__xludf.DUMMYFUNCTION("""COMPUTED_VALUE"""),"멸치액젓")</f>
        <v>멸치액젓</v>
      </c>
    </row>
    <row r="7354">
      <c r="A7354" s="2" t="str">
        <f>IFERROR(__xludf.DUMMYFUNCTION("""COMPUTED_VALUE"""),"국밥 맞고등?")</f>
        <v>국밥 맞고등?</v>
      </c>
      <c r="B7354" s="2" t="str">
        <f>IFERROR(__xludf.DUMMYFUNCTION("""COMPUTED_VALUE"""),"새송이버섯")</f>
        <v>새송이버섯</v>
      </c>
    </row>
    <row r="7355">
      <c r="A7355" s="2" t="str">
        <f>IFERROR(__xludf.DUMMYFUNCTION("""COMPUTED_VALUE"""),"국밥 맞고등?")</f>
        <v>국밥 맞고등?</v>
      </c>
      <c r="B7355" s="2" t="str">
        <f>IFERROR(__xludf.DUMMYFUNCTION("""COMPUTED_VALUE"""),"순대")</f>
        <v>순대</v>
      </c>
    </row>
    <row r="7356">
      <c r="A7356" s="2" t="str">
        <f>IFERROR(__xludf.DUMMYFUNCTION("""COMPUTED_VALUE"""),"국밥 맞고등?")</f>
        <v>국밥 맞고등?</v>
      </c>
      <c r="B7356" s="2" t="str">
        <f>IFERROR(__xludf.DUMMYFUNCTION("""COMPUTED_VALUE"""),"오이")</f>
        <v>오이</v>
      </c>
    </row>
    <row r="7357">
      <c r="A7357" s="2" t="str">
        <f>IFERROR(__xludf.DUMMYFUNCTION("""COMPUTED_VALUE"""),"국밥 맞고등?")</f>
        <v>국밥 맞고등?</v>
      </c>
      <c r="B7357" s="2" t="str">
        <f>IFERROR(__xludf.DUMMYFUNCTION("""COMPUTED_VALUE"""),"고춧가루")</f>
        <v>고춧가루</v>
      </c>
    </row>
    <row r="7358">
      <c r="A7358" s="2" t="str">
        <f>IFERROR(__xludf.DUMMYFUNCTION("""COMPUTED_VALUE"""),"국밥 맞고등?")</f>
        <v>국밥 맞고등?</v>
      </c>
      <c r="B7358" s="2" t="str">
        <f>IFERROR(__xludf.DUMMYFUNCTION("""COMPUTED_VALUE"""),"청양고추")</f>
        <v>청양고추</v>
      </c>
    </row>
    <row r="7359">
      <c r="A7359" s="2" t="str">
        <f>IFERROR(__xludf.DUMMYFUNCTION("""COMPUTED_VALUE"""),"국밥 맞고등?")</f>
        <v>국밥 맞고등?</v>
      </c>
      <c r="B7359" s="2" t="str">
        <f>IFERROR(__xludf.DUMMYFUNCTION("""COMPUTED_VALUE"""),"대파")</f>
        <v>대파</v>
      </c>
    </row>
    <row r="7360">
      <c r="A7360" s="2" t="str">
        <f>IFERROR(__xludf.DUMMYFUNCTION("""COMPUTED_VALUE"""),"국밥 맞고등?")</f>
        <v>국밥 맞고등?</v>
      </c>
      <c r="B7360" s="2" t="str">
        <f>IFERROR(__xludf.DUMMYFUNCTION("""COMPUTED_VALUE"""),"다진 마늘")</f>
        <v>다진 마늘</v>
      </c>
    </row>
    <row r="7361">
      <c r="A7361" s="2" t="str">
        <f>IFERROR(__xludf.DUMMYFUNCTION("""COMPUTED_VALUE"""),"국밥 맞고등?")</f>
        <v>국밥 맞고등?</v>
      </c>
      <c r="B7361" s="2" t="str">
        <f>IFERROR(__xludf.DUMMYFUNCTION("""COMPUTED_VALUE"""),"다진 생강")</f>
        <v>다진 생강</v>
      </c>
    </row>
    <row r="7362">
      <c r="A7362" s="2" t="str">
        <f>IFERROR(__xludf.DUMMYFUNCTION("""COMPUTED_VALUE"""),"국밥 맞고등?")</f>
        <v>국밥 맞고등?</v>
      </c>
      <c r="B7362" s="2" t="str">
        <f>IFERROR(__xludf.DUMMYFUNCTION("""COMPUTED_VALUE"""),"즉석밥")</f>
        <v>즉석밥</v>
      </c>
    </row>
    <row r="7363">
      <c r="A7363" s="2" t="str">
        <f>IFERROR(__xludf.DUMMYFUNCTION("""COMPUTED_VALUE"""),"국밥 맞고등?")</f>
        <v>국밥 맞고등?</v>
      </c>
      <c r="B7363" s="2" t="str">
        <f>IFERROR(__xludf.DUMMYFUNCTION("""COMPUTED_VALUE"""),"고추")</f>
        <v>고추</v>
      </c>
    </row>
    <row r="7364">
      <c r="A7364" s="2" t="str">
        <f>IFERROR(__xludf.DUMMYFUNCTION("""COMPUTED_VALUE"""),"소박한 국밥")</f>
        <v>소박한 국밥</v>
      </c>
      <c r="B7364" s="2" t="str">
        <f>IFERROR(__xludf.DUMMYFUNCTION("""COMPUTED_VALUE"""),"인스턴트 양념닭발")</f>
        <v>인스턴트 양념닭발</v>
      </c>
    </row>
    <row r="7365">
      <c r="A7365" s="2" t="str">
        <f>IFERROR(__xludf.DUMMYFUNCTION("""COMPUTED_VALUE"""),"소박한 국밥")</f>
        <v>소박한 국밥</v>
      </c>
      <c r="B7365" s="2" t="str">
        <f>IFERROR(__xludf.DUMMYFUNCTION("""COMPUTED_VALUE"""),"항정살")</f>
        <v>항정살</v>
      </c>
    </row>
    <row r="7366">
      <c r="A7366" s="2" t="str">
        <f>IFERROR(__xludf.DUMMYFUNCTION("""COMPUTED_VALUE"""),"소박한 국밥")</f>
        <v>소박한 국밥</v>
      </c>
      <c r="B7366" s="2" t="str">
        <f>IFERROR(__xludf.DUMMYFUNCTION("""COMPUTED_VALUE"""),"오이")</f>
        <v>오이</v>
      </c>
    </row>
    <row r="7367">
      <c r="A7367" s="2" t="str">
        <f>IFERROR(__xludf.DUMMYFUNCTION("""COMPUTED_VALUE"""),"소박한 국밥")</f>
        <v>소박한 국밥</v>
      </c>
      <c r="B7367" s="2" t="str">
        <f>IFERROR(__xludf.DUMMYFUNCTION("""COMPUTED_VALUE"""),"순대")</f>
        <v>순대</v>
      </c>
    </row>
    <row r="7368">
      <c r="A7368" s="2" t="str">
        <f>IFERROR(__xludf.DUMMYFUNCTION("""COMPUTED_VALUE"""),"소박한 국밥")</f>
        <v>소박한 국밥</v>
      </c>
      <c r="B7368" s="2" t="str">
        <f>IFERROR(__xludf.DUMMYFUNCTION("""COMPUTED_VALUE"""),"들깻가루")</f>
        <v>들깻가루</v>
      </c>
    </row>
    <row r="7369">
      <c r="A7369" s="2" t="str">
        <f>IFERROR(__xludf.DUMMYFUNCTION("""COMPUTED_VALUE"""),"소박한 국밥")</f>
        <v>소박한 국밥</v>
      </c>
      <c r="B7369" s="2" t="str">
        <f>IFERROR(__xludf.DUMMYFUNCTION("""COMPUTED_VALUE"""),"갓김치")</f>
        <v>갓김치</v>
      </c>
    </row>
    <row r="7370">
      <c r="A7370" s="2" t="str">
        <f>IFERROR(__xludf.DUMMYFUNCTION("""COMPUTED_VALUE"""),"소박한 국밥")</f>
        <v>소박한 국밥</v>
      </c>
      <c r="B7370" s="2" t="str">
        <f>IFERROR(__xludf.DUMMYFUNCTION("""COMPUTED_VALUE"""),"새우젓")</f>
        <v>새우젓</v>
      </c>
    </row>
    <row r="7371">
      <c r="A7371" s="2" t="str">
        <f>IFERROR(__xludf.DUMMYFUNCTION("""COMPUTED_VALUE"""),"소박한 국밥")</f>
        <v>소박한 국밥</v>
      </c>
      <c r="B7371" s="2" t="str">
        <f>IFERROR(__xludf.DUMMYFUNCTION("""COMPUTED_VALUE"""),"참기름")</f>
        <v>참기름</v>
      </c>
    </row>
    <row r="7372">
      <c r="A7372" s="2" t="str">
        <f>IFERROR(__xludf.DUMMYFUNCTION("""COMPUTED_VALUE"""),"소박한 국밥")</f>
        <v>소박한 국밥</v>
      </c>
      <c r="B7372" s="2" t="str">
        <f>IFERROR(__xludf.DUMMYFUNCTION("""COMPUTED_VALUE"""),"고추장")</f>
        <v>고추장</v>
      </c>
    </row>
    <row r="7373">
      <c r="A7373" s="2" t="str">
        <f>IFERROR(__xludf.DUMMYFUNCTION("""COMPUTED_VALUE"""),"소박한 국밥")</f>
        <v>소박한 국밥</v>
      </c>
      <c r="B7373" s="2" t="str">
        <f>IFERROR(__xludf.DUMMYFUNCTION("""COMPUTED_VALUE"""),"청양고추")</f>
        <v>청양고추</v>
      </c>
    </row>
    <row r="7374">
      <c r="A7374" s="2" t="str">
        <f>IFERROR(__xludf.DUMMYFUNCTION("""COMPUTED_VALUE"""),"소박한 국밥")</f>
        <v>소박한 국밥</v>
      </c>
      <c r="B7374" s="2" t="str">
        <f>IFERROR(__xludf.DUMMYFUNCTION("""COMPUTED_VALUE"""),"마늘")</f>
        <v>마늘</v>
      </c>
    </row>
    <row r="7375">
      <c r="A7375" s="2" t="str">
        <f>IFERROR(__xludf.DUMMYFUNCTION("""COMPUTED_VALUE"""),"소박한 국밥")</f>
        <v>소박한 국밥</v>
      </c>
      <c r="B7375" s="2" t="str">
        <f>IFERROR(__xludf.DUMMYFUNCTION("""COMPUTED_VALUE"""),"소금")</f>
        <v>소금</v>
      </c>
    </row>
    <row r="7376">
      <c r="A7376" s="2" t="str">
        <f>IFERROR(__xludf.DUMMYFUNCTION("""COMPUTED_VALUE"""),"소박한 국밥")</f>
        <v>소박한 국밥</v>
      </c>
      <c r="B7376" s="2" t="str">
        <f>IFERROR(__xludf.DUMMYFUNCTION("""COMPUTED_VALUE"""),"참기름")</f>
        <v>참기름</v>
      </c>
    </row>
    <row r="7377">
      <c r="A7377" s="2" t="str">
        <f>IFERROR(__xludf.DUMMYFUNCTION("""COMPUTED_VALUE"""),"소박한 국밥")</f>
        <v>소박한 국밥</v>
      </c>
      <c r="B7377" s="2" t="str">
        <f>IFERROR(__xludf.DUMMYFUNCTION("""COMPUTED_VALUE"""),"양파")</f>
        <v>양파</v>
      </c>
    </row>
    <row r="7378">
      <c r="A7378" s="2" t="str">
        <f>IFERROR(__xludf.DUMMYFUNCTION("""COMPUTED_VALUE"""),"소박한 국밥")</f>
        <v>소박한 국밥</v>
      </c>
      <c r="B7378" s="2" t="str">
        <f>IFERROR(__xludf.DUMMYFUNCTION("""COMPUTED_VALUE"""),"대파")</f>
        <v>대파</v>
      </c>
    </row>
    <row r="7379">
      <c r="A7379" s="2" t="str">
        <f>IFERROR(__xludf.DUMMYFUNCTION("""COMPUTED_VALUE"""),"숙모닝")</f>
        <v>숙모닝</v>
      </c>
      <c r="B7379" s="2" t="str">
        <f>IFERROR(__xludf.DUMMYFUNCTION("""COMPUTED_VALUE"""),"브리치즈")</f>
        <v>브리치즈</v>
      </c>
    </row>
    <row r="7380">
      <c r="A7380" s="2" t="str">
        <f>IFERROR(__xludf.DUMMYFUNCTION("""COMPUTED_VALUE"""),"숙모닝")</f>
        <v>숙모닝</v>
      </c>
      <c r="B7380" s="2" t="str">
        <f>IFERROR(__xludf.DUMMYFUNCTION("""COMPUTED_VALUE"""),"우유")</f>
        <v>우유</v>
      </c>
    </row>
    <row r="7381">
      <c r="A7381" s="2" t="str">
        <f>IFERROR(__xludf.DUMMYFUNCTION("""COMPUTED_VALUE"""),"숙모닝")</f>
        <v>숙모닝</v>
      </c>
      <c r="B7381" s="2" t="str">
        <f>IFERROR(__xludf.DUMMYFUNCTION("""COMPUTED_VALUE"""),"꿀")</f>
        <v>꿀</v>
      </c>
    </row>
    <row r="7382">
      <c r="A7382" s="2" t="str">
        <f>IFERROR(__xludf.DUMMYFUNCTION("""COMPUTED_VALUE"""),"숙모닝")</f>
        <v>숙모닝</v>
      </c>
      <c r="B7382" s="2" t="str">
        <f>IFERROR(__xludf.DUMMYFUNCTION("""COMPUTED_VALUE"""),"모과청")</f>
        <v>모과청</v>
      </c>
    </row>
    <row r="7383">
      <c r="A7383" s="2" t="str">
        <f>IFERROR(__xludf.DUMMYFUNCTION("""COMPUTED_VALUE"""),"숙모닝")</f>
        <v>숙모닝</v>
      </c>
      <c r="B7383" s="2" t="str">
        <f>IFERROR(__xludf.DUMMYFUNCTION("""COMPUTED_VALUE"""),"달걀")</f>
        <v>달걀</v>
      </c>
    </row>
    <row r="7384">
      <c r="A7384" s="2" t="str">
        <f>IFERROR(__xludf.DUMMYFUNCTION("""COMPUTED_VALUE"""),"숙나잇")</f>
        <v>숙나잇</v>
      </c>
      <c r="B7384" s="2" t="str">
        <f>IFERROR(__xludf.DUMMYFUNCTION("""COMPUTED_VALUE"""),"당면")</f>
        <v>당면</v>
      </c>
    </row>
    <row r="7385">
      <c r="A7385" s="2" t="str">
        <f>IFERROR(__xludf.DUMMYFUNCTION("""COMPUTED_VALUE"""),"숙나잇")</f>
        <v>숙나잇</v>
      </c>
      <c r="B7385" s="2" t="str">
        <f>IFERROR(__xludf.DUMMYFUNCTION("""COMPUTED_VALUE"""),"인스턴트 만두")</f>
        <v>인스턴트 만두</v>
      </c>
    </row>
    <row r="7386">
      <c r="A7386" s="2" t="str">
        <f>IFERROR(__xludf.DUMMYFUNCTION("""COMPUTED_VALUE"""),"숙나잇")</f>
        <v>숙나잇</v>
      </c>
      <c r="B7386" s="2" t="str">
        <f>IFERROR(__xludf.DUMMYFUNCTION("""COMPUTED_VALUE"""),"콜라")</f>
        <v>콜라</v>
      </c>
    </row>
    <row r="7387">
      <c r="A7387" s="2" t="str">
        <f>IFERROR(__xludf.DUMMYFUNCTION("""COMPUTED_VALUE"""),"숙나잇")</f>
        <v>숙나잇</v>
      </c>
      <c r="B7387" s="2" t="str">
        <f>IFERROR(__xludf.DUMMYFUNCTION("""COMPUTED_VALUE"""),"고추장")</f>
        <v>고추장</v>
      </c>
    </row>
    <row r="7388">
      <c r="A7388" s="2" t="str">
        <f>IFERROR(__xludf.DUMMYFUNCTION("""COMPUTED_VALUE"""),"숙나잇")</f>
        <v>숙나잇</v>
      </c>
      <c r="B7388" s="2" t="str">
        <f>IFERROR(__xludf.DUMMYFUNCTION("""COMPUTED_VALUE"""),"오이")</f>
        <v>오이</v>
      </c>
    </row>
    <row r="7389">
      <c r="A7389" s="2" t="str">
        <f>IFERROR(__xludf.DUMMYFUNCTION("""COMPUTED_VALUE"""),"숙나잇")</f>
        <v>숙나잇</v>
      </c>
      <c r="B7389" s="2" t="str">
        <f>IFERROR(__xludf.DUMMYFUNCTION("""COMPUTED_VALUE"""),"당근")</f>
        <v>당근</v>
      </c>
    </row>
    <row r="7390">
      <c r="A7390" s="2" t="str">
        <f>IFERROR(__xludf.DUMMYFUNCTION("""COMPUTED_VALUE"""),"숙나잇")</f>
        <v>숙나잇</v>
      </c>
      <c r="B7390" s="2" t="str">
        <f>IFERROR(__xludf.DUMMYFUNCTION("""COMPUTED_VALUE"""),"어묵")</f>
        <v>어묵</v>
      </c>
    </row>
    <row r="7391">
      <c r="A7391" s="2" t="str">
        <f>IFERROR(__xludf.DUMMYFUNCTION("""COMPUTED_VALUE"""),"숙나잇")</f>
        <v>숙나잇</v>
      </c>
      <c r="B7391" s="2" t="str">
        <f>IFERROR(__xludf.DUMMYFUNCTION("""COMPUTED_VALUE"""),"칼라만시식초")</f>
        <v>칼라만시식초</v>
      </c>
    </row>
    <row r="7392">
      <c r="A7392" s="2" t="str">
        <f>IFERROR(__xludf.DUMMYFUNCTION("""COMPUTED_VALUE"""),"숙나잇")</f>
        <v>숙나잇</v>
      </c>
      <c r="B7392" s="2" t="str">
        <f>IFERROR(__xludf.DUMMYFUNCTION("""COMPUTED_VALUE"""),"게맛살")</f>
        <v>게맛살</v>
      </c>
    </row>
    <row r="7393">
      <c r="A7393" s="2" t="str">
        <f>IFERROR(__xludf.DUMMYFUNCTION("""COMPUTED_VALUE"""),"숙나잇")</f>
        <v>숙나잇</v>
      </c>
      <c r="B7393" s="2" t="str">
        <f>IFERROR(__xludf.DUMMYFUNCTION("""COMPUTED_VALUE"""),"오징어포과자")</f>
        <v>오징어포과자</v>
      </c>
    </row>
    <row r="7394">
      <c r="A7394" s="2" t="str">
        <f>IFERROR(__xludf.DUMMYFUNCTION("""COMPUTED_VALUE"""),"숙나잇")</f>
        <v>숙나잇</v>
      </c>
      <c r="B7394" s="2" t="str">
        <f>IFERROR(__xludf.DUMMYFUNCTION("""COMPUTED_VALUE"""),"달걀")</f>
        <v>달걀</v>
      </c>
    </row>
    <row r="7395">
      <c r="A7395" s="2" t="str">
        <f>IFERROR(__xludf.DUMMYFUNCTION("""COMPUTED_VALUE"""),"이길 만두 하지? 당근!")</f>
        <v>이길 만두 하지? 당근!</v>
      </c>
      <c r="B7395" s="2" t="str">
        <f>IFERROR(__xludf.DUMMYFUNCTION("""COMPUTED_VALUE"""),"당근")</f>
        <v>당근</v>
      </c>
    </row>
    <row r="7396">
      <c r="A7396" s="2" t="str">
        <f>IFERROR(__xludf.DUMMYFUNCTION("""COMPUTED_VALUE"""),"이길 만두 하지? 당근!")</f>
        <v>이길 만두 하지? 당근!</v>
      </c>
      <c r="B7396" s="2" t="str">
        <f>IFERROR(__xludf.DUMMYFUNCTION("""COMPUTED_VALUE"""),"어묵")</f>
        <v>어묵</v>
      </c>
    </row>
    <row r="7397">
      <c r="A7397" s="2" t="str">
        <f>IFERROR(__xludf.DUMMYFUNCTION("""COMPUTED_VALUE"""),"이길 만두 하지? 당근!")</f>
        <v>이길 만두 하지? 당근!</v>
      </c>
      <c r="B7397" s="2" t="str">
        <f>IFERROR(__xludf.DUMMYFUNCTION("""COMPUTED_VALUE"""),"게맛살")</f>
        <v>게맛살</v>
      </c>
    </row>
    <row r="7398">
      <c r="A7398" s="2" t="str">
        <f>IFERROR(__xludf.DUMMYFUNCTION("""COMPUTED_VALUE"""),"이길 만두 하지? 당근!")</f>
        <v>이길 만두 하지? 당근!</v>
      </c>
      <c r="B7398" s="2" t="str">
        <f>IFERROR(__xludf.DUMMYFUNCTION("""COMPUTED_VALUE"""),"오징어포과자")</f>
        <v>오징어포과자</v>
      </c>
    </row>
    <row r="7399">
      <c r="A7399" s="2" t="str">
        <f>IFERROR(__xludf.DUMMYFUNCTION("""COMPUTED_VALUE"""),"이길 만두 하지? 당근!")</f>
        <v>이길 만두 하지? 당근!</v>
      </c>
      <c r="B7399" s="2" t="str">
        <f>IFERROR(__xludf.DUMMYFUNCTION("""COMPUTED_VALUE"""),"오이")</f>
        <v>오이</v>
      </c>
    </row>
    <row r="7400">
      <c r="A7400" s="2" t="str">
        <f>IFERROR(__xludf.DUMMYFUNCTION("""COMPUTED_VALUE"""),"이길 만두 하지? 당근!")</f>
        <v>이길 만두 하지? 당근!</v>
      </c>
      <c r="B7400" s="2" t="str">
        <f>IFERROR(__xludf.DUMMYFUNCTION("""COMPUTED_VALUE"""),"칼라만시식초")</f>
        <v>칼라만시식초</v>
      </c>
    </row>
    <row r="7401">
      <c r="A7401" s="2" t="str">
        <f>IFERROR(__xludf.DUMMYFUNCTION("""COMPUTED_VALUE"""),"오늘 나~ 이길 거 맞지♬")</f>
        <v>오늘 나~ 이길 거 맞지♬</v>
      </c>
      <c r="B7401" s="2" t="str">
        <f>IFERROR(__xludf.DUMMYFUNCTION("""COMPUTED_VALUE"""),"당근")</f>
        <v>당근</v>
      </c>
    </row>
    <row r="7402">
      <c r="A7402" s="2" t="str">
        <f>IFERROR(__xludf.DUMMYFUNCTION("""COMPUTED_VALUE"""),"오늘 나~ 이길 거 맞지♬")</f>
        <v>오늘 나~ 이길 거 맞지♬</v>
      </c>
      <c r="B7402" s="2" t="str">
        <f>IFERROR(__xludf.DUMMYFUNCTION("""COMPUTED_VALUE"""),"밤식빵")</f>
        <v>밤식빵</v>
      </c>
    </row>
    <row r="7403">
      <c r="A7403" s="2" t="str">
        <f>IFERROR(__xludf.DUMMYFUNCTION("""COMPUTED_VALUE"""),"오늘 나~ 이길 거 맞지♬")</f>
        <v>오늘 나~ 이길 거 맞지♬</v>
      </c>
      <c r="B7403" s="2" t="str">
        <f>IFERROR(__xludf.DUMMYFUNCTION("""COMPUTED_VALUE"""),"우유")</f>
        <v>우유</v>
      </c>
    </row>
    <row r="7404">
      <c r="A7404" s="2" t="str">
        <f>IFERROR(__xludf.DUMMYFUNCTION("""COMPUTED_VALUE"""),"오늘 나~ 이길 거 맞지♬")</f>
        <v>오늘 나~ 이길 거 맞지♬</v>
      </c>
      <c r="B7404" s="2" t="str">
        <f>IFERROR(__xludf.DUMMYFUNCTION("""COMPUTED_VALUE"""),"크림치즈")</f>
        <v>크림치즈</v>
      </c>
    </row>
    <row r="7405">
      <c r="A7405" s="2" t="str">
        <f>IFERROR(__xludf.DUMMYFUNCTION("""COMPUTED_VALUE"""),"오늘 나~ 이길 거 맞지♬")</f>
        <v>오늘 나~ 이길 거 맞지♬</v>
      </c>
      <c r="B7405" s="2" t="str">
        <f>IFERROR(__xludf.DUMMYFUNCTION("""COMPUTED_VALUE"""),"게맛살")</f>
        <v>게맛살</v>
      </c>
    </row>
    <row r="7406">
      <c r="A7406" s="2" t="str">
        <f>IFERROR(__xludf.DUMMYFUNCTION("""COMPUTED_VALUE"""),"해산물이 맛있셧업♬")</f>
        <v>해산물이 맛있셧업♬</v>
      </c>
      <c r="B7406" s="2" t="str">
        <f>IFERROR(__xludf.DUMMYFUNCTION("""COMPUTED_VALUE"""),"백합")</f>
        <v>백합</v>
      </c>
    </row>
    <row r="7407">
      <c r="A7407" s="2" t="str">
        <f>IFERROR(__xludf.DUMMYFUNCTION("""COMPUTED_VALUE"""),"해산물이 맛있셧업♬")</f>
        <v>해산물이 맛있셧업♬</v>
      </c>
      <c r="B7407" s="2" t="str">
        <f>IFERROR(__xludf.DUMMYFUNCTION("""COMPUTED_VALUE"""),"가지")</f>
        <v>가지</v>
      </c>
    </row>
    <row r="7408">
      <c r="A7408" s="2" t="str">
        <f>IFERROR(__xludf.DUMMYFUNCTION("""COMPUTED_VALUE"""),"해산물이 맛있셧업♬")</f>
        <v>해산물이 맛있셧업♬</v>
      </c>
      <c r="B7408" s="2" t="str">
        <f>IFERROR(__xludf.DUMMYFUNCTION("""COMPUTED_VALUE"""),"파프리카")</f>
        <v>파프리카</v>
      </c>
    </row>
    <row r="7409">
      <c r="A7409" s="2" t="str">
        <f>IFERROR(__xludf.DUMMYFUNCTION("""COMPUTED_VALUE"""),"해산물이 맛있셧업♬")</f>
        <v>해산물이 맛있셧업♬</v>
      </c>
      <c r="B7409" s="2" t="str">
        <f>IFERROR(__xludf.DUMMYFUNCTION("""COMPUTED_VALUE"""),"불린 렌틸콩")</f>
        <v>불린 렌틸콩</v>
      </c>
    </row>
    <row r="7410">
      <c r="A7410" s="2" t="str">
        <f>IFERROR(__xludf.DUMMYFUNCTION("""COMPUTED_VALUE"""),"해산물이 맛있셧업♬")</f>
        <v>해산물이 맛있셧업♬</v>
      </c>
      <c r="B7410" s="2" t="str">
        <f>IFERROR(__xludf.DUMMYFUNCTION("""COMPUTED_VALUE"""),"데친 문어")</f>
        <v>데친 문어</v>
      </c>
    </row>
    <row r="7411">
      <c r="A7411" s="2" t="str">
        <f>IFERROR(__xludf.DUMMYFUNCTION("""COMPUTED_VALUE"""),"해산물이 맛있셧업♬")</f>
        <v>해산물이 맛있셧업♬</v>
      </c>
      <c r="B7411" s="2" t="str">
        <f>IFERROR(__xludf.DUMMYFUNCTION("""COMPUTED_VALUE"""),"낙지")</f>
        <v>낙지</v>
      </c>
    </row>
    <row r="7412">
      <c r="A7412" s="2" t="str">
        <f>IFERROR(__xludf.DUMMYFUNCTION("""COMPUTED_VALUE"""),"해산물이 맛있셧업♬")</f>
        <v>해산물이 맛있셧업♬</v>
      </c>
      <c r="B7412" s="2" t="str">
        <f>IFERROR(__xludf.DUMMYFUNCTION("""COMPUTED_VALUE"""),"미나리")</f>
        <v>미나리</v>
      </c>
    </row>
    <row r="7413">
      <c r="A7413" s="2" t="str">
        <f>IFERROR(__xludf.DUMMYFUNCTION("""COMPUTED_VALUE"""),"해산물이 맛있셧업♬")</f>
        <v>해산물이 맛있셧업♬</v>
      </c>
      <c r="B7413" s="2" t="str">
        <f>IFERROR(__xludf.DUMMYFUNCTION("""COMPUTED_VALUE"""),"허브시즈닝")</f>
        <v>허브시즈닝</v>
      </c>
    </row>
    <row r="7414">
      <c r="A7414" s="2" t="str">
        <f>IFERROR(__xludf.DUMMYFUNCTION("""COMPUTED_VALUE"""),"해산물이 맛있셧업♬")</f>
        <v>해산물이 맛있셧업♬</v>
      </c>
      <c r="B7414" s="2" t="str">
        <f>IFERROR(__xludf.DUMMYFUNCTION("""COMPUTED_VALUE"""),"마늘")</f>
        <v>마늘</v>
      </c>
    </row>
    <row r="7415">
      <c r="A7415" s="2" t="str">
        <f>IFERROR(__xludf.DUMMYFUNCTION("""COMPUTED_VALUE"""),"해산물이 맛있셧업♬")</f>
        <v>해산물이 맛있셧업♬</v>
      </c>
      <c r="B7415" s="2" t="str">
        <f>IFERROR(__xludf.DUMMYFUNCTION("""COMPUTED_VALUE"""),"양파")</f>
        <v>양파</v>
      </c>
    </row>
    <row r="7416">
      <c r="A7416" s="2" t="str">
        <f>IFERROR(__xludf.DUMMYFUNCTION("""COMPUTED_VALUE"""),"해산물이 맛있셧업♬")</f>
        <v>해산물이 맛있셧업♬</v>
      </c>
      <c r="B7416" s="2" t="str">
        <f>IFERROR(__xludf.DUMMYFUNCTION("""COMPUTED_VALUE"""),"당근")</f>
        <v>당근</v>
      </c>
    </row>
    <row r="7417">
      <c r="A7417" s="2" t="str">
        <f>IFERROR(__xludf.DUMMYFUNCTION("""COMPUTED_VALUE"""),"해산물이 맛있셧업♬")</f>
        <v>해산물이 맛있셧업♬</v>
      </c>
      <c r="B7417" s="2" t="str">
        <f>IFERROR(__xludf.DUMMYFUNCTION("""COMPUTED_VALUE"""),"화이트와인")</f>
        <v>화이트와인</v>
      </c>
    </row>
    <row r="7418">
      <c r="A7418" s="2" t="str">
        <f>IFERROR(__xludf.DUMMYFUNCTION("""COMPUTED_VALUE"""),"해산물이 맛있셧업♬")</f>
        <v>해산물이 맛있셧업♬</v>
      </c>
      <c r="B7418" s="2" t="str">
        <f>IFERROR(__xludf.DUMMYFUNCTION("""COMPUTED_VALUE"""),"올리브오일")</f>
        <v>올리브오일</v>
      </c>
    </row>
    <row r="7419">
      <c r="A7419" s="2" t="str">
        <f>IFERROR(__xludf.DUMMYFUNCTION("""COMPUTED_VALUE"""),"해산물이 맛있셧업♬")</f>
        <v>해산물이 맛있셧업♬</v>
      </c>
      <c r="B7419" s="2" t="str">
        <f>IFERROR(__xludf.DUMMYFUNCTION("""COMPUTED_VALUE"""),"소금")</f>
        <v>소금</v>
      </c>
    </row>
    <row r="7420">
      <c r="A7420" s="2" t="str">
        <f>IFERROR(__xludf.DUMMYFUNCTION("""COMPUTED_VALUE"""),"해산물이 맛있셧업♬")</f>
        <v>해산물이 맛있셧업♬</v>
      </c>
      <c r="B7420" s="2" t="str">
        <f>IFERROR(__xludf.DUMMYFUNCTION("""COMPUTED_VALUE"""),"후추")</f>
        <v>후추</v>
      </c>
    </row>
    <row r="7421">
      <c r="A7421" s="2" t="str">
        <f>IFERROR(__xludf.DUMMYFUNCTION("""COMPUTED_VALUE"""),"해산물이 맛있셧업♬")</f>
        <v>해산물이 맛있셧업♬</v>
      </c>
      <c r="B7421" s="2" t="str">
        <f>IFERROR(__xludf.DUMMYFUNCTION("""COMPUTED_VALUE"""),"레몬")</f>
        <v>레몬</v>
      </c>
    </row>
    <row r="7422">
      <c r="A7422" s="2" t="str">
        <f>IFERROR(__xludf.DUMMYFUNCTION("""COMPUTED_VALUE"""),"해산물이 맛있셧업♬")</f>
        <v>해산물이 맛있셧업♬</v>
      </c>
      <c r="B7422" s="2" t="str">
        <f>IFERROR(__xludf.DUMMYFUNCTION("""COMPUTED_VALUE"""),"설탕")</f>
        <v>설탕</v>
      </c>
    </row>
    <row r="7423">
      <c r="A7423" s="2" t="str">
        <f>IFERROR(__xludf.DUMMYFUNCTION("""COMPUTED_VALUE"""),"잉글리쉿")</f>
        <v>잉글리쉿</v>
      </c>
      <c r="B7423" s="2" t="str">
        <f>IFERROR(__xludf.DUMMYFUNCTION("""COMPUTED_VALUE"""),"백합")</f>
        <v>백합</v>
      </c>
    </row>
    <row r="7424">
      <c r="A7424" s="2" t="str">
        <f>IFERROR(__xludf.DUMMYFUNCTION("""COMPUTED_VALUE"""),"잉글리쉿")</f>
        <v>잉글리쉿</v>
      </c>
      <c r="B7424" s="2" t="str">
        <f>IFERROR(__xludf.DUMMYFUNCTION("""COMPUTED_VALUE"""),"바지락살")</f>
        <v>바지락살</v>
      </c>
    </row>
    <row r="7425">
      <c r="A7425" s="2" t="str">
        <f>IFERROR(__xludf.DUMMYFUNCTION("""COMPUTED_VALUE"""),"잉글리쉿")</f>
        <v>잉글리쉿</v>
      </c>
      <c r="B7425" s="2" t="str">
        <f>IFERROR(__xludf.DUMMYFUNCTION("""COMPUTED_VALUE"""),"불린 렌틸콩")</f>
        <v>불린 렌틸콩</v>
      </c>
    </row>
    <row r="7426">
      <c r="A7426" s="2" t="str">
        <f>IFERROR(__xludf.DUMMYFUNCTION("""COMPUTED_VALUE"""),"잉글리쉿")</f>
        <v>잉글리쉿</v>
      </c>
      <c r="B7426" s="2" t="str">
        <f>IFERROR(__xludf.DUMMYFUNCTION("""COMPUTED_VALUE"""),"파프리카")</f>
        <v>파프리카</v>
      </c>
    </row>
    <row r="7427">
      <c r="A7427" s="2" t="str">
        <f>IFERROR(__xludf.DUMMYFUNCTION("""COMPUTED_VALUE"""),"잉글리쉿")</f>
        <v>잉글리쉿</v>
      </c>
      <c r="B7427" s="2" t="str">
        <f>IFERROR(__xludf.DUMMYFUNCTION("""COMPUTED_VALUE"""),"애호박")</f>
        <v>애호박</v>
      </c>
    </row>
    <row r="7428">
      <c r="A7428" s="2" t="str">
        <f>IFERROR(__xludf.DUMMYFUNCTION("""COMPUTED_VALUE"""),"잉글리쉿")</f>
        <v>잉글리쉿</v>
      </c>
      <c r="B7428" s="2" t="str">
        <f>IFERROR(__xludf.DUMMYFUNCTION("""COMPUTED_VALUE"""),"불린 표고버섯")</f>
        <v>불린 표고버섯</v>
      </c>
    </row>
    <row r="7429">
      <c r="A7429" s="2" t="str">
        <f>IFERROR(__xludf.DUMMYFUNCTION("""COMPUTED_VALUE"""),"잉글리쉿")</f>
        <v>잉글리쉿</v>
      </c>
      <c r="B7429" s="2" t="str">
        <f>IFERROR(__xludf.DUMMYFUNCTION("""COMPUTED_VALUE"""),"허브시즈닝")</f>
        <v>허브시즈닝</v>
      </c>
    </row>
    <row r="7430">
      <c r="A7430" s="2" t="str">
        <f>IFERROR(__xludf.DUMMYFUNCTION("""COMPUTED_VALUE"""),"잉글리쉿")</f>
        <v>잉글리쉿</v>
      </c>
      <c r="B7430" s="2" t="str">
        <f>IFERROR(__xludf.DUMMYFUNCTION("""COMPUTED_VALUE"""),"강황가루")</f>
        <v>강황가루</v>
      </c>
    </row>
    <row r="7431">
      <c r="A7431" s="2" t="str">
        <f>IFERROR(__xludf.DUMMYFUNCTION("""COMPUTED_VALUE"""),"잉글리쉿")</f>
        <v>잉글리쉿</v>
      </c>
      <c r="B7431" s="2" t="str">
        <f>IFERROR(__xludf.DUMMYFUNCTION("""COMPUTED_VALUE"""),"감태")</f>
        <v>감태</v>
      </c>
    </row>
    <row r="7432">
      <c r="A7432" s="2" t="str">
        <f>IFERROR(__xludf.DUMMYFUNCTION("""COMPUTED_VALUE"""),"잉글리쉿")</f>
        <v>잉글리쉿</v>
      </c>
      <c r="B7432" s="2" t="str">
        <f>IFERROR(__xludf.DUMMYFUNCTION("""COMPUTED_VALUE"""),"대파")</f>
        <v>대파</v>
      </c>
    </row>
    <row r="7433">
      <c r="A7433" s="2" t="str">
        <f>IFERROR(__xludf.DUMMYFUNCTION("""COMPUTED_VALUE"""),"잉글리쉿")</f>
        <v>잉글리쉿</v>
      </c>
      <c r="B7433" s="2" t="str">
        <f>IFERROR(__xludf.DUMMYFUNCTION("""COMPUTED_VALUE"""),"마늘")</f>
        <v>마늘</v>
      </c>
    </row>
    <row r="7434">
      <c r="A7434" s="2" t="str">
        <f>IFERROR(__xludf.DUMMYFUNCTION("""COMPUTED_VALUE"""),"잉글리쉿")</f>
        <v>잉글리쉿</v>
      </c>
      <c r="B7434" s="2" t="str">
        <f>IFERROR(__xludf.DUMMYFUNCTION("""COMPUTED_VALUE"""),"양파")</f>
        <v>양파</v>
      </c>
    </row>
    <row r="7435">
      <c r="A7435" s="2" t="str">
        <f>IFERROR(__xludf.DUMMYFUNCTION("""COMPUTED_VALUE"""),"잉글리쉿")</f>
        <v>잉글리쉿</v>
      </c>
      <c r="B7435" s="2" t="str">
        <f>IFERROR(__xludf.DUMMYFUNCTION("""COMPUTED_VALUE"""),"고추")</f>
        <v>고추</v>
      </c>
    </row>
    <row r="7436">
      <c r="A7436" s="2" t="str">
        <f>IFERROR(__xludf.DUMMYFUNCTION("""COMPUTED_VALUE"""),"잉글리쉿")</f>
        <v>잉글리쉿</v>
      </c>
      <c r="B7436" s="2" t="str">
        <f>IFERROR(__xludf.DUMMYFUNCTION("""COMPUTED_VALUE"""),"통후추")</f>
        <v>통후추</v>
      </c>
    </row>
    <row r="7437">
      <c r="A7437" s="2" t="str">
        <f>IFERROR(__xludf.DUMMYFUNCTION("""COMPUTED_VALUE"""),"잉글리쉿")</f>
        <v>잉글리쉿</v>
      </c>
      <c r="B7437" s="2" t="str">
        <f>IFERROR(__xludf.DUMMYFUNCTION("""COMPUTED_VALUE"""),"화이트와인")</f>
        <v>화이트와인</v>
      </c>
    </row>
    <row r="7438">
      <c r="A7438" s="2" t="str">
        <f>IFERROR(__xludf.DUMMYFUNCTION("""COMPUTED_VALUE"""),"잉글리쉿")</f>
        <v>잉글리쉿</v>
      </c>
      <c r="B7438" s="2" t="str">
        <f>IFERROR(__xludf.DUMMYFUNCTION("""COMPUTED_VALUE"""),"소금")</f>
        <v>소금</v>
      </c>
    </row>
    <row r="7439">
      <c r="A7439" s="2" t="str">
        <f>IFERROR(__xludf.DUMMYFUNCTION("""COMPUTED_VALUE"""),"잉글리쉿")</f>
        <v>잉글리쉿</v>
      </c>
      <c r="B7439" s="2" t="str">
        <f>IFERROR(__xludf.DUMMYFUNCTION("""COMPUTED_VALUE"""),"당근")</f>
        <v>당근</v>
      </c>
    </row>
    <row r="7440">
      <c r="A7440" s="2" t="str">
        <f>IFERROR(__xludf.DUMMYFUNCTION("""COMPUTED_VALUE"""),"잉글리쉿")</f>
        <v>잉글리쉿</v>
      </c>
      <c r="B7440" s="2" t="str">
        <f>IFERROR(__xludf.DUMMYFUNCTION("""COMPUTED_VALUE"""),"후추")</f>
        <v>후추</v>
      </c>
    </row>
    <row r="7441">
      <c r="A7441" s="2" t="str">
        <f>IFERROR(__xludf.DUMMYFUNCTION("""COMPUTED_VALUE"""),"잉글리쉿")</f>
        <v>잉글리쉿</v>
      </c>
      <c r="B7441" s="2" t="str">
        <f>IFERROR(__xludf.DUMMYFUNCTION("""COMPUTED_VALUE"""),"버터")</f>
        <v>버터</v>
      </c>
    </row>
    <row r="7442">
      <c r="A7442" s="2" t="str">
        <f>IFERROR(__xludf.DUMMYFUNCTION("""COMPUTED_VALUE"""),"지천명 반상")</f>
        <v>지천명 반상</v>
      </c>
      <c r="B7442" s="2" t="str">
        <f>IFERROR(__xludf.DUMMYFUNCTION("""COMPUTED_VALUE"""),"디포리")</f>
        <v>디포리</v>
      </c>
    </row>
    <row r="7443">
      <c r="A7443" s="2" t="str">
        <f>IFERROR(__xludf.DUMMYFUNCTION("""COMPUTED_VALUE"""),"지천명 반상")</f>
        <v>지천명 반상</v>
      </c>
      <c r="B7443" s="2" t="str">
        <f>IFERROR(__xludf.DUMMYFUNCTION("""COMPUTED_VALUE"""),"건새우")</f>
        <v>건새우</v>
      </c>
    </row>
    <row r="7444">
      <c r="A7444" s="2" t="str">
        <f>IFERROR(__xludf.DUMMYFUNCTION("""COMPUTED_VALUE"""),"지천명 반상")</f>
        <v>지천명 반상</v>
      </c>
      <c r="B7444" s="2" t="str">
        <f>IFERROR(__xludf.DUMMYFUNCTION("""COMPUTED_VALUE"""),"불린 표고버섯")</f>
        <v>불린 표고버섯</v>
      </c>
    </row>
    <row r="7445">
      <c r="A7445" s="2" t="str">
        <f>IFERROR(__xludf.DUMMYFUNCTION("""COMPUTED_VALUE"""),"지천명 반상")</f>
        <v>지천명 반상</v>
      </c>
      <c r="B7445" s="2" t="str">
        <f>IFERROR(__xludf.DUMMYFUNCTION("""COMPUTED_VALUE"""),"낙지")</f>
        <v>낙지</v>
      </c>
    </row>
    <row r="7446">
      <c r="A7446" s="2" t="str">
        <f>IFERROR(__xludf.DUMMYFUNCTION("""COMPUTED_VALUE"""),"지천명 반상")</f>
        <v>지천명 반상</v>
      </c>
      <c r="B7446" s="2" t="str">
        <f>IFERROR(__xludf.DUMMYFUNCTION("""COMPUTED_VALUE"""),"어간장")</f>
        <v>어간장</v>
      </c>
    </row>
    <row r="7447">
      <c r="A7447" s="2" t="str">
        <f>IFERROR(__xludf.DUMMYFUNCTION("""COMPUTED_VALUE"""),"지천명 반상")</f>
        <v>지천명 반상</v>
      </c>
      <c r="B7447" s="2" t="str">
        <f>IFERROR(__xludf.DUMMYFUNCTION("""COMPUTED_VALUE"""),"알배추")</f>
        <v>알배추</v>
      </c>
    </row>
    <row r="7448">
      <c r="A7448" s="2" t="str">
        <f>IFERROR(__xludf.DUMMYFUNCTION("""COMPUTED_VALUE"""),"지천명 반상")</f>
        <v>지천명 반상</v>
      </c>
      <c r="B7448" s="2" t="str">
        <f>IFERROR(__xludf.DUMMYFUNCTION("""COMPUTED_VALUE"""),"불린 완두콩")</f>
        <v>불린 완두콩</v>
      </c>
    </row>
    <row r="7449">
      <c r="A7449" s="2" t="str">
        <f>IFERROR(__xludf.DUMMYFUNCTION("""COMPUTED_VALUE"""),"지천명 반상")</f>
        <v>지천명 반상</v>
      </c>
      <c r="B7449" s="2" t="str">
        <f>IFERROR(__xludf.DUMMYFUNCTION("""COMPUTED_VALUE"""),"브로콜리")</f>
        <v>브로콜리</v>
      </c>
    </row>
    <row r="7450">
      <c r="A7450" s="2" t="str">
        <f>IFERROR(__xludf.DUMMYFUNCTION("""COMPUTED_VALUE"""),"지천명 반상")</f>
        <v>지천명 반상</v>
      </c>
      <c r="B7450" s="2" t="str">
        <f>IFERROR(__xludf.DUMMYFUNCTION("""COMPUTED_VALUE"""),"애호박")</f>
        <v>애호박</v>
      </c>
    </row>
    <row r="7451">
      <c r="A7451" s="2" t="str">
        <f>IFERROR(__xludf.DUMMYFUNCTION("""COMPUTED_VALUE"""),"지천명 반상")</f>
        <v>지천명 반상</v>
      </c>
      <c r="B7451" s="2" t="str">
        <f>IFERROR(__xludf.DUMMYFUNCTION("""COMPUTED_VALUE"""),"명란젓")</f>
        <v>명란젓</v>
      </c>
    </row>
    <row r="7452">
      <c r="A7452" s="2" t="str">
        <f>IFERROR(__xludf.DUMMYFUNCTION("""COMPUTED_VALUE"""),"지천명 반상")</f>
        <v>지천명 반상</v>
      </c>
      <c r="B7452" s="2" t="str">
        <f>IFERROR(__xludf.DUMMYFUNCTION("""COMPUTED_VALUE"""),"가자미")</f>
        <v>가자미</v>
      </c>
    </row>
    <row r="7453">
      <c r="A7453" s="2" t="str">
        <f>IFERROR(__xludf.DUMMYFUNCTION("""COMPUTED_VALUE"""),"지천명 반상")</f>
        <v>지천명 반상</v>
      </c>
      <c r="B7453" s="2" t="str">
        <f>IFERROR(__xludf.DUMMYFUNCTION("""COMPUTED_VALUE"""),"명이나물장아찌")</f>
        <v>명이나물장아찌</v>
      </c>
    </row>
    <row r="7454">
      <c r="A7454" s="2" t="str">
        <f>IFERROR(__xludf.DUMMYFUNCTION("""COMPUTED_VALUE"""),"지천명 반상")</f>
        <v>지천명 반상</v>
      </c>
      <c r="B7454" s="2" t="str">
        <f>IFERROR(__xludf.DUMMYFUNCTION("""COMPUTED_VALUE"""),"감태")</f>
        <v>감태</v>
      </c>
    </row>
    <row r="7455">
      <c r="A7455" s="2" t="str">
        <f>IFERROR(__xludf.DUMMYFUNCTION("""COMPUTED_VALUE"""),"지천명 반상")</f>
        <v>지천명 반상</v>
      </c>
      <c r="B7455" s="2" t="str">
        <f>IFERROR(__xludf.DUMMYFUNCTION("""COMPUTED_VALUE"""),"참기름")</f>
        <v>참기름</v>
      </c>
    </row>
    <row r="7456">
      <c r="A7456" s="2" t="str">
        <f>IFERROR(__xludf.DUMMYFUNCTION("""COMPUTED_VALUE"""),"지천명 반상")</f>
        <v>지천명 반상</v>
      </c>
      <c r="B7456" s="2" t="str">
        <f>IFERROR(__xludf.DUMMYFUNCTION("""COMPUTED_VALUE"""),"대파")</f>
        <v>대파</v>
      </c>
    </row>
    <row r="7457">
      <c r="A7457" s="2" t="str">
        <f>IFERROR(__xludf.DUMMYFUNCTION("""COMPUTED_VALUE"""),"지천명 반상")</f>
        <v>지천명 반상</v>
      </c>
      <c r="B7457" s="2" t="str">
        <f>IFERROR(__xludf.DUMMYFUNCTION("""COMPUTED_VALUE"""),"양파")</f>
        <v>양파</v>
      </c>
    </row>
    <row r="7458">
      <c r="A7458" s="2" t="str">
        <f>IFERROR(__xludf.DUMMYFUNCTION("""COMPUTED_VALUE"""),"지천명 반상")</f>
        <v>지천명 반상</v>
      </c>
      <c r="B7458" s="2" t="str">
        <f>IFERROR(__xludf.DUMMYFUNCTION("""COMPUTED_VALUE"""),"마늘")</f>
        <v>마늘</v>
      </c>
    </row>
    <row r="7459">
      <c r="A7459" s="2" t="str">
        <f>IFERROR(__xludf.DUMMYFUNCTION("""COMPUTED_VALUE"""),"지천명 반상")</f>
        <v>지천명 반상</v>
      </c>
      <c r="B7459" s="2" t="str">
        <f>IFERROR(__xludf.DUMMYFUNCTION("""COMPUTED_VALUE"""),"고추")</f>
        <v>고추</v>
      </c>
    </row>
    <row r="7460">
      <c r="A7460" s="2" t="str">
        <f>IFERROR(__xludf.DUMMYFUNCTION("""COMPUTED_VALUE"""),"지천명 반상")</f>
        <v>지천명 반상</v>
      </c>
      <c r="B7460" s="2" t="str">
        <f>IFERROR(__xludf.DUMMYFUNCTION("""COMPUTED_VALUE"""),"즉석밥")</f>
        <v>즉석밥</v>
      </c>
    </row>
    <row r="7461">
      <c r="A7461" s="2" t="str">
        <f>IFERROR(__xludf.DUMMYFUNCTION("""COMPUTED_VALUE"""),"지천명 반상")</f>
        <v>지천명 반상</v>
      </c>
      <c r="B7461" s="2" t="str">
        <f>IFERROR(__xludf.DUMMYFUNCTION("""COMPUTED_VALUE"""),"소금")</f>
        <v>소금</v>
      </c>
    </row>
    <row r="7462">
      <c r="A7462" s="2" t="str">
        <f>IFERROR(__xludf.DUMMYFUNCTION("""COMPUTED_VALUE"""),"지천명 반상")</f>
        <v>지천명 반상</v>
      </c>
      <c r="B7462" s="2" t="str">
        <f>IFERROR(__xludf.DUMMYFUNCTION("""COMPUTED_VALUE"""),"밀가루")</f>
        <v>밀가루</v>
      </c>
    </row>
    <row r="7463">
      <c r="A7463" s="2" t="str">
        <f>IFERROR(__xludf.DUMMYFUNCTION("""COMPUTED_VALUE"""),"지천명 반상")</f>
        <v>지천명 반상</v>
      </c>
      <c r="B7463" s="2" t="str">
        <f>IFERROR(__xludf.DUMMYFUNCTION("""COMPUTED_VALUE"""),"달걀")</f>
        <v>달걀</v>
      </c>
    </row>
    <row r="7464">
      <c r="A7464" s="2" t="str">
        <f>IFERROR(__xludf.DUMMYFUNCTION("""COMPUTED_VALUE"""),"지천명 반상")</f>
        <v>지천명 반상</v>
      </c>
      <c r="B7464" s="2" t="str">
        <f>IFERROR(__xludf.DUMMYFUNCTION("""COMPUTED_VALUE"""),"식초")</f>
        <v>식초</v>
      </c>
    </row>
    <row r="7465">
      <c r="A7465" s="2" t="str">
        <f>IFERROR(__xludf.DUMMYFUNCTION("""COMPUTED_VALUE"""),"지천명 반상")</f>
        <v>지천명 반상</v>
      </c>
      <c r="B7465" s="2" t="str">
        <f>IFERROR(__xludf.DUMMYFUNCTION("""COMPUTED_VALUE"""),"고춧가루")</f>
        <v>고춧가루</v>
      </c>
    </row>
    <row r="7466">
      <c r="A7466" s="2" t="str">
        <f>IFERROR(__xludf.DUMMYFUNCTION("""COMPUTED_VALUE"""),"지천명 반상")</f>
        <v>지천명 반상</v>
      </c>
      <c r="B7466" s="2" t="str">
        <f>IFERROR(__xludf.DUMMYFUNCTION("""COMPUTED_VALUE"""),"깨")</f>
        <v>깨</v>
      </c>
    </row>
    <row r="7467">
      <c r="A7467" s="2" t="str">
        <f>IFERROR(__xludf.DUMMYFUNCTION("""COMPUTED_VALUE"""),"따르릉~ 내가 니 문어야♬")</f>
        <v>따르릉~ 내가 니 문어야♬</v>
      </c>
      <c r="B7467" s="2" t="str">
        <f>IFERROR(__xludf.DUMMYFUNCTION("""COMPUTED_VALUE"""),"데친 문어")</f>
        <v>데친 문어</v>
      </c>
    </row>
    <row r="7468">
      <c r="A7468" s="2" t="str">
        <f>IFERROR(__xludf.DUMMYFUNCTION("""COMPUTED_VALUE"""),"따르릉~ 내가 니 문어야♬")</f>
        <v>따르릉~ 내가 니 문어야♬</v>
      </c>
      <c r="B7468" s="2" t="str">
        <f>IFERROR(__xludf.DUMMYFUNCTION("""COMPUTED_VALUE"""),"오이")</f>
        <v>오이</v>
      </c>
    </row>
    <row r="7469">
      <c r="A7469" s="2" t="str">
        <f>IFERROR(__xludf.DUMMYFUNCTION("""COMPUTED_VALUE"""),"따르릉~ 내가 니 문어야♬")</f>
        <v>따르릉~ 내가 니 문어야♬</v>
      </c>
      <c r="B7469" s="2" t="str">
        <f>IFERROR(__xludf.DUMMYFUNCTION("""COMPUTED_VALUE"""),"불린 미역")</f>
        <v>불린 미역</v>
      </c>
    </row>
    <row r="7470">
      <c r="A7470" s="2" t="str">
        <f>IFERROR(__xludf.DUMMYFUNCTION("""COMPUTED_VALUE"""),"따르릉~ 내가 니 문어야♬")</f>
        <v>따르릉~ 내가 니 문어야♬</v>
      </c>
      <c r="B7470" s="2" t="str">
        <f>IFERROR(__xludf.DUMMYFUNCTION("""COMPUTED_VALUE"""),"불린 표고버섯")</f>
        <v>불린 표고버섯</v>
      </c>
    </row>
    <row r="7471">
      <c r="A7471" s="2" t="str">
        <f>IFERROR(__xludf.DUMMYFUNCTION("""COMPUTED_VALUE"""),"따르릉~ 내가 니 문어야♬")</f>
        <v>따르릉~ 내가 니 문어야♬</v>
      </c>
      <c r="B7471" s="2" t="str">
        <f>IFERROR(__xludf.DUMMYFUNCTION("""COMPUTED_VALUE"""),"마키베리분말")</f>
        <v>마키베리분말</v>
      </c>
    </row>
    <row r="7472">
      <c r="A7472" s="2" t="str">
        <f>IFERROR(__xludf.DUMMYFUNCTION("""COMPUTED_VALUE"""),"따르릉~ 내가 니 문어야♬")</f>
        <v>따르릉~ 내가 니 문어야♬</v>
      </c>
      <c r="B7472" s="2" t="str">
        <f>IFERROR(__xludf.DUMMYFUNCTION("""COMPUTED_VALUE"""),"가지")</f>
        <v>가지</v>
      </c>
    </row>
    <row r="7473">
      <c r="A7473" s="2" t="str">
        <f>IFERROR(__xludf.DUMMYFUNCTION("""COMPUTED_VALUE"""),"따르릉~ 내가 니 문어야♬")</f>
        <v>따르릉~ 내가 니 문어야♬</v>
      </c>
      <c r="B7473" s="2" t="str">
        <f>IFERROR(__xludf.DUMMYFUNCTION("""COMPUTED_VALUE"""),"미나리")</f>
        <v>미나리</v>
      </c>
    </row>
    <row r="7474">
      <c r="A7474" s="2" t="str">
        <f>IFERROR(__xludf.DUMMYFUNCTION("""COMPUTED_VALUE"""),"따르릉~ 내가 니 문어야♬")</f>
        <v>따르릉~ 내가 니 문어야♬</v>
      </c>
      <c r="B7474" s="2" t="str">
        <f>IFERROR(__xludf.DUMMYFUNCTION("""COMPUTED_VALUE"""),"간장")</f>
        <v>간장</v>
      </c>
    </row>
    <row r="7475">
      <c r="A7475" s="2" t="str">
        <f>IFERROR(__xludf.DUMMYFUNCTION("""COMPUTED_VALUE"""),"따르릉~ 내가 니 문어야♬")</f>
        <v>따르릉~ 내가 니 문어야♬</v>
      </c>
      <c r="B7475" s="2" t="str">
        <f>IFERROR(__xludf.DUMMYFUNCTION("""COMPUTED_VALUE"""),"맛술")</f>
        <v>맛술</v>
      </c>
    </row>
    <row r="7476">
      <c r="A7476" s="2" t="str">
        <f>IFERROR(__xludf.DUMMYFUNCTION("""COMPUTED_VALUE"""),"따르릉~ 내가 니 문어야♬")</f>
        <v>따르릉~ 내가 니 문어야♬</v>
      </c>
      <c r="B7476" s="2" t="str">
        <f>IFERROR(__xludf.DUMMYFUNCTION("""COMPUTED_VALUE"""),"청주")</f>
        <v>청주</v>
      </c>
    </row>
    <row r="7477">
      <c r="A7477" s="2" t="str">
        <f>IFERROR(__xludf.DUMMYFUNCTION("""COMPUTED_VALUE"""),"따르릉~ 내가 니 문어야♬")</f>
        <v>따르릉~ 내가 니 문어야♬</v>
      </c>
      <c r="B7477" s="2" t="str">
        <f>IFERROR(__xludf.DUMMYFUNCTION("""COMPUTED_VALUE"""),"설탕")</f>
        <v>설탕</v>
      </c>
    </row>
    <row r="7478">
      <c r="A7478" s="2" t="str">
        <f>IFERROR(__xludf.DUMMYFUNCTION("""COMPUTED_VALUE"""),"따르릉~ 내가 니 문어야♬")</f>
        <v>따르릉~ 내가 니 문어야♬</v>
      </c>
      <c r="B7478" s="2" t="str">
        <f>IFERROR(__xludf.DUMMYFUNCTION("""COMPUTED_VALUE"""),"양파")</f>
        <v>양파</v>
      </c>
    </row>
    <row r="7479">
      <c r="A7479" s="2" t="str">
        <f>IFERROR(__xludf.DUMMYFUNCTION("""COMPUTED_VALUE"""),"따르릉~ 내가 니 문어야♬")</f>
        <v>따르릉~ 내가 니 문어야♬</v>
      </c>
      <c r="B7479" s="2" t="str">
        <f>IFERROR(__xludf.DUMMYFUNCTION("""COMPUTED_VALUE"""),"소금")</f>
        <v>소금</v>
      </c>
    </row>
    <row r="7480">
      <c r="A7480" s="2" t="str">
        <f>IFERROR(__xludf.DUMMYFUNCTION("""COMPUTED_VALUE"""),"따르릉~ 내가 니 문어야♬")</f>
        <v>따르릉~ 내가 니 문어야♬</v>
      </c>
      <c r="B7480" s="2" t="str">
        <f>IFERROR(__xludf.DUMMYFUNCTION("""COMPUTED_VALUE"""),"식초")</f>
        <v>식초</v>
      </c>
    </row>
    <row r="7481">
      <c r="A7481" s="2" t="str">
        <f>IFERROR(__xludf.DUMMYFUNCTION("""COMPUTED_VALUE"""),"따르릉~ 내가 니 문어야♬")</f>
        <v>따르릉~ 내가 니 문어야♬</v>
      </c>
      <c r="B7481" s="2" t="str">
        <f>IFERROR(__xludf.DUMMYFUNCTION("""COMPUTED_VALUE"""),"밀가루")</f>
        <v>밀가루</v>
      </c>
    </row>
    <row r="7482">
      <c r="A7482" s="2" t="str">
        <f>IFERROR(__xludf.DUMMYFUNCTION("""COMPUTED_VALUE"""),"따르릉~ 내가 니 문어야♬")</f>
        <v>따르릉~ 내가 니 문어야♬</v>
      </c>
      <c r="B7482" s="2" t="str">
        <f>IFERROR(__xludf.DUMMYFUNCTION("""COMPUTED_VALUE"""),"레몬")</f>
        <v>레몬</v>
      </c>
    </row>
    <row r="7483">
      <c r="A7483" s="2" t="str">
        <f>IFERROR(__xludf.DUMMYFUNCTION("""COMPUTED_VALUE"""),"따르릉~ 내가 니 문어야♬")</f>
        <v>따르릉~ 내가 니 문어야♬</v>
      </c>
      <c r="B7483" s="2" t="str">
        <f>IFERROR(__xludf.DUMMYFUNCTION("""COMPUTED_VALUE"""),"고추냉이")</f>
        <v>고추냉이</v>
      </c>
    </row>
    <row r="7484">
      <c r="A7484" s="2" t="str">
        <f>IFERROR(__xludf.DUMMYFUNCTION("""COMPUTED_VALUE"""),"M.S.G")</f>
        <v>M.S.G</v>
      </c>
      <c r="B7484" s="2" t="str">
        <f>IFERROR(__xludf.DUMMYFUNCTION("""COMPUTED_VALUE"""),"느타리버섯")</f>
        <v>느타리버섯</v>
      </c>
    </row>
    <row r="7485">
      <c r="A7485" s="2" t="str">
        <f>IFERROR(__xludf.DUMMYFUNCTION("""COMPUTED_VALUE"""),"M.S.G")</f>
        <v>M.S.G</v>
      </c>
      <c r="B7485" s="2" t="str">
        <f>IFERROR(__xludf.DUMMYFUNCTION("""COMPUTED_VALUE"""),"팽이버섯")</f>
        <v>팽이버섯</v>
      </c>
    </row>
    <row r="7486">
      <c r="A7486" s="2" t="str">
        <f>IFERROR(__xludf.DUMMYFUNCTION("""COMPUTED_VALUE"""),"M.S.G")</f>
        <v>M.S.G</v>
      </c>
      <c r="B7486" s="2" t="str">
        <f>IFERROR(__xludf.DUMMYFUNCTION("""COMPUTED_VALUE"""),"비엔나소시지")</f>
        <v>비엔나소시지</v>
      </c>
    </row>
    <row r="7487">
      <c r="A7487" s="2" t="str">
        <f>IFERROR(__xludf.DUMMYFUNCTION("""COMPUTED_VALUE"""),"M.S.G")</f>
        <v>M.S.G</v>
      </c>
      <c r="B7487" s="2" t="str">
        <f>IFERROR(__xludf.DUMMYFUNCTION("""COMPUTED_VALUE"""),"소고기 등심")</f>
        <v>소고기 등심</v>
      </c>
    </row>
    <row r="7488">
      <c r="A7488" s="2" t="str">
        <f>IFERROR(__xludf.DUMMYFUNCTION("""COMPUTED_VALUE"""),"M.S.G")</f>
        <v>M.S.G</v>
      </c>
      <c r="B7488" s="2" t="str">
        <f>IFERROR(__xludf.DUMMYFUNCTION("""COMPUTED_VALUE"""),"인스턴트 샤부샤부육수")</f>
        <v>인스턴트 샤부샤부육수</v>
      </c>
    </row>
    <row r="7489">
      <c r="A7489" s="2" t="str">
        <f>IFERROR(__xludf.DUMMYFUNCTION("""COMPUTED_VALUE"""),"M.S.G")</f>
        <v>M.S.G</v>
      </c>
      <c r="B7489" s="2" t="str">
        <f>IFERROR(__xludf.DUMMYFUNCTION("""COMPUTED_VALUE"""),"모차렐라치즈")</f>
        <v>모차렐라치즈</v>
      </c>
    </row>
    <row r="7490">
      <c r="A7490" s="2" t="str">
        <f>IFERROR(__xludf.DUMMYFUNCTION("""COMPUTED_VALUE"""),"M.S.G")</f>
        <v>M.S.G</v>
      </c>
      <c r="B7490" s="2" t="str">
        <f>IFERROR(__xludf.DUMMYFUNCTION("""COMPUTED_VALUE"""),"통조림알감자")</f>
        <v>통조림알감자</v>
      </c>
    </row>
    <row r="7491">
      <c r="A7491" s="2" t="str">
        <f>IFERROR(__xludf.DUMMYFUNCTION("""COMPUTED_VALUE"""),"M.S.G")</f>
        <v>M.S.G</v>
      </c>
      <c r="B7491" s="2" t="str">
        <f>IFERROR(__xludf.DUMMYFUNCTION("""COMPUTED_VALUE"""),"파채")</f>
        <v>파채</v>
      </c>
    </row>
    <row r="7492">
      <c r="A7492" s="2" t="str">
        <f>IFERROR(__xludf.DUMMYFUNCTION("""COMPUTED_VALUE"""),"M.S.G")</f>
        <v>M.S.G</v>
      </c>
      <c r="B7492" s="2" t="str">
        <f>IFERROR(__xludf.DUMMYFUNCTION("""COMPUTED_VALUE"""),"버터")</f>
        <v>버터</v>
      </c>
    </row>
    <row r="7493">
      <c r="A7493" s="2" t="str">
        <f>IFERROR(__xludf.DUMMYFUNCTION("""COMPUTED_VALUE"""),"M.S.G")</f>
        <v>M.S.G</v>
      </c>
      <c r="B7493" s="2" t="str">
        <f>IFERROR(__xludf.DUMMYFUNCTION("""COMPUTED_VALUE"""),"양파")</f>
        <v>양파</v>
      </c>
    </row>
    <row r="7494">
      <c r="A7494" s="2" t="str">
        <f>IFERROR(__xludf.DUMMYFUNCTION("""COMPUTED_VALUE"""),"M.S.G")</f>
        <v>M.S.G</v>
      </c>
      <c r="B7494" s="2" t="str">
        <f>IFERROR(__xludf.DUMMYFUNCTION("""COMPUTED_VALUE"""),"소금")</f>
        <v>소금</v>
      </c>
    </row>
    <row r="7495">
      <c r="A7495" s="2" t="str">
        <f>IFERROR(__xludf.DUMMYFUNCTION("""COMPUTED_VALUE"""),"M.S.G")</f>
        <v>M.S.G</v>
      </c>
      <c r="B7495" s="2" t="str">
        <f>IFERROR(__xludf.DUMMYFUNCTION("""COMPUTED_VALUE"""),"밀가루")</f>
        <v>밀가루</v>
      </c>
    </row>
    <row r="7496">
      <c r="A7496" s="2" t="str">
        <f>IFERROR(__xludf.DUMMYFUNCTION("""COMPUTED_VALUE"""),"M.S.G")</f>
        <v>M.S.G</v>
      </c>
      <c r="B7496" s="2" t="str">
        <f>IFERROR(__xludf.DUMMYFUNCTION("""COMPUTED_VALUE"""),"레드와인")</f>
        <v>레드와인</v>
      </c>
    </row>
    <row r="7497">
      <c r="A7497" s="2" t="str">
        <f>IFERROR(__xludf.DUMMYFUNCTION("""COMPUTED_VALUE"""),"샘희태닭")</f>
        <v>샘희태닭</v>
      </c>
      <c r="B7497" s="2" t="str">
        <f>IFERROR(__xludf.DUMMYFUNCTION("""COMPUTED_VALUE"""),"생닭")</f>
        <v>생닭</v>
      </c>
    </row>
    <row r="7498">
      <c r="A7498" s="2" t="str">
        <f>IFERROR(__xludf.DUMMYFUNCTION("""COMPUTED_VALUE"""),"샘희태닭")</f>
        <v>샘희태닭</v>
      </c>
      <c r="B7498" s="2" t="str">
        <f>IFERROR(__xludf.DUMMYFUNCTION("""COMPUTED_VALUE"""),"표고버섯")</f>
        <v>표고버섯</v>
      </c>
    </row>
    <row r="7499">
      <c r="A7499" s="2" t="str">
        <f>IFERROR(__xludf.DUMMYFUNCTION("""COMPUTED_VALUE"""),"샘희태닭")</f>
        <v>샘희태닭</v>
      </c>
      <c r="B7499" s="2" t="str">
        <f>IFERROR(__xludf.DUMMYFUNCTION("""COMPUTED_VALUE"""),"느타리버섯")</f>
        <v>느타리버섯</v>
      </c>
    </row>
    <row r="7500">
      <c r="A7500" s="2" t="str">
        <f>IFERROR(__xludf.DUMMYFUNCTION("""COMPUTED_VALUE"""),"샘희태닭")</f>
        <v>샘희태닭</v>
      </c>
      <c r="B7500" s="2" t="str">
        <f>IFERROR(__xludf.DUMMYFUNCTION("""COMPUTED_VALUE"""),"액상조미료")</f>
        <v>액상조미료</v>
      </c>
    </row>
    <row r="7501">
      <c r="A7501" s="2" t="str">
        <f>IFERROR(__xludf.DUMMYFUNCTION("""COMPUTED_VALUE"""),"샘희태닭")</f>
        <v>샘희태닭</v>
      </c>
      <c r="B7501" s="2" t="str">
        <f>IFERROR(__xludf.DUMMYFUNCTION("""COMPUTED_VALUE"""),"파김치")</f>
        <v>파김치</v>
      </c>
    </row>
    <row r="7502">
      <c r="A7502" s="2" t="str">
        <f>IFERROR(__xludf.DUMMYFUNCTION("""COMPUTED_VALUE"""),"샘희태닭")</f>
        <v>샘희태닭</v>
      </c>
      <c r="B7502" s="2" t="str">
        <f>IFERROR(__xludf.DUMMYFUNCTION("""COMPUTED_VALUE"""),"통조림옥수수")</f>
        <v>통조림옥수수</v>
      </c>
    </row>
    <row r="7503">
      <c r="A7503" s="2" t="str">
        <f>IFERROR(__xludf.DUMMYFUNCTION("""COMPUTED_VALUE"""),"샘희태닭")</f>
        <v>샘희태닭</v>
      </c>
      <c r="B7503" s="2" t="str">
        <f>IFERROR(__xludf.DUMMYFUNCTION("""COMPUTED_VALUE"""),"후추")</f>
        <v>후추</v>
      </c>
    </row>
    <row r="7504">
      <c r="A7504" s="2" t="str">
        <f>IFERROR(__xludf.DUMMYFUNCTION("""COMPUTED_VALUE"""),"샘희태닭")</f>
        <v>샘희태닭</v>
      </c>
      <c r="B7504" s="2" t="str">
        <f>IFERROR(__xludf.DUMMYFUNCTION("""COMPUTED_VALUE"""),"소금")</f>
        <v>소금</v>
      </c>
    </row>
    <row r="7505">
      <c r="A7505" s="2" t="str">
        <f>IFERROR(__xludf.DUMMYFUNCTION("""COMPUTED_VALUE"""),"샘희태닭")</f>
        <v>샘희태닭</v>
      </c>
      <c r="B7505" s="2" t="str">
        <f>IFERROR(__xludf.DUMMYFUNCTION("""COMPUTED_VALUE"""),"대파")</f>
        <v>대파</v>
      </c>
    </row>
    <row r="7506">
      <c r="A7506" s="2" t="str">
        <f>IFERROR(__xludf.DUMMYFUNCTION("""COMPUTED_VALUE"""),"샘희태닭")</f>
        <v>샘희태닭</v>
      </c>
      <c r="B7506" s="2" t="str">
        <f>IFERROR(__xludf.DUMMYFUNCTION("""COMPUTED_VALUE"""),"양파")</f>
        <v>양파</v>
      </c>
    </row>
    <row r="7507">
      <c r="A7507" s="2" t="str">
        <f>IFERROR(__xludf.DUMMYFUNCTION("""COMPUTED_VALUE"""),"샘희태닭")</f>
        <v>샘희태닭</v>
      </c>
      <c r="B7507" s="2" t="str">
        <f>IFERROR(__xludf.DUMMYFUNCTION("""COMPUTED_VALUE"""),"버터")</f>
        <v>버터</v>
      </c>
    </row>
    <row r="7508">
      <c r="A7508" s="2" t="str">
        <f>IFERROR(__xludf.DUMMYFUNCTION("""COMPUTED_VALUE"""),"샘희태닭")</f>
        <v>샘희태닭</v>
      </c>
      <c r="B7508" s="2" t="str">
        <f>IFERROR(__xludf.DUMMYFUNCTION("""COMPUTED_VALUE"""),"밀가루")</f>
        <v>밀가루</v>
      </c>
    </row>
    <row r="7509">
      <c r="A7509" s="2" t="str">
        <f>IFERROR(__xludf.DUMMYFUNCTION("""COMPUTED_VALUE"""),"복면라왕")</f>
        <v>복면라왕</v>
      </c>
      <c r="B7509" s="2" t="str">
        <f>IFERROR(__xludf.DUMMYFUNCTION("""COMPUTED_VALUE"""),"인스턴트 사골곰탕")</f>
        <v>인스턴트 사골곰탕</v>
      </c>
    </row>
    <row r="7510">
      <c r="A7510" s="2" t="str">
        <f>IFERROR(__xludf.DUMMYFUNCTION("""COMPUTED_VALUE"""),"복면라왕")</f>
        <v>복면라왕</v>
      </c>
      <c r="B7510" s="2" t="str">
        <f>IFERROR(__xludf.DUMMYFUNCTION("""COMPUTED_VALUE"""),"모시조개")</f>
        <v>모시조개</v>
      </c>
    </row>
    <row r="7511">
      <c r="A7511" s="2" t="str">
        <f>IFERROR(__xludf.DUMMYFUNCTION("""COMPUTED_VALUE"""),"복면라왕")</f>
        <v>복면라왕</v>
      </c>
      <c r="B7511" s="2" t="str">
        <f>IFERROR(__xludf.DUMMYFUNCTION("""COMPUTED_VALUE"""),"생닭")</f>
        <v>생닭</v>
      </c>
    </row>
    <row r="7512">
      <c r="A7512" s="2" t="str">
        <f>IFERROR(__xludf.DUMMYFUNCTION("""COMPUTED_VALUE"""),"복면라왕")</f>
        <v>복면라왕</v>
      </c>
      <c r="B7512" s="2" t="str">
        <f>IFERROR(__xludf.DUMMYFUNCTION("""COMPUTED_VALUE"""),"생칼국수면")</f>
        <v>생칼국수면</v>
      </c>
    </row>
    <row r="7513">
      <c r="A7513" s="2" t="str">
        <f>IFERROR(__xludf.DUMMYFUNCTION("""COMPUTED_VALUE"""),"복면라왕")</f>
        <v>복면라왕</v>
      </c>
      <c r="B7513" s="2" t="str">
        <f>IFERROR(__xludf.DUMMYFUNCTION("""COMPUTED_VALUE"""),"액상조미료")</f>
        <v>액상조미료</v>
      </c>
    </row>
    <row r="7514">
      <c r="A7514" s="2" t="str">
        <f>IFERROR(__xludf.DUMMYFUNCTION("""COMPUTED_VALUE"""),"복면라왕")</f>
        <v>복면라왕</v>
      </c>
      <c r="B7514" s="2" t="str">
        <f>IFERROR(__xludf.DUMMYFUNCTION("""COMPUTED_VALUE"""),"청고추")</f>
        <v>청고추</v>
      </c>
    </row>
    <row r="7515">
      <c r="A7515" s="2" t="str">
        <f>IFERROR(__xludf.DUMMYFUNCTION("""COMPUTED_VALUE"""),"복면라왕")</f>
        <v>복면라왕</v>
      </c>
      <c r="B7515" s="2" t="str">
        <f>IFERROR(__xludf.DUMMYFUNCTION("""COMPUTED_VALUE"""),"홍고추")</f>
        <v>홍고추</v>
      </c>
    </row>
    <row r="7516">
      <c r="A7516" s="2" t="str">
        <f>IFERROR(__xludf.DUMMYFUNCTION("""COMPUTED_VALUE"""),"복면라왕")</f>
        <v>복면라왕</v>
      </c>
      <c r="B7516" s="2" t="str">
        <f>IFERROR(__xludf.DUMMYFUNCTION("""COMPUTED_VALUE"""),"절인 배추")</f>
        <v>절인 배추</v>
      </c>
    </row>
    <row r="7517">
      <c r="A7517" s="2" t="str">
        <f>IFERROR(__xludf.DUMMYFUNCTION("""COMPUTED_VALUE"""),"복면라왕")</f>
        <v>복면라왕</v>
      </c>
      <c r="B7517" s="2" t="str">
        <f>IFERROR(__xludf.DUMMYFUNCTION("""COMPUTED_VALUE"""),"애호박")</f>
        <v>애호박</v>
      </c>
    </row>
    <row r="7518">
      <c r="A7518" s="2" t="str">
        <f>IFERROR(__xludf.DUMMYFUNCTION("""COMPUTED_VALUE"""),"복면라왕")</f>
        <v>복면라왕</v>
      </c>
      <c r="B7518" s="2" t="str">
        <f>IFERROR(__xludf.DUMMYFUNCTION("""COMPUTED_VALUE"""),"전분")</f>
        <v>전분</v>
      </c>
    </row>
    <row r="7519">
      <c r="A7519" s="2" t="str">
        <f>IFERROR(__xludf.DUMMYFUNCTION("""COMPUTED_VALUE"""),"복면라왕")</f>
        <v>복면라왕</v>
      </c>
      <c r="B7519" s="2" t="str">
        <f>IFERROR(__xludf.DUMMYFUNCTION("""COMPUTED_VALUE"""),"달걀")</f>
        <v>달걀</v>
      </c>
    </row>
    <row r="7520">
      <c r="A7520" s="2" t="str">
        <f>IFERROR(__xludf.DUMMYFUNCTION("""COMPUTED_VALUE"""),"복면라왕")</f>
        <v>복면라왕</v>
      </c>
      <c r="B7520" s="2" t="str">
        <f>IFERROR(__xludf.DUMMYFUNCTION("""COMPUTED_VALUE"""),"식용유")</f>
        <v>식용유</v>
      </c>
    </row>
    <row r="7521">
      <c r="A7521" s="2" t="str">
        <f>IFERROR(__xludf.DUMMYFUNCTION("""COMPUTED_VALUE"""),"복면라왕")</f>
        <v>복면라왕</v>
      </c>
      <c r="B7521" s="2" t="str">
        <f>IFERROR(__xludf.DUMMYFUNCTION("""COMPUTED_VALUE"""),"버터")</f>
        <v>버터</v>
      </c>
    </row>
    <row r="7522">
      <c r="A7522" s="2" t="str">
        <f>IFERROR(__xludf.DUMMYFUNCTION("""COMPUTED_VALUE"""),"복면라왕")</f>
        <v>복면라왕</v>
      </c>
      <c r="B7522" s="2" t="str">
        <f>IFERROR(__xludf.DUMMYFUNCTION("""COMPUTED_VALUE"""),"양파")</f>
        <v>양파</v>
      </c>
    </row>
    <row r="7523">
      <c r="A7523" s="2" t="str">
        <f>IFERROR(__xludf.DUMMYFUNCTION("""COMPUTED_VALUE"""),"복면라왕")</f>
        <v>복면라왕</v>
      </c>
      <c r="B7523" s="2" t="str">
        <f>IFERROR(__xludf.DUMMYFUNCTION("""COMPUTED_VALUE"""),"소금")</f>
        <v>소금</v>
      </c>
    </row>
    <row r="7524">
      <c r="A7524" s="2" t="str">
        <f>IFERROR(__xludf.DUMMYFUNCTION("""COMPUTED_VALUE"""),"복면라왕")</f>
        <v>복면라왕</v>
      </c>
      <c r="B7524" s="2" t="str">
        <f>IFERROR(__xludf.DUMMYFUNCTION("""COMPUTED_VALUE"""),"물엿")</f>
        <v>물엿</v>
      </c>
    </row>
    <row r="7525">
      <c r="A7525" s="2" t="str">
        <f>IFERROR(__xludf.DUMMYFUNCTION("""COMPUTED_VALUE"""),"복면라왕")</f>
        <v>복면라왕</v>
      </c>
      <c r="B7525" s="2" t="str">
        <f>IFERROR(__xludf.DUMMYFUNCTION("""COMPUTED_VALUE"""),"식초")</f>
        <v>식초</v>
      </c>
    </row>
    <row r="7526">
      <c r="A7526" s="2" t="str">
        <f>IFERROR(__xludf.DUMMYFUNCTION("""COMPUTED_VALUE"""),"복면라왕")</f>
        <v>복면라왕</v>
      </c>
      <c r="B7526" s="2" t="str">
        <f>IFERROR(__xludf.DUMMYFUNCTION("""COMPUTED_VALUE"""),"간장")</f>
        <v>간장</v>
      </c>
    </row>
    <row r="7527">
      <c r="A7527" s="2" t="str">
        <f>IFERROR(__xludf.DUMMYFUNCTION("""COMPUTED_VALUE"""),"복면라왕")</f>
        <v>복면라왕</v>
      </c>
      <c r="B7527" s="2" t="str">
        <f>IFERROR(__xludf.DUMMYFUNCTION("""COMPUTED_VALUE"""),"맛술")</f>
        <v>맛술</v>
      </c>
    </row>
    <row r="7528">
      <c r="A7528" s="2" t="str">
        <f>IFERROR(__xludf.DUMMYFUNCTION("""COMPUTED_VALUE"""),"복면라왕")</f>
        <v>복면라왕</v>
      </c>
      <c r="B7528" s="2" t="str">
        <f>IFERROR(__xludf.DUMMYFUNCTION("""COMPUTED_VALUE"""),"참기름")</f>
        <v>참기름</v>
      </c>
    </row>
    <row r="7529">
      <c r="A7529" s="2" t="str">
        <f>IFERROR(__xludf.DUMMYFUNCTION("""COMPUTED_VALUE"""),"복면라왕")</f>
        <v>복면라왕</v>
      </c>
      <c r="B7529" s="2" t="str">
        <f>IFERROR(__xludf.DUMMYFUNCTION("""COMPUTED_VALUE"""),"즉석밥")</f>
        <v>즉석밥</v>
      </c>
    </row>
    <row r="7530">
      <c r="A7530" s="2" t="str">
        <f>IFERROR(__xludf.DUMMYFUNCTION("""COMPUTED_VALUE"""),"복면라왕")</f>
        <v>복면라왕</v>
      </c>
      <c r="B7530" s="2" t="str">
        <f>IFERROR(__xludf.DUMMYFUNCTION("""COMPUTED_VALUE"""),"대파")</f>
        <v>대파</v>
      </c>
    </row>
    <row r="7531">
      <c r="A7531" s="2" t="str">
        <f>IFERROR(__xludf.DUMMYFUNCTION("""COMPUTED_VALUE"""),"복면라왕")</f>
        <v>복면라왕</v>
      </c>
      <c r="B7531" s="2" t="str">
        <f>IFERROR(__xludf.DUMMYFUNCTION("""COMPUTED_VALUE"""),"마늘")</f>
        <v>마늘</v>
      </c>
    </row>
    <row r="7532">
      <c r="A7532" s="2" t="str">
        <f>IFERROR(__xludf.DUMMYFUNCTION("""COMPUTED_VALUE"""),"복면라왕")</f>
        <v>복면라왕</v>
      </c>
      <c r="B7532" s="2" t="str">
        <f>IFERROR(__xludf.DUMMYFUNCTION("""COMPUTED_VALUE"""),"고춧가루")</f>
        <v>고춧가루</v>
      </c>
    </row>
    <row r="7533">
      <c r="A7533" s="2" t="str">
        <f>IFERROR(__xludf.DUMMYFUNCTION("""COMPUTED_VALUE"""),"렛츠고 짬짜면")</f>
        <v>렛츠고 짬짜면</v>
      </c>
      <c r="B7533" s="2" t="str">
        <f>IFERROR(__xludf.DUMMYFUNCTION("""COMPUTED_VALUE"""),"생칼국수면")</f>
        <v>생칼국수면</v>
      </c>
    </row>
    <row r="7534">
      <c r="A7534" s="2" t="str">
        <f>IFERROR(__xludf.DUMMYFUNCTION("""COMPUTED_VALUE"""),"렛츠고 짬짜면")</f>
        <v>렛츠고 짬짜면</v>
      </c>
      <c r="B7534" s="2" t="str">
        <f>IFERROR(__xludf.DUMMYFUNCTION("""COMPUTED_VALUE"""),"생강")</f>
        <v>생강</v>
      </c>
    </row>
    <row r="7535">
      <c r="A7535" s="2" t="str">
        <f>IFERROR(__xludf.DUMMYFUNCTION("""COMPUTED_VALUE"""),"렛츠고 짬짜면")</f>
        <v>렛츠고 짬짜면</v>
      </c>
      <c r="B7535" s="2" t="str">
        <f>IFERROR(__xludf.DUMMYFUNCTION("""COMPUTED_VALUE"""),"표고버섯")</f>
        <v>표고버섯</v>
      </c>
    </row>
    <row r="7536">
      <c r="A7536" s="2" t="str">
        <f>IFERROR(__xludf.DUMMYFUNCTION("""COMPUTED_VALUE"""),"렛츠고 짬짜면")</f>
        <v>렛츠고 짬짜면</v>
      </c>
      <c r="B7536" s="2" t="str">
        <f>IFERROR(__xludf.DUMMYFUNCTION("""COMPUTED_VALUE"""),"액상조미료")</f>
        <v>액상조미료</v>
      </c>
    </row>
    <row r="7537">
      <c r="A7537" s="2" t="str">
        <f>IFERROR(__xludf.DUMMYFUNCTION("""COMPUTED_VALUE"""),"렛츠고 짬짜면")</f>
        <v>렛츠고 짬짜면</v>
      </c>
      <c r="B7537" s="2" t="str">
        <f>IFERROR(__xludf.DUMMYFUNCTION("""COMPUTED_VALUE"""),"칵테일새우")</f>
        <v>칵테일새우</v>
      </c>
    </row>
    <row r="7538">
      <c r="A7538" s="2" t="str">
        <f>IFERROR(__xludf.DUMMYFUNCTION("""COMPUTED_VALUE"""),"렛츠고 짬짜면")</f>
        <v>렛츠고 짬짜면</v>
      </c>
      <c r="B7538" s="2" t="str">
        <f>IFERROR(__xludf.DUMMYFUNCTION("""COMPUTED_VALUE"""),"바지락살")</f>
        <v>바지락살</v>
      </c>
    </row>
    <row r="7539">
      <c r="A7539" s="2" t="str">
        <f>IFERROR(__xludf.DUMMYFUNCTION("""COMPUTED_VALUE"""),"렛츠고 짬짜면")</f>
        <v>렛츠고 짬짜면</v>
      </c>
      <c r="B7539" s="2" t="str">
        <f>IFERROR(__xludf.DUMMYFUNCTION("""COMPUTED_VALUE"""),"낙지다리")</f>
        <v>낙지다리</v>
      </c>
    </row>
    <row r="7540">
      <c r="A7540" s="2" t="str">
        <f>IFERROR(__xludf.DUMMYFUNCTION("""COMPUTED_VALUE"""),"렛츠고 짬짜면")</f>
        <v>렛츠고 짬짜면</v>
      </c>
      <c r="B7540" s="2" t="str">
        <f>IFERROR(__xludf.DUMMYFUNCTION("""COMPUTED_VALUE"""),"소금")</f>
        <v>소금</v>
      </c>
    </row>
    <row r="7541">
      <c r="A7541" s="2" t="str">
        <f>IFERROR(__xludf.DUMMYFUNCTION("""COMPUTED_VALUE"""),"렛츠고 짬짜면")</f>
        <v>렛츠고 짬짜면</v>
      </c>
      <c r="B7541" s="2" t="str">
        <f>IFERROR(__xludf.DUMMYFUNCTION("""COMPUTED_VALUE"""),"고춧가루")</f>
        <v>고춧가루</v>
      </c>
    </row>
    <row r="7542">
      <c r="A7542" s="2" t="str">
        <f>IFERROR(__xludf.DUMMYFUNCTION("""COMPUTED_VALUE"""),"렛츠고 짬짜면")</f>
        <v>렛츠고 짬짜면</v>
      </c>
      <c r="B7542" s="2" t="str">
        <f>IFERROR(__xludf.DUMMYFUNCTION("""COMPUTED_VALUE"""),"대파")</f>
        <v>대파</v>
      </c>
    </row>
    <row r="7543">
      <c r="A7543" s="2" t="str">
        <f>IFERROR(__xludf.DUMMYFUNCTION("""COMPUTED_VALUE"""),"렛츠고 짬짜면")</f>
        <v>렛츠고 짬짜면</v>
      </c>
      <c r="B7543" s="2" t="str">
        <f>IFERROR(__xludf.DUMMYFUNCTION("""COMPUTED_VALUE"""),"양파")</f>
        <v>양파</v>
      </c>
    </row>
    <row r="7544">
      <c r="A7544" s="2" t="str">
        <f>IFERROR(__xludf.DUMMYFUNCTION("""COMPUTED_VALUE"""),"렛츠고 짬짜면")</f>
        <v>렛츠고 짬짜면</v>
      </c>
      <c r="B7544" s="2" t="str">
        <f>IFERROR(__xludf.DUMMYFUNCTION("""COMPUTED_VALUE"""),"당근")</f>
        <v>당근</v>
      </c>
    </row>
    <row r="7545">
      <c r="A7545" s="2" t="str">
        <f>IFERROR(__xludf.DUMMYFUNCTION("""COMPUTED_VALUE"""),"렛츠고 짬짜면")</f>
        <v>렛츠고 짬짜면</v>
      </c>
      <c r="B7545" s="2" t="str">
        <f>IFERROR(__xludf.DUMMYFUNCTION("""COMPUTED_VALUE"""),"간장")</f>
        <v>간장</v>
      </c>
    </row>
    <row r="7546">
      <c r="A7546" s="2" t="str">
        <f>IFERROR(__xludf.DUMMYFUNCTION("""COMPUTED_VALUE"""),"렛츠고 짬짜면")</f>
        <v>렛츠고 짬짜면</v>
      </c>
      <c r="B7546" s="2" t="str">
        <f>IFERROR(__xludf.DUMMYFUNCTION("""COMPUTED_VALUE"""),"맛술")</f>
        <v>맛술</v>
      </c>
    </row>
    <row r="7547">
      <c r="A7547" s="2" t="str">
        <f>IFERROR(__xludf.DUMMYFUNCTION("""COMPUTED_VALUE"""),"렛츠고 짬짜면")</f>
        <v>렛츠고 짬짜면</v>
      </c>
      <c r="B7547" s="2" t="str">
        <f>IFERROR(__xludf.DUMMYFUNCTION("""COMPUTED_VALUE"""),"설탕")</f>
        <v>설탕</v>
      </c>
    </row>
    <row r="7548">
      <c r="A7548" s="2" t="str">
        <f>IFERROR(__xludf.DUMMYFUNCTION("""COMPUTED_VALUE"""),"렛츠고 짬짜면")</f>
        <v>렛츠고 짬짜면</v>
      </c>
      <c r="B7548" s="2" t="str">
        <f>IFERROR(__xludf.DUMMYFUNCTION("""COMPUTED_VALUE"""),"즉석밥")</f>
        <v>즉석밥</v>
      </c>
    </row>
    <row r="7549">
      <c r="A7549" s="2" t="str">
        <f>IFERROR(__xludf.DUMMYFUNCTION("""COMPUTED_VALUE"""),"렛츠고 짬짜면")</f>
        <v>렛츠고 짬짜면</v>
      </c>
      <c r="B7549" s="2" t="str">
        <f>IFERROR(__xludf.DUMMYFUNCTION("""COMPUTED_VALUE"""),"깨")</f>
        <v>깨</v>
      </c>
    </row>
    <row r="7550">
      <c r="A7550" s="2" t="str">
        <f>IFERROR(__xludf.DUMMYFUNCTION("""COMPUTED_VALUE"""),"렛츠고 짬짜면")</f>
        <v>렛츠고 짬짜면</v>
      </c>
      <c r="B7550" s="2" t="str">
        <f>IFERROR(__xludf.DUMMYFUNCTION("""COMPUTED_VALUE"""),"후추")</f>
        <v>후추</v>
      </c>
    </row>
    <row r="7551">
      <c r="A7551" s="2" t="str">
        <f>IFERROR(__xludf.DUMMYFUNCTION("""COMPUTED_VALUE"""),"렛츠고 짬짜면")</f>
        <v>렛츠고 짬짜면</v>
      </c>
      <c r="B7551" s="2" t="str">
        <f>IFERROR(__xludf.DUMMYFUNCTION("""COMPUTED_VALUE"""),"전분")</f>
        <v>전분</v>
      </c>
    </row>
    <row r="7552">
      <c r="A7552" s="2" t="str">
        <f>IFERROR(__xludf.DUMMYFUNCTION("""COMPUTED_VALUE"""),"떡이라자냐")</f>
        <v>떡이라자냐</v>
      </c>
      <c r="B7552" s="2" t="str">
        <f>IFERROR(__xludf.DUMMYFUNCTION("""COMPUTED_VALUE"""),"라자냐면")</f>
        <v>라자냐면</v>
      </c>
    </row>
    <row r="7553">
      <c r="A7553" s="2" t="str">
        <f>IFERROR(__xludf.DUMMYFUNCTION("""COMPUTED_VALUE"""),"떡이라자냐")</f>
        <v>떡이라자냐</v>
      </c>
      <c r="B7553" s="2" t="str">
        <f>IFERROR(__xludf.DUMMYFUNCTION("""COMPUTED_VALUE"""),"파프리카")</f>
        <v>파프리카</v>
      </c>
    </row>
    <row r="7554">
      <c r="A7554" s="2" t="str">
        <f>IFERROR(__xludf.DUMMYFUNCTION("""COMPUTED_VALUE"""),"떡이라자냐")</f>
        <v>떡이라자냐</v>
      </c>
      <c r="B7554" s="2" t="str">
        <f>IFERROR(__xludf.DUMMYFUNCTION("""COMPUTED_VALUE"""),"수제돈가스")</f>
        <v>수제돈가스</v>
      </c>
    </row>
    <row r="7555">
      <c r="A7555" s="2" t="str">
        <f>IFERROR(__xludf.DUMMYFUNCTION("""COMPUTED_VALUE"""),"떡이라자냐")</f>
        <v>떡이라자냐</v>
      </c>
      <c r="B7555" s="2" t="str">
        <f>IFERROR(__xludf.DUMMYFUNCTION("""COMPUTED_VALUE"""),"표고버섯")</f>
        <v>표고버섯</v>
      </c>
    </row>
    <row r="7556">
      <c r="A7556" s="2" t="str">
        <f>IFERROR(__xludf.DUMMYFUNCTION("""COMPUTED_VALUE"""),"떡이라자냐")</f>
        <v>떡이라자냐</v>
      </c>
      <c r="B7556" s="2" t="str">
        <f>IFERROR(__xludf.DUMMYFUNCTION("""COMPUTED_VALUE"""),"토마토소스")</f>
        <v>토마토소스</v>
      </c>
    </row>
    <row r="7557">
      <c r="A7557" s="2" t="str">
        <f>IFERROR(__xludf.DUMMYFUNCTION("""COMPUTED_VALUE"""),"떡이라자냐")</f>
        <v>떡이라자냐</v>
      </c>
      <c r="B7557" s="2" t="str">
        <f>IFERROR(__xludf.DUMMYFUNCTION("""COMPUTED_VALUE"""),"크림소스")</f>
        <v>크림소스</v>
      </c>
    </row>
    <row r="7558">
      <c r="A7558" s="2" t="str">
        <f>IFERROR(__xludf.DUMMYFUNCTION("""COMPUTED_VALUE"""),"떡이라자냐")</f>
        <v>떡이라자냐</v>
      </c>
      <c r="B7558" s="2" t="str">
        <f>IFERROR(__xludf.DUMMYFUNCTION("""COMPUTED_VALUE"""),"옥수수통조림")</f>
        <v>옥수수통조림</v>
      </c>
    </row>
    <row r="7559">
      <c r="A7559" s="2" t="str">
        <f>IFERROR(__xludf.DUMMYFUNCTION("""COMPUTED_VALUE"""),"떡이라자냐")</f>
        <v>떡이라자냐</v>
      </c>
      <c r="B7559" s="2" t="str">
        <f>IFERROR(__xludf.DUMMYFUNCTION("""COMPUTED_VALUE"""),"가래떡")</f>
        <v>가래떡</v>
      </c>
    </row>
    <row r="7560">
      <c r="A7560" s="2" t="str">
        <f>IFERROR(__xludf.DUMMYFUNCTION("""COMPUTED_VALUE"""),"떡이라자냐")</f>
        <v>떡이라자냐</v>
      </c>
      <c r="B7560" s="2" t="str">
        <f>IFERROR(__xludf.DUMMYFUNCTION("""COMPUTED_VALUE"""),"아스파라거스")</f>
        <v>아스파라거스</v>
      </c>
    </row>
    <row r="7561">
      <c r="A7561" s="2" t="str">
        <f>IFERROR(__xludf.DUMMYFUNCTION("""COMPUTED_VALUE"""),"떡이라자냐")</f>
        <v>떡이라자냐</v>
      </c>
      <c r="B7561" s="2" t="str">
        <f>IFERROR(__xludf.DUMMYFUNCTION("""COMPUTED_VALUE"""),"슬라이스 체다치즈")</f>
        <v>슬라이스 체다치즈</v>
      </c>
    </row>
    <row r="7562">
      <c r="A7562" s="2" t="str">
        <f>IFERROR(__xludf.DUMMYFUNCTION("""COMPUTED_VALUE"""),"떡이라자냐")</f>
        <v>떡이라자냐</v>
      </c>
      <c r="B7562" s="2" t="str">
        <f>IFERROR(__xludf.DUMMYFUNCTION("""COMPUTED_VALUE"""),"라클렛치즈")</f>
        <v>라클렛치즈</v>
      </c>
    </row>
    <row r="7563">
      <c r="A7563" s="2" t="str">
        <f>IFERROR(__xludf.DUMMYFUNCTION("""COMPUTED_VALUE"""),"떡이라자냐")</f>
        <v>떡이라자냐</v>
      </c>
      <c r="B7563" s="2" t="str">
        <f>IFERROR(__xludf.DUMMYFUNCTION("""COMPUTED_VALUE"""),"바질페스토")</f>
        <v>바질페스토</v>
      </c>
    </row>
    <row r="7564">
      <c r="A7564" s="2" t="str">
        <f>IFERROR(__xludf.DUMMYFUNCTION("""COMPUTED_VALUE"""),"떡이라자냐")</f>
        <v>떡이라자냐</v>
      </c>
      <c r="B7564" s="2" t="str">
        <f>IFERROR(__xludf.DUMMYFUNCTION("""COMPUTED_VALUE"""),"블랙올리브")</f>
        <v>블랙올리브</v>
      </c>
    </row>
    <row r="7565">
      <c r="A7565" s="2" t="str">
        <f>IFERROR(__xludf.DUMMYFUNCTION("""COMPUTED_VALUE"""),"떡이라자냐")</f>
        <v>떡이라자냐</v>
      </c>
      <c r="B7565" s="2" t="str">
        <f>IFERROR(__xludf.DUMMYFUNCTION("""COMPUTED_VALUE"""),"참외")</f>
        <v>참외</v>
      </c>
    </row>
    <row r="7566">
      <c r="A7566" s="2" t="str">
        <f>IFERROR(__xludf.DUMMYFUNCTION("""COMPUTED_VALUE"""),"떡이라자냐")</f>
        <v>떡이라자냐</v>
      </c>
      <c r="B7566" s="2" t="str">
        <f>IFERROR(__xludf.DUMMYFUNCTION("""COMPUTED_VALUE"""),"쌀국수면")</f>
        <v>쌀국수면</v>
      </c>
    </row>
    <row r="7567">
      <c r="A7567" s="2" t="str">
        <f>IFERROR(__xludf.DUMMYFUNCTION("""COMPUTED_VALUE"""),"떡이라자냐")</f>
        <v>떡이라자냐</v>
      </c>
      <c r="B7567" s="2" t="str">
        <f>IFERROR(__xludf.DUMMYFUNCTION("""COMPUTED_VALUE"""),"양파")</f>
        <v>양파</v>
      </c>
    </row>
    <row r="7568">
      <c r="A7568" s="2" t="str">
        <f>IFERROR(__xludf.DUMMYFUNCTION("""COMPUTED_VALUE"""),"떡이라자냐")</f>
        <v>떡이라자냐</v>
      </c>
      <c r="B7568" s="2" t="str">
        <f>IFERROR(__xludf.DUMMYFUNCTION("""COMPUTED_VALUE"""),"다진 마늘")</f>
        <v>다진 마늘</v>
      </c>
    </row>
    <row r="7569">
      <c r="A7569" s="2" t="str">
        <f>IFERROR(__xludf.DUMMYFUNCTION("""COMPUTED_VALUE"""),"떡이라자냐")</f>
        <v>떡이라자냐</v>
      </c>
      <c r="B7569" s="2" t="str">
        <f>IFERROR(__xludf.DUMMYFUNCTION("""COMPUTED_VALUE"""),"후추")</f>
        <v>후추</v>
      </c>
    </row>
    <row r="7570">
      <c r="A7570" s="2" t="str">
        <f>IFERROR(__xludf.DUMMYFUNCTION("""COMPUTED_VALUE"""),"떡이라자냐")</f>
        <v>떡이라자냐</v>
      </c>
      <c r="B7570" s="2" t="str">
        <f>IFERROR(__xludf.DUMMYFUNCTION("""COMPUTED_VALUE"""),"고춧가루")</f>
        <v>고춧가루</v>
      </c>
    </row>
    <row r="7571">
      <c r="A7571" s="2" t="str">
        <f>IFERROR(__xludf.DUMMYFUNCTION("""COMPUTED_VALUE"""),"떡이라자냐")</f>
        <v>떡이라자냐</v>
      </c>
      <c r="B7571" s="2" t="str">
        <f>IFERROR(__xludf.DUMMYFUNCTION("""COMPUTED_VALUE"""),"즉석밥")</f>
        <v>즉석밥</v>
      </c>
    </row>
    <row r="7572">
      <c r="A7572" s="2" t="str">
        <f>IFERROR(__xludf.DUMMYFUNCTION("""COMPUTED_VALUE"""),"떡이라자냐")</f>
        <v>떡이라자냐</v>
      </c>
      <c r="B7572" s="2" t="str">
        <f>IFERROR(__xludf.DUMMYFUNCTION("""COMPUTED_VALUE"""),"소금")</f>
        <v>소금</v>
      </c>
    </row>
    <row r="7573">
      <c r="A7573" s="2" t="str">
        <f>IFERROR(__xludf.DUMMYFUNCTION("""COMPUTED_VALUE"""),"떡이라자냐")</f>
        <v>떡이라자냐</v>
      </c>
      <c r="B7573" s="2" t="str">
        <f>IFERROR(__xludf.DUMMYFUNCTION("""COMPUTED_VALUE"""),"올리브오일")</f>
        <v>올리브오일</v>
      </c>
    </row>
    <row r="7574">
      <c r="A7574" s="2" t="str">
        <f>IFERROR(__xludf.DUMMYFUNCTION("""COMPUTED_VALUE"""),"떡이라자냐")</f>
        <v>떡이라자냐</v>
      </c>
      <c r="B7574" s="2" t="str">
        <f>IFERROR(__xludf.DUMMYFUNCTION("""COMPUTED_VALUE"""),"달걀")</f>
        <v>달걀</v>
      </c>
    </row>
    <row r="7575">
      <c r="A7575" s="2" t="str">
        <f>IFERROR(__xludf.DUMMYFUNCTION("""COMPUTED_VALUE"""),"육떡진 롤")</f>
        <v>육떡진 롤</v>
      </c>
      <c r="B7575" s="2" t="str">
        <f>IFERROR(__xludf.DUMMYFUNCTION("""COMPUTED_VALUE"""),"가지")</f>
        <v>가지</v>
      </c>
    </row>
    <row r="7576">
      <c r="A7576" s="2" t="str">
        <f>IFERROR(__xludf.DUMMYFUNCTION("""COMPUTED_VALUE"""),"육떡진 롤")</f>
        <v>육떡진 롤</v>
      </c>
      <c r="B7576" s="2" t="str">
        <f>IFERROR(__xludf.DUMMYFUNCTION("""COMPUTED_VALUE"""),"파프리카")</f>
        <v>파프리카</v>
      </c>
    </row>
    <row r="7577">
      <c r="A7577" s="2" t="str">
        <f>IFERROR(__xludf.DUMMYFUNCTION("""COMPUTED_VALUE"""),"육떡진 롤")</f>
        <v>육떡진 롤</v>
      </c>
      <c r="B7577" s="2" t="str">
        <f>IFERROR(__xludf.DUMMYFUNCTION("""COMPUTED_VALUE"""),"다진 돼지고기")</f>
        <v>다진 돼지고기</v>
      </c>
    </row>
    <row r="7578">
      <c r="A7578" s="2" t="str">
        <f>IFERROR(__xludf.DUMMYFUNCTION("""COMPUTED_VALUE"""),"육떡진 롤")</f>
        <v>육떡진 롤</v>
      </c>
      <c r="B7578" s="2" t="str">
        <f>IFERROR(__xludf.DUMMYFUNCTION("""COMPUTED_VALUE"""),"떡국 떡")</f>
        <v>떡국 떡</v>
      </c>
    </row>
    <row r="7579">
      <c r="A7579" s="2" t="str">
        <f>IFERROR(__xludf.DUMMYFUNCTION("""COMPUTED_VALUE"""),"육떡진 롤")</f>
        <v>육떡진 롤</v>
      </c>
      <c r="B7579" s="2" t="str">
        <f>IFERROR(__xludf.DUMMYFUNCTION("""COMPUTED_VALUE"""),"스테이크소스")</f>
        <v>스테이크소스</v>
      </c>
    </row>
    <row r="7580">
      <c r="A7580" s="2" t="str">
        <f>IFERROR(__xludf.DUMMYFUNCTION("""COMPUTED_VALUE"""),"육떡진 롤")</f>
        <v>육떡진 롤</v>
      </c>
      <c r="B7580" s="2" t="str">
        <f>IFERROR(__xludf.DUMMYFUNCTION("""COMPUTED_VALUE"""),"슬라이스 체다치즈")</f>
        <v>슬라이스 체다치즈</v>
      </c>
    </row>
    <row r="7581">
      <c r="A7581" s="2" t="str">
        <f>IFERROR(__xludf.DUMMYFUNCTION("""COMPUTED_VALUE"""),"육떡진 롤")</f>
        <v>육떡진 롤</v>
      </c>
      <c r="B7581" s="2" t="str">
        <f>IFERROR(__xludf.DUMMYFUNCTION("""COMPUTED_VALUE"""),"라클렛치즈")</f>
        <v>라클렛치즈</v>
      </c>
    </row>
    <row r="7582">
      <c r="A7582" s="2" t="str">
        <f>IFERROR(__xludf.DUMMYFUNCTION("""COMPUTED_VALUE"""),"육떡진 롤")</f>
        <v>육떡진 롤</v>
      </c>
      <c r="B7582" s="2" t="str">
        <f>IFERROR(__xludf.DUMMYFUNCTION("""COMPUTED_VALUE"""),"알배추")</f>
        <v>알배추</v>
      </c>
    </row>
    <row r="7583">
      <c r="A7583" s="2" t="str">
        <f>IFERROR(__xludf.DUMMYFUNCTION("""COMPUTED_VALUE"""),"육떡진 롤")</f>
        <v>육떡진 롤</v>
      </c>
      <c r="B7583" s="2" t="str">
        <f>IFERROR(__xludf.DUMMYFUNCTION("""COMPUTED_VALUE"""),"블랙올리브")</f>
        <v>블랙올리브</v>
      </c>
    </row>
    <row r="7584">
      <c r="A7584" s="2" t="str">
        <f>IFERROR(__xludf.DUMMYFUNCTION("""COMPUTED_VALUE"""),"육떡진 롤")</f>
        <v>육떡진 롤</v>
      </c>
      <c r="B7584" s="2" t="str">
        <f>IFERROR(__xludf.DUMMYFUNCTION("""COMPUTED_VALUE"""),"잣")</f>
        <v>잣</v>
      </c>
    </row>
    <row r="7585">
      <c r="A7585" s="2" t="str">
        <f>IFERROR(__xludf.DUMMYFUNCTION("""COMPUTED_VALUE"""),"육떡진 롤")</f>
        <v>육떡진 롤</v>
      </c>
      <c r="B7585" s="2" t="str">
        <f>IFERROR(__xludf.DUMMYFUNCTION("""COMPUTED_VALUE"""),"사워크림")</f>
        <v>사워크림</v>
      </c>
    </row>
    <row r="7586">
      <c r="A7586" s="2" t="str">
        <f>IFERROR(__xludf.DUMMYFUNCTION("""COMPUTED_VALUE"""),"육떡진 롤")</f>
        <v>육떡진 롤</v>
      </c>
      <c r="B7586" s="2" t="str">
        <f>IFERROR(__xludf.DUMMYFUNCTION("""COMPUTED_VALUE"""),"홀그레인머스터드")</f>
        <v>홀그레인머스터드</v>
      </c>
    </row>
    <row r="7587">
      <c r="A7587" s="2" t="str">
        <f>IFERROR(__xludf.DUMMYFUNCTION("""COMPUTED_VALUE"""),"육떡진 롤")</f>
        <v>육떡진 롤</v>
      </c>
      <c r="B7587" s="2" t="str">
        <f>IFERROR(__xludf.DUMMYFUNCTION("""COMPUTED_VALUE"""),"발사믹크림")</f>
        <v>발사믹크림</v>
      </c>
    </row>
    <row r="7588">
      <c r="A7588" s="2" t="str">
        <f>IFERROR(__xludf.DUMMYFUNCTION("""COMPUTED_VALUE"""),"육떡진 롤")</f>
        <v>육떡진 롤</v>
      </c>
      <c r="B7588" s="2" t="str">
        <f>IFERROR(__xludf.DUMMYFUNCTION("""COMPUTED_VALUE"""),"고춧가루")</f>
        <v>고춧가루</v>
      </c>
    </row>
    <row r="7589">
      <c r="A7589" s="2" t="str">
        <f>IFERROR(__xludf.DUMMYFUNCTION("""COMPUTED_VALUE"""),"육떡진 롤")</f>
        <v>육떡진 롤</v>
      </c>
      <c r="B7589" s="2" t="str">
        <f>IFERROR(__xludf.DUMMYFUNCTION("""COMPUTED_VALUE"""),"양파")</f>
        <v>양파</v>
      </c>
    </row>
    <row r="7590">
      <c r="A7590" s="2" t="str">
        <f>IFERROR(__xludf.DUMMYFUNCTION("""COMPUTED_VALUE"""),"육떡진 롤")</f>
        <v>육떡진 롤</v>
      </c>
      <c r="B7590" s="2" t="str">
        <f>IFERROR(__xludf.DUMMYFUNCTION("""COMPUTED_VALUE"""),"레드와인")</f>
        <v>레드와인</v>
      </c>
    </row>
    <row r="7591">
      <c r="A7591" s="2" t="str">
        <f>IFERROR(__xludf.DUMMYFUNCTION("""COMPUTED_VALUE"""),"육떡진 롤")</f>
        <v>육떡진 롤</v>
      </c>
      <c r="B7591" s="2" t="str">
        <f>IFERROR(__xludf.DUMMYFUNCTION("""COMPUTED_VALUE"""),"후추")</f>
        <v>후추</v>
      </c>
    </row>
    <row r="7592">
      <c r="A7592" s="2" t="str">
        <f>IFERROR(__xludf.DUMMYFUNCTION("""COMPUTED_VALUE"""),"육떡진 롤")</f>
        <v>육떡진 롤</v>
      </c>
      <c r="B7592" s="2" t="str">
        <f>IFERROR(__xludf.DUMMYFUNCTION("""COMPUTED_VALUE"""),"버터")</f>
        <v>버터</v>
      </c>
    </row>
    <row r="7593">
      <c r="A7593" s="2" t="str">
        <f>IFERROR(__xludf.DUMMYFUNCTION("""COMPUTED_VALUE"""),"육떡진 롤")</f>
        <v>육떡진 롤</v>
      </c>
      <c r="B7593" s="2" t="str">
        <f>IFERROR(__xludf.DUMMYFUNCTION("""COMPUTED_VALUE"""),"다진 마늘")</f>
        <v>다진 마늘</v>
      </c>
    </row>
    <row r="7594">
      <c r="A7594" s="2" t="str">
        <f>IFERROR(__xludf.DUMMYFUNCTION("""COMPUTED_VALUE"""),"육떡진 롤")</f>
        <v>육떡진 롤</v>
      </c>
      <c r="B7594" s="2" t="str">
        <f>IFERROR(__xludf.DUMMYFUNCTION("""COMPUTED_VALUE"""),"마요네즈")</f>
        <v>마요네즈</v>
      </c>
    </row>
    <row r="7595">
      <c r="A7595" s="2" t="str">
        <f>IFERROR(__xludf.DUMMYFUNCTION("""COMPUTED_VALUE"""),"육떡진 롤")</f>
        <v>육떡진 롤</v>
      </c>
      <c r="B7595" s="2" t="str">
        <f>IFERROR(__xludf.DUMMYFUNCTION("""COMPUTED_VALUE"""),"레몬")</f>
        <v>레몬</v>
      </c>
    </row>
    <row r="7596">
      <c r="A7596" s="2" t="str">
        <f>IFERROR(__xludf.DUMMYFUNCTION("""COMPUTED_VALUE"""),"육떡진 롤")</f>
        <v>육떡진 롤</v>
      </c>
      <c r="B7596" s="2" t="str">
        <f>IFERROR(__xludf.DUMMYFUNCTION("""COMPUTED_VALUE"""),"설탕")</f>
        <v>설탕</v>
      </c>
    </row>
    <row r="7597">
      <c r="A7597" s="2" t="str">
        <f>IFERROR(__xludf.DUMMYFUNCTION("""COMPUTED_VALUE"""),"조동아리 샌드")</f>
        <v>조동아리 샌드</v>
      </c>
      <c r="B7597" s="2" t="str">
        <f>IFERROR(__xludf.DUMMYFUNCTION("""COMPUTED_VALUE"""),"데친 우거지")</f>
        <v>데친 우거지</v>
      </c>
    </row>
    <row r="7598">
      <c r="A7598" s="2" t="str">
        <f>IFERROR(__xludf.DUMMYFUNCTION("""COMPUTED_VALUE"""),"조동아리 샌드")</f>
        <v>조동아리 샌드</v>
      </c>
      <c r="B7598" s="2" t="str">
        <f>IFERROR(__xludf.DUMMYFUNCTION("""COMPUTED_VALUE"""),"수제막장")</f>
        <v>수제막장</v>
      </c>
    </row>
    <row r="7599">
      <c r="A7599" s="2" t="str">
        <f>IFERROR(__xludf.DUMMYFUNCTION("""COMPUTED_VALUE"""),"조동아리 샌드")</f>
        <v>조동아리 샌드</v>
      </c>
      <c r="B7599" s="2" t="str">
        <f>IFERROR(__xludf.DUMMYFUNCTION("""COMPUTED_VALUE"""),"누룽지")</f>
        <v>누룽지</v>
      </c>
    </row>
    <row r="7600">
      <c r="A7600" s="2" t="str">
        <f>IFERROR(__xludf.DUMMYFUNCTION("""COMPUTED_VALUE"""),"조동아리 샌드")</f>
        <v>조동아리 샌드</v>
      </c>
      <c r="B7600" s="2" t="str">
        <f>IFERROR(__xludf.DUMMYFUNCTION("""COMPUTED_VALUE"""),"곤약")</f>
        <v>곤약</v>
      </c>
    </row>
    <row r="7601">
      <c r="A7601" s="2" t="str">
        <f>IFERROR(__xludf.DUMMYFUNCTION("""COMPUTED_VALUE"""),"조동아리 샌드")</f>
        <v>조동아리 샌드</v>
      </c>
      <c r="B7601" s="2" t="str">
        <f>IFERROR(__xludf.DUMMYFUNCTION("""COMPUTED_VALUE"""),"굴소스")</f>
        <v>굴소스</v>
      </c>
    </row>
    <row r="7602">
      <c r="A7602" s="2" t="str">
        <f>IFERROR(__xludf.DUMMYFUNCTION("""COMPUTED_VALUE"""),"조동아리 샌드")</f>
        <v>조동아리 샌드</v>
      </c>
      <c r="B7602" s="2" t="str">
        <f>IFERROR(__xludf.DUMMYFUNCTION("""COMPUTED_VALUE"""),"두부")</f>
        <v>두부</v>
      </c>
    </row>
    <row r="7603">
      <c r="A7603" s="2" t="str">
        <f>IFERROR(__xludf.DUMMYFUNCTION("""COMPUTED_VALUE"""),"조동아리 샌드")</f>
        <v>조동아리 샌드</v>
      </c>
      <c r="B7603" s="2" t="str">
        <f>IFERROR(__xludf.DUMMYFUNCTION("""COMPUTED_VALUE"""),"총각김치")</f>
        <v>총각김치</v>
      </c>
    </row>
    <row r="7604">
      <c r="A7604" s="2" t="str">
        <f>IFERROR(__xludf.DUMMYFUNCTION("""COMPUTED_VALUE"""),"조동아리 샌드")</f>
        <v>조동아리 샌드</v>
      </c>
      <c r="B7604" s="2" t="str">
        <f>IFERROR(__xludf.DUMMYFUNCTION("""COMPUTED_VALUE"""),"명이나물장아찌")</f>
        <v>명이나물장아찌</v>
      </c>
    </row>
    <row r="7605">
      <c r="A7605" s="2" t="str">
        <f>IFERROR(__xludf.DUMMYFUNCTION("""COMPUTED_VALUE"""),"조동아리 샌드")</f>
        <v>조동아리 샌드</v>
      </c>
      <c r="B7605" s="2" t="str">
        <f>IFERROR(__xludf.DUMMYFUNCTION("""COMPUTED_VALUE"""),"멸치")</f>
        <v>멸치</v>
      </c>
    </row>
    <row r="7606">
      <c r="A7606" s="2" t="str">
        <f>IFERROR(__xludf.DUMMYFUNCTION("""COMPUTED_VALUE"""),"조동아리 샌드")</f>
        <v>조동아리 샌드</v>
      </c>
      <c r="B7606" s="2" t="str">
        <f>IFERROR(__xludf.DUMMYFUNCTION("""COMPUTED_VALUE"""),"슬라이스아몬드")</f>
        <v>슬라이스아몬드</v>
      </c>
    </row>
    <row r="7607">
      <c r="A7607" s="2" t="str">
        <f>IFERROR(__xludf.DUMMYFUNCTION("""COMPUTED_VALUE"""),"조동아리 샌드")</f>
        <v>조동아리 샌드</v>
      </c>
      <c r="B7607" s="2" t="str">
        <f>IFERROR(__xludf.DUMMYFUNCTION("""COMPUTED_VALUE"""),"된장")</f>
        <v>된장</v>
      </c>
    </row>
    <row r="7608">
      <c r="A7608" s="2" t="str">
        <f>IFERROR(__xludf.DUMMYFUNCTION("""COMPUTED_VALUE"""),"조동아리 샌드")</f>
        <v>조동아리 샌드</v>
      </c>
      <c r="B7608" s="2" t="str">
        <f>IFERROR(__xludf.DUMMYFUNCTION("""COMPUTED_VALUE"""),"다진 마늘")</f>
        <v>다진 마늘</v>
      </c>
    </row>
    <row r="7609">
      <c r="A7609" s="2" t="str">
        <f>IFERROR(__xludf.DUMMYFUNCTION("""COMPUTED_VALUE"""),"조동아리 샌드")</f>
        <v>조동아리 샌드</v>
      </c>
      <c r="B7609" s="2" t="str">
        <f>IFERROR(__xludf.DUMMYFUNCTION("""COMPUTED_VALUE"""),"올리브오일")</f>
        <v>올리브오일</v>
      </c>
    </row>
    <row r="7610">
      <c r="A7610" s="2" t="str">
        <f>IFERROR(__xludf.DUMMYFUNCTION("""COMPUTED_VALUE"""),"조동아리 샌드")</f>
        <v>조동아리 샌드</v>
      </c>
      <c r="B7610" s="2" t="str">
        <f>IFERROR(__xludf.DUMMYFUNCTION("""COMPUTED_VALUE"""),"당근")</f>
        <v>당근</v>
      </c>
    </row>
    <row r="7611">
      <c r="A7611" s="2" t="str">
        <f>IFERROR(__xludf.DUMMYFUNCTION("""COMPUTED_VALUE"""),"조동아리 샌드")</f>
        <v>조동아리 샌드</v>
      </c>
      <c r="B7611" s="2" t="str">
        <f>IFERROR(__xludf.DUMMYFUNCTION("""COMPUTED_VALUE"""),"식초")</f>
        <v>식초</v>
      </c>
    </row>
    <row r="7612">
      <c r="A7612" s="2" t="str">
        <f>IFERROR(__xludf.DUMMYFUNCTION("""COMPUTED_VALUE"""),"김치브레이커♬")</f>
        <v>김치브레이커♬</v>
      </c>
      <c r="B7612" s="2" t="str">
        <f>IFERROR(__xludf.DUMMYFUNCTION("""COMPUTED_VALUE"""),"김치")</f>
        <v>김치</v>
      </c>
    </row>
    <row r="7613">
      <c r="A7613" s="2" t="str">
        <f>IFERROR(__xludf.DUMMYFUNCTION("""COMPUTED_VALUE"""),"김치브레이커♬")</f>
        <v>김치브레이커♬</v>
      </c>
      <c r="B7613" s="2" t="str">
        <f>IFERROR(__xludf.DUMMYFUNCTION("""COMPUTED_VALUE"""),"김밥용 김")</f>
        <v>김밥용 김</v>
      </c>
    </row>
    <row r="7614">
      <c r="A7614" s="2" t="str">
        <f>IFERROR(__xludf.DUMMYFUNCTION("""COMPUTED_VALUE"""),"김치브레이커♬")</f>
        <v>김치브레이커♬</v>
      </c>
      <c r="B7614" s="2" t="str">
        <f>IFERROR(__xludf.DUMMYFUNCTION("""COMPUTED_VALUE"""),"삼치")</f>
        <v>삼치</v>
      </c>
    </row>
    <row r="7615">
      <c r="A7615" s="2" t="str">
        <f>IFERROR(__xludf.DUMMYFUNCTION("""COMPUTED_VALUE"""),"김치브레이커♬")</f>
        <v>김치브레이커♬</v>
      </c>
      <c r="B7615" s="2" t="str">
        <f>IFERROR(__xludf.DUMMYFUNCTION("""COMPUTED_VALUE"""),"삼겹살")</f>
        <v>삼겹살</v>
      </c>
    </row>
    <row r="7616">
      <c r="A7616" s="2" t="str">
        <f>IFERROR(__xludf.DUMMYFUNCTION("""COMPUTED_VALUE"""),"김치브레이커♬")</f>
        <v>김치브레이커♬</v>
      </c>
      <c r="B7616" s="2" t="str">
        <f>IFERROR(__xludf.DUMMYFUNCTION("""COMPUTED_VALUE"""),"당면")</f>
        <v>당면</v>
      </c>
    </row>
    <row r="7617">
      <c r="A7617" s="2" t="str">
        <f>IFERROR(__xludf.DUMMYFUNCTION("""COMPUTED_VALUE"""),"김치브레이커♬")</f>
        <v>김치브레이커♬</v>
      </c>
      <c r="B7617" s="2" t="str">
        <f>IFERROR(__xludf.DUMMYFUNCTION("""COMPUTED_VALUE"""),"가쓰오부시")</f>
        <v>가쓰오부시</v>
      </c>
    </row>
    <row r="7618">
      <c r="A7618" s="2" t="str">
        <f>IFERROR(__xludf.DUMMYFUNCTION("""COMPUTED_VALUE"""),"김치브레이커♬")</f>
        <v>김치브레이커♬</v>
      </c>
      <c r="B7618" s="2" t="str">
        <f>IFERROR(__xludf.DUMMYFUNCTION("""COMPUTED_VALUE"""),"표고버섯")</f>
        <v>표고버섯</v>
      </c>
    </row>
    <row r="7619">
      <c r="A7619" s="2" t="str">
        <f>IFERROR(__xludf.DUMMYFUNCTION("""COMPUTED_VALUE"""),"김치브레이커♬")</f>
        <v>김치브레이커♬</v>
      </c>
      <c r="B7619" s="2" t="str">
        <f>IFERROR(__xludf.DUMMYFUNCTION("""COMPUTED_VALUE"""),"파프리카 애호박")</f>
        <v>파프리카 애호박</v>
      </c>
    </row>
    <row r="7620">
      <c r="A7620" s="2" t="str">
        <f>IFERROR(__xludf.DUMMYFUNCTION("""COMPUTED_VALUE"""),"김치브레이커♬")</f>
        <v>김치브레이커♬</v>
      </c>
      <c r="B7620" s="2" t="str">
        <f>IFERROR(__xludf.DUMMYFUNCTION("""COMPUTED_VALUE"""),"두반장")</f>
        <v>두반장</v>
      </c>
    </row>
    <row r="7621">
      <c r="A7621" s="2" t="str">
        <f>IFERROR(__xludf.DUMMYFUNCTION("""COMPUTED_VALUE"""),"김치브레이커♬")</f>
        <v>김치브레이커♬</v>
      </c>
      <c r="B7621" s="2" t="str">
        <f>IFERROR(__xludf.DUMMYFUNCTION("""COMPUTED_VALUE"""),"굴소스")</f>
        <v>굴소스</v>
      </c>
    </row>
    <row r="7622">
      <c r="A7622" s="2" t="str">
        <f>IFERROR(__xludf.DUMMYFUNCTION("""COMPUTED_VALUE"""),"김치브레이커♬")</f>
        <v>김치브레이커♬</v>
      </c>
      <c r="B7622" s="2" t="str">
        <f>IFERROR(__xludf.DUMMYFUNCTION("""COMPUTED_VALUE"""),"밀가루")</f>
        <v>밀가루</v>
      </c>
    </row>
    <row r="7623">
      <c r="A7623" s="2" t="str">
        <f>IFERROR(__xludf.DUMMYFUNCTION("""COMPUTED_VALUE"""),"김치브레이커♬")</f>
        <v>김치브레이커♬</v>
      </c>
      <c r="B7623" s="2" t="str">
        <f>IFERROR(__xludf.DUMMYFUNCTION("""COMPUTED_VALUE"""),"마늘")</f>
        <v>마늘</v>
      </c>
    </row>
    <row r="7624">
      <c r="A7624" s="2" t="str">
        <f>IFERROR(__xludf.DUMMYFUNCTION("""COMPUTED_VALUE"""),"김치브레이커♬")</f>
        <v>김치브레이커♬</v>
      </c>
      <c r="B7624" s="2" t="str">
        <f>IFERROR(__xludf.DUMMYFUNCTION("""COMPUTED_VALUE"""),"설탕")</f>
        <v>설탕</v>
      </c>
    </row>
    <row r="7625">
      <c r="A7625" s="2" t="str">
        <f>IFERROR(__xludf.DUMMYFUNCTION("""COMPUTED_VALUE"""),"김치브레이커♬")</f>
        <v>김치브레이커♬</v>
      </c>
      <c r="B7625" s="2" t="str">
        <f>IFERROR(__xludf.DUMMYFUNCTION("""COMPUTED_VALUE"""),"다진 마늘")</f>
        <v>다진 마늘</v>
      </c>
    </row>
    <row r="7626">
      <c r="A7626" s="2" t="str">
        <f>IFERROR(__xludf.DUMMYFUNCTION("""COMPUTED_VALUE"""),"김치브레이커♬")</f>
        <v>김치브레이커♬</v>
      </c>
      <c r="B7626" s="2" t="str">
        <f>IFERROR(__xludf.DUMMYFUNCTION("""COMPUTED_VALUE"""),"맛술")</f>
        <v>맛술</v>
      </c>
    </row>
    <row r="7627">
      <c r="A7627" s="2" t="str">
        <f>IFERROR(__xludf.DUMMYFUNCTION("""COMPUTED_VALUE"""),"김치브레이커♬")</f>
        <v>김치브레이커♬</v>
      </c>
      <c r="B7627" s="2" t="str">
        <f>IFERROR(__xludf.DUMMYFUNCTION("""COMPUTED_VALUE"""),"식초")</f>
        <v>식초</v>
      </c>
    </row>
    <row r="7628">
      <c r="A7628" s="2" t="str">
        <f>IFERROR(__xludf.DUMMYFUNCTION("""COMPUTED_VALUE"""),"김치브레이커♬")</f>
        <v>김치브레이커♬</v>
      </c>
      <c r="B7628" s="2" t="str">
        <f>IFERROR(__xludf.DUMMYFUNCTION("""COMPUTED_VALUE"""),"간장")</f>
        <v>간장</v>
      </c>
    </row>
    <row r="7629">
      <c r="A7629" s="2" t="str">
        <f>IFERROR(__xludf.DUMMYFUNCTION("""COMPUTED_VALUE"""),"김치브레이커♬")</f>
        <v>김치브레이커♬</v>
      </c>
      <c r="B7629" s="2" t="str">
        <f>IFERROR(__xludf.DUMMYFUNCTION("""COMPUTED_VALUE"""),"전분")</f>
        <v>전분</v>
      </c>
    </row>
    <row r="7630">
      <c r="A7630" s="2" t="str">
        <f>IFERROR(__xludf.DUMMYFUNCTION("""COMPUTED_VALUE"""),"복면닭호")</f>
        <v>복면닭호</v>
      </c>
      <c r="B7630" s="2" t="str">
        <f>IFERROR(__xludf.DUMMYFUNCTION("""COMPUTED_VALUE"""),"토종닭")</f>
        <v>토종닭</v>
      </c>
    </row>
    <row r="7631">
      <c r="A7631" s="2" t="str">
        <f>IFERROR(__xludf.DUMMYFUNCTION("""COMPUTED_VALUE"""),"복면닭호")</f>
        <v>복면닭호</v>
      </c>
      <c r="B7631" s="2" t="str">
        <f>IFERROR(__xludf.DUMMYFUNCTION("""COMPUTED_VALUE"""),"소고기 채끝살")</f>
        <v>소고기 채끝살</v>
      </c>
    </row>
    <row r="7632">
      <c r="A7632" s="2" t="str">
        <f>IFERROR(__xludf.DUMMYFUNCTION("""COMPUTED_VALUE"""),"복면닭호")</f>
        <v>복면닭호</v>
      </c>
      <c r="B7632" s="2" t="str">
        <f>IFERROR(__xludf.DUMMYFUNCTION("""COMPUTED_VALUE"""),"인스턴트 어묵전골")</f>
        <v>인스턴트 어묵전골</v>
      </c>
    </row>
    <row r="7633">
      <c r="A7633" s="2" t="str">
        <f>IFERROR(__xludf.DUMMYFUNCTION("""COMPUTED_VALUE"""),"복면닭호")</f>
        <v>복면닭호</v>
      </c>
      <c r="B7633" s="2" t="str">
        <f>IFERROR(__xludf.DUMMYFUNCTION("""COMPUTED_VALUE"""),"쪽파")</f>
        <v>쪽파</v>
      </c>
    </row>
    <row r="7634">
      <c r="A7634" s="2" t="str">
        <f>IFERROR(__xludf.DUMMYFUNCTION("""COMPUTED_VALUE"""),"복면닭호")</f>
        <v>복면닭호</v>
      </c>
      <c r="B7634" s="2" t="str">
        <f>IFERROR(__xludf.DUMMYFUNCTION("""COMPUTED_VALUE"""),"새송이버섯")</f>
        <v>새송이버섯</v>
      </c>
    </row>
    <row r="7635">
      <c r="A7635" s="2" t="str">
        <f>IFERROR(__xludf.DUMMYFUNCTION("""COMPUTED_VALUE"""),"복면닭호")</f>
        <v>복면닭호</v>
      </c>
      <c r="B7635" s="2" t="str">
        <f>IFERROR(__xludf.DUMMYFUNCTION("""COMPUTED_VALUE"""),"밀가루")</f>
        <v>밀가루</v>
      </c>
    </row>
    <row r="7636">
      <c r="A7636" s="2" t="str">
        <f>IFERROR(__xludf.DUMMYFUNCTION("""COMPUTED_VALUE"""),"복면닭호")</f>
        <v>복면닭호</v>
      </c>
      <c r="B7636" s="2" t="str">
        <f>IFERROR(__xludf.DUMMYFUNCTION("""COMPUTED_VALUE"""),"소금")</f>
        <v>소금</v>
      </c>
    </row>
    <row r="7637">
      <c r="A7637" s="2" t="str">
        <f>IFERROR(__xludf.DUMMYFUNCTION("""COMPUTED_VALUE"""),"복면닭호")</f>
        <v>복면닭호</v>
      </c>
      <c r="B7637" s="2" t="str">
        <f>IFERROR(__xludf.DUMMYFUNCTION("""COMPUTED_VALUE"""),"참기름")</f>
        <v>참기름</v>
      </c>
    </row>
    <row r="7638">
      <c r="A7638" s="2" t="str">
        <f>IFERROR(__xludf.DUMMYFUNCTION("""COMPUTED_VALUE"""),"복면닭호")</f>
        <v>복면닭호</v>
      </c>
      <c r="B7638" s="2" t="str">
        <f>IFERROR(__xludf.DUMMYFUNCTION("""COMPUTED_VALUE"""),"고추장")</f>
        <v>고추장</v>
      </c>
    </row>
    <row r="7639">
      <c r="A7639" s="2" t="str">
        <f>IFERROR(__xludf.DUMMYFUNCTION("""COMPUTED_VALUE"""),"복면닭호")</f>
        <v>복면닭호</v>
      </c>
      <c r="B7639" s="2" t="str">
        <f>IFERROR(__xludf.DUMMYFUNCTION("""COMPUTED_VALUE"""),"마늘")</f>
        <v>마늘</v>
      </c>
    </row>
    <row r="7640">
      <c r="A7640" s="2" t="str">
        <f>IFERROR(__xludf.DUMMYFUNCTION("""COMPUTED_VALUE"""),"복면닭호")</f>
        <v>복면닭호</v>
      </c>
      <c r="B7640" s="2" t="str">
        <f>IFERROR(__xludf.DUMMYFUNCTION("""COMPUTED_VALUE"""),"양파")</f>
        <v>양파</v>
      </c>
    </row>
    <row r="7641">
      <c r="A7641" s="2" t="str">
        <f>IFERROR(__xludf.DUMMYFUNCTION("""COMPUTED_VALUE"""),"면들에게 물어봐♬")</f>
        <v>면들에게 물어봐♬</v>
      </c>
      <c r="B7641" s="2" t="str">
        <f>IFERROR(__xludf.DUMMYFUNCTION("""COMPUTED_VALUE"""),"고등어")</f>
        <v>고등어</v>
      </c>
    </row>
    <row r="7642">
      <c r="A7642" s="2" t="str">
        <f>IFERROR(__xludf.DUMMYFUNCTION("""COMPUTED_VALUE"""),"면들에게 물어봐♬")</f>
        <v>면들에게 물어봐♬</v>
      </c>
      <c r="B7642" s="2" t="str">
        <f>IFERROR(__xludf.DUMMYFUNCTION("""COMPUTED_VALUE"""),"모시조개")</f>
        <v>모시조개</v>
      </c>
    </row>
    <row r="7643">
      <c r="A7643" s="2" t="str">
        <f>IFERROR(__xludf.DUMMYFUNCTION("""COMPUTED_VALUE"""),"면들에게 물어봐♬")</f>
        <v>면들에게 물어봐♬</v>
      </c>
      <c r="B7643" s="2" t="str">
        <f>IFERROR(__xludf.DUMMYFUNCTION("""COMPUTED_VALUE"""),"페페론치노")</f>
        <v>페페론치노</v>
      </c>
    </row>
    <row r="7644">
      <c r="A7644" s="2" t="str">
        <f>IFERROR(__xludf.DUMMYFUNCTION("""COMPUTED_VALUE"""),"면들에게 물어봐♬")</f>
        <v>면들에게 물어봐♬</v>
      </c>
      <c r="B7644" s="2" t="str">
        <f>IFERROR(__xludf.DUMMYFUNCTION("""COMPUTED_VALUE"""),"밀가루")</f>
        <v>밀가루</v>
      </c>
    </row>
    <row r="7645">
      <c r="A7645" s="2" t="str">
        <f>IFERROR(__xludf.DUMMYFUNCTION("""COMPUTED_VALUE"""),"면들에게 물어봐♬")</f>
        <v>면들에게 물어봐♬</v>
      </c>
      <c r="B7645" s="2" t="str">
        <f>IFERROR(__xludf.DUMMYFUNCTION("""COMPUTED_VALUE"""),"달걀")</f>
        <v>달걀</v>
      </c>
    </row>
    <row r="7646">
      <c r="A7646" s="2" t="str">
        <f>IFERROR(__xludf.DUMMYFUNCTION("""COMPUTED_VALUE"""),"면들에게 물어봐♬")</f>
        <v>면들에게 물어봐♬</v>
      </c>
      <c r="B7646" s="2" t="str">
        <f>IFERROR(__xludf.DUMMYFUNCTION("""COMPUTED_VALUE"""),"마늘")</f>
        <v>마늘</v>
      </c>
    </row>
    <row r="7647">
      <c r="A7647" s="2" t="str">
        <f>IFERROR(__xludf.DUMMYFUNCTION("""COMPUTED_VALUE"""),"면들에게 물어봐♬")</f>
        <v>면들에게 물어봐♬</v>
      </c>
      <c r="B7647" s="2" t="str">
        <f>IFERROR(__xludf.DUMMYFUNCTION("""COMPUTED_VALUE"""),"화이트와인")</f>
        <v>화이트와인</v>
      </c>
    </row>
    <row r="7648">
      <c r="A7648" s="2" t="str">
        <f>IFERROR(__xludf.DUMMYFUNCTION("""COMPUTED_VALUE"""),"면들에게 물어봐♬")</f>
        <v>면들에게 물어봐♬</v>
      </c>
      <c r="B7648" s="2" t="str">
        <f>IFERROR(__xludf.DUMMYFUNCTION("""COMPUTED_VALUE"""),"소금")</f>
        <v>소금</v>
      </c>
    </row>
    <row r="7649">
      <c r="A7649" s="2" t="str">
        <f>IFERROR(__xludf.DUMMYFUNCTION("""COMPUTED_VALUE"""),"면들에게 물어봐♬")</f>
        <v>면들에게 물어봐♬</v>
      </c>
      <c r="B7649" s="2" t="str">
        <f>IFERROR(__xludf.DUMMYFUNCTION("""COMPUTED_VALUE"""),"대파")</f>
        <v>대파</v>
      </c>
    </row>
    <row r="7650">
      <c r="A7650" s="2" t="str">
        <f>IFERROR(__xludf.DUMMYFUNCTION("""COMPUTED_VALUE"""),"면들에게 물어봐♬")</f>
        <v>면들에게 물어봐♬</v>
      </c>
      <c r="B7650" s="2" t="str">
        <f>IFERROR(__xludf.DUMMYFUNCTION("""COMPUTED_VALUE"""),"올리브오일")</f>
        <v>올리브오일</v>
      </c>
    </row>
    <row r="7651">
      <c r="A7651" s="2" t="str">
        <f>IFERROR(__xludf.DUMMYFUNCTION("""COMPUTED_VALUE"""),"외할머니의 집으로~ 이경규가 간닭!")</f>
        <v>외할머니의 집으로~ 이경규가 간닭!</v>
      </c>
      <c r="B7651" s="2" t="str">
        <f>IFERROR(__xludf.DUMMYFUNCTION("""COMPUTED_VALUE"""),"토종닭")</f>
        <v>토종닭</v>
      </c>
    </row>
    <row r="7652">
      <c r="A7652" s="2" t="str">
        <f>IFERROR(__xludf.DUMMYFUNCTION("""COMPUTED_VALUE"""),"외할머니의 집으로~ 이경규가 간닭!")</f>
        <v>외할머니의 집으로~ 이경규가 간닭!</v>
      </c>
      <c r="B7652" s="2" t="str">
        <f>IFERROR(__xludf.DUMMYFUNCTION("""COMPUTED_VALUE"""),"쪽파")</f>
        <v>쪽파</v>
      </c>
    </row>
    <row r="7653">
      <c r="A7653" s="2" t="str">
        <f>IFERROR(__xludf.DUMMYFUNCTION("""COMPUTED_VALUE"""),"외할머니의 집으로~ 이경규가 간닭!")</f>
        <v>외할머니의 집으로~ 이경규가 간닭!</v>
      </c>
      <c r="B7653" s="2" t="str">
        <f>IFERROR(__xludf.DUMMYFUNCTION("""COMPUTED_VALUE"""),"인스턴트 사골곰탕")</f>
        <v>인스턴트 사골곰탕</v>
      </c>
    </row>
    <row r="7654">
      <c r="A7654" s="2" t="str">
        <f>IFERROR(__xludf.DUMMYFUNCTION("""COMPUTED_VALUE"""),"외할머니의 집으로~ 이경규가 간닭!")</f>
        <v>외할머니의 집으로~ 이경규가 간닭!</v>
      </c>
      <c r="B7654" s="2" t="str">
        <f>IFERROR(__xludf.DUMMYFUNCTION("""COMPUTED_VALUE"""),"김치")</f>
        <v>김치</v>
      </c>
    </row>
    <row r="7655">
      <c r="A7655" s="2" t="str">
        <f>IFERROR(__xludf.DUMMYFUNCTION("""COMPUTED_VALUE"""),"외할머니의 집으로~ 이경규가 간닭!")</f>
        <v>외할머니의 집으로~ 이경규가 간닭!</v>
      </c>
      <c r="B7655" s="2" t="str">
        <f>IFERROR(__xludf.DUMMYFUNCTION("""COMPUTED_VALUE"""),"콩잎장아찌")</f>
        <v>콩잎장아찌</v>
      </c>
    </row>
    <row r="7656">
      <c r="A7656" s="2" t="str">
        <f>IFERROR(__xludf.DUMMYFUNCTION("""COMPUTED_VALUE"""),"외할머니의 집으로~ 이경규가 간닭!")</f>
        <v>외할머니의 집으로~ 이경규가 간닭!</v>
      </c>
      <c r="B7656" s="2" t="str">
        <f>IFERROR(__xludf.DUMMYFUNCTION("""COMPUTED_VALUE"""),"쌀")</f>
        <v>쌀</v>
      </c>
    </row>
    <row r="7657">
      <c r="A7657" s="2" t="str">
        <f>IFERROR(__xludf.DUMMYFUNCTION("""COMPUTED_VALUE"""),"외할머니의 집으로~ 이경규가 간닭!")</f>
        <v>외할머니의 집으로~ 이경규가 간닭!</v>
      </c>
      <c r="B7657" s="2" t="str">
        <f>IFERROR(__xludf.DUMMYFUNCTION("""COMPUTED_VALUE"""),"들기름")</f>
        <v>들기름</v>
      </c>
    </row>
    <row r="7658">
      <c r="A7658" s="2" t="str">
        <f>IFERROR(__xludf.DUMMYFUNCTION("""COMPUTED_VALUE"""),"외할머니의 집으로~ 이경규가 간닭!")</f>
        <v>외할머니의 집으로~ 이경규가 간닭!</v>
      </c>
      <c r="B7658" s="2" t="str">
        <f>IFERROR(__xludf.DUMMYFUNCTION("""COMPUTED_VALUE"""),"소금")</f>
        <v>소금</v>
      </c>
    </row>
    <row r="7659">
      <c r="A7659" s="2" t="str">
        <f>IFERROR(__xludf.DUMMYFUNCTION("""COMPUTED_VALUE"""),"외할머니의 집으로~ 이경규가 간닭!")</f>
        <v>외할머니의 집으로~ 이경규가 간닭!</v>
      </c>
      <c r="B7659" s="2" t="str">
        <f>IFERROR(__xludf.DUMMYFUNCTION("""COMPUTED_VALUE"""),"후추")</f>
        <v>후추</v>
      </c>
    </row>
    <row r="7660">
      <c r="A7660" s="2" t="str">
        <f>IFERROR(__xludf.DUMMYFUNCTION("""COMPUTED_VALUE"""),"외할머니의 집으로~ 이경규가 간닭!")</f>
        <v>외할머니의 집으로~ 이경규가 간닭!</v>
      </c>
      <c r="B7660" s="2" t="str">
        <f>IFERROR(__xludf.DUMMYFUNCTION("""COMPUTED_VALUE"""),"대파")</f>
        <v>대파</v>
      </c>
    </row>
    <row r="7661">
      <c r="A7661" s="2" t="str">
        <f>IFERROR(__xludf.DUMMYFUNCTION("""COMPUTED_VALUE"""),"외할머니의 집으로~ 이경규가 간닭!")</f>
        <v>외할머니의 집으로~ 이경규가 간닭!</v>
      </c>
      <c r="B7661" s="2" t="str">
        <f>IFERROR(__xludf.DUMMYFUNCTION("""COMPUTED_VALUE"""),"고춧가루")</f>
        <v>고춧가루</v>
      </c>
    </row>
    <row r="7662">
      <c r="A7662" s="2" t="str">
        <f>IFERROR(__xludf.DUMMYFUNCTION("""COMPUTED_VALUE"""),"외할머니의 집으로~ 이경규가 간닭!")</f>
        <v>외할머니의 집으로~ 이경규가 간닭!</v>
      </c>
      <c r="B7662" s="2" t="str">
        <f>IFERROR(__xludf.DUMMYFUNCTION("""COMPUTED_VALUE"""),"다진 마늘")</f>
        <v>다진 마늘</v>
      </c>
    </row>
    <row r="7663">
      <c r="A7663" s="2" t="str">
        <f>IFERROR(__xludf.DUMMYFUNCTION("""COMPUTED_VALUE"""),"외할머니의 집으로~ 이경규가 간닭!")</f>
        <v>외할머니의 집으로~ 이경규가 간닭!</v>
      </c>
      <c r="B7663" s="2" t="str">
        <f>IFERROR(__xludf.DUMMYFUNCTION("""COMPUTED_VALUE"""),"간장")</f>
        <v>간장</v>
      </c>
    </row>
    <row r="7664">
      <c r="A7664" s="2" t="str">
        <f>IFERROR(__xludf.DUMMYFUNCTION("""COMPUTED_VALUE"""),"외할머니의 집으로~ 이경규가 간닭!")</f>
        <v>외할머니의 집으로~ 이경규가 간닭!</v>
      </c>
      <c r="B7664" s="2" t="str">
        <f>IFERROR(__xludf.DUMMYFUNCTION("""COMPUTED_VALUE"""),"식초")</f>
        <v>식초</v>
      </c>
    </row>
    <row r="7665">
      <c r="A7665" s="2" t="str">
        <f>IFERROR(__xludf.DUMMYFUNCTION("""COMPUTED_VALUE"""),"꼬꼬탕")</f>
        <v>꼬꼬탕</v>
      </c>
      <c r="B7665" s="2" t="str">
        <f>IFERROR(__xludf.DUMMYFUNCTION("""COMPUTED_VALUE"""),"토종닭")</f>
        <v>토종닭</v>
      </c>
    </row>
    <row r="7666">
      <c r="A7666" s="2" t="str">
        <f>IFERROR(__xludf.DUMMYFUNCTION("""COMPUTED_VALUE"""),"꼬꼬탕")</f>
        <v>꼬꼬탕</v>
      </c>
      <c r="B7666" s="2" t="str">
        <f>IFERROR(__xludf.DUMMYFUNCTION("""COMPUTED_VALUE"""),"땅콩버터")</f>
        <v>땅콩버터</v>
      </c>
    </row>
    <row r="7667">
      <c r="A7667" s="2" t="str">
        <f>IFERROR(__xludf.DUMMYFUNCTION("""COMPUTED_VALUE"""),"꼬꼬탕")</f>
        <v>꼬꼬탕</v>
      </c>
      <c r="B7667" s="2" t="str">
        <f>IFERROR(__xludf.DUMMYFUNCTION("""COMPUTED_VALUE"""),"쌈장")</f>
        <v>쌈장</v>
      </c>
    </row>
    <row r="7668">
      <c r="A7668" s="2" t="str">
        <f>IFERROR(__xludf.DUMMYFUNCTION("""COMPUTED_VALUE"""),"꼬꼬탕")</f>
        <v>꼬꼬탕</v>
      </c>
      <c r="B7668" s="2" t="str">
        <f>IFERROR(__xludf.DUMMYFUNCTION("""COMPUTED_VALUE"""),"마늘종장아찌")</f>
        <v>마늘종장아찌</v>
      </c>
    </row>
    <row r="7669">
      <c r="A7669" s="2" t="str">
        <f>IFERROR(__xludf.DUMMYFUNCTION("""COMPUTED_VALUE"""),"꼬꼬탕")</f>
        <v>꼬꼬탕</v>
      </c>
      <c r="B7669" s="2" t="str">
        <f>IFERROR(__xludf.DUMMYFUNCTION("""COMPUTED_VALUE"""),"다진 오이피클")</f>
        <v>다진 오이피클</v>
      </c>
    </row>
    <row r="7670">
      <c r="A7670" s="2" t="str">
        <f>IFERROR(__xludf.DUMMYFUNCTION("""COMPUTED_VALUE"""),"꼬꼬탕")</f>
        <v>꼬꼬탕</v>
      </c>
      <c r="B7670" s="2" t="str">
        <f>IFERROR(__xludf.DUMMYFUNCTION("""COMPUTED_VALUE"""),"대파")</f>
        <v>대파</v>
      </c>
    </row>
    <row r="7671">
      <c r="A7671" s="2" t="str">
        <f>IFERROR(__xludf.DUMMYFUNCTION("""COMPUTED_VALUE"""),"꼬꼬탕")</f>
        <v>꼬꼬탕</v>
      </c>
      <c r="B7671" s="2" t="str">
        <f>IFERROR(__xludf.DUMMYFUNCTION("""COMPUTED_VALUE"""),"마늘")</f>
        <v>마늘</v>
      </c>
    </row>
    <row r="7672">
      <c r="A7672" s="2" t="str">
        <f>IFERROR(__xludf.DUMMYFUNCTION("""COMPUTED_VALUE"""),"꼬꼬탕")</f>
        <v>꼬꼬탕</v>
      </c>
      <c r="B7672" s="2" t="str">
        <f>IFERROR(__xludf.DUMMYFUNCTION("""COMPUTED_VALUE"""),"양파")</f>
        <v>양파</v>
      </c>
    </row>
    <row r="7673">
      <c r="A7673" s="2" t="str">
        <f>IFERROR(__xludf.DUMMYFUNCTION("""COMPUTED_VALUE"""),"꼬꼬탕")</f>
        <v>꼬꼬탕</v>
      </c>
      <c r="B7673" s="2" t="str">
        <f>IFERROR(__xludf.DUMMYFUNCTION("""COMPUTED_VALUE"""),"설탕")</f>
        <v>설탕</v>
      </c>
    </row>
    <row r="7674">
      <c r="A7674" s="2" t="str">
        <f>IFERROR(__xludf.DUMMYFUNCTION("""COMPUTED_VALUE"""),"꼬꼬탕")</f>
        <v>꼬꼬탕</v>
      </c>
      <c r="B7674" s="2" t="str">
        <f>IFERROR(__xludf.DUMMYFUNCTION("""COMPUTED_VALUE"""),"식초")</f>
        <v>식초</v>
      </c>
    </row>
    <row r="7675">
      <c r="A7675" s="2" t="str">
        <f>IFERROR(__xludf.DUMMYFUNCTION("""COMPUTED_VALUE"""),"꼬꼬탕")</f>
        <v>꼬꼬탕</v>
      </c>
      <c r="B7675" s="2" t="str">
        <f>IFERROR(__xludf.DUMMYFUNCTION("""COMPUTED_VALUE"""),"맛술")</f>
        <v>맛술</v>
      </c>
    </row>
    <row r="7676">
      <c r="A7676" s="2" t="str">
        <f>IFERROR(__xludf.DUMMYFUNCTION("""COMPUTED_VALUE"""),"꼬꼬탕")</f>
        <v>꼬꼬탕</v>
      </c>
      <c r="B7676" s="2" t="str">
        <f>IFERROR(__xludf.DUMMYFUNCTION("""COMPUTED_VALUE"""),"간장")</f>
        <v>간장</v>
      </c>
    </row>
    <row r="7677">
      <c r="A7677" s="2" t="str">
        <f>IFERROR(__xludf.DUMMYFUNCTION("""COMPUTED_VALUE"""),"꼬꼬탕")</f>
        <v>꼬꼬탕</v>
      </c>
      <c r="B7677" s="2" t="str">
        <f>IFERROR(__xludf.DUMMYFUNCTION("""COMPUTED_VALUE"""),"고추냉이")</f>
        <v>고추냉이</v>
      </c>
    </row>
    <row r="7678">
      <c r="A7678" s="2" t="str">
        <f>IFERROR(__xludf.DUMMYFUNCTION("""COMPUTED_VALUE"""),"꼬꼬탕")</f>
        <v>꼬꼬탕</v>
      </c>
      <c r="B7678" s="2" t="str">
        <f>IFERROR(__xludf.DUMMYFUNCTION("""COMPUTED_VALUE"""),"참기름")</f>
        <v>참기름</v>
      </c>
    </row>
    <row r="7679">
      <c r="A7679" s="2" t="str">
        <f>IFERROR(__xludf.DUMMYFUNCTION("""COMPUTED_VALUE"""),"꼬꼬탕")</f>
        <v>꼬꼬탕</v>
      </c>
      <c r="B7679" s="2" t="str">
        <f>IFERROR(__xludf.DUMMYFUNCTION("""COMPUTED_VALUE"""),"달걀")</f>
        <v>달걀</v>
      </c>
    </row>
    <row r="7680">
      <c r="A7680" s="2" t="str">
        <f>IFERROR(__xludf.DUMMYFUNCTION("""COMPUTED_VALUE"""),"꼬꼬탕")</f>
        <v>꼬꼬탕</v>
      </c>
      <c r="B7680" s="2" t="str">
        <f>IFERROR(__xludf.DUMMYFUNCTION("""COMPUTED_VALUE"""),"후추")</f>
        <v>후추</v>
      </c>
    </row>
    <row r="7681">
      <c r="A7681" s="2" t="str">
        <f>IFERROR(__xludf.DUMMYFUNCTION("""COMPUTED_VALUE"""),"꼬꼬탕")</f>
        <v>꼬꼬탕</v>
      </c>
      <c r="B7681" s="2" t="str">
        <f>IFERROR(__xludf.DUMMYFUNCTION("""COMPUTED_VALUE"""),"깨")</f>
        <v>깨</v>
      </c>
    </row>
    <row r="7682">
      <c r="A7682" s="2" t="str">
        <f>IFERROR(__xludf.DUMMYFUNCTION("""COMPUTED_VALUE"""),"이건 닭도 아니고 빵도 아니여")</f>
        <v>이건 닭도 아니고 빵도 아니여</v>
      </c>
      <c r="B7682" s="2" t="str">
        <f>IFERROR(__xludf.DUMMYFUNCTION("""COMPUTED_VALUE"""),"인스턴트 카레")</f>
        <v>인스턴트 카레</v>
      </c>
    </row>
    <row r="7683">
      <c r="A7683" s="2" t="str">
        <f>IFERROR(__xludf.DUMMYFUNCTION("""COMPUTED_VALUE"""),"이건 닭도 아니고 빵도 아니여")</f>
        <v>이건 닭도 아니고 빵도 아니여</v>
      </c>
      <c r="B7683" s="2" t="str">
        <f>IFERROR(__xludf.DUMMYFUNCTION("""COMPUTED_VALUE"""),"통조림 햄")</f>
        <v>통조림 햄</v>
      </c>
    </row>
    <row r="7684">
      <c r="A7684" s="2" t="str">
        <f>IFERROR(__xludf.DUMMYFUNCTION("""COMPUTED_VALUE"""),"이건 닭도 아니고 빵도 아니여")</f>
        <v>이건 닭도 아니고 빵도 아니여</v>
      </c>
      <c r="B7684" s="2" t="str">
        <f>IFERROR(__xludf.DUMMYFUNCTION("""COMPUTED_VALUE"""),"밀가루")</f>
        <v>밀가루</v>
      </c>
    </row>
    <row r="7685">
      <c r="A7685" s="2" t="str">
        <f>IFERROR(__xludf.DUMMYFUNCTION("""COMPUTED_VALUE"""),"이건 닭도 아니고 빵도 아니여")</f>
        <v>이건 닭도 아니고 빵도 아니여</v>
      </c>
      <c r="B7685" s="2" t="str">
        <f>IFERROR(__xludf.DUMMYFUNCTION("""COMPUTED_VALUE"""),"소금")</f>
        <v>소금</v>
      </c>
    </row>
    <row r="7686">
      <c r="A7686" s="2" t="str">
        <f>IFERROR(__xludf.DUMMYFUNCTION("""COMPUTED_VALUE"""),"이건 닭도 아니고 빵도 아니여")</f>
        <v>이건 닭도 아니고 빵도 아니여</v>
      </c>
      <c r="B7686" s="2" t="str">
        <f>IFERROR(__xludf.DUMMYFUNCTION("""COMPUTED_VALUE"""),"설탕")</f>
        <v>설탕</v>
      </c>
    </row>
    <row r="7687">
      <c r="A7687" s="2" t="str">
        <f>IFERROR(__xludf.DUMMYFUNCTION("""COMPUTED_VALUE"""),"이건 닭도 아니고 빵도 아니여")</f>
        <v>이건 닭도 아니고 빵도 아니여</v>
      </c>
      <c r="B7687" s="2" t="str">
        <f>IFERROR(__xludf.DUMMYFUNCTION("""COMPUTED_VALUE"""),"버터")</f>
        <v>버터</v>
      </c>
    </row>
    <row r="7688">
      <c r="A7688" s="2" t="str">
        <f>IFERROR(__xludf.DUMMYFUNCTION("""COMPUTED_VALUE"""),"이건 닭도 아니고 빵도 아니여")</f>
        <v>이건 닭도 아니고 빵도 아니여</v>
      </c>
      <c r="B7688" s="2" t="str">
        <f>IFERROR(__xludf.DUMMYFUNCTION("""COMPUTED_VALUE"""),"다진 마늘")</f>
        <v>다진 마늘</v>
      </c>
    </row>
    <row r="7689">
      <c r="A7689" s="2" t="str">
        <f>IFERROR(__xludf.DUMMYFUNCTION("""COMPUTED_VALUE"""),"이건 닭도 아니고 빵도 아니여")</f>
        <v>이건 닭도 아니고 빵도 아니여</v>
      </c>
      <c r="B7689" s="2" t="str">
        <f>IFERROR(__xludf.DUMMYFUNCTION("""COMPUTED_VALUE"""),"식초")</f>
        <v>식초</v>
      </c>
    </row>
    <row r="7690">
      <c r="A7690" s="2" t="str">
        <f>IFERROR(__xludf.DUMMYFUNCTION("""COMPUTED_VALUE"""),"이건 닭도 아니고 빵도 아니여")</f>
        <v>이건 닭도 아니고 빵도 아니여</v>
      </c>
      <c r="B7690" s="2" t="str">
        <f>IFERROR(__xludf.DUMMYFUNCTION("""COMPUTED_VALUE"""),"간장")</f>
        <v>간장</v>
      </c>
    </row>
    <row r="7691">
      <c r="A7691" s="2" t="str">
        <f>IFERROR(__xludf.DUMMYFUNCTION("""COMPUTED_VALUE"""),"이건 닭도 아니고 빵도 아니여")</f>
        <v>이건 닭도 아니고 빵도 아니여</v>
      </c>
      <c r="B7691" s="2" t="str">
        <f>IFERROR(__xludf.DUMMYFUNCTION("""COMPUTED_VALUE"""),"고춧가루")</f>
        <v>고춧가루</v>
      </c>
    </row>
    <row r="7692">
      <c r="A7692" s="2" t="str">
        <f>IFERROR(__xludf.DUMMYFUNCTION("""COMPUTED_VALUE"""),"이건 닭도 아니고 빵도 아니여")</f>
        <v>이건 닭도 아니고 빵도 아니여</v>
      </c>
      <c r="B7692" s="2" t="str">
        <f>IFERROR(__xludf.DUMMYFUNCTION("""COMPUTED_VALUE"""),"전분")</f>
        <v>전분</v>
      </c>
    </row>
    <row r="7693">
      <c r="A7693" s="2" t="str">
        <f>IFERROR(__xludf.DUMMYFUNCTION("""COMPUTED_VALUE"""),"공갈협빵")</f>
        <v>공갈협빵</v>
      </c>
      <c r="B7693" s="2" t="str">
        <f>IFERROR(__xludf.DUMMYFUNCTION("""COMPUTED_VALUE"""),"연어 통조림")</f>
        <v>연어 통조림</v>
      </c>
    </row>
    <row r="7694">
      <c r="A7694" s="2" t="str">
        <f>IFERROR(__xludf.DUMMYFUNCTION("""COMPUTED_VALUE"""),"공갈협빵")</f>
        <v>공갈협빵</v>
      </c>
      <c r="B7694" s="2" t="str">
        <f>IFERROR(__xludf.DUMMYFUNCTION("""COMPUTED_VALUE"""),"통조림 햄")</f>
        <v>통조림 햄</v>
      </c>
    </row>
    <row r="7695">
      <c r="A7695" s="2" t="str">
        <f>IFERROR(__xludf.DUMMYFUNCTION("""COMPUTED_VALUE"""),"공갈협빵")</f>
        <v>공갈협빵</v>
      </c>
      <c r="B7695" s="2" t="str">
        <f>IFERROR(__xludf.DUMMYFUNCTION("""COMPUTED_VALUE"""),"달걀")</f>
        <v>달걀</v>
      </c>
    </row>
    <row r="7696">
      <c r="A7696" s="2" t="str">
        <f>IFERROR(__xludf.DUMMYFUNCTION("""COMPUTED_VALUE"""),"공갈협빵")</f>
        <v>공갈협빵</v>
      </c>
      <c r="B7696" s="2" t="str">
        <f>IFERROR(__xludf.DUMMYFUNCTION("""COMPUTED_VALUE"""),"전분")</f>
        <v>전분</v>
      </c>
    </row>
    <row r="7697">
      <c r="A7697" s="2" t="str">
        <f>IFERROR(__xludf.DUMMYFUNCTION("""COMPUTED_VALUE"""),"공갈협빵")</f>
        <v>공갈협빵</v>
      </c>
      <c r="B7697" s="2" t="str">
        <f>IFERROR(__xludf.DUMMYFUNCTION("""COMPUTED_VALUE"""),"청양고추")</f>
        <v>청양고추</v>
      </c>
    </row>
    <row r="7698">
      <c r="A7698" s="2" t="str">
        <f>IFERROR(__xludf.DUMMYFUNCTION("""COMPUTED_VALUE"""),"공갈협빵")</f>
        <v>공갈협빵</v>
      </c>
      <c r="B7698" s="2" t="str">
        <f>IFERROR(__xludf.DUMMYFUNCTION("""COMPUTED_VALUE"""),"대파")</f>
        <v>대파</v>
      </c>
    </row>
    <row r="7699">
      <c r="A7699" s="2" t="str">
        <f>IFERROR(__xludf.DUMMYFUNCTION("""COMPUTED_VALUE"""),"공갈협빵")</f>
        <v>공갈협빵</v>
      </c>
      <c r="B7699" s="2" t="str">
        <f>IFERROR(__xludf.DUMMYFUNCTION("""COMPUTED_VALUE"""),"설탕")</f>
        <v>설탕</v>
      </c>
    </row>
    <row r="7700">
      <c r="A7700" s="2" t="str">
        <f>IFERROR(__xludf.DUMMYFUNCTION("""COMPUTED_VALUE"""),"어젯밤 시킨 닭")</f>
        <v>어젯밤 시킨 닭</v>
      </c>
      <c r="B7700" s="2" t="str">
        <f>IFERROR(__xludf.DUMMYFUNCTION("""COMPUTED_VALUE"""),"치킨")</f>
        <v>치킨</v>
      </c>
    </row>
    <row r="7701">
      <c r="A7701" s="2" t="str">
        <f>IFERROR(__xludf.DUMMYFUNCTION("""COMPUTED_VALUE"""),"어젯밤 시킨 닭")</f>
        <v>어젯밤 시킨 닭</v>
      </c>
      <c r="B7701" s="2" t="str">
        <f>IFERROR(__xludf.DUMMYFUNCTION("""COMPUTED_VALUE"""),"라면")</f>
        <v>라면</v>
      </c>
    </row>
    <row r="7702">
      <c r="A7702" s="2" t="str">
        <f>IFERROR(__xludf.DUMMYFUNCTION("""COMPUTED_VALUE"""),"어젯밤 시킨 닭")</f>
        <v>어젯밤 시킨 닭</v>
      </c>
      <c r="B7702" s="2" t="str">
        <f>IFERROR(__xludf.DUMMYFUNCTION("""COMPUTED_VALUE"""),"인스턴트 어묵탕")</f>
        <v>인스턴트 어묵탕</v>
      </c>
    </row>
    <row r="7703">
      <c r="A7703" s="2" t="str">
        <f>IFERROR(__xludf.DUMMYFUNCTION("""COMPUTED_VALUE"""),"어젯밤 시킨 닭")</f>
        <v>어젯밤 시킨 닭</v>
      </c>
      <c r="B7703" s="2" t="str">
        <f>IFERROR(__xludf.DUMMYFUNCTION("""COMPUTED_VALUE"""),"우엉")</f>
        <v>우엉</v>
      </c>
    </row>
    <row r="7704">
      <c r="A7704" s="2" t="str">
        <f>IFERROR(__xludf.DUMMYFUNCTION("""COMPUTED_VALUE"""),"어젯밤 시킨 닭")</f>
        <v>어젯밤 시킨 닭</v>
      </c>
      <c r="B7704" s="2" t="str">
        <f>IFERROR(__xludf.DUMMYFUNCTION("""COMPUTED_VALUE"""),"깨")</f>
        <v>깨</v>
      </c>
    </row>
    <row r="7705">
      <c r="A7705" s="2" t="str">
        <f>IFERROR(__xludf.DUMMYFUNCTION("""COMPUTED_VALUE"""),"어젯밤 시킨 닭")</f>
        <v>어젯밤 시킨 닭</v>
      </c>
      <c r="B7705" s="2" t="str">
        <f>IFERROR(__xludf.DUMMYFUNCTION("""COMPUTED_VALUE"""),"마요네즈")</f>
        <v>마요네즈</v>
      </c>
    </row>
    <row r="7706">
      <c r="A7706" s="2" t="str">
        <f>IFERROR(__xludf.DUMMYFUNCTION("""COMPUTED_VALUE"""),"어젯밤 시킨 닭")</f>
        <v>어젯밤 시킨 닭</v>
      </c>
      <c r="B7706" s="2" t="str">
        <f>IFERROR(__xludf.DUMMYFUNCTION("""COMPUTED_VALUE"""),"간장")</f>
        <v>간장</v>
      </c>
    </row>
    <row r="7707">
      <c r="A7707" s="2" t="str">
        <f>IFERROR(__xludf.DUMMYFUNCTION("""COMPUTED_VALUE"""),"어젯밤 시킨 닭")</f>
        <v>어젯밤 시킨 닭</v>
      </c>
      <c r="B7707" s="2" t="str">
        <f>IFERROR(__xludf.DUMMYFUNCTION("""COMPUTED_VALUE"""),"설탕")</f>
        <v>설탕</v>
      </c>
    </row>
    <row r="7708">
      <c r="A7708" s="2" t="str">
        <f>IFERROR(__xludf.DUMMYFUNCTION("""COMPUTED_VALUE"""),"어젯밤 시킨 닭")</f>
        <v>어젯밤 시킨 닭</v>
      </c>
      <c r="B7708" s="2" t="str">
        <f>IFERROR(__xludf.DUMMYFUNCTION("""COMPUTED_VALUE"""),"식초")</f>
        <v>식초</v>
      </c>
    </row>
    <row r="7709">
      <c r="A7709" s="2" t="str">
        <f>IFERROR(__xludf.DUMMYFUNCTION("""COMPUTED_VALUE"""),"어젯밤 시킨 닭")</f>
        <v>어젯밤 시킨 닭</v>
      </c>
      <c r="B7709" s="2" t="str">
        <f>IFERROR(__xludf.DUMMYFUNCTION("""COMPUTED_VALUE"""),"청양고추")</f>
        <v>청양고추</v>
      </c>
    </row>
    <row r="7710">
      <c r="A7710" s="2" t="str">
        <f>IFERROR(__xludf.DUMMYFUNCTION("""COMPUTED_VALUE"""),"어젯밤 시킨 닭")</f>
        <v>어젯밤 시킨 닭</v>
      </c>
      <c r="B7710" s="2" t="str">
        <f>IFERROR(__xludf.DUMMYFUNCTION("""COMPUTED_VALUE"""),"고춧가루")</f>
        <v>고춧가루</v>
      </c>
    </row>
    <row r="7711">
      <c r="A7711" s="2" t="str">
        <f>IFERROR(__xludf.DUMMYFUNCTION("""COMPUTED_VALUE"""),"어젯밤 시킨 닭")</f>
        <v>어젯밤 시킨 닭</v>
      </c>
      <c r="B7711" s="2" t="str">
        <f>IFERROR(__xludf.DUMMYFUNCTION("""COMPUTED_VALUE"""),"밀가루")</f>
        <v>밀가루</v>
      </c>
    </row>
    <row r="7712">
      <c r="A7712" s="2" t="str">
        <f>IFERROR(__xludf.DUMMYFUNCTION("""COMPUTED_VALUE"""),"어젯밤 시킨 닭")</f>
        <v>어젯밤 시킨 닭</v>
      </c>
      <c r="B7712" s="2" t="str">
        <f>IFERROR(__xludf.DUMMYFUNCTION("""COMPUTED_VALUE"""),"청주")</f>
        <v>청주</v>
      </c>
    </row>
    <row r="7713">
      <c r="A7713" s="2" t="str">
        <f>IFERROR(__xludf.DUMMYFUNCTION("""COMPUTED_VALUE"""),"어젯밤 시킨 닭")</f>
        <v>어젯밤 시킨 닭</v>
      </c>
      <c r="B7713" s="2" t="str">
        <f>IFERROR(__xludf.DUMMYFUNCTION("""COMPUTED_VALUE"""),"맛술")</f>
        <v>맛술</v>
      </c>
    </row>
    <row r="7714">
      <c r="A7714" s="2" t="str">
        <f>IFERROR(__xludf.DUMMYFUNCTION("""COMPUTED_VALUE"""),"어젯밤 시킨 닭")</f>
        <v>어젯밤 시킨 닭</v>
      </c>
      <c r="B7714" s="2" t="str">
        <f>IFERROR(__xludf.DUMMYFUNCTION("""COMPUTED_VALUE"""),"달걀")</f>
        <v>달걀</v>
      </c>
    </row>
    <row r="7715">
      <c r="A7715" s="2" t="str">
        <f>IFERROR(__xludf.DUMMYFUNCTION("""COMPUTED_VALUE"""),"어젯밤 시킨 닭")</f>
        <v>어젯밤 시킨 닭</v>
      </c>
      <c r="B7715" s="2" t="str">
        <f>IFERROR(__xludf.DUMMYFUNCTION("""COMPUTED_VALUE"""),"후추")</f>
        <v>후추</v>
      </c>
    </row>
    <row r="7716">
      <c r="A7716" s="2" t="str">
        <f>IFERROR(__xludf.DUMMYFUNCTION("""COMPUTED_VALUE"""),"어젯밤 시킨 닭")</f>
        <v>어젯밤 시킨 닭</v>
      </c>
      <c r="B7716" s="2" t="str">
        <f>IFERROR(__xludf.DUMMYFUNCTION("""COMPUTED_VALUE"""),"레몬")</f>
        <v>레몬</v>
      </c>
    </row>
    <row r="7717">
      <c r="A7717" s="2" t="str">
        <f>IFERROR(__xludf.DUMMYFUNCTION("""COMPUTED_VALUE"""),"1닭 2일")</f>
        <v>1닭 2일</v>
      </c>
      <c r="B7717" s="2" t="str">
        <f>IFERROR(__xludf.DUMMYFUNCTION("""COMPUTED_VALUE"""),"치킨")</f>
        <v>치킨</v>
      </c>
    </row>
    <row r="7718">
      <c r="A7718" s="2" t="str">
        <f>IFERROR(__xludf.DUMMYFUNCTION("""COMPUTED_VALUE"""),"1닭 2일")</f>
        <v>1닭 2일</v>
      </c>
      <c r="B7718" s="2" t="str">
        <f>IFERROR(__xludf.DUMMYFUNCTION("""COMPUTED_VALUE"""),"치킨무")</f>
        <v>치킨무</v>
      </c>
    </row>
    <row r="7719">
      <c r="A7719" s="2" t="str">
        <f>IFERROR(__xludf.DUMMYFUNCTION("""COMPUTED_VALUE"""),"1닭 2일")</f>
        <v>1닭 2일</v>
      </c>
      <c r="B7719" s="2" t="str">
        <f>IFERROR(__xludf.DUMMYFUNCTION("""COMPUTED_VALUE"""),"위스키")</f>
        <v>위스키</v>
      </c>
    </row>
    <row r="7720">
      <c r="A7720" s="2" t="str">
        <f>IFERROR(__xludf.DUMMYFUNCTION("""COMPUTED_VALUE"""),"1닭 2일")</f>
        <v>1닭 2일</v>
      </c>
      <c r="B7720" s="2" t="str">
        <f>IFERROR(__xludf.DUMMYFUNCTION("""COMPUTED_VALUE"""),"토마토소스")</f>
        <v>토마토소스</v>
      </c>
    </row>
    <row r="7721">
      <c r="A7721" s="2" t="str">
        <f>IFERROR(__xludf.DUMMYFUNCTION("""COMPUTED_VALUE"""),"1닭 2일")</f>
        <v>1닭 2일</v>
      </c>
      <c r="B7721" s="2" t="str">
        <f>IFERROR(__xludf.DUMMYFUNCTION("""COMPUTED_VALUE"""),"김")</f>
        <v>김</v>
      </c>
    </row>
    <row r="7722">
      <c r="A7722" s="2" t="str">
        <f>IFERROR(__xludf.DUMMYFUNCTION("""COMPUTED_VALUE"""),"1닭 2일")</f>
        <v>1닭 2일</v>
      </c>
      <c r="B7722" s="2" t="str">
        <f>IFERROR(__xludf.DUMMYFUNCTION("""COMPUTED_VALUE"""),"인스턴트 볶음김치")</f>
        <v>인스턴트 볶음김치</v>
      </c>
    </row>
    <row r="7723">
      <c r="A7723" s="2" t="str">
        <f>IFERROR(__xludf.DUMMYFUNCTION("""COMPUTED_VALUE"""),"1닭 2일")</f>
        <v>1닭 2일</v>
      </c>
      <c r="B7723" s="2" t="str">
        <f>IFERROR(__xludf.DUMMYFUNCTION("""COMPUTED_VALUE"""),"통조림 햄")</f>
        <v>통조림 햄</v>
      </c>
    </row>
    <row r="7724">
      <c r="A7724" s="2" t="str">
        <f>IFERROR(__xludf.DUMMYFUNCTION("""COMPUTED_VALUE"""),"1닭 2일")</f>
        <v>1닭 2일</v>
      </c>
      <c r="B7724" s="2" t="str">
        <f>IFERROR(__xludf.DUMMYFUNCTION("""COMPUTED_VALUE"""),"양파")</f>
        <v>양파</v>
      </c>
    </row>
    <row r="7725">
      <c r="A7725" s="2" t="str">
        <f>IFERROR(__xludf.DUMMYFUNCTION("""COMPUTED_VALUE"""),"1닭 2일")</f>
        <v>1닭 2일</v>
      </c>
      <c r="B7725" s="2" t="str">
        <f>IFERROR(__xludf.DUMMYFUNCTION("""COMPUTED_VALUE"""),"마늘")</f>
        <v>마늘</v>
      </c>
    </row>
    <row r="7726">
      <c r="A7726" s="2" t="str">
        <f>IFERROR(__xludf.DUMMYFUNCTION("""COMPUTED_VALUE"""),"1닭 2일")</f>
        <v>1닭 2일</v>
      </c>
      <c r="B7726" s="2" t="str">
        <f>IFERROR(__xludf.DUMMYFUNCTION("""COMPUTED_VALUE"""),"당근")</f>
        <v>당근</v>
      </c>
    </row>
    <row r="7727">
      <c r="A7727" s="2" t="str">
        <f>IFERROR(__xludf.DUMMYFUNCTION("""COMPUTED_VALUE"""),"1닭 2일")</f>
        <v>1닭 2일</v>
      </c>
      <c r="B7727" s="2" t="str">
        <f>IFERROR(__xludf.DUMMYFUNCTION("""COMPUTED_VALUE"""),"버터")</f>
        <v>버터</v>
      </c>
    </row>
    <row r="7728">
      <c r="A7728" s="2" t="str">
        <f>IFERROR(__xludf.DUMMYFUNCTION("""COMPUTED_VALUE"""),"1닭 2일")</f>
        <v>1닭 2일</v>
      </c>
      <c r="B7728" s="2" t="str">
        <f>IFERROR(__xludf.DUMMYFUNCTION("""COMPUTED_VALUE"""),"밀가루")</f>
        <v>밀가루</v>
      </c>
    </row>
    <row r="7729">
      <c r="A7729" s="2" t="str">
        <f>IFERROR(__xludf.DUMMYFUNCTION("""COMPUTED_VALUE"""),"1닭 2일")</f>
        <v>1닭 2일</v>
      </c>
      <c r="B7729" s="2" t="str">
        <f>IFERROR(__xludf.DUMMYFUNCTION("""COMPUTED_VALUE"""),"청양고추")</f>
        <v>청양고추</v>
      </c>
    </row>
    <row r="7730">
      <c r="A7730" s="2" t="str">
        <f>IFERROR(__xludf.DUMMYFUNCTION("""COMPUTED_VALUE"""),"1닭 2일")</f>
        <v>1닭 2일</v>
      </c>
      <c r="B7730" s="2" t="str">
        <f>IFERROR(__xludf.DUMMYFUNCTION("""COMPUTED_VALUE"""),"후추")</f>
        <v>후추</v>
      </c>
    </row>
    <row r="7731">
      <c r="A7731" s="2" t="str">
        <f>IFERROR(__xludf.DUMMYFUNCTION("""COMPUTED_VALUE"""),"1닭 2일")</f>
        <v>1닭 2일</v>
      </c>
      <c r="B7731" s="2" t="str">
        <f>IFERROR(__xludf.DUMMYFUNCTION("""COMPUTED_VALUE"""),"식초")</f>
        <v>식초</v>
      </c>
    </row>
    <row r="7732">
      <c r="A7732" s="2" t="str">
        <f>IFERROR(__xludf.DUMMYFUNCTION("""COMPUTED_VALUE"""),"1닭 2일")</f>
        <v>1닭 2일</v>
      </c>
      <c r="B7732" s="2" t="str">
        <f>IFERROR(__xludf.DUMMYFUNCTION("""COMPUTED_VALUE"""),"설탕")</f>
        <v>설탕</v>
      </c>
    </row>
    <row r="7733">
      <c r="A7733" s="2" t="str">
        <f>IFERROR(__xludf.DUMMYFUNCTION("""COMPUTED_VALUE"""),"1닭 2일")</f>
        <v>1닭 2일</v>
      </c>
      <c r="B7733" s="2" t="str">
        <f>IFERROR(__xludf.DUMMYFUNCTION("""COMPUTED_VALUE"""),"간장")</f>
        <v>간장</v>
      </c>
    </row>
    <row r="7734">
      <c r="A7734" s="2" t="str">
        <f>IFERROR(__xludf.DUMMYFUNCTION("""COMPUTED_VALUE"""),"1닭 2일")</f>
        <v>1닭 2일</v>
      </c>
      <c r="B7734" s="2" t="str">
        <f>IFERROR(__xludf.DUMMYFUNCTION("""COMPUTED_VALUE"""),"대파")</f>
        <v>대파</v>
      </c>
    </row>
    <row r="7735">
      <c r="A7735" s="2" t="str">
        <f>IFERROR(__xludf.DUMMYFUNCTION("""COMPUTED_VALUE"""),"1닭 2일")</f>
        <v>1닭 2일</v>
      </c>
      <c r="B7735" s="2" t="str">
        <f>IFERROR(__xludf.DUMMYFUNCTION("""COMPUTED_VALUE"""),"즉석밥")</f>
        <v>즉석밥</v>
      </c>
    </row>
    <row r="7736">
      <c r="A7736" s="2" t="str">
        <f>IFERROR(__xludf.DUMMYFUNCTION("""COMPUTED_VALUE"""),"1닭 2일")</f>
        <v>1닭 2일</v>
      </c>
      <c r="B7736" s="2" t="str">
        <f>IFERROR(__xludf.DUMMYFUNCTION("""COMPUTED_VALUE"""),"전분")</f>
        <v>전분</v>
      </c>
    </row>
    <row r="7737">
      <c r="A7737" s="2" t="str">
        <f>IFERROR(__xludf.DUMMYFUNCTION("""COMPUTED_VALUE"""),"1닭 2일")</f>
        <v>1닭 2일</v>
      </c>
      <c r="B7737" s="2" t="str">
        <f>IFERROR(__xludf.DUMMYFUNCTION("""COMPUTED_VALUE"""),"레몬")</f>
        <v>레몬</v>
      </c>
    </row>
    <row r="7738">
      <c r="A7738" s="2" t="str">
        <f>IFERROR(__xludf.DUMMYFUNCTION("""COMPUTED_VALUE"""),"소미양~ 스테이크양")</f>
        <v>소미양~ 스테이크양</v>
      </c>
      <c r="B7738" s="2" t="str">
        <f>IFERROR(__xludf.DUMMYFUNCTION("""COMPUTED_VALUE"""),"알감자")</f>
        <v>알감자</v>
      </c>
    </row>
    <row r="7739">
      <c r="A7739" s="2" t="str">
        <f>IFERROR(__xludf.DUMMYFUNCTION("""COMPUTED_VALUE"""),"소미양~ 스테이크양")</f>
        <v>소미양~ 스테이크양</v>
      </c>
      <c r="B7739" s="2" t="str">
        <f>IFERROR(__xludf.DUMMYFUNCTION("""COMPUTED_VALUE"""),"양갈비")</f>
        <v>양갈비</v>
      </c>
    </row>
    <row r="7740">
      <c r="A7740" s="2" t="str">
        <f>IFERROR(__xludf.DUMMYFUNCTION("""COMPUTED_VALUE"""),"소미양~ 스테이크양")</f>
        <v>소미양~ 스테이크양</v>
      </c>
      <c r="B7740" s="2" t="str">
        <f>IFERROR(__xludf.DUMMYFUNCTION("""COMPUTED_VALUE"""),"월계수잎")</f>
        <v>월계수잎</v>
      </c>
    </row>
    <row r="7741">
      <c r="A7741" s="2" t="str">
        <f>IFERROR(__xludf.DUMMYFUNCTION("""COMPUTED_VALUE"""),"소미양~ 스테이크양")</f>
        <v>소미양~ 스테이크양</v>
      </c>
      <c r="B7741" s="2" t="str">
        <f>IFERROR(__xludf.DUMMYFUNCTION("""COMPUTED_VALUE"""),"고수홀")</f>
        <v>고수홀</v>
      </c>
    </row>
    <row r="7742">
      <c r="A7742" s="2" t="str">
        <f>IFERROR(__xludf.DUMMYFUNCTION("""COMPUTED_VALUE"""),"소미양~ 스테이크양")</f>
        <v>소미양~ 스테이크양</v>
      </c>
      <c r="B7742" s="2" t="str">
        <f>IFERROR(__xludf.DUMMYFUNCTION("""COMPUTED_VALUE"""),"핑크페퍼")</f>
        <v>핑크페퍼</v>
      </c>
    </row>
    <row r="7743">
      <c r="A7743" s="2" t="str">
        <f>IFERROR(__xludf.DUMMYFUNCTION("""COMPUTED_VALUE"""),"소미양~ 스테이크양")</f>
        <v>소미양~ 스테이크양</v>
      </c>
      <c r="B7743" s="2" t="str">
        <f>IFERROR(__xludf.DUMMYFUNCTION("""COMPUTED_VALUE"""),"요거트")</f>
        <v>요거트</v>
      </c>
    </row>
    <row r="7744">
      <c r="A7744" s="2" t="str">
        <f>IFERROR(__xludf.DUMMYFUNCTION("""COMPUTED_VALUE"""),"소미양~ 스테이크양")</f>
        <v>소미양~ 스테이크양</v>
      </c>
      <c r="B7744" s="2" t="str">
        <f>IFERROR(__xludf.DUMMYFUNCTION("""COMPUTED_VALUE"""),"딜 가루")</f>
        <v>딜 가루</v>
      </c>
    </row>
    <row r="7745">
      <c r="A7745" s="2" t="str">
        <f>IFERROR(__xludf.DUMMYFUNCTION("""COMPUTED_VALUE"""),"소미양~ 스테이크양")</f>
        <v>소미양~ 스테이크양</v>
      </c>
      <c r="B7745" s="2" t="str">
        <f>IFERROR(__xludf.DUMMYFUNCTION("""COMPUTED_VALUE"""),"당근")</f>
        <v>당근</v>
      </c>
    </row>
    <row r="7746">
      <c r="A7746" s="2" t="str">
        <f>IFERROR(__xludf.DUMMYFUNCTION("""COMPUTED_VALUE"""),"소미양~ 스테이크양")</f>
        <v>소미양~ 스테이크양</v>
      </c>
      <c r="B7746" s="2" t="str">
        <f>IFERROR(__xludf.DUMMYFUNCTION("""COMPUTED_VALUE"""),"이탈리안 허브시즈닝")</f>
        <v>이탈리안 허브시즈닝</v>
      </c>
    </row>
    <row r="7747">
      <c r="A7747" s="2" t="str">
        <f>IFERROR(__xludf.DUMMYFUNCTION("""COMPUTED_VALUE"""),"소미양~ 스테이크양")</f>
        <v>소미양~ 스테이크양</v>
      </c>
      <c r="B7747" s="2" t="str">
        <f>IFERROR(__xludf.DUMMYFUNCTION("""COMPUTED_VALUE"""),"바질 가루")</f>
        <v>바질 가루</v>
      </c>
    </row>
    <row r="7748">
      <c r="A7748" s="2" t="str">
        <f>IFERROR(__xludf.DUMMYFUNCTION("""COMPUTED_VALUE"""),"소미양~ 스테이크양")</f>
        <v>소미양~ 스테이크양</v>
      </c>
      <c r="B7748" s="2" t="str">
        <f>IFERROR(__xludf.DUMMYFUNCTION("""COMPUTED_VALUE"""),"소금")</f>
        <v>소금</v>
      </c>
    </row>
    <row r="7749">
      <c r="A7749" s="2" t="str">
        <f>IFERROR(__xludf.DUMMYFUNCTION("""COMPUTED_VALUE"""),"소미양~ 스테이크양")</f>
        <v>소미양~ 스테이크양</v>
      </c>
      <c r="B7749" s="2" t="str">
        <f>IFERROR(__xludf.DUMMYFUNCTION("""COMPUTED_VALUE"""),"올리브오일")</f>
        <v>올리브오일</v>
      </c>
    </row>
    <row r="7750">
      <c r="A7750" s="2" t="str">
        <f>IFERROR(__xludf.DUMMYFUNCTION("""COMPUTED_VALUE"""),"소미양~ 스테이크양")</f>
        <v>소미양~ 스테이크양</v>
      </c>
      <c r="B7750" s="2" t="str">
        <f>IFERROR(__xludf.DUMMYFUNCTION("""COMPUTED_VALUE"""),"마늘")</f>
        <v>마늘</v>
      </c>
    </row>
    <row r="7751">
      <c r="A7751" s="2" t="str">
        <f>IFERROR(__xludf.DUMMYFUNCTION("""COMPUTED_VALUE"""),"소미양~ 스테이크양")</f>
        <v>소미양~ 스테이크양</v>
      </c>
      <c r="B7751" s="2" t="str">
        <f>IFERROR(__xludf.DUMMYFUNCTION("""COMPUTED_VALUE"""),"레드와인")</f>
        <v>레드와인</v>
      </c>
    </row>
    <row r="7752">
      <c r="A7752" s="2" t="str">
        <f>IFERROR(__xludf.DUMMYFUNCTION("""COMPUTED_VALUE"""),"소미양~ 스테이크양")</f>
        <v>소미양~ 스테이크양</v>
      </c>
      <c r="B7752" s="2" t="str">
        <f>IFERROR(__xludf.DUMMYFUNCTION("""COMPUTED_VALUE"""),"마요네즈")</f>
        <v>마요네즈</v>
      </c>
    </row>
    <row r="7753">
      <c r="A7753" s="2" t="str">
        <f>IFERROR(__xludf.DUMMYFUNCTION("""COMPUTED_VALUE"""),"케사디양")</f>
        <v>케사디양</v>
      </c>
      <c r="B7753" s="2" t="str">
        <f>IFERROR(__xludf.DUMMYFUNCTION("""COMPUTED_VALUE"""),"양갈비")</f>
        <v>양갈비</v>
      </c>
    </row>
    <row r="7754">
      <c r="A7754" s="2" t="str">
        <f>IFERROR(__xludf.DUMMYFUNCTION("""COMPUTED_VALUE"""),"케사디양")</f>
        <v>케사디양</v>
      </c>
      <c r="B7754" s="2" t="str">
        <f>IFERROR(__xludf.DUMMYFUNCTION("""COMPUTED_VALUE"""),"로즈마리")</f>
        <v>로즈마리</v>
      </c>
    </row>
    <row r="7755">
      <c r="A7755" s="2" t="str">
        <f>IFERROR(__xludf.DUMMYFUNCTION("""COMPUTED_VALUE"""),"케사디양")</f>
        <v>케사디양</v>
      </c>
      <c r="B7755" s="2" t="str">
        <f>IFERROR(__xludf.DUMMYFUNCTION("""COMPUTED_VALUE"""),"마늘소금")</f>
        <v>마늘소금</v>
      </c>
    </row>
    <row r="7756">
      <c r="A7756" s="2" t="str">
        <f>IFERROR(__xludf.DUMMYFUNCTION("""COMPUTED_VALUE"""),"케사디양")</f>
        <v>케사디양</v>
      </c>
      <c r="B7756" s="2" t="str">
        <f>IFERROR(__xludf.DUMMYFUNCTION("""COMPUTED_VALUE"""),"허브믹스")</f>
        <v>허브믹스</v>
      </c>
    </row>
    <row r="7757">
      <c r="A7757" s="2" t="str">
        <f>IFERROR(__xludf.DUMMYFUNCTION("""COMPUTED_VALUE"""),"케사디양")</f>
        <v>케사디양</v>
      </c>
      <c r="B7757" s="2" t="str">
        <f>IFERROR(__xludf.DUMMYFUNCTION("""COMPUTED_VALUE"""),"토르티야")</f>
        <v>토르티야</v>
      </c>
    </row>
    <row r="7758">
      <c r="A7758" s="2" t="str">
        <f>IFERROR(__xludf.DUMMYFUNCTION("""COMPUTED_VALUE"""),"케사디양")</f>
        <v>케사디양</v>
      </c>
      <c r="B7758" s="2" t="str">
        <f>IFERROR(__xludf.DUMMYFUNCTION("""COMPUTED_VALUE"""),"홀그레인머스터드")</f>
        <v>홀그레인머스터드</v>
      </c>
    </row>
    <row r="7759">
      <c r="A7759" s="2" t="str">
        <f>IFERROR(__xludf.DUMMYFUNCTION("""COMPUTED_VALUE"""),"케사디양")</f>
        <v>케사디양</v>
      </c>
      <c r="B7759" s="2" t="str">
        <f>IFERROR(__xludf.DUMMYFUNCTION("""COMPUTED_VALUE"""),"아보카도")</f>
        <v>아보카도</v>
      </c>
    </row>
    <row r="7760">
      <c r="A7760" s="2" t="str">
        <f>IFERROR(__xludf.DUMMYFUNCTION("""COMPUTED_VALUE"""),"케사디양")</f>
        <v>케사디양</v>
      </c>
      <c r="B7760" s="2" t="str">
        <f>IFERROR(__xludf.DUMMYFUNCTION("""COMPUTED_VALUE"""),"할라피뇨")</f>
        <v>할라피뇨</v>
      </c>
    </row>
    <row r="7761">
      <c r="A7761" s="2" t="str">
        <f>IFERROR(__xludf.DUMMYFUNCTION("""COMPUTED_VALUE"""),"케사디양")</f>
        <v>케사디양</v>
      </c>
      <c r="B7761" s="2" t="str">
        <f>IFERROR(__xludf.DUMMYFUNCTION("""COMPUTED_VALUE"""),"양배추")</f>
        <v>양배추</v>
      </c>
    </row>
    <row r="7762">
      <c r="A7762" s="2" t="str">
        <f>IFERROR(__xludf.DUMMYFUNCTION("""COMPUTED_VALUE"""),"케사디양")</f>
        <v>케사디양</v>
      </c>
      <c r="B7762" s="2" t="str">
        <f>IFERROR(__xludf.DUMMYFUNCTION("""COMPUTED_VALUE"""),"요거트")</f>
        <v>요거트</v>
      </c>
    </row>
    <row r="7763">
      <c r="A7763" s="2" t="str">
        <f>IFERROR(__xludf.DUMMYFUNCTION("""COMPUTED_VALUE"""),"케사디양")</f>
        <v>케사디양</v>
      </c>
      <c r="B7763" s="2" t="str">
        <f>IFERROR(__xludf.DUMMYFUNCTION("""COMPUTED_VALUE"""),"수박")</f>
        <v>수박</v>
      </c>
    </row>
    <row r="7764">
      <c r="A7764" s="2" t="str">
        <f>IFERROR(__xludf.DUMMYFUNCTION("""COMPUTED_VALUE"""),"케사디양")</f>
        <v>케사디양</v>
      </c>
      <c r="B7764" s="2" t="str">
        <f>IFERROR(__xludf.DUMMYFUNCTION("""COMPUTED_VALUE"""),"크림치즈")</f>
        <v>크림치즈</v>
      </c>
    </row>
    <row r="7765">
      <c r="A7765" s="2" t="str">
        <f>IFERROR(__xludf.DUMMYFUNCTION("""COMPUTED_VALUE"""),"케사디양")</f>
        <v>케사디양</v>
      </c>
      <c r="B7765" s="2" t="str">
        <f>IFERROR(__xludf.DUMMYFUNCTION("""COMPUTED_VALUE"""),"바질페스토")</f>
        <v>바질페스토</v>
      </c>
    </row>
    <row r="7766">
      <c r="A7766" s="2" t="str">
        <f>IFERROR(__xludf.DUMMYFUNCTION("""COMPUTED_VALUE"""),"케사디양")</f>
        <v>케사디양</v>
      </c>
      <c r="B7766" s="2" t="str">
        <f>IFERROR(__xludf.DUMMYFUNCTION("""COMPUTED_VALUE"""),"블루베리")</f>
        <v>블루베리</v>
      </c>
    </row>
    <row r="7767">
      <c r="A7767" s="2" t="str">
        <f>IFERROR(__xludf.DUMMYFUNCTION("""COMPUTED_VALUE"""),"케사디양")</f>
        <v>케사디양</v>
      </c>
      <c r="B7767" s="2" t="str">
        <f>IFERROR(__xludf.DUMMYFUNCTION("""COMPUTED_VALUE"""),"병아리콩")</f>
        <v>병아리콩</v>
      </c>
    </row>
    <row r="7768">
      <c r="A7768" s="2" t="str">
        <f>IFERROR(__xludf.DUMMYFUNCTION("""COMPUTED_VALUE"""),"케사디양")</f>
        <v>케사디양</v>
      </c>
      <c r="B7768" s="2" t="str">
        <f>IFERROR(__xludf.DUMMYFUNCTION("""COMPUTED_VALUE"""),"양파")</f>
        <v>양파</v>
      </c>
    </row>
    <row r="7769">
      <c r="A7769" s="2" t="str">
        <f>IFERROR(__xludf.DUMMYFUNCTION("""COMPUTED_VALUE"""),"케사디양")</f>
        <v>케사디양</v>
      </c>
      <c r="B7769" s="2" t="str">
        <f>IFERROR(__xludf.DUMMYFUNCTION("""COMPUTED_VALUE"""),"마늘")</f>
        <v>마늘</v>
      </c>
    </row>
    <row r="7770">
      <c r="A7770" s="2" t="str">
        <f>IFERROR(__xludf.DUMMYFUNCTION("""COMPUTED_VALUE"""),"케사디양")</f>
        <v>케사디양</v>
      </c>
      <c r="B7770" s="2" t="str">
        <f>IFERROR(__xludf.DUMMYFUNCTION("""COMPUTED_VALUE"""),"후추")</f>
        <v>후추</v>
      </c>
    </row>
    <row r="7771">
      <c r="A7771" s="2" t="str">
        <f>IFERROR(__xludf.DUMMYFUNCTION("""COMPUTED_VALUE"""),"케사디양")</f>
        <v>케사디양</v>
      </c>
      <c r="B7771" s="2" t="str">
        <f>IFERROR(__xludf.DUMMYFUNCTION("""COMPUTED_VALUE"""),"레몬즙")</f>
        <v>레몬즙</v>
      </c>
    </row>
    <row r="7772">
      <c r="A7772" s="2" t="str">
        <f>IFERROR(__xludf.DUMMYFUNCTION("""COMPUTED_VALUE"""),"케사디양")</f>
        <v>케사디양</v>
      </c>
      <c r="B7772" s="2" t="str">
        <f>IFERROR(__xludf.DUMMYFUNCTION("""COMPUTED_VALUE"""),"소금")</f>
        <v>소금</v>
      </c>
    </row>
    <row r="7773">
      <c r="A7773" s="2" t="str">
        <f>IFERROR(__xludf.DUMMYFUNCTION("""COMPUTED_VALUE"""),"케사디양")</f>
        <v>케사디양</v>
      </c>
      <c r="B7773" s="2" t="str">
        <f>IFERROR(__xludf.DUMMYFUNCTION("""COMPUTED_VALUE"""),"물엿")</f>
        <v>물엿</v>
      </c>
    </row>
    <row r="7774">
      <c r="A7774" s="2" t="str">
        <f>IFERROR(__xludf.DUMMYFUNCTION("""COMPUTED_VALUE"""),"케사디양")</f>
        <v>케사디양</v>
      </c>
      <c r="B7774" s="2" t="str">
        <f>IFERROR(__xludf.DUMMYFUNCTION("""COMPUTED_VALUE"""),"설탕")</f>
        <v>설탕</v>
      </c>
    </row>
    <row r="7775">
      <c r="A7775" s="2" t="str">
        <f>IFERROR(__xludf.DUMMYFUNCTION("""COMPUTED_VALUE"""),"케사디양")</f>
        <v>케사디양</v>
      </c>
      <c r="B7775" s="2" t="str">
        <f>IFERROR(__xludf.DUMMYFUNCTION("""COMPUTED_VALUE"""),"맛술")</f>
        <v>맛술</v>
      </c>
    </row>
    <row r="7776">
      <c r="A7776" s="2" t="str">
        <f>IFERROR(__xludf.DUMMYFUNCTION("""COMPUTED_VALUE"""),"케사디양")</f>
        <v>케사디양</v>
      </c>
      <c r="B7776" s="2" t="str">
        <f>IFERROR(__xludf.DUMMYFUNCTION("""COMPUTED_VALUE"""),"간장")</f>
        <v>간장</v>
      </c>
    </row>
    <row r="7777">
      <c r="A7777" s="2" t="str">
        <f>IFERROR(__xludf.DUMMYFUNCTION("""COMPUTED_VALUE"""),"오늘 밤 상남자는 나야 나♬")</f>
        <v>오늘 밤 상남자는 나야 나♬</v>
      </c>
      <c r="B7777" s="2" t="str">
        <f>IFERROR(__xludf.DUMMYFUNCTION("""COMPUTED_VALUE"""),"사과")</f>
        <v>사과</v>
      </c>
    </row>
    <row r="7778">
      <c r="A7778" s="2" t="str">
        <f>IFERROR(__xludf.DUMMYFUNCTION("""COMPUTED_VALUE"""),"오늘 밤 상남자는 나야 나♬")</f>
        <v>오늘 밤 상남자는 나야 나♬</v>
      </c>
      <c r="B7778" s="2" t="str">
        <f>IFERROR(__xludf.DUMMYFUNCTION("""COMPUTED_VALUE"""),"꿀")</f>
        <v>꿀</v>
      </c>
    </row>
    <row r="7779">
      <c r="A7779" s="2" t="str">
        <f>IFERROR(__xludf.DUMMYFUNCTION("""COMPUTED_VALUE"""),"오늘 밤 상남자는 나야 나♬")</f>
        <v>오늘 밤 상남자는 나야 나♬</v>
      </c>
      <c r="B7779" s="2" t="str">
        <f>IFERROR(__xludf.DUMMYFUNCTION("""COMPUTED_VALUE"""),"옥수수")</f>
        <v>옥수수</v>
      </c>
    </row>
    <row r="7780">
      <c r="A7780" s="2" t="str">
        <f>IFERROR(__xludf.DUMMYFUNCTION("""COMPUTED_VALUE"""),"오늘 밤 상남자는 나야 나♬")</f>
        <v>오늘 밤 상남자는 나야 나♬</v>
      </c>
      <c r="B7780" s="2" t="str">
        <f>IFERROR(__xludf.DUMMYFUNCTION("""COMPUTED_VALUE"""),"고다치즈")</f>
        <v>고다치즈</v>
      </c>
    </row>
    <row r="7781">
      <c r="A7781" s="2" t="str">
        <f>IFERROR(__xludf.DUMMYFUNCTION("""COMPUTED_VALUE"""),"오늘 밤 상남자는 나야 나♬")</f>
        <v>오늘 밤 상남자는 나야 나♬</v>
      </c>
      <c r="B7781" s="2" t="str">
        <f>IFERROR(__xludf.DUMMYFUNCTION("""COMPUTED_VALUE"""),"체다치즈")</f>
        <v>체다치즈</v>
      </c>
    </row>
    <row r="7782">
      <c r="A7782" s="2" t="str">
        <f>IFERROR(__xludf.DUMMYFUNCTION("""COMPUTED_VALUE"""),"오늘 밤 상남자는 나야 나♬")</f>
        <v>오늘 밤 상남자는 나야 나♬</v>
      </c>
      <c r="B7782" s="2" t="str">
        <f>IFERROR(__xludf.DUMMYFUNCTION("""COMPUTED_VALUE"""),"우유")</f>
        <v>우유</v>
      </c>
    </row>
    <row r="7783">
      <c r="A7783" s="2" t="str">
        <f>IFERROR(__xludf.DUMMYFUNCTION("""COMPUTED_VALUE"""),"오늘 밤 상남자는 나야 나♬")</f>
        <v>오늘 밤 상남자는 나야 나♬</v>
      </c>
      <c r="B7783" s="2" t="str">
        <f>IFERROR(__xludf.DUMMYFUNCTION("""COMPUTED_VALUE"""),"파르메산치즈")</f>
        <v>파르메산치즈</v>
      </c>
    </row>
    <row r="7784">
      <c r="A7784" s="2" t="str">
        <f>IFERROR(__xludf.DUMMYFUNCTION("""COMPUTED_VALUE"""),"오늘 밤 상남자는 나야 나♬")</f>
        <v>오늘 밤 상남자는 나야 나♬</v>
      </c>
      <c r="B7784" s="2" t="str">
        <f>IFERROR(__xludf.DUMMYFUNCTION("""COMPUTED_VALUE"""),"척아이롤")</f>
        <v>척아이롤</v>
      </c>
    </row>
    <row r="7785">
      <c r="A7785" s="2" t="str">
        <f>IFERROR(__xludf.DUMMYFUNCTION("""COMPUTED_VALUE"""),"오늘 밤 상남자는 나야 나♬")</f>
        <v>오늘 밤 상남자는 나야 나♬</v>
      </c>
      <c r="B7785" s="2" t="str">
        <f>IFERROR(__xludf.DUMMYFUNCTION("""COMPUTED_VALUE"""),"허브믹스")</f>
        <v>허브믹스</v>
      </c>
    </row>
    <row r="7786">
      <c r="A7786" s="2" t="str">
        <f>IFERROR(__xludf.DUMMYFUNCTION("""COMPUTED_VALUE"""),"오늘 밤 상남자는 나야 나♬")</f>
        <v>오늘 밤 상남자는 나야 나♬</v>
      </c>
      <c r="B7786" s="2" t="str">
        <f>IFERROR(__xludf.DUMMYFUNCTION("""COMPUTED_VALUE"""),"핫케이크 가루")</f>
        <v>핫케이크 가루</v>
      </c>
    </row>
    <row r="7787">
      <c r="A7787" s="2" t="str">
        <f>IFERROR(__xludf.DUMMYFUNCTION("""COMPUTED_VALUE"""),"오늘 밤 상남자는 나야 나♬")</f>
        <v>오늘 밤 상남자는 나야 나♬</v>
      </c>
      <c r="B7787" s="2" t="str">
        <f>IFERROR(__xludf.DUMMYFUNCTION("""COMPUTED_VALUE"""),"밀가루")</f>
        <v>밀가루</v>
      </c>
    </row>
    <row r="7788">
      <c r="A7788" s="2" t="str">
        <f>IFERROR(__xludf.DUMMYFUNCTION("""COMPUTED_VALUE"""),"오늘 밤 상남자는 나야 나♬")</f>
        <v>오늘 밤 상남자는 나야 나♬</v>
      </c>
      <c r="B7788" s="2" t="str">
        <f>IFERROR(__xludf.DUMMYFUNCTION("""COMPUTED_VALUE"""),"달걀")</f>
        <v>달걀</v>
      </c>
    </row>
    <row r="7789">
      <c r="A7789" s="2" t="str">
        <f>IFERROR(__xludf.DUMMYFUNCTION("""COMPUTED_VALUE"""),"오늘 밤 상남자는 나야 나♬")</f>
        <v>오늘 밤 상남자는 나야 나♬</v>
      </c>
      <c r="B7789" s="2" t="str">
        <f>IFERROR(__xludf.DUMMYFUNCTION("""COMPUTED_VALUE"""),"소금")</f>
        <v>소금</v>
      </c>
    </row>
    <row r="7790">
      <c r="A7790" s="2" t="str">
        <f>IFERROR(__xludf.DUMMYFUNCTION("""COMPUTED_VALUE"""),"마초세트")</f>
        <v>마초세트</v>
      </c>
      <c r="B7790" s="2" t="str">
        <f>IFERROR(__xludf.DUMMYFUNCTION("""COMPUTED_VALUE"""),"베이컨")</f>
        <v>베이컨</v>
      </c>
    </row>
    <row r="7791">
      <c r="A7791" s="2" t="str">
        <f>IFERROR(__xludf.DUMMYFUNCTION("""COMPUTED_VALUE"""),"마초세트")</f>
        <v>마초세트</v>
      </c>
      <c r="B7791" s="2" t="str">
        <f>IFERROR(__xludf.DUMMYFUNCTION("""COMPUTED_VALUE"""),"제멜리면")</f>
        <v>제멜리면</v>
      </c>
    </row>
    <row r="7792">
      <c r="A7792" s="2" t="str">
        <f>IFERROR(__xludf.DUMMYFUNCTION("""COMPUTED_VALUE"""),"마초세트")</f>
        <v>마초세트</v>
      </c>
      <c r="B7792" s="2" t="str">
        <f>IFERROR(__xludf.DUMMYFUNCTION("""COMPUTED_VALUE"""),"치킨 너겟")</f>
        <v>치킨 너겟</v>
      </c>
    </row>
    <row r="7793">
      <c r="A7793" s="2" t="str">
        <f>IFERROR(__xludf.DUMMYFUNCTION("""COMPUTED_VALUE"""),"마초세트")</f>
        <v>마초세트</v>
      </c>
      <c r="B7793" s="2" t="str">
        <f>IFERROR(__xludf.DUMMYFUNCTION("""COMPUTED_VALUE"""),"옥수수")</f>
        <v>옥수수</v>
      </c>
    </row>
    <row r="7794">
      <c r="A7794" s="2" t="str">
        <f>IFERROR(__xludf.DUMMYFUNCTION("""COMPUTED_VALUE"""),"마초세트")</f>
        <v>마초세트</v>
      </c>
      <c r="B7794" s="2" t="str">
        <f>IFERROR(__xludf.DUMMYFUNCTION("""COMPUTED_VALUE"""),"치킨스톡")</f>
        <v>치킨스톡</v>
      </c>
    </row>
    <row r="7795">
      <c r="A7795" s="2" t="str">
        <f>IFERROR(__xludf.DUMMYFUNCTION("""COMPUTED_VALUE"""),"마초세트")</f>
        <v>마초세트</v>
      </c>
      <c r="B7795" s="2" t="str">
        <f>IFERROR(__xludf.DUMMYFUNCTION("""COMPUTED_VALUE"""),"통조림 토마토수프")</f>
        <v>통조림 토마토수프</v>
      </c>
    </row>
    <row r="7796">
      <c r="A7796" s="2" t="str">
        <f>IFERROR(__xludf.DUMMYFUNCTION("""COMPUTED_VALUE"""),"마초세트")</f>
        <v>마초세트</v>
      </c>
      <c r="B7796" s="2" t="str">
        <f>IFERROR(__xludf.DUMMYFUNCTION("""COMPUTED_VALUE"""),"살사소스")</f>
        <v>살사소스</v>
      </c>
    </row>
    <row r="7797">
      <c r="A7797" s="2" t="str">
        <f>IFERROR(__xludf.DUMMYFUNCTION("""COMPUTED_VALUE"""),"마초세트")</f>
        <v>마초세트</v>
      </c>
      <c r="B7797" s="2" t="str">
        <f>IFERROR(__xludf.DUMMYFUNCTION("""COMPUTED_VALUE"""),"고수 가루")</f>
        <v>고수 가루</v>
      </c>
    </row>
    <row r="7798">
      <c r="A7798" s="2" t="str">
        <f>IFERROR(__xludf.DUMMYFUNCTION("""COMPUTED_VALUE"""),"마초세트")</f>
        <v>마초세트</v>
      </c>
      <c r="B7798" s="2" t="str">
        <f>IFERROR(__xludf.DUMMYFUNCTION("""COMPUTED_VALUE"""),"우유")</f>
        <v>우유</v>
      </c>
    </row>
    <row r="7799">
      <c r="A7799" s="2" t="str">
        <f>IFERROR(__xludf.DUMMYFUNCTION("""COMPUTED_VALUE"""),"마초세트")</f>
        <v>마초세트</v>
      </c>
      <c r="B7799" s="2" t="str">
        <f>IFERROR(__xludf.DUMMYFUNCTION("""COMPUTED_VALUE"""),"고다치즈")</f>
        <v>고다치즈</v>
      </c>
    </row>
    <row r="7800">
      <c r="A7800" s="2" t="str">
        <f>IFERROR(__xludf.DUMMYFUNCTION("""COMPUTED_VALUE"""),"마초세트")</f>
        <v>마초세트</v>
      </c>
      <c r="B7800" s="2" t="str">
        <f>IFERROR(__xludf.DUMMYFUNCTION("""COMPUTED_VALUE"""),"체다치즈")</f>
        <v>체다치즈</v>
      </c>
    </row>
    <row r="7801">
      <c r="A7801" s="2" t="str">
        <f>IFERROR(__xludf.DUMMYFUNCTION("""COMPUTED_VALUE"""),"마초세트")</f>
        <v>마초세트</v>
      </c>
      <c r="B7801" s="2" t="str">
        <f>IFERROR(__xludf.DUMMYFUNCTION("""COMPUTED_VALUE"""),"페퍼잭치즈")</f>
        <v>페퍼잭치즈</v>
      </c>
    </row>
    <row r="7802">
      <c r="A7802" s="2" t="str">
        <f>IFERROR(__xludf.DUMMYFUNCTION("""COMPUTED_VALUE"""),"마초세트")</f>
        <v>마초세트</v>
      </c>
      <c r="B7802" s="2" t="str">
        <f>IFERROR(__xludf.DUMMYFUNCTION("""COMPUTED_VALUE"""),"파르메산치즈")</f>
        <v>파르메산치즈</v>
      </c>
    </row>
    <row r="7803">
      <c r="A7803" s="2" t="str">
        <f>IFERROR(__xludf.DUMMYFUNCTION("""COMPUTED_VALUE"""),"마초세트")</f>
        <v>마초세트</v>
      </c>
      <c r="B7803" s="2" t="str">
        <f>IFERROR(__xludf.DUMMYFUNCTION("""COMPUTED_VALUE"""),"식빵")</f>
        <v>식빵</v>
      </c>
    </row>
    <row r="7804">
      <c r="A7804" s="2" t="str">
        <f>IFERROR(__xludf.DUMMYFUNCTION("""COMPUTED_VALUE"""),"마초세트")</f>
        <v>마초세트</v>
      </c>
      <c r="B7804" s="2" t="str">
        <f>IFERROR(__xludf.DUMMYFUNCTION("""COMPUTED_VALUE"""),"아보카도")</f>
        <v>아보카도</v>
      </c>
    </row>
    <row r="7805">
      <c r="A7805" s="2" t="str">
        <f>IFERROR(__xludf.DUMMYFUNCTION("""COMPUTED_VALUE"""),"마초세트")</f>
        <v>마초세트</v>
      </c>
      <c r="B7805" s="2" t="str">
        <f>IFERROR(__xludf.DUMMYFUNCTION("""COMPUTED_VALUE"""),"파프리카")</f>
        <v>파프리카</v>
      </c>
    </row>
    <row r="7806">
      <c r="A7806" s="2" t="str">
        <f>IFERROR(__xludf.DUMMYFUNCTION("""COMPUTED_VALUE"""),"마초세트")</f>
        <v>마초세트</v>
      </c>
      <c r="B7806" s="2" t="str">
        <f>IFERROR(__xludf.DUMMYFUNCTION("""COMPUTED_VALUE"""),"양파")</f>
        <v>양파</v>
      </c>
    </row>
    <row r="7807">
      <c r="A7807" s="2" t="str">
        <f>IFERROR(__xludf.DUMMYFUNCTION("""COMPUTED_VALUE"""),"마초세트")</f>
        <v>마초세트</v>
      </c>
      <c r="B7807" s="2" t="str">
        <f>IFERROR(__xludf.DUMMYFUNCTION("""COMPUTED_VALUE"""),"소금")</f>
        <v>소금</v>
      </c>
    </row>
    <row r="7808">
      <c r="A7808" s="2" t="str">
        <f>IFERROR(__xludf.DUMMYFUNCTION("""COMPUTED_VALUE"""),"마초세트")</f>
        <v>마초세트</v>
      </c>
      <c r="B7808" s="2" t="str">
        <f>IFERROR(__xludf.DUMMYFUNCTION("""COMPUTED_VALUE"""),"마늘")</f>
        <v>마늘</v>
      </c>
    </row>
    <row r="7809">
      <c r="A7809" s="2" t="str">
        <f>IFERROR(__xludf.DUMMYFUNCTION("""COMPUTED_VALUE"""),"마초세트")</f>
        <v>마초세트</v>
      </c>
      <c r="B7809" s="2" t="str">
        <f>IFERROR(__xludf.DUMMYFUNCTION("""COMPUTED_VALUE"""),"청양고추")</f>
        <v>청양고추</v>
      </c>
    </row>
    <row r="7810">
      <c r="A7810" s="2" t="str">
        <f>IFERROR(__xludf.DUMMYFUNCTION("""COMPUTED_VALUE"""),"마초세트")</f>
        <v>마초세트</v>
      </c>
      <c r="B7810" s="2" t="str">
        <f>IFERROR(__xludf.DUMMYFUNCTION("""COMPUTED_VALUE"""),"버터")</f>
        <v>버터</v>
      </c>
    </row>
    <row r="7811">
      <c r="A7811" s="2" t="str">
        <f>IFERROR(__xludf.DUMMYFUNCTION("""COMPUTED_VALUE"""),"마초세트")</f>
        <v>마초세트</v>
      </c>
      <c r="B7811" s="2" t="str">
        <f>IFERROR(__xludf.DUMMYFUNCTION("""COMPUTED_VALUE"""),"밀가루")</f>
        <v>밀가루</v>
      </c>
    </row>
    <row r="7812">
      <c r="A7812" s="2" t="str">
        <f>IFERROR(__xludf.DUMMYFUNCTION("""COMPUTED_VALUE"""),"마초세트")</f>
        <v>마초세트</v>
      </c>
      <c r="B7812" s="2" t="str">
        <f>IFERROR(__xludf.DUMMYFUNCTION("""COMPUTED_VALUE"""),"대파")</f>
        <v>대파</v>
      </c>
    </row>
    <row r="7813">
      <c r="A7813" s="2" t="str">
        <f>IFERROR(__xludf.DUMMYFUNCTION("""COMPUTED_VALUE"""),"참돔이시여")</f>
        <v>참돔이시여</v>
      </c>
      <c r="B7813" s="2" t="str">
        <f>IFERROR(__xludf.DUMMYFUNCTION("""COMPUTED_VALUE"""),"참돔")</f>
        <v>참돔</v>
      </c>
    </row>
    <row r="7814">
      <c r="A7814" s="2" t="str">
        <f>IFERROR(__xludf.DUMMYFUNCTION("""COMPUTED_VALUE"""),"참돔이시여")</f>
        <v>참돔이시여</v>
      </c>
      <c r="B7814" s="2" t="str">
        <f>IFERROR(__xludf.DUMMYFUNCTION("""COMPUTED_VALUE"""),"표고버섯")</f>
        <v>표고버섯</v>
      </c>
    </row>
    <row r="7815">
      <c r="A7815" s="2" t="str">
        <f>IFERROR(__xludf.DUMMYFUNCTION("""COMPUTED_VALUE"""),"참돔이시여")</f>
        <v>참돔이시여</v>
      </c>
      <c r="B7815" s="2" t="str">
        <f>IFERROR(__xludf.DUMMYFUNCTION("""COMPUTED_VALUE"""),"사과")</f>
        <v>사과</v>
      </c>
    </row>
    <row r="7816">
      <c r="A7816" s="2" t="str">
        <f>IFERROR(__xludf.DUMMYFUNCTION("""COMPUTED_VALUE"""),"참돔이시여")</f>
        <v>참돔이시여</v>
      </c>
      <c r="B7816" s="2" t="str">
        <f>IFERROR(__xludf.DUMMYFUNCTION("""COMPUTED_VALUE"""),"매실주")</f>
        <v>매실주</v>
      </c>
    </row>
    <row r="7817">
      <c r="A7817" s="2" t="str">
        <f>IFERROR(__xludf.DUMMYFUNCTION("""COMPUTED_VALUE"""),"참돔이시여")</f>
        <v>참돔이시여</v>
      </c>
      <c r="B7817" s="2" t="str">
        <f>IFERROR(__xludf.DUMMYFUNCTION("""COMPUTED_VALUE"""),"멸치육수")</f>
        <v>멸치육수</v>
      </c>
    </row>
    <row r="7818">
      <c r="A7818" s="2" t="str">
        <f>IFERROR(__xludf.DUMMYFUNCTION("""COMPUTED_VALUE"""),"참돔이시여")</f>
        <v>참돔이시여</v>
      </c>
      <c r="B7818" s="2" t="str">
        <f>IFERROR(__xludf.DUMMYFUNCTION("""COMPUTED_VALUE"""),"굴소스")</f>
        <v>굴소스</v>
      </c>
    </row>
    <row r="7819">
      <c r="A7819" s="2" t="str">
        <f>IFERROR(__xludf.DUMMYFUNCTION("""COMPUTED_VALUE"""),"참돔이시여")</f>
        <v>참돔이시여</v>
      </c>
      <c r="B7819" s="2" t="str">
        <f>IFERROR(__xludf.DUMMYFUNCTION("""COMPUTED_VALUE"""),"마늘종장아찌")</f>
        <v>마늘종장아찌</v>
      </c>
    </row>
    <row r="7820">
      <c r="A7820" s="2" t="str">
        <f>IFERROR(__xludf.DUMMYFUNCTION("""COMPUTED_VALUE"""),"참돔이시여")</f>
        <v>참돔이시여</v>
      </c>
      <c r="B7820" s="2" t="str">
        <f>IFERROR(__xludf.DUMMYFUNCTION("""COMPUTED_VALUE"""),"대파")</f>
        <v>대파</v>
      </c>
    </row>
    <row r="7821">
      <c r="A7821" s="2" t="str">
        <f>IFERROR(__xludf.DUMMYFUNCTION("""COMPUTED_VALUE"""),"참돔이시여")</f>
        <v>참돔이시여</v>
      </c>
      <c r="B7821" s="2" t="str">
        <f>IFERROR(__xludf.DUMMYFUNCTION("""COMPUTED_VALUE"""),"고춧가루")</f>
        <v>고춧가루</v>
      </c>
    </row>
    <row r="7822">
      <c r="A7822" s="2" t="str">
        <f>IFERROR(__xludf.DUMMYFUNCTION("""COMPUTED_VALUE"""),"참돔이시여")</f>
        <v>참돔이시여</v>
      </c>
      <c r="B7822" s="2" t="str">
        <f>IFERROR(__xludf.DUMMYFUNCTION("""COMPUTED_VALUE"""),"소금")</f>
        <v>소금</v>
      </c>
    </row>
    <row r="7823">
      <c r="A7823" s="2" t="str">
        <f>IFERROR(__xludf.DUMMYFUNCTION("""COMPUTED_VALUE"""),"참돔이시여")</f>
        <v>참돔이시여</v>
      </c>
      <c r="B7823" s="2" t="str">
        <f>IFERROR(__xludf.DUMMYFUNCTION("""COMPUTED_VALUE"""),"전분")</f>
        <v>전분</v>
      </c>
    </row>
    <row r="7824">
      <c r="A7824" s="2" t="str">
        <f>IFERROR(__xludf.DUMMYFUNCTION("""COMPUTED_VALUE"""),"참돔이시여")</f>
        <v>참돔이시여</v>
      </c>
      <c r="B7824" s="2" t="str">
        <f>IFERROR(__xludf.DUMMYFUNCTION("""COMPUTED_VALUE"""),"마늘")</f>
        <v>마늘</v>
      </c>
    </row>
    <row r="7825">
      <c r="A7825" s="2" t="str">
        <f>IFERROR(__xludf.DUMMYFUNCTION("""COMPUTED_VALUE"""),"참돔이시여")</f>
        <v>참돔이시여</v>
      </c>
      <c r="B7825" s="2" t="str">
        <f>IFERROR(__xludf.DUMMYFUNCTION("""COMPUTED_VALUE"""),"대파")</f>
        <v>대파</v>
      </c>
    </row>
    <row r="7826">
      <c r="A7826" s="2" t="str">
        <f>IFERROR(__xludf.DUMMYFUNCTION("""COMPUTED_VALUE"""),"참돔이시여")</f>
        <v>참돔이시여</v>
      </c>
      <c r="B7826" s="2" t="str">
        <f>IFERROR(__xludf.DUMMYFUNCTION("""COMPUTED_VALUE"""),"양파")</f>
        <v>양파</v>
      </c>
    </row>
    <row r="7827">
      <c r="A7827" s="2" t="str">
        <f>IFERROR(__xludf.DUMMYFUNCTION("""COMPUTED_VALUE"""),"잘 구운 참돔 하나")</f>
        <v>잘 구운 참돔 하나</v>
      </c>
      <c r="B7827" s="2" t="str">
        <f>IFERROR(__xludf.DUMMYFUNCTION("""COMPUTED_VALUE"""),"참돔")</f>
        <v>참돔</v>
      </c>
    </row>
    <row r="7828">
      <c r="A7828" s="2" t="str">
        <f>IFERROR(__xludf.DUMMYFUNCTION("""COMPUTED_VALUE"""),"잘 구운 참돔 하나")</f>
        <v>잘 구운 참돔 하나</v>
      </c>
      <c r="B7828" s="2" t="str">
        <f>IFERROR(__xludf.DUMMYFUNCTION("""COMPUTED_VALUE"""),"발사믹소스")</f>
        <v>발사믹소스</v>
      </c>
    </row>
    <row r="7829">
      <c r="A7829" s="2" t="str">
        <f>IFERROR(__xludf.DUMMYFUNCTION("""COMPUTED_VALUE"""),"잘 구운 참돔 하나")</f>
        <v>잘 구운 참돔 하나</v>
      </c>
      <c r="B7829" s="2" t="str">
        <f>IFERROR(__xludf.DUMMYFUNCTION("""COMPUTED_VALUE"""),"표고버섯")</f>
        <v>표고버섯</v>
      </c>
    </row>
    <row r="7830">
      <c r="A7830" s="2" t="str">
        <f>IFERROR(__xludf.DUMMYFUNCTION("""COMPUTED_VALUE"""),"잘 구운 참돔 하나")</f>
        <v>잘 구운 참돔 하나</v>
      </c>
      <c r="B7830" s="2" t="str">
        <f>IFERROR(__xludf.DUMMYFUNCTION("""COMPUTED_VALUE"""),"그린올리브")</f>
        <v>그린올리브</v>
      </c>
    </row>
    <row r="7831">
      <c r="A7831" s="2" t="str">
        <f>IFERROR(__xludf.DUMMYFUNCTION("""COMPUTED_VALUE"""),"잘 구운 참돔 하나")</f>
        <v>잘 구운 참돔 하나</v>
      </c>
      <c r="B7831" s="2" t="str">
        <f>IFERROR(__xludf.DUMMYFUNCTION("""COMPUTED_VALUE"""),"양파")</f>
        <v>양파</v>
      </c>
    </row>
    <row r="7832">
      <c r="A7832" s="2" t="str">
        <f>IFERROR(__xludf.DUMMYFUNCTION("""COMPUTED_VALUE"""),"잘 구운 참돔 하나")</f>
        <v>잘 구운 참돔 하나</v>
      </c>
      <c r="B7832" s="2" t="str">
        <f>IFERROR(__xludf.DUMMYFUNCTION("""COMPUTED_VALUE"""),"올리브오일")</f>
        <v>올리브오일</v>
      </c>
    </row>
    <row r="7833">
      <c r="A7833" s="2" t="str">
        <f>IFERROR(__xludf.DUMMYFUNCTION("""COMPUTED_VALUE"""),"잘 구운 참돔 하나")</f>
        <v>잘 구운 참돔 하나</v>
      </c>
      <c r="B7833" s="2" t="str">
        <f>IFERROR(__xludf.DUMMYFUNCTION("""COMPUTED_VALUE"""),"후추")</f>
        <v>후추</v>
      </c>
    </row>
    <row r="7834">
      <c r="A7834" s="2" t="str">
        <f>IFERROR(__xludf.DUMMYFUNCTION("""COMPUTED_VALUE"""),"잘 구운 참돔 하나")</f>
        <v>잘 구운 참돔 하나</v>
      </c>
      <c r="B7834" s="2" t="str">
        <f>IFERROR(__xludf.DUMMYFUNCTION("""COMPUTED_VALUE"""),"마늘")</f>
        <v>마늘</v>
      </c>
    </row>
    <row r="7835">
      <c r="A7835" s="2" t="str">
        <f>IFERROR(__xludf.DUMMYFUNCTION("""COMPUTED_VALUE"""),"잘 구운 참돔 하나")</f>
        <v>잘 구운 참돔 하나</v>
      </c>
      <c r="B7835" s="2" t="str">
        <f>IFERROR(__xludf.DUMMYFUNCTION("""COMPUTED_VALUE"""),"소금")</f>
        <v>소금</v>
      </c>
    </row>
    <row r="7836">
      <c r="A7836" s="2" t="str">
        <f>IFERROR(__xludf.DUMMYFUNCTION("""COMPUTED_VALUE"""),"잘 구운 참돔 하나")</f>
        <v>잘 구운 참돔 하나</v>
      </c>
      <c r="B7836" s="2" t="str">
        <f>IFERROR(__xludf.DUMMYFUNCTION("""COMPUTED_VALUE"""),"레몬")</f>
        <v>레몬</v>
      </c>
    </row>
    <row r="7837">
      <c r="A7837" s="2" t="str">
        <f>IFERROR(__xludf.DUMMYFUNCTION("""COMPUTED_VALUE"""),"잘 구운 참돔 하나")</f>
        <v>잘 구운 참돔 하나</v>
      </c>
      <c r="B7837" s="2" t="str">
        <f>IFERROR(__xludf.DUMMYFUNCTION("""COMPUTED_VALUE"""),"식초")</f>
        <v>식초</v>
      </c>
    </row>
    <row r="7838">
      <c r="A7838" s="2" t="str">
        <f>IFERROR(__xludf.DUMMYFUNCTION("""COMPUTED_VALUE"""),"잘 구운 참돔 하나")</f>
        <v>잘 구운 참돔 하나</v>
      </c>
      <c r="B7838" s="2" t="str">
        <f>IFERROR(__xludf.DUMMYFUNCTION("""COMPUTED_VALUE"""),"버터")</f>
        <v>버터</v>
      </c>
    </row>
    <row r="7839">
      <c r="A7839" s="2" t="str">
        <f>IFERROR(__xludf.DUMMYFUNCTION("""COMPUTED_VALUE"""),"월하조어탕수")</f>
        <v>월하조어탕수</v>
      </c>
      <c r="B7839" s="2" t="str">
        <f>IFERROR(__xludf.DUMMYFUNCTION("""COMPUTED_VALUE"""),"무늬오징어")</f>
        <v>무늬오징어</v>
      </c>
    </row>
    <row r="7840">
      <c r="A7840" s="2" t="str">
        <f>IFERROR(__xludf.DUMMYFUNCTION("""COMPUTED_VALUE"""),"월하조어탕수")</f>
        <v>월하조어탕수</v>
      </c>
      <c r="B7840" s="2" t="str">
        <f>IFERROR(__xludf.DUMMYFUNCTION("""COMPUTED_VALUE"""),"골뱅이 통조림")</f>
        <v>골뱅이 통조림</v>
      </c>
    </row>
    <row r="7841">
      <c r="A7841" s="2" t="str">
        <f>IFERROR(__xludf.DUMMYFUNCTION("""COMPUTED_VALUE"""),"월하조어탕수")</f>
        <v>월하조어탕수</v>
      </c>
      <c r="B7841" s="2" t="str">
        <f>IFERROR(__xludf.DUMMYFUNCTION("""COMPUTED_VALUE"""),"오이")</f>
        <v>오이</v>
      </c>
    </row>
    <row r="7842">
      <c r="A7842" s="2" t="str">
        <f>IFERROR(__xludf.DUMMYFUNCTION("""COMPUTED_VALUE"""),"월하조어탕수")</f>
        <v>월하조어탕수</v>
      </c>
      <c r="B7842" s="2" t="str">
        <f>IFERROR(__xludf.DUMMYFUNCTION("""COMPUTED_VALUE"""),"표고버섯")</f>
        <v>표고버섯</v>
      </c>
    </row>
    <row r="7843">
      <c r="A7843" s="2" t="str">
        <f>IFERROR(__xludf.DUMMYFUNCTION("""COMPUTED_VALUE"""),"월하조어탕수")</f>
        <v>월하조어탕수</v>
      </c>
      <c r="B7843" s="2" t="str">
        <f>IFERROR(__xludf.DUMMYFUNCTION("""COMPUTED_VALUE"""),"누룽지")</f>
        <v>누룽지</v>
      </c>
    </row>
    <row r="7844">
      <c r="A7844" s="2" t="str">
        <f>IFERROR(__xludf.DUMMYFUNCTION("""COMPUTED_VALUE"""),"월하조어탕수")</f>
        <v>월하조어탕수</v>
      </c>
      <c r="B7844" s="2" t="str">
        <f>IFERROR(__xludf.DUMMYFUNCTION("""COMPUTED_VALUE"""),"인삼주")</f>
        <v>인삼주</v>
      </c>
    </row>
    <row r="7845">
      <c r="A7845" s="2" t="str">
        <f>IFERROR(__xludf.DUMMYFUNCTION("""COMPUTED_VALUE"""),"월하조어탕수")</f>
        <v>월하조어탕수</v>
      </c>
      <c r="B7845" s="2" t="str">
        <f>IFERROR(__xludf.DUMMYFUNCTION("""COMPUTED_VALUE"""),"인스턴트 삼계탕")</f>
        <v>인스턴트 삼계탕</v>
      </c>
    </row>
    <row r="7846">
      <c r="A7846" s="2" t="str">
        <f>IFERROR(__xludf.DUMMYFUNCTION("""COMPUTED_VALUE"""),"월하조어탕수")</f>
        <v>월하조어탕수</v>
      </c>
      <c r="B7846" s="2" t="str">
        <f>IFERROR(__xludf.DUMMYFUNCTION("""COMPUTED_VALUE"""),"볶음고추장")</f>
        <v>볶음고추장</v>
      </c>
    </row>
    <row r="7847">
      <c r="A7847" s="2" t="str">
        <f>IFERROR(__xludf.DUMMYFUNCTION("""COMPUTED_VALUE"""),"월하조어탕수")</f>
        <v>월하조어탕수</v>
      </c>
      <c r="B7847" s="2" t="str">
        <f>IFERROR(__xludf.DUMMYFUNCTION("""COMPUTED_VALUE"""),"다진 생강")</f>
        <v>다진 생강</v>
      </c>
    </row>
    <row r="7848">
      <c r="A7848" s="2" t="str">
        <f>IFERROR(__xludf.DUMMYFUNCTION("""COMPUTED_VALUE"""),"월하조어탕수")</f>
        <v>월하조어탕수</v>
      </c>
      <c r="B7848" s="2" t="str">
        <f>IFERROR(__xludf.DUMMYFUNCTION("""COMPUTED_VALUE"""),"버터")</f>
        <v>버터</v>
      </c>
    </row>
    <row r="7849">
      <c r="A7849" s="2" t="str">
        <f>IFERROR(__xludf.DUMMYFUNCTION("""COMPUTED_VALUE"""),"월하조어탕수")</f>
        <v>월하조어탕수</v>
      </c>
      <c r="B7849" s="2" t="str">
        <f>IFERROR(__xludf.DUMMYFUNCTION("""COMPUTED_VALUE"""),"전분")</f>
        <v>전분</v>
      </c>
    </row>
    <row r="7850">
      <c r="A7850" s="2" t="str">
        <f>IFERROR(__xludf.DUMMYFUNCTION("""COMPUTED_VALUE"""),"월하조어탕수")</f>
        <v>월하조어탕수</v>
      </c>
      <c r="B7850" s="2" t="str">
        <f>IFERROR(__xludf.DUMMYFUNCTION("""COMPUTED_VALUE"""),"소금")</f>
        <v>소금</v>
      </c>
    </row>
    <row r="7851">
      <c r="A7851" s="2" t="str">
        <f>IFERROR(__xludf.DUMMYFUNCTION("""COMPUTED_VALUE"""),"월하조어탕수")</f>
        <v>월하조어탕수</v>
      </c>
      <c r="B7851" s="2" t="str">
        <f>IFERROR(__xludf.DUMMYFUNCTION("""COMPUTED_VALUE"""),"후추")</f>
        <v>후추</v>
      </c>
    </row>
    <row r="7852">
      <c r="A7852" s="2" t="str">
        <f>IFERROR(__xludf.DUMMYFUNCTION("""COMPUTED_VALUE"""),"월하조어탕수")</f>
        <v>월하조어탕수</v>
      </c>
      <c r="B7852" s="2" t="str">
        <f>IFERROR(__xludf.DUMMYFUNCTION("""COMPUTED_VALUE"""),"양파")</f>
        <v>양파</v>
      </c>
    </row>
    <row r="7853">
      <c r="A7853" s="2" t="str">
        <f>IFERROR(__xludf.DUMMYFUNCTION("""COMPUTED_VALUE"""),"월하조어탕수")</f>
        <v>월하조어탕수</v>
      </c>
      <c r="B7853" s="2" t="str">
        <f>IFERROR(__xludf.DUMMYFUNCTION("""COMPUTED_VALUE"""),"당근")</f>
        <v>당근</v>
      </c>
    </row>
    <row r="7854">
      <c r="A7854" s="2" t="str">
        <f>IFERROR(__xludf.DUMMYFUNCTION("""COMPUTED_VALUE"""),"월하조어탕수")</f>
        <v>월하조어탕수</v>
      </c>
      <c r="B7854" s="2" t="str">
        <f>IFERROR(__xludf.DUMMYFUNCTION("""COMPUTED_VALUE"""),"대파")</f>
        <v>대파</v>
      </c>
    </row>
    <row r="7855">
      <c r="A7855" s="2" t="str">
        <f>IFERROR(__xludf.DUMMYFUNCTION("""COMPUTED_VALUE"""),"월하조어탕수")</f>
        <v>월하조어탕수</v>
      </c>
      <c r="B7855" s="2" t="str">
        <f>IFERROR(__xludf.DUMMYFUNCTION("""COMPUTED_VALUE"""),"식초")</f>
        <v>식초</v>
      </c>
    </row>
    <row r="7856">
      <c r="A7856" s="2" t="str">
        <f>IFERROR(__xludf.DUMMYFUNCTION("""COMPUTED_VALUE"""),"월하조어탕수")</f>
        <v>월하조어탕수</v>
      </c>
      <c r="B7856" s="2" t="str">
        <f>IFERROR(__xludf.DUMMYFUNCTION("""COMPUTED_VALUE"""),"설탕")</f>
        <v>설탕</v>
      </c>
    </row>
    <row r="7857">
      <c r="A7857" s="2" t="str">
        <f>IFERROR(__xludf.DUMMYFUNCTION("""COMPUTED_VALUE"""),"월하조어탕수")</f>
        <v>월하조어탕수</v>
      </c>
      <c r="B7857" s="2" t="str">
        <f>IFERROR(__xludf.DUMMYFUNCTION("""COMPUTED_VALUE"""),"맛술")</f>
        <v>맛술</v>
      </c>
    </row>
    <row r="7858">
      <c r="A7858" s="2" t="str">
        <f>IFERROR(__xludf.DUMMYFUNCTION("""COMPUTED_VALUE"""),"월하조어탕수")</f>
        <v>월하조어탕수</v>
      </c>
      <c r="B7858" s="2" t="str">
        <f>IFERROR(__xludf.DUMMYFUNCTION("""COMPUTED_VALUE"""),"깨")</f>
        <v>깨</v>
      </c>
    </row>
    <row r="7859">
      <c r="A7859" s="2" t="str">
        <f>IFERROR(__xludf.DUMMYFUNCTION("""COMPUTED_VALUE"""),"월하조어탕수")</f>
        <v>월하조어탕수</v>
      </c>
      <c r="B7859" s="2" t="str">
        <f>IFERROR(__xludf.DUMMYFUNCTION("""COMPUTED_VALUE"""),"밀가루")</f>
        <v>밀가루</v>
      </c>
    </row>
    <row r="7860">
      <c r="A7860" s="2" t="str">
        <f>IFERROR(__xludf.DUMMYFUNCTION("""COMPUTED_VALUE"""),"면 때무늬야♬")</f>
        <v>면 때무늬야♬</v>
      </c>
      <c r="B7860" s="2" t="str">
        <f>IFERROR(__xludf.DUMMYFUNCTION("""COMPUTED_VALUE"""),"무늬오징어")</f>
        <v>무늬오징어</v>
      </c>
    </row>
    <row r="7861">
      <c r="A7861" s="2" t="str">
        <f>IFERROR(__xludf.DUMMYFUNCTION("""COMPUTED_VALUE"""),"면 때무늬야♬")</f>
        <v>면 때무늬야♬</v>
      </c>
      <c r="B7861" s="2" t="str">
        <f>IFERROR(__xludf.DUMMYFUNCTION("""COMPUTED_VALUE"""),"표고버섯")</f>
        <v>표고버섯</v>
      </c>
    </row>
    <row r="7862">
      <c r="A7862" s="2" t="str">
        <f>IFERROR(__xludf.DUMMYFUNCTION("""COMPUTED_VALUE"""),"면 때무늬야♬")</f>
        <v>면 때무늬야♬</v>
      </c>
      <c r="B7862" s="2" t="str">
        <f>IFERROR(__xludf.DUMMYFUNCTION("""COMPUTED_VALUE"""),"굴소스")</f>
        <v>굴소스</v>
      </c>
    </row>
    <row r="7863">
      <c r="A7863" s="2" t="str">
        <f>IFERROR(__xludf.DUMMYFUNCTION("""COMPUTED_VALUE"""),"면 때무늬야♬")</f>
        <v>면 때무늬야♬</v>
      </c>
      <c r="B7863" s="2" t="str">
        <f>IFERROR(__xludf.DUMMYFUNCTION("""COMPUTED_VALUE"""),"쯔유")</f>
        <v>쯔유</v>
      </c>
    </row>
    <row r="7864">
      <c r="A7864" s="2" t="str">
        <f>IFERROR(__xludf.DUMMYFUNCTION("""COMPUTED_VALUE"""),"면 때무늬야♬")</f>
        <v>면 때무늬야♬</v>
      </c>
      <c r="B7864" s="2" t="str">
        <f>IFERROR(__xludf.DUMMYFUNCTION("""COMPUTED_VALUE"""),"라임")</f>
        <v>라임</v>
      </c>
    </row>
    <row r="7865">
      <c r="A7865" s="2" t="str">
        <f>IFERROR(__xludf.DUMMYFUNCTION("""COMPUTED_VALUE"""),"면 때무늬야♬")</f>
        <v>면 때무늬야♬</v>
      </c>
      <c r="B7865" s="2" t="str">
        <f>IFERROR(__xludf.DUMMYFUNCTION("""COMPUTED_VALUE"""),"우메보시")</f>
        <v>우메보시</v>
      </c>
    </row>
    <row r="7866">
      <c r="A7866" s="2" t="str">
        <f>IFERROR(__xludf.DUMMYFUNCTION("""COMPUTED_VALUE"""),"면 때무늬야♬")</f>
        <v>면 때무늬야♬</v>
      </c>
      <c r="B7866" s="2" t="str">
        <f>IFERROR(__xludf.DUMMYFUNCTION("""COMPUTED_VALUE"""),"볶음고추장")</f>
        <v>볶음고추장</v>
      </c>
    </row>
    <row r="7867">
      <c r="A7867" s="2" t="str">
        <f>IFERROR(__xludf.DUMMYFUNCTION("""COMPUTED_VALUE"""),"면 때무늬야♬")</f>
        <v>면 때무늬야♬</v>
      </c>
      <c r="B7867" s="2" t="str">
        <f>IFERROR(__xludf.DUMMYFUNCTION("""COMPUTED_VALUE"""),"양파")</f>
        <v>양파</v>
      </c>
    </row>
    <row r="7868">
      <c r="A7868" s="2" t="str">
        <f>IFERROR(__xludf.DUMMYFUNCTION("""COMPUTED_VALUE"""),"면 때무늬야♬")</f>
        <v>면 때무늬야♬</v>
      </c>
      <c r="B7868" s="2" t="str">
        <f>IFERROR(__xludf.DUMMYFUNCTION("""COMPUTED_VALUE"""),"대파")</f>
        <v>대파</v>
      </c>
    </row>
    <row r="7869">
      <c r="A7869" s="2" t="str">
        <f>IFERROR(__xludf.DUMMYFUNCTION("""COMPUTED_VALUE"""),"면 때무늬야♬")</f>
        <v>면 때무늬야♬</v>
      </c>
      <c r="B7869" s="2" t="str">
        <f>IFERROR(__xludf.DUMMYFUNCTION("""COMPUTED_VALUE"""),"전분")</f>
        <v>전분</v>
      </c>
    </row>
    <row r="7870">
      <c r="A7870" s="2" t="str">
        <f>IFERROR(__xludf.DUMMYFUNCTION("""COMPUTED_VALUE"""),"면 때무늬야♬")</f>
        <v>면 때무늬야♬</v>
      </c>
      <c r="B7870" s="2" t="str">
        <f>IFERROR(__xludf.DUMMYFUNCTION("""COMPUTED_VALUE"""),"달걀")</f>
        <v>달걀</v>
      </c>
    </row>
    <row r="7871">
      <c r="A7871" s="2" t="str">
        <f>IFERROR(__xludf.DUMMYFUNCTION("""COMPUTED_VALUE"""),"면 때무늬야♬")</f>
        <v>면 때무늬야♬</v>
      </c>
      <c r="B7871" s="2" t="str">
        <f>IFERROR(__xludf.DUMMYFUNCTION("""COMPUTED_VALUE"""),"청주")</f>
        <v>청주</v>
      </c>
    </row>
    <row r="7872">
      <c r="A7872" s="2" t="str">
        <f>IFERROR(__xludf.DUMMYFUNCTION("""COMPUTED_VALUE"""),"면 때무늬야♬")</f>
        <v>면 때무늬야♬</v>
      </c>
      <c r="B7872" s="2" t="str">
        <f>IFERROR(__xludf.DUMMYFUNCTION("""COMPUTED_VALUE"""),"맛술")</f>
        <v>맛술</v>
      </c>
    </row>
    <row r="7873">
      <c r="A7873" s="2" t="str">
        <f>IFERROR(__xludf.DUMMYFUNCTION("""COMPUTED_VALUE"""),"면 때무늬야♬")</f>
        <v>면 때무늬야♬</v>
      </c>
      <c r="B7873" s="2" t="str">
        <f>IFERROR(__xludf.DUMMYFUNCTION("""COMPUTED_VALUE"""),"설탕")</f>
        <v>설탕</v>
      </c>
    </row>
    <row r="7874">
      <c r="A7874" s="2" t="str">
        <f>IFERROR(__xludf.DUMMYFUNCTION("""COMPUTED_VALUE"""),"면 때무늬야♬")</f>
        <v>면 때무늬야♬</v>
      </c>
      <c r="B7874" s="2" t="str">
        <f>IFERROR(__xludf.DUMMYFUNCTION("""COMPUTED_VALUE"""),"소금")</f>
        <v>소금</v>
      </c>
    </row>
    <row r="7875">
      <c r="A7875" s="2" t="str">
        <f>IFERROR(__xludf.DUMMYFUNCTION("""COMPUTED_VALUE"""),"면 때무늬야♬")</f>
        <v>면 때무늬야♬</v>
      </c>
      <c r="B7875" s="2" t="str">
        <f>IFERROR(__xludf.DUMMYFUNCTION("""COMPUTED_VALUE"""),"간장")</f>
        <v>간장</v>
      </c>
    </row>
    <row r="7876">
      <c r="A7876" s="2" t="str">
        <f>IFERROR(__xludf.DUMMYFUNCTION("""COMPUTED_VALUE"""),"깜짝놀랄게닭")</f>
        <v>깜짝놀랄게닭</v>
      </c>
      <c r="B7876" s="2" t="str">
        <f>IFERROR(__xludf.DUMMYFUNCTION("""COMPUTED_VALUE"""),"순살프라이드치킨")</f>
        <v>순살프라이드치킨</v>
      </c>
    </row>
    <row r="7877">
      <c r="A7877" s="2" t="str">
        <f>IFERROR(__xludf.DUMMYFUNCTION("""COMPUTED_VALUE"""),"깜짝놀랄게닭")</f>
        <v>깜짝놀랄게닭</v>
      </c>
      <c r="B7877" s="2" t="str">
        <f>IFERROR(__xludf.DUMMYFUNCTION("""COMPUTED_VALUE"""),"메밀소바라면")</f>
        <v>메밀소바라면</v>
      </c>
    </row>
    <row r="7878">
      <c r="A7878" s="2" t="str">
        <f>IFERROR(__xludf.DUMMYFUNCTION("""COMPUTED_VALUE"""),"깜짝놀랄게닭")</f>
        <v>깜짝놀랄게닭</v>
      </c>
      <c r="B7878" s="2" t="str">
        <f>IFERROR(__xludf.DUMMYFUNCTION("""COMPUTED_VALUE"""),"감자")</f>
        <v>감자</v>
      </c>
    </row>
    <row r="7879">
      <c r="A7879" s="2" t="str">
        <f>IFERROR(__xludf.DUMMYFUNCTION("""COMPUTED_VALUE"""),"깜짝놀랄게닭")</f>
        <v>깜짝놀랄게닭</v>
      </c>
      <c r="B7879" s="2" t="str">
        <f>IFERROR(__xludf.DUMMYFUNCTION("""COMPUTED_VALUE"""),"참깨소스")</f>
        <v>참깨소스</v>
      </c>
    </row>
    <row r="7880">
      <c r="A7880" s="2" t="str">
        <f>IFERROR(__xludf.DUMMYFUNCTION("""COMPUTED_VALUE"""),"깜짝놀랄게닭")</f>
        <v>깜짝놀랄게닭</v>
      </c>
      <c r="B7880" s="2" t="str">
        <f>IFERROR(__xludf.DUMMYFUNCTION("""COMPUTED_VALUE"""),"굴소스")</f>
        <v>굴소스</v>
      </c>
    </row>
    <row r="7881">
      <c r="A7881" s="2" t="str">
        <f>IFERROR(__xludf.DUMMYFUNCTION("""COMPUTED_VALUE"""),"깜짝놀랄게닭")</f>
        <v>깜짝놀랄게닭</v>
      </c>
      <c r="B7881" s="2" t="str">
        <f>IFERROR(__xludf.DUMMYFUNCTION("""COMPUTED_VALUE"""),"라조장")</f>
        <v>라조장</v>
      </c>
    </row>
    <row r="7882">
      <c r="A7882" s="2" t="str">
        <f>IFERROR(__xludf.DUMMYFUNCTION("""COMPUTED_VALUE"""),"깜짝놀랄게닭")</f>
        <v>깜짝놀랄게닭</v>
      </c>
      <c r="B7882" s="2" t="str">
        <f>IFERROR(__xludf.DUMMYFUNCTION("""COMPUTED_VALUE"""),"돼지안심")</f>
        <v>돼지안심</v>
      </c>
    </row>
    <row r="7883">
      <c r="A7883" s="2" t="str">
        <f>IFERROR(__xludf.DUMMYFUNCTION("""COMPUTED_VALUE"""),"깜짝놀랄게닭")</f>
        <v>깜짝놀랄게닭</v>
      </c>
      <c r="B7883" s="2" t="str">
        <f>IFERROR(__xludf.DUMMYFUNCTION("""COMPUTED_VALUE"""),"파프리카")</f>
        <v>파프리카</v>
      </c>
    </row>
    <row r="7884">
      <c r="A7884" s="2" t="str">
        <f>IFERROR(__xludf.DUMMYFUNCTION("""COMPUTED_VALUE"""),"깜짝놀랄게닭")</f>
        <v>깜짝놀랄게닭</v>
      </c>
      <c r="B7884" s="2" t="str">
        <f>IFERROR(__xludf.DUMMYFUNCTION("""COMPUTED_VALUE"""),"깻잎장아찌")</f>
        <v>깻잎장아찌</v>
      </c>
    </row>
    <row r="7885">
      <c r="A7885" s="2" t="str">
        <f>IFERROR(__xludf.DUMMYFUNCTION("""COMPUTED_VALUE"""),"깜짝놀랄게닭")</f>
        <v>깜짝놀랄게닭</v>
      </c>
      <c r="B7885" s="2" t="str">
        <f>IFERROR(__xludf.DUMMYFUNCTION("""COMPUTED_VALUE"""),"게")</f>
        <v>게</v>
      </c>
    </row>
    <row r="7886">
      <c r="A7886" s="2" t="str">
        <f>IFERROR(__xludf.DUMMYFUNCTION("""COMPUTED_VALUE"""),"깜짝놀랄게닭")</f>
        <v>깜짝놀랄게닭</v>
      </c>
      <c r="B7886" s="2" t="str">
        <f>IFERROR(__xludf.DUMMYFUNCTION("""COMPUTED_VALUE"""),"땅콩")</f>
        <v>땅콩</v>
      </c>
    </row>
    <row r="7887">
      <c r="A7887" s="2" t="str">
        <f>IFERROR(__xludf.DUMMYFUNCTION("""COMPUTED_VALUE"""),"깜짝놀랄게닭")</f>
        <v>깜짝놀랄게닭</v>
      </c>
      <c r="B7887" s="2" t="str">
        <f>IFERROR(__xludf.DUMMYFUNCTION("""COMPUTED_VALUE"""),"대게내장")</f>
        <v>대게내장</v>
      </c>
    </row>
    <row r="7888">
      <c r="A7888" s="2" t="str">
        <f>IFERROR(__xludf.DUMMYFUNCTION("""COMPUTED_VALUE"""),"깜짝놀랄게닭")</f>
        <v>깜짝놀랄게닭</v>
      </c>
      <c r="B7888" s="2" t="str">
        <f>IFERROR(__xludf.DUMMYFUNCTION("""COMPUTED_VALUE"""),"매운치킨소스")</f>
        <v>매운치킨소스</v>
      </c>
    </row>
    <row r="7889">
      <c r="A7889" s="2" t="str">
        <f>IFERROR(__xludf.DUMMYFUNCTION("""COMPUTED_VALUE"""),"깜짝놀랄게닭")</f>
        <v>깜짝놀랄게닭</v>
      </c>
      <c r="B7889" s="2" t="str">
        <f>IFERROR(__xludf.DUMMYFUNCTION("""COMPUTED_VALUE"""),"설탕")</f>
        <v>설탕</v>
      </c>
    </row>
    <row r="7890">
      <c r="A7890" s="2" t="str">
        <f>IFERROR(__xludf.DUMMYFUNCTION("""COMPUTED_VALUE"""),"깜짝놀랄게닭")</f>
        <v>깜짝놀랄게닭</v>
      </c>
      <c r="B7890" s="2" t="str">
        <f>IFERROR(__xludf.DUMMYFUNCTION("""COMPUTED_VALUE"""),"다진 마늘 양파")</f>
        <v>다진 마늘 양파</v>
      </c>
    </row>
    <row r="7891">
      <c r="A7891" s="2" t="str">
        <f>IFERROR(__xludf.DUMMYFUNCTION("""COMPUTED_VALUE"""),"깜짝놀랄게닭")</f>
        <v>깜짝놀랄게닭</v>
      </c>
      <c r="B7891" s="2" t="str">
        <f>IFERROR(__xludf.DUMMYFUNCTION("""COMPUTED_VALUE"""),"밀가루")</f>
        <v>밀가루</v>
      </c>
    </row>
    <row r="7892">
      <c r="A7892" s="2" t="str">
        <f>IFERROR(__xludf.DUMMYFUNCTION("""COMPUTED_VALUE"""),"깜짝놀랄게닭")</f>
        <v>깜짝놀랄게닭</v>
      </c>
      <c r="B7892" s="2" t="str">
        <f>IFERROR(__xludf.DUMMYFUNCTION("""COMPUTED_VALUE"""),"물엿")</f>
        <v>물엿</v>
      </c>
    </row>
    <row r="7893">
      <c r="A7893" s="2" t="str">
        <f>IFERROR(__xludf.DUMMYFUNCTION("""COMPUTED_VALUE"""),"깜짝놀랄게닭")</f>
        <v>깜짝놀랄게닭</v>
      </c>
      <c r="B7893" s="2" t="str">
        <f>IFERROR(__xludf.DUMMYFUNCTION("""COMPUTED_VALUE"""),"깨")</f>
        <v>깨</v>
      </c>
    </row>
    <row r="7894">
      <c r="A7894" s="2" t="str">
        <f>IFERROR(__xludf.DUMMYFUNCTION("""COMPUTED_VALUE"""),"깜짝놀랄게닭")</f>
        <v>깜짝놀랄게닭</v>
      </c>
      <c r="B7894" s="2" t="str">
        <f>IFERROR(__xludf.DUMMYFUNCTION("""COMPUTED_VALUE"""),"참기름")</f>
        <v>참기름</v>
      </c>
    </row>
    <row r="7895">
      <c r="A7895" s="2" t="str">
        <f>IFERROR(__xludf.DUMMYFUNCTION("""COMPUTED_VALUE"""),"깜짝놀랄게닭")</f>
        <v>깜짝놀랄게닭</v>
      </c>
      <c r="B7895" s="2" t="str">
        <f>IFERROR(__xludf.DUMMYFUNCTION("""COMPUTED_VALUE"""),"전분")</f>
        <v>전분</v>
      </c>
    </row>
    <row r="7896">
      <c r="A7896" s="2" t="str">
        <f>IFERROR(__xludf.DUMMYFUNCTION("""COMPUTED_VALUE"""),"거북전")</f>
        <v>거북전</v>
      </c>
      <c r="B7896" s="2" t="str">
        <f>IFERROR(__xludf.DUMMYFUNCTION("""COMPUTED_VALUE"""),"감자")</f>
        <v>감자</v>
      </c>
    </row>
    <row r="7897">
      <c r="A7897" s="2" t="str">
        <f>IFERROR(__xludf.DUMMYFUNCTION("""COMPUTED_VALUE"""),"거북전")</f>
        <v>거북전</v>
      </c>
      <c r="B7897" s="2" t="str">
        <f>IFERROR(__xludf.DUMMYFUNCTION("""COMPUTED_VALUE"""),"게")</f>
        <v>게</v>
      </c>
    </row>
    <row r="7898">
      <c r="A7898" s="2" t="str">
        <f>IFERROR(__xludf.DUMMYFUNCTION("""COMPUTED_VALUE"""),"거북전")</f>
        <v>거북전</v>
      </c>
      <c r="B7898" s="2" t="str">
        <f>IFERROR(__xludf.DUMMYFUNCTION("""COMPUTED_VALUE"""),"낙지")</f>
        <v>낙지</v>
      </c>
    </row>
    <row r="7899">
      <c r="A7899" s="2" t="str">
        <f>IFERROR(__xludf.DUMMYFUNCTION("""COMPUTED_VALUE"""),"거북전")</f>
        <v>거북전</v>
      </c>
      <c r="B7899" s="2" t="str">
        <f>IFERROR(__xludf.DUMMYFUNCTION("""COMPUTED_VALUE"""),"새우")</f>
        <v>새우</v>
      </c>
    </row>
    <row r="7900">
      <c r="A7900" s="2" t="str">
        <f>IFERROR(__xludf.DUMMYFUNCTION("""COMPUTED_VALUE"""),"거북전")</f>
        <v>거북전</v>
      </c>
      <c r="B7900" s="2" t="str">
        <f>IFERROR(__xludf.DUMMYFUNCTION("""COMPUTED_VALUE"""),"슬라이스치즈")</f>
        <v>슬라이스치즈</v>
      </c>
    </row>
    <row r="7901">
      <c r="A7901" s="2" t="str">
        <f>IFERROR(__xludf.DUMMYFUNCTION("""COMPUTED_VALUE"""),"거북전")</f>
        <v>거북전</v>
      </c>
      <c r="B7901" s="2" t="str">
        <f>IFERROR(__xludf.DUMMYFUNCTION("""COMPUTED_VALUE"""),"마늘고추간장장아찌")</f>
        <v>마늘고추간장장아찌</v>
      </c>
    </row>
    <row r="7902">
      <c r="A7902" s="2" t="str">
        <f>IFERROR(__xludf.DUMMYFUNCTION("""COMPUTED_VALUE"""),"거북전")</f>
        <v>거북전</v>
      </c>
      <c r="B7902" s="2" t="str">
        <f>IFERROR(__xludf.DUMMYFUNCTION("""COMPUTED_VALUE"""),"마늘식초장아찌")</f>
        <v>마늘식초장아찌</v>
      </c>
    </row>
    <row r="7903">
      <c r="A7903" s="2" t="str">
        <f>IFERROR(__xludf.DUMMYFUNCTION("""COMPUTED_VALUE"""),"거북전")</f>
        <v>거북전</v>
      </c>
      <c r="B7903" s="2" t="str">
        <f>IFERROR(__xludf.DUMMYFUNCTION("""COMPUTED_VALUE"""),"갈빗살")</f>
        <v>갈빗살</v>
      </c>
    </row>
    <row r="7904">
      <c r="A7904" s="2" t="str">
        <f>IFERROR(__xludf.DUMMYFUNCTION("""COMPUTED_VALUE"""),"거북전")</f>
        <v>거북전</v>
      </c>
      <c r="B7904" s="2" t="str">
        <f>IFERROR(__xludf.DUMMYFUNCTION("""COMPUTED_VALUE"""),"달걀")</f>
        <v>달걀</v>
      </c>
    </row>
    <row r="7905">
      <c r="A7905" s="2" t="str">
        <f>IFERROR(__xludf.DUMMYFUNCTION("""COMPUTED_VALUE"""),"거북전")</f>
        <v>거북전</v>
      </c>
      <c r="B7905" s="2" t="str">
        <f>IFERROR(__xludf.DUMMYFUNCTION("""COMPUTED_VALUE"""),"전분")</f>
        <v>전분</v>
      </c>
    </row>
    <row r="7906">
      <c r="A7906" s="2" t="str">
        <f>IFERROR(__xludf.DUMMYFUNCTION("""COMPUTED_VALUE"""),"거북전")</f>
        <v>거북전</v>
      </c>
      <c r="B7906" s="2" t="str">
        <f>IFERROR(__xludf.DUMMYFUNCTION("""COMPUTED_VALUE"""),"소금")</f>
        <v>소금</v>
      </c>
    </row>
    <row r="7907">
      <c r="A7907" s="2" t="str">
        <f>IFERROR(__xludf.DUMMYFUNCTION("""COMPUTED_VALUE"""),"거북전")</f>
        <v>거북전</v>
      </c>
      <c r="B7907" s="2" t="str">
        <f>IFERROR(__xludf.DUMMYFUNCTION("""COMPUTED_VALUE"""),"후추")</f>
        <v>후추</v>
      </c>
    </row>
    <row r="7908">
      <c r="A7908" s="2" t="str">
        <f>IFERROR(__xludf.DUMMYFUNCTION("""COMPUTED_VALUE"""),"거북전")</f>
        <v>거북전</v>
      </c>
      <c r="B7908" s="2" t="str">
        <f>IFERROR(__xludf.DUMMYFUNCTION("""COMPUTED_VALUE"""),"레몬")</f>
        <v>레몬</v>
      </c>
    </row>
    <row r="7909">
      <c r="A7909" s="2" t="str">
        <f>IFERROR(__xludf.DUMMYFUNCTION("""COMPUTED_VALUE"""),"거북전")</f>
        <v>거북전</v>
      </c>
      <c r="B7909" s="2" t="str">
        <f>IFERROR(__xludf.DUMMYFUNCTION("""COMPUTED_VALUE"""),"청양고추")</f>
        <v>청양고추</v>
      </c>
    </row>
    <row r="7910">
      <c r="A7910" s="2" t="str">
        <f>IFERROR(__xludf.DUMMYFUNCTION("""COMPUTED_VALUE"""),"거북전")</f>
        <v>거북전</v>
      </c>
      <c r="B7910" s="2" t="str">
        <f>IFERROR(__xludf.DUMMYFUNCTION("""COMPUTED_VALUE"""),"버터")</f>
        <v>버터</v>
      </c>
    </row>
    <row r="7911">
      <c r="A7911" s="2" t="str">
        <f>IFERROR(__xludf.DUMMYFUNCTION("""COMPUTED_VALUE"""),"거북전")</f>
        <v>거북전</v>
      </c>
      <c r="B7911" s="2" t="str">
        <f>IFERROR(__xludf.DUMMYFUNCTION("""COMPUTED_VALUE"""),"양파")</f>
        <v>양파</v>
      </c>
    </row>
    <row r="7912">
      <c r="A7912" s="2" t="str">
        <f>IFERROR(__xludf.DUMMYFUNCTION("""COMPUTED_VALUE"""),"거북전")</f>
        <v>거북전</v>
      </c>
      <c r="B7912" s="2" t="str">
        <f>IFERROR(__xludf.DUMMYFUNCTION("""COMPUTED_VALUE"""),"밀가루")</f>
        <v>밀가루</v>
      </c>
    </row>
    <row r="7913">
      <c r="A7913" s="2" t="str">
        <f>IFERROR(__xludf.DUMMYFUNCTION("""COMPUTED_VALUE"""),"대세는 낙.돼.새")</f>
        <v>대세는 낙.돼.새</v>
      </c>
      <c r="B7913" s="2" t="str">
        <f>IFERROR(__xludf.DUMMYFUNCTION("""COMPUTED_VALUE"""),"사과")</f>
        <v>사과</v>
      </c>
    </row>
    <row r="7914">
      <c r="A7914" s="2" t="str">
        <f>IFERROR(__xludf.DUMMYFUNCTION("""COMPUTED_VALUE"""),"대세는 낙.돼.새")</f>
        <v>대세는 낙.돼.새</v>
      </c>
      <c r="B7914" s="2" t="str">
        <f>IFERROR(__xludf.DUMMYFUNCTION("""COMPUTED_VALUE"""),"돼지목살")</f>
        <v>돼지목살</v>
      </c>
    </row>
    <row r="7915">
      <c r="A7915" s="2" t="str">
        <f>IFERROR(__xludf.DUMMYFUNCTION("""COMPUTED_VALUE"""),"대세는 낙.돼.새")</f>
        <v>대세는 낙.돼.새</v>
      </c>
      <c r="B7915" s="2" t="str">
        <f>IFERROR(__xludf.DUMMYFUNCTION("""COMPUTED_VALUE"""),"낙지")</f>
        <v>낙지</v>
      </c>
    </row>
    <row r="7916">
      <c r="A7916" s="2" t="str">
        <f>IFERROR(__xludf.DUMMYFUNCTION("""COMPUTED_VALUE"""),"대세는 낙.돼.새")</f>
        <v>대세는 낙.돼.새</v>
      </c>
      <c r="B7916" s="2" t="str">
        <f>IFERROR(__xludf.DUMMYFUNCTION("""COMPUTED_VALUE"""),"새우")</f>
        <v>새우</v>
      </c>
    </row>
    <row r="7917">
      <c r="A7917" s="2" t="str">
        <f>IFERROR(__xludf.DUMMYFUNCTION("""COMPUTED_VALUE"""),"대세는 낙.돼.새")</f>
        <v>대세는 낙.돼.새</v>
      </c>
      <c r="B7917" s="2" t="str">
        <f>IFERROR(__xludf.DUMMYFUNCTION("""COMPUTED_VALUE"""),"굴소스")</f>
        <v>굴소스</v>
      </c>
    </row>
    <row r="7918">
      <c r="A7918" s="2" t="str">
        <f>IFERROR(__xludf.DUMMYFUNCTION("""COMPUTED_VALUE"""),"대세는 낙.돼.새")</f>
        <v>대세는 낙.돼.새</v>
      </c>
      <c r="B7918" s="2" t="str">
        <f>IFERROR(__xludf.DUMMYFUNCTION("""COMPUTED_VALUE"""),"알배추")</f>
        <v>알배추</v>
      </c>
    </row>
    <row r="7919">
      <c r="A7919" s="2" t="str">
        <f>IFERROR(__xludf.DUMMYFUNCTION("""COMPUTED_VALUE"""),"대세는 낙.돼.새")</f>
        <v>대세는 낙.돼.새</v>
      </c>
      <c r="B7919" s="2" t="str">
        <f>IFERROR(__xludf.DUMMYFUNCTION("""COMPUTED_VALUE"""),"들깻가루")</f>
        <v>들깻가루</v>
      </c>
    </row>
    <row r="7920">
      <c r="A7920" s="2" t="str">
        <f>IFERROR(__xludf.DUMMYFUNCTION("""COMPUTED_VALUE"""),"대세는 낙.돼.새")</f>
        <v>대세는 낙.돼.새</v>
      </c>
      <c r="B7920" s="2" t="str">
        <f>IFERROR(__xludf.DUMMYFUNCTION("""COMPUTED_VALUE"""),"김")</f>
        <v>김</v>
      </c>
    </row>
    <row r="7921">
      <c r="A7921" s="2" t="str">
        <f>IFERROR(__xludf.DUMMYFUNCTION("""COMPUTED_VALUE"""),"대세는 낙.돼.새")</f>
        <v>대세는 낙.돼.새</v>
      </c>
      <c r="B7921" s="2" t="str">
        <f>IFERROR(__xludf.DUMMYFUNCTION("""COMPUTED_VALUE"""),"당근")</f>
        <v>당근</v>
      </c>
    </row>
    <row r="7922">
      <c r="A7922" s="2" t="str">
        <f>IFERROR(__xludf.DUMMYFUNCTION("""COMPUTED_VALUE"""),"대세는 낙.돼.새")</f>
        <v>대세는 낙.돼.새</v>
      </c>
      <c r="B7922" s="2" t="str">
        <f>IFERROR(__xludf.DUMMYFUNCTION("""COMPUTED_VALUE"""),"간장")</f>
        <v>간장</v>
      </c>
    </row>
    <row r="7923">
      <c r="A7923" s="2" t="str">
        <f>IFERROR(__xludf.DUMMYFUNCTION("""COMPUTED_VALUE"""),"대세는 낙.돼.새")</f>
        <v>대세는 낙.돼.새</v>
      </c>
      <c r="B7923" s="2" t="str">
        <f>IFERROR(__xludf.DUMMYFUNCTION("""COMPUTED_VALUE"""),"양파")</f>
        <v>양파</v>
      </c>
    </row>
    <row r="7924">
      <c r="A7924" s="2" t="str">
        <f>IFERROR(__xludf.DUMMYFUNCTION("""COMPUTED_VALUE"""),"대세는 낙.돼.새")</f>
        <v>대세는 낙.돼.새</v>
      </c>
      <c r="B7924" s="2" t="str">
        <f>IFERROR(__xludf.DUMMYFUNCTION("""COMPUTED_VALUE"""),"다진 마늘")</f>
        <v>다진 마늘</v>
      </c>
    </row>
    <row r="7925">
      <c r="A7925" s="2" t="str">
        <f>IFERROR(__xludf.DUMMYFUNCTION("""COMPUTED_VALUE"""),"대세는 낙.돼.새")</f>
        <v>대세는 낙.돼.새</v>
      </c>
      <c r="B7925" s="2" t="str">
        <f>IFERROR(__xludf.DUMMYFUNCTION("""COMPUTED_VALUE"""),"고춧가루")</f>
        <v>고춧가루</v>
      </c>
    </row>
    <row r="7926">
      <c r="A7926" s="2" t="str">
        <f>IFERROR(__xludf.DUMMYFUNCTION("""COMPUTED_VALUE"""),"대세는 낙.돼.새")</f>
        <v>대세는 낙.돼.새</v>
      </c>
      <c r="B7926" s="2" t="str">
        <f>IFERROR(__xludf.DUMMYFUNCTION("""COMPUTED_VALUE"""),"식초")</f>
        <v>식초</v>
      </c>
    </row>
    <row r="7927">
      <c r="A7927" s="2" t="str">
        <f>IFERROR(__xludf.DUMMYFUNCTION("""COMPUTED_VALUE"""),"대세는 낙.돼.새")</f>
        <v>대세는 낙.돼.새</v>
      </c>
      <c r="B7927" s="2" t="str">
        <f>IFERROR(__xludf.DUMMYFUNCTION("""COMPUTED_VALUE"""),"설탕")</f>
        <v>설탕</v>
      </c>
    </row>
    <row r="7928">
      <c r="A7928" s="2" t="str">
        <f>IFERROR(__xludf.DUMMYFUNCTION("""COMPUTED_VALUE"""),"대세는 낙.돼.새")</f>
        <v>대세는 낙.돼.새</v>
      </c>
      <c r="B7928" s="2" t="str">
        <f>IFERROR(__xludf.DUMMYFUNCTION("""COMPUTED_VALUE"""),"맛술")</f>
        <v>맛술</v>
      </c>
    </row>
    <row r="7929">
      <c r="A7929" s="2" t="str">
        <f>IFERROR(__xludf.DUMMYFUNCTION("""COMPUTED_VALUE"""),"대세는 낙.돼.새")</f>
        <v>대세는 낙.돼.새</v>
      </c>
      <c r="B7929" s="2" t="str">
        <f>IFERROR(__xludf.DUMMYFUNCTION("""COMPUTED_VALUE"""),"대파")</f>
        <v>대파</v>
      </c>
    </row>
    <row r="7930">
      <c r="A7930" s="2" t="str">
        <f>IFERROR(__xludf.DUMMYFUNCTION("""COMPUTED_VALUE"""),"대세는 낙.돼.새")</f>
        <v>대세는 낙.돼.새</v>
      </c>
      <c r="B7930" s="2" t="str">
        <f>IFERROR(__xludf.DUMMYFUNCTION("""COMPUTED_VALUE"""),"소금")</f>
        <v>소금</v>
      </c>
    </row>
    <row r="7931">
      <c r="A7931" s="2" t="str">
        <f>IFERROR(__xludf.DUMMYFUNCTION("""COMPUTED_VALUE"""),"대세는 낙.돼.새")</f>
        <v>대세는 낙.돼.새</v>
      </c>
      <c r="B7931" s="2" t="str">
        <f>IFERROR(__xludf.DUMMYFUNCTION("""COMPUTED_VALUE"""),"즉석밥")</f>
        <v>즉석밥</v>
      </c>
    </row>
    <row r="7932">
      <c r="A7932" s="2" t="str">
        <f>IFERROR(__xludf.DUMMYFUNCTION("""COMPUTED_VALUE"""),"대세는 낙.돼.새")</f>
        <v>대세는 낙.돼.새</v>
      </c>
      <c r="B7932" s="2" t="str">
        <f>IFERROR(__xludf.DUMMYFUNCTION("""COMPUTED_VALUE"""),"들기름")</f>
        <v>들기름</v>
      </c>
    </row>
    <row r="7933">
      <c r="A7933" s="2" t="str">
        <f>IFERROR(__xludf.DUMMYFUNCTION("""COMPUTED_VALUE"""),"대세는 낙.돼.새")</f>
        <v>대세는 낙.돼.새</v>
      </c>
      <c r="B7933" s="2" t="str">
        <f>IFERROR(__xludf.DUMMYFUNCTION("""COMPUTED_VALUE"""),"고추장")</f>
        <v>고추장</v>
      </c>
    </row>
    <row r="7934">
      <c r="A7934" s="2" t="str">
        <f>IFERROR(__xludf.DUMMYFUNCTION("""COMPUTED_VALUE"""),"오코노미~야키를 사랑해♬")</f>
        <v>오코노미~야키를 사랑해♬</v>
      </c>
      <c r="B7934" s="2" t="str">
        <f>IFERROR(__xludf.DUMMYFUNCTION("""COMPUTED_VALUE"""),"양배추")</f>
        <v>양배추</v>
      </c>
    </row>
    <row r="7935">
      <c r="A7935" s="2" t="str">
        <f>IFERROR(__xludf.DUMMYFUNCTION("""COMPUTED_VALUE"""),"오코노미~야키를 사랑해♬")</f>
        <v>오코노미~야키를 사랑해♬</v>
      </c>
      <c r="B7935" s="2" t="str">
        <f>IFERROR(__xludf.DUMMYFUNCTION("""COMPUTED_VALUE"""),"돼지 안심")</f>
        <v>돼지 안심</v>
      </c>
    </row>
    <row r="7936">
      <c r="A7936" s="2" t="str">
        <f>IFERROR(__xludf.DUMMYFUNCTION("""COMPUTED_VALUE"""),"오코노미~야키를 사랑해♬")</f>
        <v>오코노미~야키를 사랑해♬</v>
      </c>
      <c r="B7936" s="2" t="str">
        <f>IFERROR(__xludf.DUMMYFUNCTION("""COMPUTED_VALUE"""),"새우")</f>
        <v>새우</v>
      </c>
    </row>
    <row r="7937">
      <c r="A7937" s="2" t="str">
        <f>IFERROR(__xludf.DUMMYFUNCTION("""COMPUTED_VALUE"""),"오코노미~야키를 사랑해♬")</f>
        <v>오코노미~야키를 사랑해♬</v>
      </c>
      <c r="B7937" s="2" t="str">
        <f>IFERROR(__xludf.DUMMYFUNCTION("""COMPUTED_VALUE"""),"고량주")</f>
        <v>고량주</v>
      </c>
    </row>
    <row r="7938">
      <c r="A7938" s="2" t="str">
        <f>IFERROR(__xludf.DUMMYFUNCTION("""COMPUTED_VALUE"""),"오코노미~야키를 사랑해♬")</f>
        <v>오코노미~야키를 사랑해♬</v>
      </c>
      <c r="B7938" s="2" t="str">
        <f>IFERROR(__xludf.DUMMYFUNCTION("""COMPUTED_VALUE"""),"스위트칠리소스")</f>
        <v>스위트칠리소스</v>
      </c>
    </row>
    <row r="7939">
      <c r="A7939" s="2" t="str">
        <f>IFERROR(__xludf.DUMMYFUNCTION("""COMPUTED_VALUE"""),"오코노미~야키를 사랑해♬")</f>
        <v>오코노미~야키를 사랑해♬</v>
      </c>
      <c r="B7939" s="2" t="str">
        <f>IFERROR(__xludf.DUMMYFUNCTION("""COMPUTED_VALUE"""),"잔멸치")</f>
        <v>잔멸치</v>
      </c>
    </row>
    <row r="7940">
      <c r="A7940" s="2" t="str">
        <f>IFERROR(__xludf.DUMMYFUNCTION("""COMPUTED_VALUE"""),"오코노미~야키를 사랑해♬")</f>
        <v>오코노미~야키를 사랑해♬</v>
      </c>
      <c r="B7940" s="2" t="str">
        <f>IFERROR(__xludf.DUMMYFUNCTION("""COMPUTED_VALUE"""),"돈가스소스")</f>
        <v>돈가스소스</v>
      </c>
    </row>
    <row r="7941">
      <c r="A7941" s="2" t="str">
        <f>IFERROR(__xludf.DUMMYFUNCTION("""COMPUTED_VALUE"""),"오코노미~야키를 사랑해♬")</f>
        <v>오코노미~야키를 사랑해♬</v>
      </c>
      <c r="B7941" s="2" t="str">
        <f>IFERROR(__xludf.DUMMYFUNCTION("""COMPUTED_VALUE"""),"라면")</f>
        <v>라면</v>
      </c>
    </row>
    <row r="7942">
      <c r="A7942" s="2" t="str">
        <f>IFERROR(__xludf.DUMMYFUNCTION("""COMPUTED_VALUE"""),"오코노미~야키를 사랑해♬")</f>
        <v>오코노미~야키를 사랑해♬</v>
      </c>
      <c r="B7942" s="2" t="str">
        <f>IFERROR(__xludf.DUMMYFUNCTION("""COMPUTED_VALUE"""),"케첩")</f>
        <v>케첩</v>
      </c>
    </row>
    <row r="7943">
      <c r="A7943" s="2" t="str">
        <f>IFERROR(__xludf.DUMMYFUNCTION("""COMPUTED_VALUE"""),"오코노미~야키를 사랑해♬")</f>
        <v>오코노미~야키를 사랑해♬</v>
      </c>
      <c r="B7943" s="2" t="str">
        <f>IFERROR(__xludf.DUMMYFUNCTION("""COMPUTED_VALUE"""),"밀가루")</f>
        <v>밀가루</v>
      </c>
    </row>
    <row r="7944">
      <c r="A7944" s="2" t="str">
        <f>IFERROR(__xludf.DUMMYFUNCTION("""COMPUTED_VALUE"""),"오코노미~야키를 사랑해♬")</f>
        <v>오코노미~야키를 사랑해♬</v>
      </c>
      <c r="B7944" s="2" t="str">
        <f>IFERROR(__xludf.DUMMYFUNCTION("""COMPUTED_VALUE"""),"후추")</f>
        <v>후추</v>
      </c>
    </row>
    <row r="7945">
      <c r="A7945" s="2" t="str">
        <f>IFERROR(__xludf.DUMMYFUNCTION("""COMPUTED_VALUE"""),"오코노미~야키를 사랑해♬")</f>
        <v>오코노미~야키를 사랑해♬</v>
      </c>
      <c r="B7945" s="2" t="str">
        <f>IFERROR(__xludf.DUMMYFUNCTION("""COMPUTED_VALUE"""),"양파")</f>
        <v>양파</v>
      </c>
    </row>
    <row r="7946">
      <c r="A7946" s="2" t="str">
        <f>IFERROR(__xludf.DUMMYFUNCTION("""COMPUTED_VALUE"""),"오코노미~야키를 사랑해♬")</f>
        <v>오코노미~야키를 사랑해♬</v>
      </c>
      <c r="B7946" s="2" t="str">
        <f>IFERROR(__xludf.DUMMYFUNCTION("""COMPUTED_VALUE"""),"달걀")</f>
        <v>달걀</v>
      </c>
    </row>
    <row r="7947">
      <c r="A7947" s="2" t="str">
        <f>IFERROR(__xludf.DUMMYFUNCTION("""COMPUTED_VALUE"""),"오코노미~야키를 사랑해♬")</f>
        <v>오코노미~야키를 사랑해♬</v>
      </c>
      <c r="B7947" s="2" t="str">
        <f>IFERROR(__xludf.DUMMYFUNCTION("""COMPUTED_VALUE"""),"마요네즈")</f>
        <v>마요네즈</v>
      </c>
    </row>
    <row r="7948">
      <c r="A7948" s="2" t="str">
        <f>IFERROR(__xludf.DUMMYFUNCTION("""COMPUTED_VALUE"""),"이겨도 돼지?")</f>
        <v>이겨도 돼지?</v>
      </c>
      <c r="B7948" s="2" t="str">
        <f>IFERROR(__xludf.DUMMYFUNCTION("""COMPUTED_VALUE"""),"체리")</f>
        <v>체리</v>
      </c>
    </row>
    <row r="7949">
      <c r="A7949" s="2" t="str">
        <f>IFERROR(__xludf.DUMMYFUNCTION("""COMPUTED_VALUE"""),"이겨도 돼지?")</f>
        <v>이겨도 돼지?</v>
      </c>
      <c r="B7949" s="2" t="str">
        <f>IFERROR(__xludf.DUMMYFUNCTION("""COMPUTED_VALUE"""),"돼지목살")</f>
        <v>돼지목살</v>
      </c>
    </row>
    <row r="7950">
      <c r="A7950" s="2" t="str">
        <f>IFERROR(__xludf.DUMMYFUNCTION("""COMPUTED_VALUE"""),"이겨도 돼지?")</f>
        <v>이겨도 돼지?</v>
      </c>
      <c r="B7950" s="2" t="str">
        <f>IFERROR(__xludf.DUMMYFUNCTION("""COMPUTED_VALUE"""),"표고버섯대")</f>
        <v>표고버섯대</v>
      </c>
    </row>
    <row r="7951">
      <c r="A7951" s="2" t="str">
        <f>IFERROR(__xludf.DUMMYFUNCTION("""COMPUTED_VALUE"""),"이겨도 돼지?")</f>
        <v>이겨도 돼지?</v>
      </c>
      <c r="B7951" s="2" t="str">
        <f>IFERROR(__xludf.DUMMYFUNCTION("""COMPUTED_VALUE"""),"깻잎")</f>
        <v>깻잎</v>
      </c>
    </row>
    <row r="7952">
      <c r="A7952" s="2" t="str">
        <f>IFERROR(__xludf.DUMMYFUNCTION("""COMPUTED_VALUE"""),"이겨도 돼지?")</f>
        <v>이겨도 돼지?</v>
      </c>
      <c r="B7952" s="2" t="str">
        <f>IFERROR(__xludf.DUMMYFUNCTION("""COMPUTED_VALUE"""),"파프리카")</f>
        <v>파프리카</v>
      </c>
    </row>
    <row r="7953">
      <c r="A7953" s="2" t="str">
        <f>IFERROR(__xludf.DUMMYFUNCTION("""COMPUTED_VALUE"""),"이겨도 돼지?")</f>
        <v>이겨도 돼지?</v>
      </c>
      <c r="B7953" s="2" t="str">
        <f>IFERROR(__xludf.DUMMYFUNCTION("""COMPUTED_VALUE"""),"굴소스")</f>
        <v>굴소스</v>
      </c>
    </row>
    <row r="7954">
      <c r="A7954" s="2" t="str">
        <f>IFERROR(__xludf.DUMMYFUNCTION("""COMPUTED_VALUE"""),"이겨도 돼지?")</f>
        <v>이겨도 돼지?</v>
      </c>
      <c r="B7954" s="2" t="str">
        <f>IFERROR(__xludf.DUMMYFUNCTION("""COMPUTED_VALUE"""),"브로콜리")</f>
        <v>브로콜리</v>
      </c>
    </row>
    <row r="7955">
      <c r="A7955" s="2" t="str">
        <f>IFERROR(__xludf.DUMMYFUNCTION("""COMPUTED_VALUE"""),"이겨도 돼지?")</f>
        <v>이겨도 돼지?</v>
      </c>
      <c r="B7955" s="2" t="str">
        <f>IFERROR(__xludf.DUMMYFUNCTION("""COMPUTED_VALUE"""),"설탕")</f>
        <v>설탕</v>
      </c>
    </row>
    <row r="7956">
      <c r="A7956" s="2" t="str">
        <f>IFERROR(__xludf.DUMMYFUNCTION("""COMPUTED_VALUE"""),"이겨도 돼지?")</f>
        <v>이겨도 돼지?</v>
      </c>
      <c r="B7956" s="2" t="str">
        <f>IFERROR(__xludf.DUMMYFUNCTION("""COMPUTED_VALUE"""),"마늘")</f>
        <v>마늘</v>
      </c>
    </row>
    <row r="7957">
      <c r="A7957" s="2" t="str">
        <f>IFERROR(__xludf.DUMMYFUNCTION("""COMPUTED_VALUE"""),"이겨도 돼지?")</f>
        <v>이겨도 돼지?</v>
      </c>
      <c r="B7957" s="2" t="str">
        <f>IFERROR(__xludf.DUMMYFUNCTION("""COMPUTED_VALUE"""),"소금")</f>
        <v>소금</v>
      </c>
    </row>
    <row r="7958">
      <c r="A7958" s="2" t="str">
        <f>IFERROR(__xludf.DUMMYFUNCTION("""COMPUTED_VALUE"""),"이겨도 돼지?")</f>
        <v>이겨도 돼지?</v>
      </c>
      <c r="B7958" s="2" t="str">
        <f>IFERROR(__xludf.DUMMYFUNCTION("""COMPUTED_VALUE"""),"후추")</f>
        <v>후추</v>
      </c>
    </row>
    <row r="7959">
      <c r="A7959" s="2" t="str">
        <f>IFERROR(__xludf.DUMMYFUNCTION("""COMPUTED_VALUE"""),"이겨도 돼지?")</f>
        <v>이겨도 돼지?</v>
      </c>
      <c r="B7959" s="2" t="str">
        <f>IFERROR(__xludf.DUMMYFUNCTION("""COMPUTED_VALUE"""),"버터")</f>
        <v>버터</v>
      </c>
    </row>
    <row r="7960">
      <c r="A7960" s="2" t="str">
        <f>IFERROR(__xludf.DUMMYFUNCTION("""COMPUTED_VALUE"""),"이겨도 돼지?")</f>
        <v>이겨도 돼지?</v>
      </c>
      <c r="B7960" s="2" t="str">
        <f>IFERROR(__xludf.DUMMYFUNCTION("""COMPUTED_VALUE"""),"올리브오일")</f>
        <v>올리브오일</v>
      </c>
    </row>
    <row r="7961">
      <c r="A7961" s="2" t="str">
        <f>IFERROR(__xludf.DUMMYFUNCTION("""COMPUTED_VALUE"""),"이겨도 돼지?")</f>
        <v>이겨도 돼지?</v>
      </c>
      <c r="B7961" s="2" t="str">
        <f>IFERROR(__xludf.DUMMYFUNCTION("""COMPUTED_VALUE"""),"레몬")</f>
        <v>레몬</v>
      </c>
    </row>
    <row r="7962">
      <c r="A7962" s="2" t="str">
        <f>IFERROR(__xludf.DUMMYFUNCTION("""COMPUTED_VALUE"""),"이겨도 돼지?")</f>
        <v>이겨도 돼지?</v>
      </c>
      <c r="B7962" s="2" t="str">
        <f>IFERROR(__xludf.DUMMYFUNCTION("""COMPUTED_VALUE"""),"다진 마늘")</f>
        <v>다진 마늘</v>
      </c>
    </row>
    <row r="7963">
      <c r="A7963" s="2" t="str">
        <f>IFERROR(__xludf.DUMMYFUNCTION("""COMPUTED_VALUE"""),"이겨도 돼지?")</f>
        <v>이겨도 돼지?</v>
      </c>
      <c r="B7963" s="2" t="str">
        <f>IFERROR(__xludf.DUMMYFUNCTION("""COMPUTED_VALUE"""),"식초")</f>
        <v>식초</v>
      </c>
    </row>
    <row r="7964">
      <c r="A7964" s="2" t="str">
        <f>IFERROR(__xludf.DUMMYFUNCTION("""COMPUTED_VALUE"""),"오~ 쌈젤리제♬")</f>
        <v>오~ 쌈젤리제♬</v>
      </c>
      <c r="B7964" s="2" t="str">
        <f>IFERROR(__xludf.DUMMYFUNCTION("""COMPUTED_VALUE"""),"돼지목살")</f>
        <v>돼지목살</v>
      </c>
    </row>
    <row r="7965">
      <c r="A7965" s="2" t="str">
        <f>IFERROR(__xludf.DUMMYFUNCTION("""COMPUTED_VALUE"""),"오~ 쌈젤리제♬")</f>
        <v>오~ 쌈젤리제♬</v>
      </c>
      <c r="B7965" s="2" t="str">
        <f>IFERROR(__xludf.DUMMYFUNCTION("""COMPUTED_VALUE"""),"표고버섯대")</f>
        <v>표고버섯대</v>
      </c>
    </row>
    <row r="7966">
      <c r="A7966" s="2" t="str">
        <f>IFERROR(__xludf.DUMMYFUNCTION("""COMPUTED_VALUE"""),"오~ 쌈젤리제♬")</f>
        <v>오~ 쌈젤리제♬</v>
      </c>
      <c r="B7966" s="2" t="str">
        <f>IFERROR(__xludf.DUMMYFUNCTION("""COMPUTED_VALUE"""),"양배추")</f>
        <v>양배추</v>
      </c>
    </row>
    <row r="7967">
      <c r="A7967" s="2" t="str">
        <f>IFERROR(__xludf.DUMMYFUNCTION("""COMPUTED_VALUE"""),"오~ 쌈젤리제♬")</f>
        <v>오~ 쌈젤리제♬</v>
      </c>
      <c r="B7967" s="2" t="str">
        <f>IFERROR(__xludf.DUMMYFUNCTION("""COMPUTED_VALUE"""),"브로콜리")</f>
        <v>브로콜리</v>
      </c>
    </row>
    <row r="7968">
      <c r="A7968" s="2" t="str">
        <f>IFERROR(__xludf.DUMMYFUNCTION("""COMPUTED_VALUE"""),"오~ 쌈젤리제♬")</f>
        <v>오~ 쌈젤리제♬</v>
      </c>
      <c r="B7968" s="2" t="str">
        <f>IFERROR(__xludf.DUMMYFUNCTION("""COMPUTED_VALUE"""),"펜네면")</f>
        <v>펜네면</v>
      </c>
    </row>
    <row r="7969">
      <c r="A7969" s="2" t="str">
        <f>IFERROR(__xludf.DUMMYFUNCTION("""COMPUTED_VALUE"""),"오~ 쌈젤리제♬")</f>
        <v>오~ 쌈젤리제♬</v>
      </c>
      <c r="B7969" s="2" t="str">
        <f>IFERROR(__xludf.DUMMYFUNCTION("""COMPUTED_VALUE"""),"표고버섯볶음")</f>
        <v>표고버섯볶음</v>
      </c>
    </row>
    <row r="7970">
      <c r="A7970" s="2" t="str">
        <f>IFERROR(__xludf.DUMMYFUNCTION("""COMPUTED_VALUE"""),"오~ 쌈젤리제♬")</f>
        <v>오~ 쌈젤리제♬</v>
      </c>
      <c r="B7970" s="2" t="str">
        <f>IFERROR(__xludf.DUMMYFUNCTION("""COMPUTED_VALUE"""),"깻잎")</f>
        <v>깻잎</v>
      </c>
    </row>
    <row r="7971">
      <c r="A7971" s="2" t="str">
        <f>IFERROR(__xludf.DUMMYFUNCTION("""COMPUTED_VALUE"""),"오~ 쌈젤리제♬")</f>
        <v>오~ 쌈젤리제♬</v>
      </c>
      <c r="B7971" s="2" t="str">
        <f>IFERROR(__xludf.DUMMYFUNCTION("""COMPUTED_VALUE"""),"슬라이스치즈")</f>
        <v>슬라이스치즈</v>
      </c>
    </row>
    <row r="7972">
      <c r="A7972" s="2" t="str">
        <f>IFERROR(__xludf.DUMMYFUNCTION("""COMPUTED_VALUE"""),"오~ 쌈젤리제♬")</f>
        <v>오~ 쌈젤리제♬</v>
      </c>
      <c r="B7972" s="2" t="str">
        <f>IFERROR(__xludf.DUMMYFUNCTION("""COMPUTED_VALUE"""),"새우")</f>
        <v>새우</v>
      </c>
    </row>
    <row r="7973">
      <c r="A7973" s="2" t="str">
        <f>IFERROR(__xludf.DUMMYFUNCTION("""COMPUTED_VALUE"""),"오~ 쌈젤리제♬")</f>
        <v>오~ 쌈젤리제♬</v>
      </c>
      <c r="B7973" s="2" t="str">
        <f>IFERROR(__xludf.DUMMYFUNCTION("""COMPUTED_VALUE"""),"바지락살")</f>
        <v>바지락살</v>
      </c>
    </row>
    <row r="7974">
      <c r="A7974" s="2" t="str">
        <f>IFERROR(__xludf.DUMMYFUNCTION("""COMPUTED_VALUE"""),"오~ 쌈젤리제♬")</f>
        <v>오~ 쌈젤리제♬</v>
      </c>
      <c r="B7974" s="2" t="str">
        <f>IFERROR(__xludf.DUMMYFUNCTION("""COMPUTED_VALUE"""),"굴소스")</f>
        <v>굴소스</v>
      </c>
    </row>
    <row r="7975">
      <c r="A7975" s="2" t="str">
        <f>IFERROR(__xludf.DUMMYFUNCTION("""COMPUTED_VALUE"""),"오~ 쌈젤리제♬")</f>
        <v>오~ 쌈젤리제♬</v>
      </c>
      <c r="B7975" s="2" t="str">
        <f>IFERROR(__xludf.DUMMYFUNCTION("""COMPUTED_VALUE"""),"새우가루")</f>
        <v>새우가루</v>
      </c>
    </row>
    <row r="7976">
      <c r="A7976" s="2" t="str">
        <f>IFERROR(__xludf.DUMMYFUNCTION("""COMPUTED_VALUE"""),"오~ 쌈젤리제♬")</f>
        <v>오~ 쌈젤리제♬</v>
      </c>
      <c r="B7976" s="2" t="str">
        <f>IFERROR(__xludf.DUMMYFUNCTION("""COMPUTED_VALUE"""),"양파")</f>
        <v>양파</v>
      </c>
    </row>
    <row r="7977">
      <c r="A7977" s="2" t="str">
        <f>IFERROR(__xludf.DUMMYFUNCTION("""COMPUTED_VALUE"""),"오~ 쌈젤리제♬")</f>
        <v>오~ 쌈젤리제♬</v>
      </c>
      <c r="B7977" s="2" t="str">
        <f>IFERROR(__xludf.DUMMYFUNCTION("""COMPUTED_VALUE"""),"소금")</f>
        <v>소금</v>
      </c>
    </row>
    <row r="7978">
      <c r="A7978" s="2" t="str">
        <f>IFERROR(__xludf.DUMMYFUNCTION("""COMPUTED_VALUE"""),"오~ 쌈젤리제♬")</f>
        <v>오~ 쌈젤리제♬</v>
      </c>
      <c r="B7978" s="2" t="str">
        <f>IFERROR(__xludf.DUMMYFUNCTION("""COMPUTED_VALUE"""),"연겨자")</f>
        <v>연겨자</v>
      </c>
    </row>
    <row r="7979">
      <c r="A7979" s="2" t="str">
        <f>IFERROR(__xludf.DUMMYFUNCTION("""COMPUTED_VALUE"""),"오~ 쌈젤리제♬")</f>
        <v>오~ 쌈젤리제♬</v>
      </c>
      <c r="B7979" s="2" t="str">
        <f>IFERROR(__xludf.DUMMYFUNCTION("""COMPUTED_VALUE"""),"마늘")</f>
        <v>마늘</v>
      </c>
    </row>
    <row r="7980">
      <c r="A7980" s="2" t="str">
        <f>IFERROR(__xludf.DUMMYFUNCTION("""COMPUTED_VALUE"""),"오~ 쌈젤리제♬")</f>
        <v>오~ 쌈젤리제♬</v>
      </c>
      <c r="B7980" s="2" t="str">
        <f>IFERROR(__xludf.DUMMYFUNCTION("""COMPUTED_VALUE"""),"고추장")</f>
        <v>고추장</v>
      </c>
    </row>
    <row r="7981">
      <c r="A7981" s="2" t="str">
        <f>IFERROR(__xludf.DUMMYFUNCTION("""COMPUTED_VALUE"""),"오~ 쌈젤리제♬")</f>
        <v>오~ 쌈젤리제♬</v>
      </c>
      <c r="B7981" s="2" t="str">
        <f>IFERROR(__xludf.DUMMYFUNCTION("""COMPUTED_VALUE"""),"청양고추")</f>
        <v>청양고추</v>
      </c>
    </row>
    <row r="7982">
      <c r="A7982" s="2" t="str">
        <f>IFERROR(__xludf.DUMMYFUNCTION("""COMPUTED_VALUE"""),"명백한 짬뽕")</f>
        <v>명백한 짬뽕</v>
      </c>
      <c r="B7982" s="2" t="str">
        <f>IFERROR(__xludf.DUMMYFUNCTION("""COMPUTED_VALUE"""),"명란젓")</f>
        <v>명란젓</v>
      </c>
    </row>
    <row r="7983">
      <c r="A7983" s="2" t="str">
        <f>IFERROR(__xludf.DUMMYFUNCTION("""COMPUTED_VALUE"""),"명백한 짬뽕")</f>
        <v>명백한 짬뽕</v>
      </c>
      <c r="B7983" s="2" t="str">
        <f>IFERROR(__xludf.DUMMYFUNCTION("""COMPUTED_VALUE"""),"새우가루")</f>
        <v>새우가루</v>
      </c>
    </row>
    <row r="7984">
      <c r="A7984" s="2" t="str">
        <f>IFERROR(__xludf.DUMMYFUNCTION("""COMPUTED_VALUE"""),"명백한 짬뽕")</f>
        <v>명백한 짬뽕</v>
      </c>
      <c r="B7984" s="2" t="str">
        <f>IFERROR(__xludf.DUMMYFUNCTION("""COMPUTED_VALUE"""),"알배추")</f>
        <v>알배추</v>
      </c>
    </row>
    <row r="7985">
      <c r="A7985" s="2" t="str">
        <f>IFERROR(__xludf.DUMMYFUNCTION("""COMPUTED_VALUE"""),"명백한 짬뽕")</f>
        <v>명백한 짬뽕</v>
      </c>
      <c r="B7985" s="2" t="str">
        <f>IFERROR(__xludf.DUMMYFUNCTION("""COMPUTED_VALUE"""),"애호박")</f>
        <v>애호박</v>
      </c>
    </row>
    <row r="7986">
      <c r="A7986" s="2" t="str">
        <f>IFERROR(__xludf.DUMMYFUNCTION("""COMPUTED_VALUE"""),"명백한 짬뽕")</f>
        <v>명백한 짬뽕</v>
      </c>
      <c r="B7986" s="2" t="str">
        <f>IFERROR(__xludf.DUMMYFUNCTION("""COMPUTED_VALUE"""),"브로콜리")</f>
        <v>브로콜리</v>
      </c>
    </row>
    <row r="7987">
      <c r="A7987" s="2" t="str">
        <f>IFERROR(__xludf.DUMMYFUNCTION("""COMPUTED_VALUE"""),"명백한 짬뽕")</f>
        <v>명백한 짬뽕</v>
      </c>
      <c r="B7987" s="2" t="str">
        <f>IFERROR(__xludf.DUMMYFUNCTION("""COMPUTED_VALUE"""),"새우")</f>
        <v>새우</v>
      </c>
    </row>
    <row r="7988">
      <c r="A7988" s="2" t="str">
        <f>IFERROR(__xludf.DUMMYFUNCTION("""COMPUTED_VALUE"""),"명백한 짬뽕")</f>
        <v>명백한 짬뽕</v>
      </c>
      <c r="B7988" s="2" t="str">
        <f>IFERROR(__xludf.DUMMYFUNCTION("""COMPUTED_VALUE"""),"오징어")</f>
        <v>오징어</v>
      </c>
    </row>
    <row r="7989">
      <c r="A7989" s="2" t="str">
        <f>IFERROR(__xludf.DUMMYFUNCTION("""COMPUTED_VALUE"""),"명백한 짬뽕")</f>
        <v>명백한 짬뽕</v>
      </c>
      <c r="B7989" s="2" t="str">
        <f>IFERROR(__xludf.DUMMYFUNCTION("""COMPUTED_VALUE"""),"바지락살")</f>
        <v>바지락살</v>
      </c>
    </row>
    <row r="7990">
      <c r="A7990" s="2" t="str">
        <f>IFERROR(__xludf.DUMMYFUNCTION("""COMPUTED_VALUE"""),"명백한 짬뽕")</f>
        <v>명백한 짬뽕</v>
      </c>
      <c r="B7990" s="2" t="str">
        <f>IFERROR(__xludf.DUMMYFUNCTION("""COMPUTED_VALUE"""),"굴소스")</f>
        <v>굴소스</v>
      </c>
    </row>
    <row r="7991">
      <c r="A7991" s="2" t="str">
        <f>IFERROR(__xludf.DUMMYFUNCTION("""COMPUTED_VALUE"""),"명백한 짬뽕")</f>
        <v>명백한 짬뽕</v>
      </c>
      <c r="B7991" s="2" t="str">
        <f>IFERROR(__xludf.DUMMYFUNCTION("""COMPUTED_VALUE"""),"콩나물")</f>
        <v>콩나물</v>
      </c>
    </row>
    <row r="7992">
      <c r="A7992" s="2" t="str">
        <f>IFERROR(__xludf.DUMMYFUNCTION("""COMPUTED_VALUE"""),"명백한 짬뽕")</f>
        <v>명백한 짬뽕</v>
      </c>
      <c r="B7992" s="2" t="str">
        <f>IFERROR(__xludf.DUMMYFUNCTION("""COMPUTED_VALUE"""),"밀가루")</f>
        <v>밀가루</v>
      </c>
    </row>
    <row r="7993">
      <c r="A7993" s="2" t="str">
        <f>IFERROR(__xludf.DUMMYFUNCTION("""COMPUTED_VALUE"""),"명백한 짬뽕")</f>
        <v>명백한 짬뽕</v>
      </c>
      <c r="B7993" s="2" t="str">
        <f>IFERROR(__xludf.DUMMYFUNCTION("""COMPUTED_VALUE"""),"청양고추")</f>
        <v>청양고추</v>
      </c>
    </row>
    <row r="7994">
      <c r="A7994" s="2" t="str">
        <f>IFERROR(__xludf.DUMMYFUNCTION("""COMPUTED_VALUE"""),"명백한 짬뽕")</f>
        <v>명백한 짬뽕</v>
      </c>
      <c r="B7994" s="2" t="str">
        <f>IFERROR(__xludf.DUMMYFUNCTION("""COMPUTED_VALUE"""),"양파")</f>
        <v>양파</v>
      </c>
    </row>
    <row r="7995">
      <c r="A7995" s="2" t="str">
        <f>IFERROR(__xludf.DUMMYFUNCTION("""COMPUTED_VALUE"""),"명백한 짬뽕")</f>
        <v>명백한 짬뽕</v>
      </c>
      <c r="B7995" s="2" t="str">
        <f>IFERROR(__xludf.DUMMYFUNCTION("""COMPUTED_VALUE"""),"마늘")</f>
        <v>마늘</v>
      </c>
    </row>
    <row r="7996">
      <c r="A7996" s="2" t="str">
        <f>IFERROR(__xludf.DUMMYFUNCTION("""COMPUTED_VALUE"""),"명백한 짬뽕")</f>
        <v>명백한 짬뽕</v>
      </c>
      <c r="B7996" s="2" t="str">
        <f>IFERROR(__xludf.DUMMYFUNCTION("""COMPUTED_VALUE"""),"대파")</f>
        <v>대파</v>
      </c>
    </row>
    <row r="7997">
      <c r="A7997" s="2" t="str">
        <f>IFERROR(__xludf.DUMMYFUNCTION("""COMPUTED_VALUE"""),"명백한 짬뽕")</f>
        <v>명백한 짬뽕</v>
      </c>
      <c r="B7997" s="2" t="str">
        <f>IFERROR(__xludf.DUMMYFUNCTION("""COMPUTED_VALUE"""),"전분")</f>
        <v>전분</v>
      </c>
    </row>
    <row r="7998">
      <c r="A7998" s="2" t="str">
        <f>IFERROR(__xludf.DUMMYFUNCTION("""COMPUTED_VALUE"""),"명백한 짬뽕")</f>
        <v>명백한 짬뽕</v>
      </c>
      <c r="B7998" s="2" t="str">
        <f>IFERROR(__xludf.DUMMYFUNCTION("""COMPUTED_VALUE"""),"달걀")</f>
        <v>달걀</v>
      </c>
    </row>
    <row r="7999">
      <c r="A7999" s="2" t="str">
        <f>IFERROR(__xludf.DUMMYFUNCTION("""COMPUTED_VALUE"""),"명카엘")</f>
        <v>명카엘</v>
      </c>
      <c r="B7999" s="2" t="str">
        <f>IFERROR(__xludf.DUMMYFUNCTION("""COMPUTED_VALUE"""),"명란젓")</f>
        <v>명란젓</v>
      </c>
    </row>
    <row r="8000">
      <c r="A8000" s="2" t="str">
        <f>IFERROR(__xludf.DUMMYFUNCTION("""COMPUTED_VALUE"""),"명카엘")</f>
        <v>명카엘</v>
      </c>
      <c r="B8000" s="2" t="str">
        <f>IFERROR(__xludf.DUMMYFUNCTION("""COMPUTED_VALUE"""),"콩나물")</f>
        <v>콩나물</v>
      </c>
    </row>
    <row r="8001">
      <c r="A8001" s="2" t="str">
        <f>IFERROR(__xludf.DUMMYFUNCTION("""COMPUTED_VALUE"""),"명카엘")</f>
        <v>명카엘</v>
      </c>
      <c r="B8001" s="2" t="str">
        <f>IFERROR(__xludf.DUMMYFUNCTION("""COMPUTED_VALUE"""),"오징어")</f>
        <v>오징어</v>
      </c>
    </row>
    <row r="8002">
      <c r="A8002" s="2" t="str">
        <f>IFERROR(__xludf.DUMMYFUNCTION("""COMPUTED_VALUE"""),"명카엘")</f>
        <v>명카엘</v>
      </c>
      <c r="B8002" s="2" t="str">
        <f>IFERROR(__xludf.DUMMYFUNCTION("""COMPUTED_VALUE"""),"아보카도")</f>
        <v>아보카도</v>
      </c>
    </row>
    <row r="8003">
      <c r="A8003" s="2" t="str">
        <f>IFERROR(__xludf.DUMMYFUNCTION("""COMPUTED_VALUE"""),"명카엘")</f>
        <v>명카엘</v>
      </c>
      <c r="B8003" s="2" t="str">
        <f>IFERROR(__xludf.DUMMYFUNCTION("""COMPUTED_VALUE"""),"파프리카")</f>
        <v>파프리카</v>
      </c>
    </row>
    <row r="8004">
      <c r="A8004" s="2" t="str">
        <f>IFERROR(__xludf.DUMMYFUNCTION("""COMPUTED_VALUE"""),"명카엘")</f>
        <v>명카엘</v>
      </c>
      <c r="B8004" s="2" t="str">
        <f>IFERROR(__xludf.DUMMYFUNCTION("""COMPUTED_VALUE"""),"모차렐라치즈")</f>
        <v>모차렐라치즈</v>
      </c>
    </row>
    <row r="8005">
      <c r="A8005" s="2" t="str">
        <f>IFERROR(__xludf.DUMMYFUNCTION("""COMPUTED_VALUE"""),"명카엘")</f>
        <v>명카엘</v>
      </c>
      <c r="B8005" s="2" t="str">
        <f>IFERROR(__xludf.DUMMYFUNCTION("""COMPUTED_VALUE"""),"스트링치즈")</f>
        <v>스트링치즈</v>
      </c>
    </row>
    <row r="8006">
      <c r="A8006" s="2" t="str">
        <f>IFERROR(__xludf.DUMMYFUNCTION("""COMPUTED_VALUE"""),"명카엘")</f>
        <v>명카엘</v>
      </c>
      <c r="B8006" s="2" t="str">
        <f>IFERROR(__xludf.DUMMYFUNCTION("""COMPUTED_VALUE"""),"깻잎")</f>
        <v>깻잎</v>
      </c>
    </row>
    <row r="8007">
      <c r="A8007" s="2" t="str">
        <f>IFERROR(__xludf.DUMMYFUNCTION("""COMPUTED_VALUE"""),"명카엘")</f>
        <v>명카엘</v>
      </c>
      <c r="B8007" s="2" t="str">
        <f>IFERROR(__xludf.DUMMYFUNCTION("""COMPUTED_VALUE"""),"파르메산치즈")</f>
        <v>파르메산치즈</v>
      </c>
    </row>
    <row r="8008">
      <c r="A8008" s="2" t="str">
        <f>IFERROR(__xludf.DUMMYFUNCTION("""COMPUTED_VALUE"""),"명카엘")</f>
        <v>명카엘</v>
      </c>
      <c r="B8008" s="2" t="str">
        <f>IFERROR(__xludf.DUMMYFUNCTION("""COMPUTED_VALUE"""),"마늘")</f>
        <v>마늘</v>
      </c>
    </row>
    <row r="8009">
      <c r="A8009" s="2" t="str">
        <f>IFERROR(__xludf.DUMMYFUNCTION("""COMPUTED_VALUE"""),"명카엘")</f>
        <v>명카엘</v>
      </c>
      <c r="B8009" s="2" t="str">
        <f>IFERROR(__xludf.DUMMYFUNCTION("""COMPUTED_VALUE"""),"후추")</f>
        <v>후추</v>
      </c>
    </row>
    <row r="8010">
      <c r="A8010" s="2" t="str">
        <f>IFERROR(__xludf.DUMMYFUNCTION("""COMPUTED_VALUE"""),"명카엘")</f>
        <v>명카엘</v>
      </c>
      <c r="B8010" s="2" t="str">
        <f>IFERROR(__xludf.DUMMYFUNCTION("""COMPUTED_VALUE"""),"고춧가루")</f>
        <v>고춧가루</v>
      </c>
    </row>
    <row r="8011">
      <c r="A8011" s="2" t="str">
        <f>IFERROR(__xludf.DUMMYFUNCTION("""COMPUTED_VALUE"""),"명카엘")</f>
        <v>명카엘</v>
      </c>
      <c r="B8011" s="2" t="str">
        <f>IFERROR(__xludf.DUMMYFUNCTION("""COMPUTED_VALUE"""),"올리브오일")</f>
        <v>올리브오일</v>
      </c>
    </row>
    <row r="8012">
      <c r="A8012" s="2" t="str">
        <f>IFERROR(__xludf.DUMMYFUNCTION("""COMPUTED_VALUE"""),"명카엘")</f>
        <v>명카엘</v>
      </c>
      <c r="B8012" s="2" t="str">
        <f>IFERROR(__xludf.DUMMYFUNCTION("""COMPUTED_VALUE"""),"식초")</f>
        <v>식초</v>
      </c>
    </row>
    <row r="8013">
      <c r="A8013" s="2" t="str">
        <f>IFERROR(__xludf.DUMMYFUNCTION("""COMPUTED_VALUE"""),"명카엘")</f>
        <v>명카엘</v>
      </c>
      <c r="B8013" s="2" t="str">
        <f>IFERROR(__xludf.DUMMYFUNCTION("""COMPUTED_VALUE"""),"당근")</f>
        <v>당근</v>
      </c>
    </row>
    <row r="8014">
      <c r="A8014" s="2" t="str">
        <f>IFERROR(__xludf.DUMMYFUNCTION("""COMPUTED_VALUE"""),"명카엘")</f>
        <v>명카엘</v>
      </c>
      <c r="B8014" s="2" t="str">
        <f>IFERROR(__xludf.DUMMYFUNCTION("""COMPUTED_VALUE"""),"소금")</f>
        <v>소금</v>
      </c>
    </row>
    <row r="8015">
      <c r="A8015" s="2" t="str">
        <f>IFERROR(__xludf.DUMMYFUNCTION("""COMPUTED_VALUE"""),"명카엘")</f>
        <v>명카엘</v>
      </c>
      <c r="B8015" s="2" t="str">
        <f>IFERROR(__xludf.DUMMYFUNCTION("""COMPUTED_VALUE"""),"레몬")</f>
        <v>레몬</v>
      </c>
    </row>
    <row r="8016">
      <c r="A8016" s="2" t="str">
        <f>IFERROR(__xludf.DUMMYFUNCTION("""COMPUTED_VALUE"""),"명카엘")</f>
        <v>명카엘</v>
      </c>
      <c r="B8016" s="2" t="str">
        <f>IFERROR(__xludf.DUMMYFUNCTION("""COMPUTED_VALUE"""),"양파")</f>
        <v>양파</v>
      </c>
    </row>
    <row r="8017">
      <c r="A8017" s="2" t="str">
        <f>IFERROR(__xludf.DUMMYFUNCTION("""COMPUTED_VALUE"""),"명카엘")</f>
        <v>명카엘</v>
      </c>
      <c r="B8017" s="2" t="str">
        <f>IFERROR(__xludf.DUMMYFUNCTION("""COMPUTED_VALUE"""),"청양고추")</f>
        <v>청양고추</v>
      </c>
    </row>
    <row r="8018">
      <c r="A8018" s="2" t="str">
        <f>IFERROR(__xludf.DUMMYFUNCTION("""COMPUTED_VALUE"""),"복정식")</f>
        <v>복정식</v>
      </c>
      <c r="B8018" s="2" t="str">
        <f>IFERROR(__xludf.DUMMYFUNCTION("""COMPUTED_VALUE"""),"통조림 햄")</f>
        <v>통조림 햄</v>
      </c>
    </row>
    <row r="8019">
      <c r="A8019" s="2" t="str">
        <f>IFERROR(__xludf.DUMMYFUNCTION("""COMPUTED_VALUE"""),"복정식")</f>
        <v>복정식</v>
      </c>
      <c r="B8019" s="2" t="str">
        <f>IFERROR(__xludf.DUMMYFUNCTION("""COMPUTED_VALUE"""),"자반고등어")</f>
        <v>자반고등어</v>
      </c>
    </row>
    <row r="8020">
      <c r="A8020" s="2" t="str">
        <f>IFERROR(__xludf.DUMMYFUNCTION("""COMPUTED_VALUE"""),"복정식")</f>
        <v>복정식</v>
      </c>
      <c r="B8020" s="2" t="str">
        <f>IFERROR(__xludf.DUMMYFUNCTION("""COMPUTED_VALUE"""),"훈제 닭가슴살")</f>
        <v>훈제 닭가슴살</v>
      </c>
    </row>
    <row r="8021">
      <c r="A8021" s="2" t="str">
        <f>IFERROR(__xludf.DUMMYFUNCTION("""COMPUTED_VALUE"""),"복정식")</f>
        <v>복정식</v>
      </c>
      <c r="B8021" s="2" t="str">
        <f>IFERROR(__xludf.DUMMYFUNCTION("""COMPUTED_VALUE"""),"라면")</f>
        <v>라면</v>
      </c>
    </row>
    <row r="8022">
      <c r="A8022" s="2" t="str">
        <f>IFERROR(__xludf.DUMMYFUNCTION("""COMPUTED_VALUE"""),"복정식")</f>
        <v>복정식</v>
      </c>
      <c r="B8022" s="2" t="str">
        <f>IFERROR(__xludf.DUMMYFUNCTION("""COMPUTED_VALUE"""),"다이어트도시락(믹스채소)")</f>
        <v>다이어트도시락(믹스채소)</v>
      </c>
    </row>
    <row r="8023">
      <c r="A8023" s="2" t="str">
        <f>IFERROR(__xludf.DUMMYFUNCTION("""COMPUTED_VALUE"""),"복정식")</f>
        <v>복정식</v>
      </c>
      <c r="B8023" s="2" t="str">
        <f>IFERROR(__xludf.DUMMYFUNCTION("""COMPUTED_VALUE"""),"찐고구마")</f>
        <v>찐고구마</v>
      </c>
    </row>
    <row r="8024">
      <c r="A8024" s="2" t="str">
        <f>IFERROR(__xludf.DUMMYFUNCTION("""COMPUTED_VALUE"""),"복정식")</f>
        <v>복정식</v>
      </c>
      <c r="B8024" s="2" t="str">
        <f>IFERROR(__xludf.DUMMYFUNCTION("""COMPUTED_VALUE"""),"쌀")</f>
        <v>쌀</v>
      </c>
    </row>
    <row r="8025">
      <c r="A8025" s="2" t="str">
        <f>IFERROR(__xludf.DUMMYFUNCTION("""COMPUTED_VALUE"""),"복정식")</f>
        <v>복정식</v>
      </c>
      <c r="B8025" s="2" t="str">
        <f>IFERROR(__xludf.DUMMYFUNCTION("""COMPUTED_VALUE"""),"달걀")</f>
        <v>달걀</v>
      </c>
    </row>
    <row r="8026">
      <c r="A8026" s="2" t="str">
        <f>IFERROR(__xludf.DUMMYFUNCTION("""COMPUTED_VALUE"""),"복정식")</f>
        <v>복정식</v>
      </c>
      <c r="B8026" s="2" t="str">
        <f>IFERROR(__xludf.DUMMYFUNCTION("""COMPUTED_VALUE"""),"대파")</f>
        <v>대파</v>
      </c>
    </row>
    <row r="8027">
      <c r="A8027" s="2" t="str">
        <f>IFERROR(__xludf.DUMMYFUNCTION("""COMPUTED_VALUE"""),"복정식")</f>
        <v>복정식</v>
      </c>
      <c r="B8027" s="2" t="str">
        <f>IFERROR(__xludf.DUMMYFUNCTION("""COMPUTED_VALUE"""),"후추")</f>
        <v>후추</v>
      </c>
    </row>
    <row r="8028">
      <c r="A8028" s="2" t="str">
        <f>IFERROR(__xludf.DUMMYFUNCTION("""COMPUTED_VALUE"""),"복정식")</f>
        <v>복정식</v>
      </c>
      <c r="B8028" s="2" t="str">
        <f>IFERROR(__xludf.DUMMYFUNCTION("""COMPUTED_VALUE"""),"밀가루")</f>
        <v>밀가루</v>
      </c>
    </row>
    <row r="8029">
      <c r="A8029" s="2" t="str">
        <f>IFERROR(__xludf.DUMMYFUNCTION("""COMPUTED_VALUE"""),"복정식")</f>
        <v>복정식</v>
      </c>
      <c r="B8029" s="2" t="str">
        <f>IFERROR(__xludf.DUMMYFUNCTION("""COMPUTED_VALUE"""),"양파")</f>
        <v>양파</v>
      </c>
    </row>
    <row r="8030">
      <c r="A8030" s="2" t="str">
        <f>IFERROR(__xludf.DUMMYFUNCTION("""COMPUTED_VALUE"""),"복정식")</f>
        <v>복정식</v>
      </c>
      <c r="B8030" s="2" t="str">
        <f>IFERROR(__xludf.DUMMYFUNCTION("""COMPUTED_VALUE"""),"당근")</f>
        <v>당근</v>
      </c>
    </row>
    <row r="8031">
      <c r="A8031" s="2" t="str">
        <f>IFERROR(__xludf.DUMMYFUNCTION("""COMPUTED_VALUE"""),"복정식")</f>
        <v>복정식</v>
      </c>
      <c r="B8031" s="2" t="str">
        <f>IFERROR(__xludf.DUMMYFUNCTION("""COMPUTED_VALUE"""),"마늘")</f>
        <v>마늘</v>
      </c>
    </row>
    <row r="8032">
      <c r="A8032" s="2" t="str">
        <f>IFERROR(__xludf.DUMMYFUNCTION("""COMPUTED_VALUE"""),"복정식")</f>
        <v>복정식</v>
      </c>
      <c r="B8032" s="2" t="str">
        <f>IFERROR(__xludf.DUMMYFUNCTION("""COMPUTED_VALUE"""),"청양고추")</f>
        <v>청양고추</v>
      </c>
    </row>
    <row r="8033">
      <c r="A8033" s="2" t="str">
        <f>IFERROR(__xludf.DUMMYFUNCTION("""COMPUTED_VALUE"""),"복정식")</f>
        <v>복정식</v>
      </c>
      <c r="B8033" s="2" t="str">
        <f>IFERROR(__xludf.DUMMYFUNCTION("""COMPUTED_VALUE"""),"고춧가루")</f>
        <v>고춧가루</v>
      </c>
    </row>
    <row r="8034">
      <c r="A8034" s="2" t="str">
        <f>IFERROR(__xludf.DUMMYFUNCTION("""COMPUTED_VALUE"""),"복정식")</f>
        <v>복정식</v>
      </c>
      <c r="B8034" s="2" t="str">
        <f>IFERROR(__xludf.DUMMYFUNCTION("""COMPUTED_VALUE"""),"고추장")</f>
        <v>고추장</v>
      </c>
    </row>
    <row r="8035">
      <c r="A8035" s="2" t="str">
        <f>IFERROR(__xludf.DUMMYFUNCTION("""COMPUTED_VALUE"""),"복정식")</f>
        <v>복정식</v>
      </c>
      <c r="B8035" s="2" t="str">
        <f>IFERROR(__xludf.DUMMYFUNCTION("""COMPUTED_VALUE"""),"간장")</f>
        <v>간장</v>
      </c>
    </row>
    <row r="8036">
      <c r="A8036" s="2" t="str">
        <f>IFERROR(__xludf.DUMMYFUNCTION("""COMPUTED_VALUE"""),"복정식")</f>
        <v>복정식</v>
      </c>
      <c r="B8036" s="2" t="str">
        <f>IFERROR(__xludf.DUMMYFUNCTION("""COMPUTED_VALUE"""),"설탕")</f>
        <v>설탕</v>
      </c>
    </row>
    <row r="8037">
      <c r="A8037" s="2" t="str">
        <f>IFERROR(__xludf.DUMMYFUNCTION("""COMPUTED_VALUE"""),"복정식")</f>
        <v>복정식</v>
      </c>
      <c r="B8037" s="2" t="str">
        <f>IFERROR(__xludf.DUMMYFUNCTION("""COMPUTED_VALUE"""),"라면수프")</f>
        <v>라면수프</v>
      </c>
    </row>
    <row r="8038">
      <c r="A8038" s="2" t="str">
        <f>IFERROR(__xludf.DUMMYFUNCTION("""COMPUTED_VALUE"""),"복정식")</f>
        <v>복정식</v>
      </c>
      <c r="B8038" s="2" t="str">
        <f>IFERROR(__xludf.DUMMYFUNCTION("""COMPUTED_VALUE"""),"참기름")</f>
        <v>참기름</v>
      </c>
    </row>
    <row r="8039">
      <c r="A8039" s="2" t="str">
        <f>IFERROR(__xludf.DUMMYFUNCTION("""COMPUTED_VALUE"""),"덕윤백반")</f>
        <v>덕윤백반</v>
      </c>
      <c r="B8039" s="2" t="str">
        <f>IFERROR(__xludf.DUMMYFUNCTION("""COMPUTED_VALUE"""),"훈제 닭가슴살")</f>
        <v>훈제 닭가슴살</v>
      </c>
    </row>
    <row r="8040">
      <c r="A8040" s="2" t="str">
        <f>IFERROR(__xludf.DUMMYFUNCTION("""COMPUTED_VALUE"""),"덕윤백반")</f>
        <v>덕윤백반</v>
      </c>
      <c r="B8040" s="2" t="str">
        <f>IFERROR(__xludf.DUMMYFUNCTION("""COMPUTED_VALUE"""),"다이어트 도시락(삶은 닭가슴살)")</f>
        <v>다이어트 도시락(삶은 닭가슴살)</v>
      </c>
    </row>
    <row r="8041">
      <c r="A8041" s="2" t="str">
        <f>IFERROR(__xludf.DUMMYFUNCTION("""COMPUTED_VALUE"""),"덕윤백반")</f>
        <v>덕윤백반</v>
      </c>
      <c r="B8041" s="2" t="str">
        <f>IFERROR(__xludf.DUMMYFUNCTION("""COMPUTED_VALUE"""),"자반고등어")</f>
        <v>자반고등어</v>
      </c>
    </row>
    <row r="8042">
      <c r="A8042" s="2" t="str">
        <f>IFERROR(__xludf.DUMMYFUNCTION("""COMPUTED_VALUE"""),"덕윤백반")</f>
        <v>덕윤백반</v>
      </c>
      <c r="B8042" s="2" t="str">
        <f>IFERROR(__xludf.DUMMYFUNCTION("""COMPUTED_VALUE"""),"배즙")</f>
        <v>배즙</v>
      </c>
    </row>
    <row r="8043">
      <c r="A8043" s="2" t="str">
        <f>IFERROR(__xludf.DUMMYFUNCTION("""COMPUTED_VALUE"""),"덕윤백반")</f>
        <v>덕윤백반</v>
      </c>
      <c r="B8043" s="2" t="str">
        <f>IFERROR(__xludf.DUMMYFUNCTION("""COMPUTED_VALUE"""),"된장")</f>
        <v>된장</v>
      </c>
    </row>
    <row r="8044">
      <c r="A8044" s="2" t="str">
        <f>IFERROR(__xludf.DUMMYFUNCTION("""COMPUTED_VALUE"""),"덕윤백반")</f>
        <v>덕윤백반</v>
      </c>
      <c r="B8044" s="2" t="str">
        <f>IFERROR(__xludf.DUMMYFUNCTION("""COMPUTED_VALUE"""),"일본컵라면(조미김)")</f>
        <v>일본컵라면(조미김)</v>
      </c>
    </row>
    <row r="8045">
      <c r="A8045" s="2" t="str">
        <f>IFERROR(__xludf.DUMMYFUNCTION("""COMPUTED_VALUE"""),"덕윤백반")</f>
        <v>덕윤백반</v>
      </c>
      <c r="B8045" s="2" t="str">
        <f>IFERROR(__xludf.DUMMYFUNCTION("""COMPUTED_VALUE"""),"쌀")</f>
        <v>쌀</v>
      </c>
    </row>
    <row r="8046">
      <c r="A8046" s="2" t="str">
        <f>IFERROR(__xludf.DUMMYFUNCTION("""COMPUTED_VALUE"""),"덕윤백반")</f>
        <v>덕윤백반</v>
      </c>
      <c r="B8046" s="2" t="str">
        <f>IFERROR(__xludf.DUMMYFUNCTION("""COMPUTED_VALUE"""),"대파")</f>
        <v>대파</v>
      </c>
    </row>
    <row r="8047">
      <c r="A8047" s="2" t="str">
        <f>IFERROR(__xludf.DUMMYFUNCTION("""COMPUTED_VALUE"""),"덕윤백반")</f>
        <v>덕윤백반</v>
      </c>
      <c r="B8047" s="2" t="str">
        <f>IFERROR(__xludf.DUMMYFUNCTION("""COMPUTED_VALUE"""),"당근")</f>
        <v>당근</v>
      </c>
    </row>
    <row r="8048">
      <c r="A8048" s="2" t="str">
        <f>IFERROR(__xludf.DUMMYFUNCTION("""COMPUTED_VALUE"""),"덕윤백반")</f>
        <v>덕윤백반</v>
      </c>
      <c r="B8048" s="2" t="str">
        <f>IFERROR(__xludf.DUMMYFUNCTION("""COMPUTED_VALUE"""),"마늘")</f>
        <v>마늘</v>
      </c>
    </row>
    <row r="8049">
      <c r="A8049" s="2" t="str">
        <f>IFERROR(__xludf.DUMMYFUNCTION("""COMPUTED_VALUE"""),"덕윤백반")</f>
        <v>덕윤백반</v>
      </c>
      <c r="B8049" s="2" t="str">
        <f>IFERROR(__xludf.DUMMYFUNCTION("""COMPUTED_VALUE"""),"양파")</f>
        <v>양파</v>
      </c>
    </row>
    <row r="8050">
      <c r="A8050" s="2" t="str">
        <f>IFERROR(__xludf.DUMMYFUNCTION("""COMPUTED_VALUE"""),"덕윤백반")</f>
        <v>덕윤백반</v>
      </c>
      <c r="B8050" s="2" t="str">
        <f>IFERROR(__xludf.DUMMYFUNCTION("""COMPUTED_VALUE"""),"식용유")</f>
        <v>식용유</v>
      </c>
    </row>
    <row r="8051">
      <c r="A8051" s="2" t="str">
        <f>IFERROR(__xludf.DUMMYFUNCTION("""COMPUTED_VALUE"""),"덕윤백반")</f>
        <v>덕윤백반</v>
      </c>
      <c r="B8051" s="2" t="str">
        <f>IFERROR(__xludf.DUMMYFUNCTION("""COMPUTED_VALUE"""),"청주")</f>
        <v>청주</v>
      </c>
    </row>
    <row r="8052">
      <c r="A8052" s="2" t="str">
        <f>IFERROR(__xludf.DUMMYFUNCTION("""COMPUTED_VALUE"""),"덕윤백반")</f>
        <v>덕윤백반</v>
      </c>
      <c r="B8052" s="2" t="str">
        <f>IFERROR(__xludf.DUMMYFUNCTION("""COMPUTED_VALUE"""),"다진 생강")</f>
        <v>다진 생강</v>
      </c>
    </row>
    <row r="8053">
      <c r="A8053" s="2" t="str">
        <f>IFERROR(__xludf.DUMMYFUNCTION("""COMPUTED_VALUE"""),"덕윤백반")</f>
        <v>덕윤백반</v>
      </c>
      <c r="B8053" s="2" t="str">
        <f>IFERROR(__xludf.DUMMYFUNCTION("""COMPUTED_VALUE"""),"다진 마늘")</f>
        <v>다진 마늘</v>
      </c>
    </row>
    <row r="8054">
      <c r="A8054" s="2" t="str">
        <f>IFERROR(__xludf.DUMMYFUNCTION("""COMPUTED_VALUE"""),"덕윤백반")</f>
        <v>덕윤백반</v>
      </c>
      <c r="B8054" s="2" t="str">
        <f>IFERROR(__xludf.DUMMYFUNCTION("""COMPUTED_VALUE"""),"고춧가루")</f>
        <v>고춧가루</v>
      </c>
    </row>
    <row r="8055">
      <c r="A8055" s="2" t="str">
        <f>IFERROR(__xludf.DUMMYFUNCTION("""COMPUTED_VALUE"""),"덕윤백반")</f>
        <v>덕윤백반</v>
      </c>
      <c r="B8055" s="2" t="str">
        <f>IFERROR(__xludf.DUMMYFUNCTION("""COMPUTED_VALUE"""),"간장")</f>
        <v>간장</v>
      </c>
    </row>
    <row r="8056">
      <c r="A8056" s="2" t="str">
        <f>IFERROR(__xludf.DUMMYFUNCTION("""COMPUTED_VALUE"""),"덕윤백반")</f>
        <v>덕윤백반</v>
      </c>
      <c r="B8056" s="2" t="str">
        <f>IFERROR(__xludf.DUMMYFUNCTION("""COMPUTED_VALUE"""),"설탕")</f>
        <v>설탕</v>
      </c>
    </row>
    <row r="8057">
      <c r="A8057" s="2" t="str">
        <f>IFERROR(__xludf.DUMMYFUNCTION("""COMPUTED_VALUE"""),"덕윤백반")</f>
        <v>덕윤백반</v>
      </c>
      <c r="B8057" s="2" t="str">
        <f>IFERROR(__xludf.DUMMYFUNCTION("""COMPUTED_VALUE"""),"맛술")</f>
        <v>맛술</v>
      </c>
    </row>
    <row r="8058">
      <c r="A8058" s="2" t="str">
        <f>IFERROR(__xludf.DUMMYFUNCTION("""COMPUTED_VALUE"""),"덕윤백반")</f>
        <v>덕윤백반</v>
      </c>
      <c r="B8058" s="2" t="str">
        <f>IFERROR(__xludf.DUMMYFUNCTION("""COMPUTED_VALUE"""),"청고추")</f>
        <v>청고추</v>
      </c>
    </row>
    <row r="8059">
      <c r="A8059" s="2" t="str">
        <f>IFERROR(__xludf.DUMMYFUNCTION("""COMPUTED_VALUE"""),"덕윤백반")</f>
        <v>덕윤백반</v>
      </c>
      <c r="B8059" s="2" t="str">
        <f>IFERROR(__xludf.DUMMYFUNCTION("""COMPUTED_VALUE"""),"홍고추")</f>
        <v>홍고추</v>
      </c>
    </row>
    <row r="8060">
      <c r="A8060" s="2" t="str">
        <f>IFERROR(__xludf.DUMMYFUNCTION("""COMPUTED_VALUE"""),"덕윤백반")</f>
        <v>덕윤백반</v>
      </c>
      <c r="B8060" s="2" t="str">
        <f>IFERROR(__xludf.DUMMYFUNCTION("""COMPUTED_VALUE"""),"물엿")</f>
        <v>물엿</v>
      </c>
    </row>
    <row r="8061">
      <c r="A8061" s="2" t="str">
        <f>IFERROR(__xludf.DUMMYFUNCTION("""COMPUTED_VALUE"""),"덕윤백반")</f>
        <v>덕윤백반</v>
      </c>
      <c r="B8061" s="2" t="str">
        <f>IFERROR(__xludf.DUMMYFUNCTION("""COMPUTED_VALUE"""),"참기름")</f>
        <v>참기름</v>
      </c>
    </row>
    <row r="8062">
      <c r="A8062" s="2" t="str">
        <f>IFERROR(__xludf.DUMMYFUNCTION("""COMPUTED_VALUE"""),"덕윤백반")</f>
        <v>덕윤백반</v>
      </c>
      <c r="B8062" s="2" t="str">
        <f>IFERROR(__xludf.DUMMYFUNCTION("""COMPUTED_VALUE"""),"깨")</f>
        <v>깨</v>
      </c>
    </row>
    <row r="8063">
      <c r="A8063" s="2" t="str">
        <f>IFERROR(__xludf.DUMMYFUNCTION("""COMPUTED_VALUE"""),"덕윤백반")</f>
        <v>덕윤백반</v>
      </c>
      <c r="B8063" s="2" t="str">
        <f>IFERROR(__xludf.DUMMYFUNCTION("""COMPUTED_VALUE"""),"달걀")</f>
        <v>달걀</v>
      </c>
    </row>
    <row r="8064">
      <c r="A8064" s="2" t="str">
        <f>IFERROR(__xludf.DUMMYFUNCTION("""COMPUTED_VALUE"""),"덕윤백반")</f>
        <v>덕윤백반</v>
      </c>
      <c r="B8064" s="2" t="str">
        <f>IFERROR(__xludf.DUMMYFUNCTION("""COMPUTED_VALUE"""),"소금")</f>
        <v>소금</v>
      </c>
    </row>
    <row r="8065">
      <c r="A8065" s="2" t="str">
        <f>IFERROR(__xludf.DUMMYFUNCTION("""COMPUTED_VALUE"""),"할매 라면")</f>
        <v>할매 라면</v>
      </c>
      <c r="B8065" s="2" t="str">
        <f>IFERROR(__xludf.DUMMYFUNCTION("""COMPUTED_VALUE"""),"라면")</f>
        <v>라면</v>
      </c>
    </row>
    <row r="8066">
      <c r="A8066" s="2" t="str">
        <f>IFERROR(__xludf.DUMMYFUNCTION("""COMPUTED_VALUE"""),"할매 라면")</f>
        <v>할매 라면</v>
      </c>
      <c r="B8066" s="2" t="str">
        <f>IFERROR(__xludf.DUMMYFUNCTION("""COMPUTED_VALUE"""),"가쓰오부시")</f>
        <v>가쓰오부시</v>
      </c>
    </row>
    <row r="8067">
      <c r="A8067" s="2" t="str">
        <f>IFERROR(__xludf.DUMMYFUNCTION("""COMPUTED_VALUE"""),"할매 라면")</f>
        <v>할매 라면</v>
      </c>
      <c r="B8067" s="2" t="str">
        <f>IFERROR(__xludf.DUMMYFUNCTION("""COMPUTED_VALUE"""),"훈제 닭가슴살")</f>
        <v>훈제 닭가슴살</v>
      </c>
    </row>
    <row r="8068">
      <c r="A8068" s="2" t="str">
        <f>IFERROR(__xludf.DUMMYFUNCTION("""COMPUTED_VALUE"""),"할매 라면")</f>
        <v>할매 라면</v>
      </c>
      <c r="B8068" s="2" t="str">
        <f>IFERROR(__xludf.DUMMYFUNCTION("""COMPUTED_VALUE"""),"군고구마")</f>
        <v>군고구마</v>
      </c>
    </row>
    <row r="8069">
      <c r="A8069" s="2" t="str">
        <f>IFERROR(__xludf.DUMMYFUNCTION("""COMPUTED_VALUE"""),"할매 라면")</f>
        <v>할매 라면</v>
      </c>
      <c r="B8069" s="2" t="str">
        <f>IFERROR(__xludf.DUMMYFUNCTION("""COMPUTED_VALUE"""),"통조림 햄")</f>
        <v>통조림 햄</v>
      </c>
    </row>
    <row r="8070">
      <c r="A8070" s="2" t="str">
        <f>IFERROR(__xludf.DUMMYFUNCTION("""COMPUTED_VALUE"""),"할매 라면")</f>
        <v>할매 라면</v>
      </c>
      <c r="B8070" s="2" t="str">
        <f>IFERROR(__xludf.DUMMYFUNCTION("""COMPUTED_VALUE"""),"타코야키가루")</f>
        <v>타코야키가루</v>
      </c>
    </row>
    <row r="8071">
      <c r="A8071" s="2" t="str">
        <f>IFERROR(__xludf.DUMMYFUNCTION("""COMPUTED_VALUE"""),"할매 라면")</f>
        <v>할매 라면</v>
      </c>
      <c r="B8071" s="2" t="str">
        <f>IFERROR(__xludf.DUMMYFUNCTION("""COMPUTED_VALUE"""),"된장")</f>
        <v>된장</v>
      </c>
    </row>
    <row r="8072">
      <c r="A8072" s="2" t="str">
        <f>IFERROR(__xludf.DUMMYFUNCTION("""COMPUTED_VALUE"""),"할매 라면")</f>
        <v>할매 라면</v>
      </c>
      <c r="B8072" s="2" t="str">
        <f>IFERROR(__xludf.DUMMYFUNCTION("""COMPUTED_VALUE"""),"덴카스")</f>
        <v>덴카스</v>
      </c>
    </row>
    <row r="8073">
      <c r="A8073" s="2" t="str">
        <f>IFERROR(__xludf.DUMMYFUNCTION("""COMPUTED_VALUE"""),"할매 라면")</f>
        <v>할매 라면</v>
      </c>
      <c r="B8073" s="2" t="str">
        <f>IFERROR(__xludf.DUMMYFUNCTION("""COMPUTED_VALUE"""),"파래가루")</f>
        <v>파래가루</v>
      </c>
    </row>
    <row r="8074">
      <c r="A8074" s="2" t="str">
        <f>IFERROR(__xludf.DUMMYFUNCTION("""COMPUTED_VALUE"""),"할매 라면")</f>
        <v>할매 라면</v>
      </c>
      <c r="B8074" s="2" t="str">
        <f>IFERROR(__xludf.DUMMYFUNCTION("""COMPUTED_VALUE"""),"설탕")</f>
        <v>설탕</v>
      </c>
    </row>
    <row r="8075">
      <c r="A8075" s="2" t="str">
        <f>IFERROR(__xludf.DUMMYFUNCTION("""COMPUTED_VALUE"""),"할매 라면")</f>
        <v>할매 라면</v>
      </c>
      <c r="B8075" s="2" t="str">
        <f>IFERROR(__xludf.DUMMYFUNCTION("""COMPUTED_VALUE"""),"간장")</f>
        <v>간장</v>
      </c>
    </row>
    <row r="8076">
      <c r="A8076" s="2" t="str">
        <f>IFERROR(__xludf.DUMMYFUNCTION("""COMPUTED_VALUE"""),"할매 라면")</f>
        <v>할매 라면</v>
      </c>
      <c r="B8076" s="2" t="str">
        <f>IFERROR(__xludf.DUMMYFUNCTION("""COMPUTED_VALUE"""),"양파")</f>
        <v>양파</v>
      </c>
    </row>
    <row r="8077">
      <c r="A8077" s="2" t="str">
        <f>IFERROR(__xludf.DUMMYFUNCTION("""COMPUTED_VALUE"""),"할매 라면")</f>
        <v>할매 라면</v>
      </c>
      <c r="B8077" s="2" t="str">
        <f>IFERROR(__xludf.DUMMYFUNCTION("""COMPUTED_VALUE"""),"청고추")</f>
        <v>청고추</v>
      </c>
    </row>
    <row r="8078">
      <c r="A8078" s="2" t="str">
        <f>IFERROR(__xludf.DUMMYFUNCTION("""COMPUTED_VALUE"""),"할매 라면")</f>
        <v>할매 라면</v>
      </c>
      <c r="B8078" s="2" t="str">
        <f>IFERROR(__xludf.DUMMYFUNCTION("""COMPUTED_VALUE"""),"홍고추")</f>
        <v>홍고추</v>
      </c>
    </row>
    <row r="8079">
      <c r="A8079" s="2" t="str">
        <f>IFERROR(__xludf.DUMMYFUNCTION("""COMPUTED_VALUE"""),"할매 라면")</f>
        <v>할매 라면</v>
      </c>
      <c r="B8079" s="2" t="str">
        <f>IFERROR(__xludf.DUMMYFUNCTION("""COMPUTED_VALUE"""),"대파")</f>
        <v>대파</v>
      </c>
    </row>
    <row r="8080">
      <c r="A8080" s="2" t="str">
        <f>IFERROR(__xludf.DUMMYFUNCTION("""COMPUTED_VALUE"""),"할매 라면")</f>
        <v>할매 라면</v>
      </c>
      <c r="B8080" s="2" t="str">
        <f>IFERROR(__xludf.DUMMYFUNCTION("""COMPUTED_VALUE"""),"달걀")</f>
        <v>달걀</v>
      </c>
    </row>
    <row r="8081">
      <c r="A8081" s="2" t="str">
        <f>IFERROR(__xludf.DUMMYFUNCTION("""COMPUTED_VALUE"""),"할매 라면")</f>
        <v>할매 라면</v>
      </c>
      <c r="B8081" s="2" t="str">
        <f>IFERROR(__xludf.DUMMYFUNCTION("""COMPUTED_VALUE"""),"버터")</f>
        <v>버터</v>
      </c>
    </row>
    <row r="8082">
      <c r="A8082" s="2" t="str">
        <f>IFERROR(__xludf.DUMMYFUNCTION("""COMPUTED_VALUE"""),"할매 라면")</f>
        <v>할매 라면</v>
      </c>
      <c r="B8082" s="2" t="str">
        <f>IFERROR(__xludf.DUMMYFUNCTION("""COMPUTED_VALUE"""),"고추장")</f>
        <v>고추장</v>
      </c>
    </row>
    <row r="8083">
      <c r="A8083" s="2" t="str">
        <f>IFERROR(__xludf.DUMMYFUNCTION("""COMPUTED_VALUE"""),"할매 라면")</f>
        <v>할매 라면</v>
      </c>
      <c r="B8083" s="2" t="str">
        <f>IFERROR(__xludf.DUMMYFUNCTION("""COMPUTED_VALUE"""),"당근")</f>
        <v>당근</v>
      </c>
    </row>
    <row r="8084">
      <c r="A8084" s="2" t="str">
        <f>IFERROR(__xludf.DUMMYFUNCTION("""COMPUTED_VALUE"""),"할매 라면")</f>
        <v>할매 라면</v>
      </c>
      <c r="B8084" s="2" t="str">
        <f>IFERROR(__xludf.DUMMYFUNCTION("""COMPUTED_VALUE"""),"전분")</f>
        <v>전분</v>
      </c>
    </row>
    <row r="8085">
      <c r="A8085" s="2" t="str">
        <f>IFERROR(__xludf.DUMMYFUNCTION("""COMPUTED_VALUE"""),"중국식 냉면냉면냉면♬")</f>
        <v>중국식 냉면냉면냉면♬</v>
      </c>
      <c r="B8085" s="2" t="str">
        <f>IFERROR(__xludf.DUMMYFUNCTION("""COMPUTED_VALUE"""),"라면")</f>
        <v>라면</v>
      </c>
    </row>
    <row r="8086">
      <c r="A8086" s="2" t="str">
        <f>IFERROR(__xludf.DUMMYFUNCTION("""COMPUTED_VALUE"""),"중국식 냉면냉면냉면♬")</f>
        <v>중국식 냉면냉면냉면♬</v>
      </c>
      <c r="B8086" s="2" t="str">
        <f>IFERROR(__xludf.DUMMYFUNCTION("""COMPUTED_VALUE"""),"가쓰오부시")</f>
        <v>가쓰오부시</v>
      </c>
    </row>
    <row r="8087">
      <c r="A8087" s="2" t="str">
        <f>IFERROR(__xludf.DUMMYFUNCTION("""COMPUTED_VALUE"""),"중국식 냉면냉면냉면♬")</f>
        <v>중국식 냉면냉면냉면♬</v>
      </c>
      <c r="B8087" s="2" t="str">
        <f>IFERROR(__xludf.DUMMYFUNCTION("""COMPUTED_VALUE"""),"통조림 햄")</f>
        <v>통조림 햄</v>
      </c>
    </row>
    <row r="8088">
      <c r="A8088" s="2" t="str">
        <f>IFERROR(__xludf.DUMMYFUNCTION("""COMPUTED_VALUE"""),"중국식 냉면냉면냉면♬")</f>
        <v>중국식 냉면냉면냉면♬</v>
      </c>
      <c r="B8088" s="2" t="str">
        <f>IFERROR(__xludf.DUMMYFUNCTION("""COMPUTED_VALUE"""),"통조림 참치")</f>
        <v>통조림 참치</v>
      </c>
    </row>
    <row r="8089">
      <c r="A8089" s="2" t="str">
        <f>IFERROR(__xludf.DUMMYFUNCTION("""COMPUTED_VALUE"""),"중국식 냉면냉면냉면♬")</f>
        <v>중국식 냉면냉면냉면♬</v>
      </c>
      <c r="B8089" s="2" t="str">
        <f>IFERROR(__xludf.DUMMYFUNCTION("""COMPUTED_VALUE"""),"타코야키가루")</f>
        <v>타코야키가루</v>
      </c>
    </row>
    <row r="8090">
      <c r="A8090" s="2" t="str">
        <f>IFERROR(__xludf.DUMMYFUNCTION("""COMPUTED_VALUE"""),"중국식 냉면냉면냉면♬")</f>
        <v>중국식 냉면냉면냉면♬</v>
      </c>
      <c r="B8090" s="2" t="str">
        <f>IFERROR(__xludf.DUMMYFUNCTION("""COMPUTED_VALUE"""),"칼라만시 원액")</f>
        <v>칼라만시 원액</v>
      </c>
    </row>
    <row r="8091">
      <c r="A8091" s="2" t="str">
        <f>IFERROR(__xludf.DUMMYFUNCTION("""COMPUTED_VALUE"""),"중국식 냉면냉면냉면♬")</f>
        <v>중국식 냉면냉면냉면♬</v>
      </c>
      <c r="B8091" s="2" t="str">
        <f>IFERROR(__xludf.DUMMYFUNCTION("""COMPUTED_VALUE"""),"타코야키소스")</f>
        <v>타코야키소스</v>
      </c>
    </row>
    <row r="8092">
      <c r="A8092" s="2" t="str">
        <f>IFERROR(__xludf.DUMMYFUNCTION("""COMPUTED_VALUE"""),"중국식 냉면냉면냉면♬")</f>
        <v>중국식 냉면냉면냉면♬</v>
      </c>
      <c r="B8092" s="2" t="str">
        <f>IFERROR(__xludf.DUMMYFUNCTION("""COMPUTED_VALUE"""),"양파")</f>
        <v>양파</v>
      </c>
    </row>
    <row r="8093">
      <c r="A8093" s="2" t="str">
        <f>IFERROR(__xludf.DUMMYFUNCTION("""COMPUTED_VALUE"""),"중국식 냉면냉면냉면♬")</f>
        <v>중국식 냉면냉면냉면♬</v>
      </c>
      <c r="B8093" s="2" t="str">
        <f>IFERROR(__xludf.DUMMYFUNCTION("""COMPUTED_VALUE"""),"당근")</f>
        <v>당근</v>
      </c>
    </row>
    <row r="8094">
      <c r="A8094" s="2" t="str">
        <f>IFERROR(__xludf.DUMMYFUNCTION("""COMPUTED_VALUE"""),"중국식 냉면냉면냉면♬")</f>
        <v>중국식 냉면냉면냉면♬</v>
      </c>
      <c r="B8094" s="2" t="str">
        <f>IFERROR(__xludf.DUMMYFUNCTION("""COMPUTED_VALUE"""),"대파")</f>
        <v>대파</v>
      </c>
    </row>
    <row r="8095">
      <c r="A8095" s="2" t="str">
        <f>IFERROR(__xludf.DUMMYFUNCTION("""COMPUTED_VALUE"""),"중국식 냉면냉면냉면♬")</f>
        <v>중국식 냉면냉면냉면♬</v>
      </c>
      <c r="B8095" s="2" t="str">
        <f>IFERROR(__xludf.DUMMYFUNCTION("""COMPUTED_VALUE"""),"달걀")</f>
        <v>달걀</v>
      </c>
    </row>
    <row r="8096">
      <c r="A8096" s="2" t="str">
        <f>IFERROR(__xludf.DUMMYFUNCTION("""COMPUTED_VALUE"""),"중국식 냉면냉면냉면♬")</f>
        <v>중국식 냉면냉면냉면♬</v>
      </c>
      <c r="B8096" s="2" t="str">
        <f>IFERROR(__xludf.DUMMYFUNCTION("""COMPUTED_VALUE"""),"간장")</f>
        <v>간장</v>
      </c>
    </row>
    <row r="8097">
      <c r="A8097" s="2" t="str">
        <f>IFERROR(__xludf.DUMMYFUNCTION("""COMPUTED_VALUE"""),"중국식 냉면냉면냉면♬")</f>
        <v>중국식 냉면냉면냉면♬</v>
      </c>
      <c r="B8097" s="2" t="str">
        <f>IFERROR(__xludf.DUMMYFUNCTION("""COMPUTED_VALUE"""),"설탕")</f>
        <v>설탕</v>
      </c>
    </row>
    <row r="8098">
      <c r="A8098" s="2" t="str">
        <f>IFERROR(__xludf.DUMMYFUNCTION("""COMPUTED_VALUE"""),"중국식 냉면냉면냉면♬")</f>
        <v>중국식 냉면냉면냉면♬</v>
      </c>
      <c r="B8098" s="2" t="str">
        <f>IFERROR(__xludf.DUMMYFUNCTION("""COMPUTED_VALUE"""),"맛술")</f>
        <v>맛술</v>
      </c>
    </row>
    <row r="8099">
      <c r="A8099" s="2" t="str">
        <f>IFERROR(__xludf.DUMMYFUNCTION("""COMPUTED_VALUE"""),"중국식 냉면냉면냉면♬")</f>
        <v>중국식 냉면냉면냉면♬</v>
      </c>
      <c r="B8099" s="2" t="str">
        <f>IFERROR(__xludf.DUMMYFUNCTION("""COMPUTED_VALUE"""),"식초")</f>
        <v>식초</v>
      </c>
    </row>
    <row r="8100">
      <c r="A8100" s="2" t="str">
        <f>IFERROR(__xludf.DUMMYFUNCTION("""COMPUTED_VALUE"""),"중국식 냉면냉면냉면♬")</f>
        <v>중국식 냉면냉면냉면♬</v>
      </c>
      <c r="B8100" s="2" t="str">
        <f>IFERROR(__xludf.DUMMYFUNCTION("""COMPUTED_VALUE"""),"깨")</f>
        <v>깨</v>
      </c>
    </row>
    <row r="8101">
      <c r="A8101" s="2" t="str">
        <f>IFERROR(__xludf.DUMMYFUNCTION("""COMPUTED_VALUE"""),"중국식 냉면냉면냉면♬")</f>
        <v>중국식 냉면냉면냉면♬</v>
      </c>
      <c r="B8101" s="2" t="str">
        <f>IFERROR(__xludf.DUMMYFUNCTION("""COMPUTED_VALUE"""),"연겨자")</f>
        <v>연겨자</v>
      </c>
    </row>
    <row r="8102">
      <c r="A8102" s="2" t="str">
        <f>IFERROR(__xludf.DUMMYFUNCTION("""COMPUTED_VALUE"""),"중국식 냉면냉면냉면♬")</f>
        <v>중국식 냉면냉면냉면♬</v>
      </c>
      <c r="B8102" s="2" t="str">
        <f>IFERROR(__xludf.DUMMYFUNCTION("""COMPUTED_VALUE"""),"마요네즈")</f>
        <v>마요네즈</v>
      </c>
    </row>
    <row r="8103">
      <c r="A8103" s="2" t="str">
        <f>IFERROR(__xludf.DUMMYFUNCTION("""COMPUTED_VALUE"""),"피치 못할 타르트")</f>
        <v>피치 못할 타르트</v>
      </c>
      <c r="B8103" s="2" t="str">
        <f>IFERROR(__xludf.DUMMYFUNCTION("""COMPUTED_VALUE"""),"천도복숭아")</f>
        <v>천도복숭아</v>
      </c>
    </row>
    <row r="8104">
      <c r="A8104" s="2" t="str">
        <f>IFERROR(__xludf.DUMMYFUNCTION("""COMPUTED_VALUE"""),"피치 못할 타르트")</f>
        <v>피치 못할 타르트</v>
      </c>
      <c r="B8104" s="2" t="str">
        <f>IFERROR(__xludf.DUMMYFUNCTION("""COMPUTED_VALUE"""),"자두")</f>
        <v>자두</v>
      </c>
    </row>
    <row r="8105">
      <c r="A8105" s="2" t="str">
        <f>IFERROR(__xludf.DUMMYFUNCTION("""COMPUTED_VALUE"""),"피치 못할 타르트")</f>
        <v>피치 못할 타르트</v>
      </c>
      <c r="B8105" s="2" t="str">
        <f>IFERROR(__xludf.DUMMYFUNCTION("""COMPUTED_VALUE"""),"설탕")</f>
        <v>설탕</v>
      </c>
    </row>
    <row r="8106">
      <c r="A8106" s="2" t="str">
        <f>IFERROR(__xludf.DUMMYFUNCTION("""COMPUTED_VALUE"""),"피치 못할 타르트")</f>
        <v>피치 못할 타르트</v>
      </c>
      <c r="B8106" s="2" t="str">
        <f>IFERROR(__xludf.DUMMYFUNCTION("""COMPUTED_VALUE"""),"레몬")</f>
        <v>레몬</v>
      </c>
    </row>
    <row r="8107">
      <c r="A8107" s="2" t="str">
        <f>IFERROR(__xludf.DUMMYFUNCTION("""COMPUTED_VALUE"""),"피치 못할 타르트")</f>
        <v>피치 못할 타르트</v>
      </c>
      <c r="B8107" s="2" t="str">
        <f>IFERROR(__xludf.DUMMYFUNCTION("""COMPUTED_VALUE"""),"달걀")</f>
        <v>달걀</v>
      </c>
    </row>
    <row r="8108">
      <c r="A8108" s="2" t="str">
        <f>IFERROR(__xludf.DUMMYFUNCTION("""COMPUTED_VALUE"""),"피치 못할 타르트")</f>
        <v>피치 못할 타르트</v>
      </c>
      <c r="B8108" s="2" t="str">
        <f>IFERROR(__xludf.DUMMYFUNCTION("""COMPUTED_VALUE"""),"밀가루")</f>
        <v>밀가루</v>
      </c>
    </row>
    <row r="8109">
      <c r="A8109" s="2" t="str">
        <f>IFERROR(__xludf.DUMMYFUNCTION("""COMPUTED_VALUE"""),"피치 못할 타르트")</f>
        <v>피치 못할 타르트</v>
      </c>
      <c r="B8109" s="2" t="str">
        <f>IFERROR(__xludf.DUMMYFUNCTION("""COMPUTED_VALUE"""),"버터")</f>
        <v>버터</v>
      </c>
    </row>
    <row r="8110">
      <c r="A8110" s="2" t="str">
        <f>IFERROR(__xludf.DUMMYFUNCTION("""COMPUTED_VALUE"""),"피치 못할 타르트")</f>
        <v>피치 못할 타르트</v>
      </c>
      <c r="B8110" s="2" t="str">
        <f>IFERROR(__xludf.DUMMYFUNCTION("""COMPUTED_VALUE"""),"올리브오일")</f>
        <v>올리브오일</v>
      </c>
    </row>
    <row r="8111">
      <c r="A8111" s="2" t="str">
        <f>IFERROR(__xludf.DUMMYFUNCTION("""COMPUTED_VALUE"""),"최애 컵케이크")</f>
        <v>최애 컵케이크</v>
      </c>
      <c r="B8111" s="2" t="str">
        <f>IFERROR(__xludf.DUMMYFUNCTION("""COMPUTED_VALUE"""),"우유")</f>
        <v>우유</v>
      </c>
    </row>
    <row r="8112">
      <c r="A8112" s="2" t="str">
        <f>IFERROR(__xludf.DUMMYFUNCTION("""COMPUTED_VALUE"""),"최애 컵케이크")</f>
        <v>최애 컵케이크</v>
      </c>
      <c r="B8112" s="2" t="str">
        <f>IFERROR(__xludf.DUMMYFUNCTION("""COMPUTED_VALUE"""),"브리치즈")</f>
        <v>브리치즈</v>
      </c>
    </row>
    <row r="8113">
      <c r="A8113" s="2" t="str">
        <f>IFERROR(__xludf.DUMMYFUNCTION("""COMPUTED_VALUE"""),"최애 컵케이크")</f>
        <v>최애 컵케이크</v>
      </c>
      <c r="B8113" s="2" t="str">
        <f>IFERROR(__xludf.DUMMYFUNCTION("""COMPUTED_VALUE"""),"달걀")</f>
        <v>달걀</v>
      </c>
    </row>
    <row r="8114">
      <c r="A8114" s="2" t="str">
        <f>IFERROR(__xludf.DUMMYFUNCTION("""COMPUTED_VALUE"""),"최애 컵케이크")</f>
        <v>최애 컵케이크</v>
      </c>
      <c r="B8114" s="2" t="str">
        <f>IFERROR(__xludf.DUMMYFUNCTION("""COMPUTED_VALUE"""),"사과")</f>
        <v>사과</v>
      </c>
    </row>
    <row r="8115">
      <c r="A8115" s="2" t="str">
        <f>IFERROR(__xludf.DUMMYFUNCTION("""COMPUTED_VALUE"""),"최애 컵케이크")</f>
        <v>최애 컵케이크</v>
      </c>
      <c r="B8115" s="2" t="str">
        <f>IFERROR(__xludf.DUMMYFUNCTION("""COMPUTED_VALUE"""),"사과잼")</f>
        <v>사과잼</v>
      </c>
    </row>
    <row r="8116">
      <c r="A8116" s="2" t="str">
        <f>IFERROR(__xludf.DUMMYFUNCTION("""COMPUTED_VALUE"""),"최애 컵케이크")</f>
        <v>최애 컵케이크</v>
      </c>
      <c r="B8116" s="2" t="str">
        <f>IFERROR(__xludf.DUMMYFUNCTION("""COMPUTED_VALUE"""),"식빵")</f>
        <v>식빵</v>
      </c>
    </row>
    <row r="8117">
      <c r="A8117" s="2" t="str">
        <f>IFERROR(__xludf.DUMMYFUNCTION("""COMPUTED_VALUE"""),"최애 컵케이크")</f>
        <v>최애 컵케이크</v>
      </c>
      <c r="B8117" s="2" t="str">
        <f>IFERROR(__xludf.DUMMYFUNCTION("""COMPUTED_VALUE"""),"브라우니")</f>
        <v>브라우니</v>
      </c>
    </row>
    <row r="8118">
      <c r="A8118" s="2" t="str">
        <f>IFERROR(__xludf.DUMMYFUNCTION("""COMPUTED_VALUE"""),"최애 컵케이크")</f>
        <v>최애 컵케이크</v>
      </c>
      <c r="B8118" s="2" t="str">
        <f>IFERROR(__xludf.DUMMYFUNCTION("""COMPUTED_VALUE"""),"모차렐라치즈")</f>
        <v>모차렐라치즈</v>
      </c>
    </row>
    <row r="8119">
      <c r="A8119" s="2" t="str">
        <f>IFERROR(__xludf.DUMMYFUNCTION("""COMPUTED_VALUE"""),"최애 컵케이크")</f>
        <v>최애 컵케이크</v>
      </c>
      <c r="B8119" s="2" t="str">
        <f>IFERROR(__xludf.DUMMYFUNCTION("""COMPUTED_VALUE"""),"스모크치즈")</f>
        <v>스모크치즈</v>
      </c>
    </row>
    <row r="8120">
      <c r="A8120" s="2" t="str">
        <f>IFERROR(__xludf.DUMMYFUNCTION("""COMPUTED_VALUE"""),"최애 컵케이크")</f>
        <v>최애 컵케이크</v>
      </c>
      <c r="B8120" s="2" t="str">
        <f>IFERROR(__xludf.DUMMYFUNCTION("""COMPUTED_VALUE"""),"체리")</f>
        <v>체리</v>
      </c>
    </row>
    <row r="8121">
      <c r="A8121" s="2" t="str">
        <f>IFERROR(__xludf.DUMMYFUNCTION("""COMPUTED_VALUE"""),"최애 컵케이크")</f>
        <v>최애 컵케이크</v>
      </c>
      <c r="B8121" s="2" t="str">
        <f>IFERROR(__xludf.DUMMYFUNCTION("""COMPUTED_VALUE"""),"버터")</f>
        <v>버터</v>
      </c>
    </row>
    <row r="8122">
      <c r="A8122" s="2" t="str">
        <f>IFERROR(__xludf.DUMMYFUNCTION("""COMPUTED_VALUE"""),"최애 컵케이크")</f>
        <v>최애 컵케이크</v>
      </c>
      <c r="B8122" s="2" t="str">
        <f>IFERROR(__xludf.DUMMYFUNCTION("""COMPUTED_VALUE"""),"달걀")</f>
        <v>달걀</v>
      </c>
    </row>
    <row r="8123">
      <c r="A8123" s="2" t="str">
        <f>IFERROR(__xludf.DUMMYFUNCTION("""COMPUTED_VALUE"""),"최애 컵케이크")</f>
        <v>최애 컵케이크</v>
      </c>
      <c r="B8123" s="2" t="str">
        <f>IFERROR(__xludf.DUMMYFUNCTION("""COMPUTED_VALUE"""),"설탕")</f>
        <v>설탕</v>
      </c>
    </row>
    <row r="8124">
      <c r="A8124" s="2" t="str">
        <f>IFERROR(__xludf.DUMMYFUNCTION("""COMPUTED_VALUE"""),"최애 컵케이크")</f>
        <v>최애 컵케이크</v>
      </c>
      <c r="B8124" s="2" t="str">
        <f>IFERROR(__xludf.DUMMYFUNCTION("""COMPUTED_VALUE"""),"밀가루")</f>
        <v>밀가루</v>
      </c>
    </row>
    <row r="8125">
      <c r="A8125" s="2" t="str">
        <f>IFERROR(__xludf.DUMMYFUNCTION("""COMPUTED_VALUE"""),"최애 컵케이크")</f>
        <v>최애 컵케이크</v>
      </c>
      <c r="B8125" s="2" t="str">
        <f>IFERROR(__xludf.DUMMYFUNCTION("""COMPUTED_VALUE"""),"전분")</f>
        <v>전분</v>
      </c>
    </row>
    <row r="8126">
      <c r="A8126" s="2" t="str">
        <f>IFERROR(__xludf.DUMMYFUNCTION("""COMPUTED_VALUE"""),"최애 컵케이크")</f>
        <v>최애 컵케이크</v>
      </c>
      <c r="B8126" s="2" t="str">
        <f>IFERROR(__xludf.DUMMYFUNCTION("""COMPUTED_VALUE"""),"화이트와인")</f>
        <v>화이트와인</v>
      </c>
    </row>
    <row r="8127">
      <c r="A8127" s="2" t="str">
        <f>IFERROR(__xludf.DUMMYFUNCTION("""COMPUTED_VALUE"""),"최애 컵케이크")</f>
        <v>최애 컵케이크</v>
      </c>
      <c r="B8127" s="2" t="str">
        <f>IFERROR(__xludf.DUMMYFUNCTION("""COMPUTED_VALUE"""),"레몬")</f>
        <v>레몬</v>
      </c>
    </row>
    <row r="8128">
      <c r="A8128" s="2" t="str">
        <f>IFERROR(__xludf.DUMMYFUNCTION("""COMPUTED_VALUE"""),"쓰촨으로 갈 찬스")</f>
        <v>쓰촨으로 갈 찬스</v>
      </c>
      <c r="B8128" s="2" t="str">
        <f>IFERROR(__xludf.DUMMYFUNCTION("""COMPUTED_VALUE"""),"차돌박이")</f>
        <v>차돌박이</v>
      </c>
    </row>
    <row r="8129">
      <c r="A8129" s="2" t="str">
        <f>IFERROR(__xludf.DUMMYFUNCTION("""COMPUTED_VALUE"""),"쓰촨으로 갈 찬스")</f>
        <v>쓰촨으로 갈 찬스</v>
      </c>
      <c r="B8129" s="2" t="str">
        <f>IFERROR(__xludf.DUMMYFUNCTION("""COMPUTED_VALUE"""),"샐러리")</f>
        <v>샐러리</v>
      </c>
    </row>
    <row r="8130">
      <c r="A8130" s="2" t="str">
        <f>IFERROR(__xludf.DUMMYFUNCTION("""COMPUTED_VALUE"""),"쓰촨으로 갈 찬스")</f>
        <v>쓰촨으로 갈 찬스</v>
      </c>
      <c r="B8130" s="2" t="str">
        <f>IFERROR(__xludf.DUMMYFUNCTION("""COMPUTED_VALUE"""),"미나리")</f>
        <v>미나리</v>
      </c>
    </row>
    <row r="8131">
      <c r="A8131" s="2" t="str">
        <f>IFERROR(__xludf.DUMMYFUNCTION("""COMPUTED_VALUE"""),"쓰촨으로 갈 찬스")</f>
        <v>쓰촨으로 갈 찬스</v>
      </c>
      <c r="B8131" s="2" t="str">
        <f>IFERROR(__xludf.DUMMYFUNCTION("""COMPUTED_VALUE"""),"굴소스")</f>
        <v>굴소스</v>
      </c>
    </row>
    <row r="8132">
      <c r="A8132" s="2" t="str">
        <f>IFERROR(__xludf.DUMMYFUNCTION("""COMPUTED_VALUE"""),"쓰촨으로 갈 찬스")</f>
        <v>쓰촨으로 갈 찬스</v>
      </c>
      <c r="B8132" s="2" t="str">
        <f>IFERROR(__xludf.DUMMYFUNCTION("""COMPUTED_VALUE"""),"방울토마토")</f>
        <v>방울토마토</v>
      </c>
    </row>
    <row r="8133">
      <c r="A8133" s="2" t="str">
        <f>IFERROR(__xludf.DUMMYFUNCTION("""COMPUTED_VALUE"""),"쓰촨으로 갈 찬스")</f>
        <v>쓰촨으로 갈 찬스</v>
      </c>
      <c r="B8133" s="2" t="str">
        <f>IFERROR(__xludf.DUMMYFUNCTION("""COMPUTED_VALUE"""),"칼라만시액")</f>
        <v>칼라만시액</v>
      </c>
    </row>
    <row r="8134">
      <c r="A8134" s="2" t="str">
        <f>IFERROR(__xludf.DUMMYFUNCTION("""COMPUTED_VALUE"""),"쓰촨으로 갈 찬스")</f>
        <v>쓰촨으로 갈 찬스</v>
      </c>
      <c r="B8134" s="2" t="str">
        <f>IFERROR(__xludf.DUMMYFUNCTION("""COMPUTED_VALUE"""),"홍고추")</f>
        <v>홍고추</v>
      </c>
    </row>
    <row r="8135">
      <c r="A8135" s="2" t="str">
        <f>IFERROR(__xludf.DUMMYFUNCTION("""COMPUTED_VALUE"""),"쓰촨으로 갈 찬스")</f>
        <v>쓰촨으로 갈 찬스</v>
      </c>
      <c r="B8135" s="2" t="str">
        <f>IFERROR(__xludf.DUMMYFUNCTION("""COMPUTED_VALUE"""),"통후추")</f>
        <v>통후추</v>
      </c>
    </row>
    <row r="8136">
      <c r="A8136" s="2" t="str">
        <f>IFERROR(__xludf.DUMMYFUNCTION("""COMPUTED_VALUE"""),"쓰촨으로 갈 찬스")</f>
        <v>쓰촨으로 갈 찬스</v>
      </c>
      <c r="B8136" s="2" t="str">
        <f>IFERROR(__xludf.DUMMYFUNCTION("""COMPUTED_VALUE"""),"소금")</f>
        <v>소금</v>
      </c>
    </row>
    <row r="8137">
      <c r="A8137" s="2" t="str">
        <f>IFERROR(__xludf.DUMMYFUNCTION("""COMPUTED_VALUE"""),"쓰촨으로 갈 찬스")</f>
        <v>쓰촨으로 갈 찬스</v>
      </c>
      <c r="B8137" s="2" t="str">
        <f>IFERROR(__xludf.DUMMYFUNCTION("""COMPUTED_VALUE"""),"달걀")</f>
        <v>달걀</v>
      </c>
    </row>
    <row r="8138">
      <c r="A8138" s="2" t="str">
        <f>IFERROR(__xludf.DUMMYFUNCTION("""COMPUTED_VALUE"""),"쓰촨으로 갈 찬스")</f>
        <v>쓰촨으로 갈 찬스</v>
      </c>
      <c r="B8138" s="2" t="str">
        <f>IFERROR(__xludf.DUMMYFUNCTION("""COMPUTED_VALUE"""),"전분")</f>
        <v>전분</v>
      </c>
    </row>
    <row r="8139">
      <c r="A8139" s="2" t="str">
        <f>IFERROR(__xludf.DUMMYFUNCTION("""COMPUTED_VALUE"""),"쓰촨으로 갈 찬스")</f>
        <v>쓰촨으로 갈 찬스</v>
      </c>
      <c r="B8139" s="2" t="str">
        <f>IFERROR(__xludf.DUMMYFUNCTION("""COMPUTED_VALUE"""),"마늘")</f>
        <v>마늘</v>
      </c>
    </row>
    <row r="8140">
      <c r="A8140" s="2" t="str">
        <f>IFERROR(__xludf.DUMMYFUNCTION("""COMPUTED_VALUE"""),"쓰촨으로 갈 찬스")</f>
        <v>쓰촨으로 갈 찬스</v>
      </c>
      <c r="B8140" s="2" t="str">
        <f>IFERROR(__xludf.DUMMYFUNCTION("""COMPUTED_VALUE"""),"대파")</f>
        <v>대파</v>
      </c>
    </row>
    <row r="8141">
      <c r="A8141" s="2" t="str">
        <f>IFERROR(__xludf.DUMMYFUNCTION("""COMPUTED_VALUE"""),"쓰촨으로 갈 찬스")</f>
        <v>쓰촨으로 갈 찬스</v>
      </c>
      <c r="B8141" s="2" t="str">
        <f>IFERROR(__xludf.DUMMYFUNCTION("""COMPUTED_VALUE"""),"다진 생강")</f>
        <v>다진 생강</v>
      </c>
    </row>
    <row r="8142">
      <c r="A8142" s="2" t="str">
        <f>IFERROR(__xludf.DUMMYFUNCTION("""COMPUTED_VALUE"""),"쓰촨으로 갈 찬스")</f>
        <v>쓰촨으로 갈 찬스</v>
      </c>
      <c r="B8142" s="2" t="str">
        <f>IFERROR(__xludf.DUMMYFUNCTION("""COMPUTED_VALUE"""),"간장")</f>
        <v>간장</v>
      </c>
    </row>
    <row r="8143">
      <c r="A8143" s="2" t="str">
        <f>IFERROR(__xludf.DUMMYFUNCTION("""COMPUTED_VALUE"""),"어디에스파냐?")</f>
        <v>어디에스파냐?</v>
      </c>
      <c r="B8143" s="2" t="str">
        <f>IFERROR(__xludf.DUMMYFUNCTION("""COMPUTED_VALUE"""),"소고기 등심")</f>
        <v>소고기 등심</v>
      </c>
    </row>
    <row r="8144">
      <c r="A8144" s="2" t="str">
        <f>IFERROR(__xludf.DUMMYFUNCTION("""COMPUTED_VALUE"""),"어디에스파냐?")</f>
        <v>어디에스파냐?</v>
      </c>
      <c r="B8144" s="2" t="str">
        <f>IFERROR(__xludf.DUMMYFUNCTION("""COMPUTED_VALUE"""),"식빵")</f>
        <v>식빵</v>
      </c>
    </row>
    <row r="8145">
      <c r="A8145" s="2" t="str">
        <f>IFERROR(__xludf.DUMMYFUNCTION("""COMPUTED_VALUE"""),"어디에스파냐?")</f>
        <v>어디에스파냐?</v>
      </c>
      <c r="B8145" s="2" t="str">
        <f>IFERROR(__xludf.DUMMYFUNCTION("""COMPUTED_VALUE"""),"브리치즈")</f>
        <v>브리치즈</v>
      </c>
    </row>
    <row r="8146">
      <c r="A8146" s="2" t="str">
        <f>IFERROR(__xludf.DUMMYFUNCTION("""COMPUTED_VALUE"""),"어디에스파냐?")</f>
        <v>어디에스파냐?</v>
      </c>
      <c r="B8146" s="2" t="str">
        <f>IFERROR(__xludf.DUMMYFUNCTION("""COMPUTED_VALUE"""),"스모크치즈")</f>
        <v>스모크치즈</v>
      </c>
    </row>
    <row r="8147">
      <c r="A8147" s="2" t="str">
        <f>IFERROR(__xludf.DUMMYFUNCTION("""COMPUTED_VALUE"""),"어디에스파냐?")</f>
        <v>어디에스파냐?</v>
      </c>
      <c r="B8147" s="2" t="str">
        <f>IFERROR(__xludf.DUMMYFUNCTION("""COMPUTED_VALUE"""),"살라미")</f>
        <v>살라미</v>
      </c>
    </row>
    <row r="8148">
      <c r="A8148" s="2" t="str">
        <f>IFERROR(__xludf.DUMMYFUNCTION("""COMPUTED_VALUE"""),"어디에스파냐?")</f>
        <v>어디에스파냐?</v>
      </c>
      <c r="B8148" s="2" t="str">
        <f>IFERROR(__xludf.DUMMYFUNCTION("""COMPUTED_VALUE"""),"견과류")</f>
        <v>견과류</v>
      </c>
    </row>
    <row r="8149">
      <c r="A8149" s="2" t="str">
        <f>IFERROR(__xludf.DUMMYFUNCTION("""COMPUTED_VALUE"""),"어디에스파냐?")</f>
        <v>어디에스파냐?</v>
      </c>
      <c r="B8149" s="2" t="str">
        <f>IFERROR(__xludf.DUMMYFUNCTION("""COMPUTED_VALUE"""),"천도복숭아")</f>
        <v>천도복숭아</v>
      </c>
    </row>
    <row r="8150">
      <c r="A8150" s="2" t="str">
        <f>IFERROR(__xludf.DUMMYFUNCTION("""COMPUTED_VALUE"""),"어디에스파냐?")</f>
        <v>어디에스파냐?</v>
      </c>
      <c r="B8150" s="2" t="str">
        <f>IFERROR(__xludf.DUMMYFUNCTION("""COMPUTED_VALUE"""),"차돌박이")</f>
        <v>차돌박이</v>
      </c>
    </row>
    <row r="8151">
      <c r="A8151" s="2" t="str">
        <f>IFERROR(__xludf.DUMMYFUNCTION("""COMPUTED_VALUE"""),"어디에스파냐?")</f>
        <v>어디에스파냐?</v>
      </c>
      <c r="B8151" s="2" t="str">
        <f>IFERROR(__xludf.DUMMYFUNCTION("""COMPUTED_VALUE"""),"모차렐라치즈")</f>
        <v>모차렐라치즈</v>
      </c>
    </row>
    <row r="8152">
      <c r="A8152" s="2" t="str">
        <f>IFERROR(__xludf.DUMMYFUNCTION("""COMPUTED_VALUE"""),"어디에스파냐?")</f>
        <v>어디에스파냐?</v>
      </c>
      <c r="B8152" s="2" t="str">
        <f>IFERROR(__xludf.DUMMYFUNCTION("""COMPUTED_VALUE"""),"슬라이스체다치즈")</f>
        <v>슬라이스체다치즈</v>
      </c>
    </row>
    <row r="8153">
      <c r="A8153" s="2" t="str">
        <f>IFERROR(__xludf.DUMMYFUNCTION("""COMPUTED_VALUE"""),"어디에스파냐?")</f>
        <v>어디에스파냐?</v>
      </c>
      <c r="B8153" s="2" t="str">
        <f>IFERROR(__xludf.DUMMYFUNCTION("""COMPUTED_VALUE"""),"방울토마토")</f>
        <v>방울토마토</v>
      </c>
    </row>
    <row r="8154">
      <c r="A8154" s="2" t="str">
        <f>IFERROR(__xludf.DUMMYFUNCTION("""COMPUTED_VALUE"""),"어디에스파냐?")</f>
        <v>어디에스파냐?</v>
      </c>
      <c r="B8154" s="2" t="str">
        <f>IFERROR(__xludf.DUMMYFUNCTION("""COMPUTED_VALUE"""),"스리라차소스")</f>
        <v>스리라차소스</v>
      </c>
    </row>
    <row r="8155">
      <c r="A8155" s="2" t="str">
        <f>IFERROR(__xludf.DUMMYFUNCTION("""COMPUTED_VALUE"""),"어디에스파냐?")</f>
        <v>어디에스파냐?</v>
      </c>
      <c r="B8155" s="2" t="str">
        <f>IFERROR(__xludf.DUMMYFUNCTION("""COMPUTED_VALUE"""),"우유")</f>
        <v>우유</v>
      </c>
    </row>
    <row r="8156">
      <c r="A8156" s="2" t="str">
        <f>IFERROR(__xludf.DUMMYFUNCTION("""COMPUTED_VALUE"""),"어디에스파냐?")</f>
        <v>어디에스파냐?</v>
      </c>
      <c r="B8156" s="2" t="str">
        <f>IFERROR(__xludf.DUMMYFUNCTION("""COMPUTED_VALUE"""),"양파")</f>
        <v>양파</v>
      </c>
    </row>
    <row r="8157">
      <c r="A8157" s="2" t="str">
        <f>IFERROR(__xludf.DUMMYFUNCTION("""COMPUTED_VALUE"""),"어디에스파냐?")</f>
        <v>어디에스파냐?</v>
      </c>
      <c r="B8157" s="2" t="str">
        <f>IFERROR(__xludf.DUMMYFUNCTION("""COMPUTED_VALUE"""),"달걀")</f>
        <v>달걀</v>
      </c>
    </row>
    <row r="8158">
      <c r="A8158" s="2" t="str">
        <f>IFERROR(__xludf.DUMMYFUNCTION("""COMPUTED_VALUE"""),"어디에스파냐?")</f>
        <v>어디에스파냐?</v>
      </c>
      <c r="B8158" s="2" t="str">
        <f>IFERROR(__xludf.DUMMYFUNCTION("""COMPUTED_VALUE"""),"올리브오일")</f>
        <v>올리브오일</v>
      </c>
    </row>
    <row r="8159">
      <c r="A8159" s="2" t="str">
        <f>IFERROR(__xludf.DUMMYFUNCTION("""COMPUTED_VALUE"""),"어디에스파냐?")</f>
        <v>어디에스파냐?</v>
      </c>
      <c r="B8159" s="2" t="str">
        <f>IFERROR(__xludf.DUMMYFUNCTION("""COMPUTED_VALUE"""),"후추")</f>
        <v>후추</v>
      </c>
    </row>
    <row r="8160">
      <c r="A8160" s="2" t="str">
        <f>IFERROR(__xludf.DUMMYFUNCTION("""COMPUTED_VALUE"""),"어디에스파냐?")</f>
        <v>어디에스파냐?</v>
      </c>
      <c r="B8160" s="2" t="str">
        <f>IFERROR(__xludf.DUMMYFUNCTION("""COMPUTED_VALUE"""),"마늘")</f>
        <v>마늘</v>
      </c>
    </row>
    <row r="8161">
      <c r="A8161" s="2" t="str">
        <f>IFERROR(__xludf.DUMMYFUNCTION("""COMPUTED_VALUE"""),"어디에스파냐?")</f>
        <v>어디에스파냐?</v>
      </c>
      <c r="B8161" s="2" t="str">
        <f>IFERROR(__xludf.DUMMYFUNCTION("""COMPUTED_VALUE"""),"레몬")</f>
        <v>레몬</v>
      </c>
    </row>
    <row r="8162">
      <c r="A8162" s="2" t="str">
        <f>IFERROR(__xludf.DUMMYFUNCTION("""COMPUTED_VALUE"""),"어디에스파냐?")</f>
        <v>어디에스파냐?</v>
      </c>
      <c r="B8162" s="2" t="str">
        <f>IFERROR(__xludf.DUMMYFUNCTION("""COMPUTED_VALUE"""),"버터")</f>
        <v>버터</v>
      </c>
    </row>
    <row r="8163">
      <c r="A8163" s="2" t="str">
        <f>IFERROR(__xludf.DUMMYFUNCTION("""COMPUTED_VALUE"""),"어디에스파냐?")</f>
        <v>어디에스파냐?</v>
      </c>
      <c r="B8163" s="2" t="str">
        <f>IFERROR(__xludf.DUMMYFUNCTION("""COMPUTED_VALUE"""),"설탕")</f>
        <v>설탕</v>
      </c>
    </row>
    <row r="8164">
      <c r="A8164" s="2" t="str">
        <f>IFERROR(__xludf.DUMMYFUNCTION("""COMPUTED_VALUE"""),"어디에스파냐?")</f>
        <v>어디에스파냐?</v>
      </c>
      <c r="B8164" s="2" t="str">
        <f>IFERROR(__xludf.DUMMYFUNCTION("""COMPUTED_VALUE"""),"후추")</f>
        <v>후추</v>
      </c>
    </row>
    <row r="8165">
      <c r="A8165" s="2" t="str">
        <f>IFERROR(__xludf.DUMMYFUNCTION("""COMPUTED_VALUE"""),"어디에스파냐?")</f>
        <v>어디에스파냐?</v>
      </c>
      <c r="B8165" s="2" t="str">
        <f>IFERROR(__xludf.DUMMYFUNCTION("""COMPUTED_VALUE"""),"소금")</f>
        <v>소금</v>
      </c>
    </row>
    <row r="8166">
      <c r="A8166" s="2" t="str">
        <f>IFERROR(__xludf.DUMMYFUNCTION("""COMPUTED_VALUE"""),"어디에스파냐?")</f>
        <v>어디에스파냐?</v>
      </c>
      <c r="B8166" s="2" t="str">
        <f>IFERROR(__xludf.DUMMYFUNCTION("""COMPUTED_VALUE"""),"고추")</f>
        <v>고추</v>
      </c>
    </row>
    <row r="8167">
      <c r="A8167" s="2" t="str">
        <f>IFERROR(__xludf.DUMMYFUNCTION("""COMPUTED_VALUE"""),"햄버거 떠머거")</f>
        <v>햄버거 떠머거</v>
      </c>
      <c r="B8167" s="2" t="str">
        <f>IFERROR(__xludf.DUMMYFUNCTION("""COMPUTED_VALUE"""),"소고기 등심")</f>
        <v>소고기 등심</v>
      </c>
    </row>
    <row r="8168">
      <c r="A8168" s="2" t="str">
        <f>IFERROR(__xludf.DUMMYFUNCTION("""COMPUTED_VALUE"""),"햄버거 떠머거")</f>
        <v>햄버거 떠머거</v>
      </c>
      <c r="B8168" s="2" t="str">
        <f>IFERROR(__xludf.DUMMYFUNCTION("""COMPUTED_VALUE"""),"베이컨")</f>
        <v>베이컨</v>
      </c>
    </row>
    <row r="8169">
      <c r="A8169" s="2" t="str">
        <f>IFERROR(__xludf.DUMMYFUNCTION("""COMPUTED_VALUE"""),"햄버거 떠머거")</f>
        <v>햄버거 떠머거</v>
      </c>
      <c r="B8169" s="2" t="str">
        <f>IFERROR(__xludf.DUMMYFUNCTION("""COMPUTED_VALUE"""),"돼지갈비 햄버그스테이크")</f>
        <v>돼지갈비 햄버그스테이크</v>
      </c>
    </row>
    <row r="8170">
      <c r="A8170" s="2" t="str">
        <f>IFERROR(__xludf.DUMMYFUNCTION("""COMPUTED_VALUE"""),"햄버거 떠머거")</f>
        <v>햄버거 떠머거</v>
      </c>
      <c r="B8170" s="2" t="str">
        <f>IFERROR(__xludf.DUMMYFUNCTION("""COMPUTED_VALUE"""),"소불고기양념")</f>
        <v>소불고기양념</v>
      </c>
    </row>
    <row r="8171">
      <c r="A8171" s="2" t="str">
        <f>IFERROR(__xludf.DUMMYFUNCTION("""COMPUTED_VALUE"""),"햄버거 떠머거")</f>
        <v>햄버거 떠머거</v>
      </c>
      <c r="B8171" s="2" t="str">
        <f>IFERROR(__xludf.DUMMYFUNCTION("""COMPUTED_VALUE"""),"맥주")</f>
        <v>맥주</v>
      </c>
    </row>
    <row r="8172">
      <c r="A8172" s="2" t="str">
        <f>IFERROR(__xludf.DUMMYFUNCTION("""COMPUTED_VALUE"""),"햄버거 떠머거")</f>
        <v>햄버거 떠머거</v>
      </c>
      <c r="B8172" s="2" t="str">
        <f>IFERROR(__xludf.DUMMYFUNCTION("""COMPUTED_VALUE"""),"빵가루")</f>
        <v>빵가루</v>
      </c>
    </row>
    <row r="8173">
      <c r="A8173" s="2" t="str">
        <f>IFERROR(__xludf.DUMMYFUNCTION("""COMPUTED_VALUE"""),"햄버거 떠머거")</f>
        <v>햄버거 떠머거</v>
      </c>
      <c r="B8173" s="2" t="str">
        <f>IFERROR(__xludf.DUMMYFUNCTION("""COMPUTED_VALUE"""),"버터")</f>
        <v>버터</v>
      </c>
    </row>
    <row r="8174">
      <c r="A8174" s="2" t="str">
        <f>IFERROR(__xludf.DUMMYFUNCTION("""COMPUTED_VALUE"""),"햄버거 떠머거")</f>
        <v>햄버거 떠머거</v>
      </c>
      <c r="B8174" s="2" t="str">
        <f>IFERROR(__xludf.DUMMYFUNCTION("""COMPUTED_VALUE"""),"우유")</f>
        <v>우유</v>
      </c>
    </row>
    <row r="8175">
      <c r="A8175" s="2" t="str">
        <f>IFERROR(__xludf.DUMMYFUNCTION("""COMPUTED_VALUE"""),"햄버거 떠머거")</f>
        <v>햄버거 떠머거</v>
      </c>
      <c r="B8175" s="2" t="str">
        <f>IFERROR(__xludf.DUMMYFUNCTION("""COMPUTED_VALUE"""),"슬라이스 모차렐라치즈")</f>
        <v>슬라이스 모차렐라치즈</v>
      </c>
    </row>
    <row r="8176">
      <c r="A8176" s="2" t="str">
        <f>IFERROR(__xludf.DUMMYFUNCTION("""COMPUTED_VALUE"""),"햄버거 떠머거")</f>
        <v>햄버거 떠머거</v>
      </c>
      <c r="B8176" s="2" t="str">
        <f>IFERROR(__xludf.DUMMYFUNCTION("""COMPUTED_VALUE"""),"감자")</f>
        <v>감자</v>
      </c>
    </row>
    <row r="8177">
      <c r="A8177" s="2" t="str">
        <f>IFERROR(__xludf.DUMMYFUNCTION("""COMPUTED_VALUE"""),"햄버거 떠머거")</f>
        <v>햄버거 떠머거</v>
      </c>
      <c r="B8177" s="2" t="str">
        <f>IFERROR(__xludf.DUMMYFUNCTION("""COMPUTED_VALUE"""),"허니머스터드소스")</f>
        <v>허니머스터드소스</v>
      </c>
    </row>
    <row r="8178">
      <c r="A8178" s="2" t="str">
        <f>IFERROR(__xludf.DUMMYFUNCTION("""COMPUTED_VALUE"""),"햄버거 떠머거")</f>
        <v>햄버거 떠머거</v>
      </c>
      <c r="B8178" s="2" t="str">
        <f>IFERROR(__xludf.DUMMYFUNCTION("""COMPUTED_VALUE"""),"양파")</f>
        <v>양파</v>
      </c>
    </row>
    <row r="8179">
      <c r="A8179" s="2" t="str">
        <f>IFERROR(__xludf.DUMMYFUNCTION("""COMPUTED_VALUE"""),"햄버거 떠머거")</f>
        <v>햄버거 떠머거</v>
      </c>
      <c r="B8179" s="2" t="str">
        <f>IFERROR(__xludf.DUMMYFUNCTION("""COMPUTED_VALUE"""),"소금")</f>
        <v>소금</v>
      </c>
    </row>
    <row r="8180">
      <c r="A8180" s="2" t="str">
        <f>IFERROR(__xludf.DUMMYFUNCTION("""COMPUTED_VALUE"""),"햄버거 떠머거")</f>
        <v>햄버거 떠머거</v>
      </c>
      <c r="B8180" s="2" t="str">
        <f>IFERROR(__xludf.DUMMYFUNCTION("""COMPUTED_VALUE"""),"후추")</f>
        <v>후추</v>
      </c>
    </row>
    <row r="8181">
      <c r="A8181" s="2" t="str">
        <f>IFERROR(__xludf.DUMMYFUNCTION("""COMPUTED_VALUE"""),"햄버거 떠머거")</f>
        <v>햄버거 떠머거</v>
      </c>
      <c r="B8181" s="2" t="str">
        <f>IFERROR(__xludf.DUMMYFUNCTION("""COMPUTED_VALUE"""),"버터")</f>
        <v>버터</v>
      </c>
    </row>
    <row r="8182">
      <c r="A8182" s="2" t="str">
        <f>IFERROR(__xludf.DUMMYFUNCTION("""COMPUTED_VALUE"""),"햄버거 떠머거")</f>
        <v>햄버거 떠머거</v>
      </c>
      <c r="B8182" s="2" t="str">
        <f>IFERROR(__xludf.DUMMYFUNCTION("""COMPUTED_VALUE"""),"밀가루")</f>
        <v>밀가루</v>
      </c>
    </row>
    <row r="8183">
      <c r="A8183" s="2" t="str">
        <f>IFERROR(__xludf.DUMMYFUNCTION("""COMPUTED_VALUE"""),"햄버거 떠머거")</f>
        <v>햄버거 떠머거</v>
      </c>
      <c r="B8183" s="2" t="str">
        <f>IFERROR(__xludf.DUMMYFUNCTION("""COMPUTED_VALUE"""),"케첩")</f>
        <v>케첩</v>
      </c>
    </row>
    <row r="8184">
      <c r="A8184" s="2" t="str">
        <f>IFERROR(__xludf.DUMMYFUNCTION("""COMPUTED_VALUE"""),"햄버거 떠머거")</f>
        <v>햄버거 떠머거</v>
      </c>
      <c r="B8184" s="2" t="str">
        <f>IFERROR(__xludf.DUMMYFUNCTION("""COMPUTED_VALUE"""),"전분")</f>
        <v>전분</v>
      </c>
    </row>
    <row r="8185">
      <c r="A8185" s="2" t="str">
        <f>IFERROR(__xludf.DUMMYFUNCTION("""COMPUTED_VALUE"""),"오븐 백반 피자")</f>
        <v>오븐 백반 피자</v>
      </c>
      <c r="B8185" s="2" t="str">
        <f>IFERROR(__xludf.DUMMYFUNCTION("""COMPUTED_VALUE"""),"빵가루")</f>
        <v>빵가루</v>
      </c>
    </row>
    <row r="8186">
      <c r="A8186" s="2" t="str">
        <f>IFERROR(__xludf.DUMMYFUNCTION("""COMPUTED_VALUE"""),"오븐 백반 피자")</f>
        <v>오븐 백반 피자</v>
      </c>
      <c r="B8186" s="2" t="str">
        <f>IFERROR(__xludf.DUMMYFUNCTION("""COMPUTED_VALUE"""),"불고기용 소고기")</f>
        <v>불고기용 소고기</v>
      </c>
    </row>
    <row r="8187">
      <c r="A8187" s="2" t="str">
        <f>IFERROR(__xludf.DUMMYFUNCTION("""COMPUTED_VALUE"""),"오븐 백반 피자")</f>
        <v>오븐 백반 피자</v>
      </c>
      <c r="B8187" s="2" t="str">
        <f>IFERROR(__xludf.DUMMYFUNCTION("""COMPUTED_VALUE"""),"김치")</f>
        <v>김치</v>
      </c>
    </row>
    <row r="8188">
      <c r="A8188" s="2" t="str">
        <f>IFERROR(__xludf.DUMMYFUNCTION("""COMPUTED_VALUE"""),"오븐 백반 피자")</f>
        <v>오븐 백반 피자</v>
      </c>
      <c r="B8188" s="2" t="str">
        <f>IFERROR(__xludf.DUMMYFUNCTION("""COMPUTED_VALUE"""),"양배추")</f>
        <v>양배추</v>
      </c>
    </row>
    <row r="8189">
      <c r="A8189" s="2" t="str">
        <f>IFERROR(__xludf.DUMMYFUNCTION("""COMPUTED_VALUE"""),"오븐 백반 피자")</f>
        <v>오븐 백반 피자</v>
      </c>
      <c r="B8189" s="2" t="str">
        <f>IFERROR(__xludf.DUMMYFUNCTION("""COMPUTED_VALUE"""),"슬라이스 체다치즈")</f>
        <v>슬라이스 체다치즈</v>
      </c>
    </row>
    <row r="8190">
      <c r="A8190" s="2" t="str">
        <f>IFERROR(__xludf.DUMMYFUNCTION("""COMPUTED_VALUE"""),"오븐 백반 피자")</f>
        <v>오븐 백반 피자</v>
      </c>
      <c r="B8190" s="2" t="str">
        <f>IFERROR(__xludf.DUMMYFUNCTION("""COMPUTED_VALUE"""),"슬라이스 모차렐라치즈")</f>
        <v>슬라이스 모차렐라치즈</v>
      </c>
    </row>
    <row r="8191">
      <c r="A8191" s="2" t="str">
        <f>IFERROR(__xludf.DUMMYFUNCTION("""COMPUTED_VALUE"""),"오븐 백반 피자")</f>
        <v>오븐 백반 피자</v>
      </c>
      <c r="B8191" s="2" t="str">
        <f>IFERROR(__xludf.DUMMYFUNCTION("""COMPUTED_VALUE"""),"요거트")</f>
        <v>요거트</v>
      </c>
    </row>
    <row r="8192">
      <c r="A8192" s="2" t="str">
        <f>IFERROR(__xludf.DUMMYFUNCTION("""COMPUTED_VALUE"""),"오븐 백반 피자")</f>
        <v>오븐 백반 피자</v>
      </c>
      <c r="B8192" s="2" t="str">
        <f>IFERROR(__xludf.DUMMYFUNCTION("""COMPUTED_VALUE"""),"칼라만시 원액")</f>
        <v>칼라만시 원액</v>
      </c>
    </row>
    <row r="8193">
      <c r="A8193" s="2" t="str">
        <f>IFERROR(__xludf.DUMMYFUNCTION("""COMPUTED_VALUE"""),"오븐 백반 피자")</f>
        <v>오븐 백반 피자</v>
      </c>
      <c r="B8193" s="2" t="str">
        <f>IFERROR(__xludf.DUMMYFUNCTION("""COMPUTED_VALUE"""),"달걀")</f>
        <v>달걀</v>
      </c>
    </row>
    <row r="8194">
      <c r="A8194" s="2" t="str">
        <f>IFERROR(__xludf.DUMMYFUNCTION("""COMPUTED_VALUE"""),"오븐 백반 피자")</f>
        <v>오븐 백반 피자</v>
      </c>
      <c r="B8194" s="2" t="str">
        <f>IFERROR(__xludf.DUMMYFUNCTION("""COMPUTED_VALUE"""),"즉석밥")</f>
        <v>즉석밥</v>
      </c>
    </row>
    <row r="8195">
      <c r="A8195" s="2" t="str">
        <f>IFERROR(__xludf.DUMMYFUNCTION("""COMPUTED_VALUE"""),"오븐 백반 피자")</f>
        <v>오븐 백반 피자</v>
      </c>
      <c r="B8195" s="2" t="str">
        <f>IFERROR(__xludf.DUMMYFUNCTION("""COMPUTED_VALUE"""),"소금")</f>
        <v>소금</v>
      </c>
    </row>
    <row r="8196">
      <c r="A8196" s="2" t="str">
        <f>IFERROR(__xludf.DUMMYFUNCTION("""COMPUTED_VALUE"""),"오븐 백반 피자")</f>
        <v>오븐 백반 피자</v>
      </c>
      <c r="B8196" s="2" t="str">
        <f>IFERROR(__xludf.DUMMYFUNCTION("""COMPUTED_VALUE"""),"간장")</f>
        <v>간장</v>
      </c>
    </row>
    <row r="8197">
      <c r="A8197" s="2" t="str">
        <f>IFERROR(__xludf.DUMMYFUNCTION("""COMPUTED_VALUE"""),"오븐 백반 피자")</f>
        <v>오븐 백반 피자</v>
      </c>
      <c r="B8197" s="2" t="str">
        <f>IFERROR(__xludf.DUMMYFUNCTION("""COMPUTED_VALUE"""),"다진 마늘")</f>
        <v>다진 마늘</v>
      </c>
    </row>
    <row r="8198">
      <c r="A8198" s="2" t="str">
        <f>IFERROR(__xludf.DUMMYFUNCTION("""COMPUTED_VALUE"""),"오븐 백반 피자")</f>
        <v>오븐 백반 피자</v>
      </c>
      <c r="B8198" s="2" t="str">
        <f>IFERROR(__xludf.DUMMYFUNCTION("""COMPUTED_VALUE"""),"다진 생강")</f>
        <v>다진 생강</v>
      </c>
    </row>
    <row r="8199">
      <c r="A8199" s="2" t="str">
        <f>IFERROR(__xludf.DUMMYFUNCTION("""COMPUTED_VALUE"""),"오븐 백반 피자")</f>
        <v>오븐 백반 피자</v>
      </c>
      <c r="B8199" s="2" t="str">
        <f>IFERROR(__xludf.DUMMYFUNCTION("""COMPUTED_VALUE"""),"전분")</f>
        <v>전분</v>
      </c>
    </row>
    <row r="8200">
      <c r="A8200" s="2" t="str">
        <f>IFERROR(__xludf.DUMMYFUNCTION("""COMPUTED_VALUE"""),"오븐 백반 피자")</f>
        <v>오븐 백반 피자</v>
      </c>
      <c r="B8200" s="2" t="str">
        <f>IFERROR(__xludf.DUMMYFUNCTION("""COMPUTED_VALUE"""),"고추장")</f>
        <v>고추장</v>
      </c>
    </row>
    <row r="8201">
      <c r="A8201" s="2" t="str">
        <f>IFERROR(__xludf.DUMMYFUNCTION("""COMPUTED_VALUE"""),"오븐 백반 피자")</f>
        <v>오븐 백반 피자</v>
      </c>
      <c r="B8201" s="2" t="str">
        <f>IFERROR(__xludf.DUMMYFUNCTION("""COMPUTED_VALUE"""),"설탕")</f>
        <v>설탕</v>
      </c>
    </row>
    <row r="8202">
      <c r="A8202" s="2" t="str">
        <f>IFERROR(__xludf.DUMMYFUNCTION("""COMPUTED_VALUE"""),"오븐 백반 피자")</f>
        <v>오븐 백반 피자</v>
      </c>
      <c r="B8202" s="2" t="str">
        <f>IFERROR(__xludf.DUMMYFUNCTION("""COMPUTED_VALUE"""),"마요네즈")</f>
        <v>마요네즈</v>
      </c>
    </row>
    <row r="8203">
      <c r="A8203" s="2" t="str">
        <f>IFERROR(__xludf.DUMMYFUNCTION("""COMPUTED_VALUE"""),"브런치 도둑님")</f>
        <v>브런치 도둑님</v>
      </c>
      <c r="B8203" s="2" t="str">
        <f>IFERROR(__xludf.DUMMYFUNCTION("""COMPUTED_VALUE"""),"감자")</f>
        <v>감자</v>
      </c>
    </row>
    <row r="8204">
      <c r="A8204" s="2" t="str">
        <f>IFERROR(__xludf.DUMMYFUNCTION("""COMPUTED_VALUE"""),"브런치 도둑님")</f>
        <v>브런치 도둑님</v>
      </c>
      <c r="B8204" s="2" t="str">
        <f>IFERROR(__xludf.DUMMYFUNCTION("""COMPUTED_VALUE"""),"포도")</f>
        <v>포도</v>
      </c>
    </row>
    <row r="8205">
      <c r="A8205" s="2" t="str">
        <f>IFERROR(__xludf.DUMMYFUNCTION("""COMPUTED_VALUE"""),"브런치 도둑님")</f>
        <v>브런치 도둑님</v>
      </c>
      <c r="B8205" s="2" t="str">
        <f>IFERROR(__xludf.DUMMYFUNCTION("""COMPUTED_VALUE"""),"요거트")</f>
        <v>요거트</v>
      </c>
    </row>
    <row r="8206">
      <c r="A8206" s="2" t="str">
        <f>IFERROR(__xludf.DUMMYFUNCTION("""COMPUTED_VALUE"""),"브런치 도둑님")</f>
        <v>브런치 도둑님</v>
      </c>
      <c r="B8206" s="2" t="str">
        <f>IFERROR(__xludf.DUMMYFUNCTION("""COMPUTED_VALUE"""),"칼라만시 원액")</f>
        <v>칼라만시 원액</v>
      </c>
    </row>
    <row r="8207">
      <c r="A8207" s="2" t="str">
        <f>IFERROR(__xludf.DUMMYFUNCTION("""COMPUTED_VALUE"""),"브런치 도둑님")</f>
        <v>브런치 도둑님</v>
      </c>
      <c r="B8207" s="2" t="str">
        <f>IFERROR(__xludf.DUMMYFUNCTION("""COMPUTED_VALUE"""),"양배추")</f>
        <v>양배추</v>
      </c>
    </row>
    <row r="8208">
      <c r="A8208" s="2" t="str">
        <f>IFERROR(__xludf.DUMMYFUNCTION("""COMPUTED_VALUE"""),"브런치 도둑님")</f>
        <v>브런치 도둑님</v>
      </c>
      <c r="B8208" s="2" t="str">
        <f>IFERROR(__xludf.DUMMYFUNCTION("""COMPUTED_VALUE"""),"달걀")</f>
        <v>달걀</v>
      </c>
    </row>
    <row r="8209">
      <c r="A8209" s="2" t="str">
        <f>IFERROR(__xludf.DUMMYFUNCTION("""COMPUTED_VALUE"""),"브런치 도둑님")</f>
        <v>브런치 도둑님</v>
      </c>
      <c r="B8209" s="2" t="str">
        <f>IFERROR(__xludf.DUMMYFUNCTION("""COMPUTED_VALUE"""),"식빵")</f>
        <v>식빵</v>
      </c>
    </row>
    <row r="8210">
      <c r="A8210" s="2" t="str">
        <f>IFERROR(__xludf.DUMMYFUNCTION("""COMPUTED_VALUE"""),"브런치 도둑님")</f>
        <v>브런치 도둑님</v>
      </c>
      <c r="B8210" s="2" t="str">
        <f>IFERROR(__xludf.DUMMYFUNCTION("""COMPUTED_VALUE"""),"슬라이스체다치즈")</f>
        <v>슬라이스체다치즈</v>
      </c>
    </row>
    <row r="8211">
      <c r="A8211" s="2" t="str">
        <f>IFERROR(__xludf.DUMMYFUNCTION("""COMPUTED_VALUE"""),"브런치 도둑님")</f>
        <v>브런치 도둑님</v>
      </c>
      <c r="B8211" s="2" t="str">
        <f>IFERROR(__xludf.DUMMYFUNCTION("""COMPUTED_VALUE"""),"소금")</f>
        <v>소금</v>
      </c>
    </row>
    <row r="8212">
      <c r="A8212" s="2" t="str">
        <f>IFERROR(__xludf.DUMMYFUNCTION("""COMPUTED_VALUE"""),"브런치 도둑님")</f>
        <v>브런치 도둑님</v>
      </c>
      <c r="B8212" s="2" t="str">
        <f>IFERROR(__xludf.DUMMYFUNCTION("""COMPUTED_VALUE"""),"마요네즈")</f>
        <v>마요네즈</v>
      </c>
    </row>
    <row r="8213">
      <c r="A8213" s="2" t="str">
        <f>IFERROR(__xludf.DUMMYFUNCTION("""COMPUTED_VALUE"""),"브런치 도둑님")</f>
        <v>브런치 도둑님</v>
      </c>
      <c r="B8213" s="2" t="str">
        <f>IFERROR(__xludf.DUMMYFUNCTION("""COMPUTED_VALUE"""),"후추")</f>
        <v>후추</v>
      </c>
    </row>
    <row r="8214">
      <c r="A8214" s="2" t="str">
        <f>IFERROR(__xludf.DUMMYFUNCTION("""COMPUTED_VALUE"""),"브런치 도둑님")</f>
        <v>브런치 도둑님</v>
      </c>
      <c r="B8214" s="2" t="str">
        <f>IFERROR(__xludf.DUMMYFUNCTION("""COMPUTED_VALUE"""),"올리브오일")</f>
        <v>올리브오일</v>
      </c>
    </row>
    <row r="8215">
      <c r="A8215" s="2" t="str">
        <f>IFERROR(__xludf.DUMMYFUNCTION("""COMPUTED_VALUE"""),"브런치 도둑님")</f>
        <v>브런치 도둑님</v>
      </c>
      <c r="B8215" s="2" t="str">
        <f>IFERROR(__xludf.DUMMYFUNCTION("""COMPUTED_VALUE"""),"당근")</f>
        <v>당근</v>
      </c>
    </row>
    <row r="8216">
      <c r="A8216" s="2" t="str">
        <f>IFERROR(__xludf.DUMMYFUNCTION("""COMPUTED_VALUE"""),"브런치 도둑님")</f>
        <v>브런치 도둑님</v>
      </c>
      <c r="B8216" s="2" t="str">
        <f>IFERROR(__xludf.DUMMYFUNCTION("""COMPUTED_VALUE"""),"버터")</f>
        <v>버터</v>
      </c>
    </row>
    <row r="8217">
      <c r="A8217" s="2" t="str">
        <f>IFERROR(__xludf.DUMMYFUNCTION("""COMPUTED_VALUE"""),"브런치 도둑님")</f>
        <v>브런치 도둑님</v>
      </c>
      <c r="B8217" s="2" t="str">
        <f>IFERROR(__xludf.DUMMYFUNCTION("""COMPUTED_VALUE"""),"레몬")</f>
        <v>레몬</v>
      </c>
    </row>
    <row r="8218">
      <c r="A8218" s="2" t="str">
        <f>IFERROR(__xludf.DUMMYFUNCTION("""COMPUTED_VALUE"""),"불런치")</f>
        <v>불런치</v>
      </c>
      <c r="B8218" s="2" t="str">
        <f>IFERROR(__xludf.DUMMYFUNCTION("""COMPUTED_VALUE"""),"감자")</f>
        <v>감자</v>
      </c>
    </row>
    <row r="8219">
      <c r="A8219" s="2" t="str">
        <f>IFERROR(__xludf.DUMMYFUNCTION("""COMPUTED_VALUE"""),"불런치")</f>
        <v>불런치</v>
      </c>
      <c r="B8219" s="2" t="str">
        <f>IFERROR(__xludf.DUMMYFUNCTION("""COMPUTED_VALUE"""),"소고기 등심")</f>
        <v>소고기 등심</v>
      </c>
    </row>
    <row r="8220">
      <c r="A8220" s="2" t="str">
        <f>IFERROR(__xludf.DUMMYFUNCTION("""COMPUTED_VALUE"""),"불런치")</f>
        <v>불런치</v>
      </c>
      <c r="B8220" s="2" t="str">
        <f>IFERROR(__xludf.DUMMYFUNCTION("""COMPUTED_VALUE"""),"달걀")</f>
        <v>달걀</v>
      </c>
    </row>
    <row r="8221">
      <c r="A8221" s="2" t="str">
        <f>IFERROR(__xludf.DUMMYFUNCTION("""COMPUTED_VALUE"""),"불런치")</f>
        <v>불런치</v>
      </c>
      <c r="B8221" s="2" t="str">
        <f>IFERROR(__xludf.DUMMYFUNCTION("""COMPUTED_VALUE"""),"허니머스터드소스")</f>
        <v>허니머스터드소스</v>
      </c>
    </row>
    <row r="8222">
      <c r="A8222" s="2" t="str">
        <f>IFERROR(__xludf.DUMMYFUNCTION("""COMPUTED_VALUE"""),"불런치")</f>
        <v>불런치</v>
      </c>
      <c r="B8222" s="2" t="str">
        <f>IFERROR(__xludf.DUMMYFUNCTION("""COMPUTED_VALUE"""),"마늘")</f>
        <v>마늘</v>
      </c>
    </row>
    <row r="8223">
      <c r="A8223" s="2" t="str">
        <f>IFERROR(__xludf.DUMMYFUNCTION("""COMPUTED_VALUE"""),"불런치")</f>
        <v>불런치</v>
      </c>
      <c r="B8223" s="2" t="str">
        <f>IFERROR(__xludf.DUMMYFUNCTION("""COMPUTED_VALUE"""),"후추")</f>
        <v>후추</v>
      </c>
    </row>
    <row r="8224">
      <c r="A8224" s="2" t="str">
        <f>IFERROR(__xludf.DUMMYFUNCTION("""COMPUTED_VALUE"""),"불런치")</f>
        <v>불런치</v>
      </c>
      <c r="B8224" s="2" t="str">
        <f>IFERROR(__xludf.DUMMYFUNCTION("""COMPUTED_VALUE"""),"간장")</f>
        <v>간장</v>
      </c>
    </row>
    <row r="8225">
      <c r="A8225" s="2" t="str">
        <f>IFERROR(__xludf.DUMMYFUNCTION("""COMPUTED_VALUE"""),"불런치")</f>
        <v>불런치</v>
      </c>
      <c r="B8225" s="2" t="str">
        <f>IFERROR(__xludf.DUMMYFUNCTION("""COMPUTED_VALUE"""),"레몬")</f>
        <v>레몬</v>
      </c>
    </row>
    <row r="8226">
      <c r="A8226" s="2" t="str">
        <f>IFERROR(__xludf.DUMMYFUNCTION("""COMPUTED_VALUE"""),"불런치")</f>
        <v>불런치</v>
      </c>
      <c r="B8226" s="2" t="str">
        <f>IFERROR(__xludf.DUMMYFUNCTION("""COMPUTED_VALUE"""),"밀가루")</f>
        <v>밀가루</v>
      </c>
    </row>
    <row r="8227">
      <c r="A8227" s="2" t="str">
        <f>IFERROR(__xludf.DUMMYFUNCTION("""COMPUTED_VALUE"""),"불런치")</f>
        <v>불런치</v>
      </c>
      <c r="B8227" s="2" t="str">
        <f>IFERROR(__xludf.DUMMYFUNCTION("""COMPUTED_VALUE"""),"소금")</f>
        <v>소금</v>
      </c>
    </row>
    <row r="8228">
      <c r="A8228" s="2" t="str">
        <f>IFERROR(__xludf.DUMMYFUNCTION("""COMPUTED_VALUE"""),"불런치")</f>
        <v>불런치</v>
      </c>
      <c r="B8228" s="2" t="str">
        <f>IFERROR(__xludf.DUMMYFUNCTION("""COMPUTED_VALUE"""),"케첩")</f>
        <v>케첩</v>
      </c>
    </row>
    <row r="8229">
      <c r="A8229" s="2" t="str">
        <f>IFERROR(__xludf.DUMMYFUNCTION("""COMPUTED_VALUE"""),"귀한 만찬")</f>
        <v>귀한 만찬</v>
      </c>
      <c r="B8229" s="2" t="str">
        <f>IFERROR(__xludf.DUMMYFUNCTION("""COMPUTED_VALUE"""),"고춧가루")</f>
        <v>고춧가루</v>
      </c>
    </row>
    <row r="8230">
      <c r="A8230" s="2" t="str">
        <f>IFERROR(__xludf.DUMMYFUNCTION("""COMPUTED_VALUE"""),"귀한 만찬")</f>
        <v>귀한 만찬</v>
      </c>
      <c r="B8230" s="2" t="str">
        <f>IFERROR(__xludf.DUMMYFUNCTION("""COMPUTED_VALUE"""),"낙지")</f>
        <v>낙지</v>
      </c>
    </row>
    <row r="8231">
      <c r="A8231" s="2" t="str">
        <f>IFERROR(__xludf.DUMMYFUNCTION("""COMPUTED_VALUE"""),"귀한 만찬")</f>
        <v>귀한 만찬</v>
      </c>
      <c r="B8231" s="2" t="str">
        <f>IFERROR(__xludf.DUMMYFUNCTION("""COMPUTED_VALUE"""),"애호박")</f>
        <v>애호박</v>
      </c>
    </row>
    <row r="8232">
      <c r="A8232" s="2" t="str">
        <f>IFERROR(__xludf.DUMMYFUNCTION("""COMPUTED_VALUE"""),"귀한 만찬")</f>
        <v>귀한 만찬</v>
      </c>
      <c r="B8232" s="2" t="str">
        <f>IFERROR(__xludf.DUMMYFUNCTION("""COMPUTED_VALUE"""),"꽈리고추")</f>
        <v>꽈리고추</v>
      </c>
    </row>
    <row r="8233">
      <c r="A8233" s="2" t="str">
        <f>IFERROR(__xludf.DUMMYFUNCTION("""COMPUTED_VALUE"""),"귀한 만찬")</f>
        <v>귀한 만찬</v>
      </c>
      <c r="B8233" s="2" t="str">
        <f>IFERROR(__xludf.DUMMYFUNCTION("""COMPUTED_VALUE"""),"파프리카")</f>
        <v>파프리카</v>
      </c>
    </row>
    <row r="8234">
      <c r="A8234" s="2" t="str">
        <f>IFERROR(__xludf.DUMMYFUNCTION("""COMPUTED_VALUE"""),"귀한 만찬")</f>
        <v>귀한 만찬</v>
      </c>
      <c r="B8234" s="2" t="str">
        <f>IFERROR(__xludf.DUMMYFUNCTION("""COMPUTED_VALUE"""),"양배추")</f>
        <v>양배추</v>
      </c>
    </row>
    <row r="8235">
      <c r="A8235" s="2" t="str">
        <f>IFERROR(__xludf.DUMMYFUNCTION("""COMPUTED_VALUE"""),"귀한 만찬")</f>
        <v>귀한 만찬</v>
      </c>
      <c r="B8235" s="2" t="str">
        <f>IFERROR(__xludf.DUMMYFUNCTION("""COMPUTED_VALUE"""),"삼겹살")</f>
        <v>삼겹살</v>
      </c>
    </row>
    <row r="8236">
      <c r="A8236" s="2" t="str">
        <f>IFERROR(__xludf.DUMMYFUNCTION("""COMPUTED_VALUE"""),"귀한 만찬")</f>
        <v>귀한 만찬</v>
      </c>
      <c r="B8236" s="2" t="str">
        <f>IFERROR(__xludf.DUMMYFUNCTION("""COMPUTED_VALUE"""),"매실장아찌")</f>
        <v>매실장아찌</v>
      </c>
    </row>
    <row r="8237">
      <c r="A8237" s="2" t="str">
        <f>IFERROR(__xludf.DUMMYFUNCTION("""COMPUTED_VALUE"""),"귀한 만찬")</f>
        <v>귀한 만찬</v>
      </c>
      <c r="B8237" s="2" t="str">
        <f>IFERROR(__xludf.DUMMYFUNCTION("""COMPUTED_VALUE"""),"밀가루")</f>
        <v>밀가루</v>
      </c>
    </row>
    <row r="8238">
      <c r="A8238" s="2" t="str">
        <f>IFERROR(__xludf.DUMMYFUNCTION("""COMPUTED_VALUE"""),"귀한 만찬")</f>
        <v>귀한 만찬</v>
      </c>
      <c r="B8238" s="2" t="str">
        <f>IFERROR(__xludf.DUMMYFUNCTION("""COMPUTED_VALUE"""),"소금")</f>
        <v>소금</v>
      </c>
    </row>
    <row r="8239">
      <c r="A8239" s="2" t="str">
        <f>IFERROR(__xludf.DUMMYFUNCTION("""COMPUTED_VALUE"""),"귀한 만찬")</f>
        <v>귀한 만찬</v>
      </c>
      <c r="B8239" s="2" t="str">
        <f>IFERROR(__xludf.DUMMYFUNCTION("""COMPUTED_VALUE"""),"대파")</f>
        <v>대파</v>
      </c>
    </row>
    <row r="8240">
      <c r="A8240" s="2" t="str">
        <f>IFERROR(__xludf.DUMMYFUNCTION("""COMPUTED_VALUE"""),"귀한 만찬")</f>
        <v>귀한 만찬</v>
      </c>
      <c r="B8240" s="2" t="str">
        <f>IFERROR(__xludf.DUMMYFUNCTION("""COMPUTED_VALUE"""),"양파")</f>
        <v>양파</v>
      </c>
    </row>
    <row r="8241">
      <c r="A8241" s="2" t="str">
        <f>IFERROR(__xludf.DUMMYFUNCTION("""COMPUTED_VALUE"""),"귀한 만찬")</f>
        <v>귀한 만찬</v>
      </c>
      <c r="B8241" s="2" t="str">
        <f>IFERROR(__xludf.DUMMYFUNCTION("""COMPUTED_VALUE"""),"전분")</f>
        <v>전분</v>
      </c>
    </row>
    <row r="8242">
      <c r="A8242" s="2" t="str">
        <f>IFERROR(__xludf.DUMMYFUNCTION("""COMPUTED_VALUE"""),"귀한 만찬")</f>
        <v>귀한 만찬</v>
      </c>
      <c r="B8242" s="2" t="str">
        <f>IFERROR(__xludf.DUMMYFUNCTION("""COMPUTED_VALUE"""),"달걀")</f>
        <v>달걀</v>
      </c>
    </row>
    <row r="8243">
      <c r="A8243" s="2" t="str">
        <f>IFERROR(__xludf.DUMMYFUNCTION("""COMPUTED_VALUE"""),"귀한 만찬")</f>
        <v>귀한 만찬</v>
      </c>
      <c r="B8243" s="2" t="str">
        <f>IFERROR(__xludf.DUMMYFUNCTION("""COMPUTED_VALUE"""),"마늘")</f>
        <v>마늘</v>
      </c>
    </row>
    <row r="8244">
      <c r="A8244" s="2" t="str">
        <f>IFERROR(__xludf.DUMMYFUNCTION("""COMPUTED_VALUE"""),"귀한 만찬")</f>
        <v>귀한 만찬</v>
      </c>
      <c r="B8244" s="2" t="str">
        <f>IFERROR(__xludf.DUMMYFUNCTION("""COMPUTED_VALUE"""),"간장")</f>
        <v>간장</v>
      </c>
    </row>
    <row r="8245">
      <c r="A8245" s="2" t="str">
        <f>IFERROR(__xludf.DUMMYFUNCTION("""COMPUTED_VALUE"""),"귀한 만찬")</f>
        <v>귀한 만찬</v>
      </c>
      <c r="B8245" s="2" t="str">
        <f>IFERROR(__xludf.DUMMYFUNCTION("""COMPUTED_VALUE"""),"설탕")</f>
        <v>설탕</v>
      </c>
    </row>
    <row r="8246">
      <c r="A8246" s="2" t="str">
        <f>IFERROR(__xludf.DUMMYFUNCTION("""COMPUTED_VALUE"""),"데리만족")</f>
        <v>데리만족</v>
      </c>
      <c r="B8246" s="2" t="str">
        <f>IFERROR(__xludf.DUMMYFUNCTION("""COMPUTED_VALUE"""),"아보카도")</f>
        <v>아보카도</v>
      </c>
    </row>
    <row r="8247">
      <c r="A8247" s="2" t="str">
        <f>IFERROR(__xludf.DUMMYFUNCTION("""COMPUTED_VALUE"""),"데리만족")</f>
        <v>데리만족</v>
      </c>
      <c r="B8247" s="2" t="str">
        <f>IFERROR(__xludf.DUMMYFUNCTION("""COMPUTED_VALUE"""),"식빵")</f>
        <v>식빵</v>
      </c>
    </row>
    <row r="8248">
      <c r="A8248" s="2" t="str">
        <f>IFERROR(__xludf.DUMMYFUNCTION("""COMPUTED_VALUE"""),"데리만족")</f>
        <v>데리만족</v>
      </c>
      <c r="B8248" s="2" t="str">
        <f>IFERROR(__xludf.DUMMYFUNCTION("""COMPUTED_VALUE"""),"소고기 안심")</f>
        <v>소고기 안심</v>
      </c>
    </row>
    <row r="8249">
      <c r="A8249" s="2" t="str">
        <f>IFERROR(__xludf.DUMMYFUNCTION("""COMPUTED_VALUE"""),"데리만족")</f>
        <v>데리만족</v>
      </c>
      <c r="B8249" s="2" t="str">
        <f>IFERROR(__xludf.DUMMYFUNCTION("""COMPUTED_VALUE"""),"삼겹살")</f>
        <v>삼겹살</v>
      </c>
    </row>
    <row r="8250">
      <c r="A8250" s="2" t="str">
        <f>IFERROR(__xludf.DUMMYFUNCTION("""COMPUTED_VALUE"""),"데리만족")</f>
        <v>데리만족</v>
      </c>
      <c r="B8250" s="2" t="str">
        <f>IFERROR(__xludf.DUMMYFUNCTION("""COMPUTED_VALUE"""),"닭안심")</f>
        <v>닭안심</v>
      </c>
    </row>
    <row r="8251">
      <c r="A8251" s="2" t="str">
        <f>IFERROR(__xludf.DUMMYFUNCTION("""COMPUTED_VALUE"""),"데리만족")</f>
        <v>데리만족</v>
      </c>
      <c r="B8251" s="2" t="str">
        <f>IFERROR(__xludf.DUMMYFUNCTION("""COMPUTED_VALUE"""),"파프리카")</f>
        <v>파프리카</v>
      </c>
    </row>
    <row r="8252">
      <c r="A8252" s="2" t="str">
        <f>IFERROR(__xludf.DUMMYFUNCTION("""COMPUTED_VALUE"""),"데리만족")</f>
        <v>데리만족</v>
      </c>
      <c r="B8252" s="2" t="str">
        <f>IFERROR(__xludf.DUMMYFUNCTION("""COMPUTED_VALUE"""),"떡")</f>
        <v>떡</v>
      </c>
    </row>
    <row r="8253">
      <c r="A8253" s="2" t="str">
        <f>IFERROR(__xludf.DUMMYFUNCTION("""COMPUTED_VALUE"""),"데리만족")</f>
        <v>데리만족</v>
      </c>
      <c r="B8253" s="2" t="str">
        <f>IFERROR(__xludf.DUMMYFUNCTION("""COMPUTED_VALUE"""),"마늘")</f>
        <v>마늘</v>
      </c>
    </row>
    <row r="8254">
      <c r="A8254" s="2" t="str">
        <f>IFERROR(__xludf.DUMMYFUNCTION("""COMPUTED_VALUE"""),"데리만족")</f>
        <v>데리만족</v>
      </c>
      <c r="B8254" s="2" t="str">
        <f>IFERROR(__xludf.DUMMYFUNCTION("""COMPUTED_VALUE"""),"간장")</f>
        <v>간장</v>
      </c>
    </row>
    <row r="8255">
      <c r="A8255" s="2" t="str">
        <f>IFERROR(__xludf.DUMMYFUNCTION("""COMPUTED_VALUE"""),"데리만족")</f>
        <v>데리만족</v>
      </c>
      <c r="B8255" s="2" t="str">
        <f>IFERROR(__xludf.DUMMYFUNCTION("""COMPUTED_VALUE"""),"맛술")</f>
        <v>맛술</v>
      </c>
    </row>
    <row r="8256">
      <c r="A8256" s="2" t="str">
        <f>IFERROR(__xludf.DUMMYFUNCTION("""COMPUTED_VALUE"""),"데리만족")</f>
        <v>데리만족</v>
      </c>
      <c r="B8256" s="2" t="str">
        <f>IFERROR(__xludf.DUMMYFUNCTION("""COMPUTED_VALUE"""),"청주")</f>
        <v>청주</v>
      </c>
    </row>
    <row r="8257">
      <c r="A8257" s="2" t="str">
        <f>IFERROR(__xludf.DUMMYFUNCTION("""COMPUTED_VALUE"""),"데리만족")</f>
        <v>데리만족</v>
      </c>
      <c r="B8257" s="2" t="str">
        <f>IFERROR(__xludf.DUMMYFUNCTION("""COMPUTED_VALUE"""),"설탕")</f>
        <v>설탕</v>
      </c>
    </row>
    <row r="8258">
      <c r="A8258" s="2" t="str">
        <f>IFERROR(__xludf.DUMMYFUNCTION("""COMPUTED_VALUE"""),"데리만족")</f>
        <v>데리만족</v>
      </c>
      <c r="B8258" s="2" t="str">
        <f>IFERROR(__xludf.DUMMYFUNCTION("""COMPUTED_VALUE"""),"청양고추")</f>
        <v>청양고추</v>
      </c>
    </row>
    <row r="8259">
      <c r="A8259" s="2" t="str">
        <f>IFERROR(__xludf.DUMMYFUNCTION("""COMPUTED_VALUE"""),"데리만족")</f>
        <v>데리만족</v>
      </c>
      <c r="B8259" s="2" t="str">
        <f>IFERROR(__xludf.DUMMYFUNCTION("""COMPUTED_VALUE"""),"양파")</f>
        <v>양파</v>
      </c>
    </row>
    <row r="8260">
      <c r="A8260" s="2" t="str">
        <f>IFERROR(__xludf.DUMMYFUNCTION("""COMPUTED_VALUE"""),"데리만족")</f>
        <v>데리만족</v>
      </c>
      <c r="B8260" s="2" t="str">
        <f>IFERROR(__xludf.DUMMYFUNCTION("""COMPUTED_VALUE"""),"마요네즈")</f>
        <v>마요네즈</v>
      </c>
    </row>
    <row r="8261">
      <c r="A8261" s="2" t="str">
        <f>IFERROR(__xludf.DUMMYFUNCTION("""COMPUTED_VALUE"""),"데리만족")</f>
        <v>데리만족</v>
      </c>
      <c r="B8261" s="2" t="str">
        <f>IFERROR(__xludf.DUMMYFUNCTION("""COMPUTED_VALUE"""),"소금")</f>
        <v>소금</v>
      </c>
    </row>
    <row r="8262">
      <c r="A8262" s="2" t="str">
        <f>IFERROR(__xludf.DUMMYFUNCTION("""COMPUTED_VALUE"""),"데리만족")</f>
        <v>데리만족</v>
      </c>
      <c r="B8262" s="2" t="str">
        <f>IFERROR(__xludf.DUMMYFUNCTION("""COMPUTED_VALUE"""),"레몬")</f>
        <v>레몬</v>
      </c>
    </row>
    <row r="8263">
      <c r="A8263" s="2" t="str">
        <f>IFERROR(__xludf.DUMMYFUNCTION("""COMPUTED_VALUE"""),"데리만족")</f>
        <v>데리만족</v>
      </c>
      <c r="B8263" s="2" t="str">
        <f>IFERROR(__xludf.DUMMYFUNCTION("""COMPUTED_VALUE"""),"달걀")</f>
        <v>달걀</v>
      </c>
    </row>
    <row r="8264">
      <c r="A8264" s="2" t="str">
        <f>IFERROR(__xludf.DUMMYFUNCTION("""COMPUTED_VALUE"""),"데리만족")</f>
        <v>데리만족</v>
      </c>
      <c r="B8264" s="2" t="str">
        <f>IFERROR(__xludf.DUMMYFUNCTION("""COMPUTED_VALUE"""),"고춧가루")</f>
        <v>고춧가루</v>
      </c>
    </row>
    <row r="8265">
      <c r="A8265" s="2" t="str">
        <f>IFERROR(__xludf.DUMMYFUNCTION("""COMPUTED_VALUE"""),"장금이 브런치")</f>
        <v>장금이 브런치</v>
      </c>
      <c r="B8265" s="2" t="str">
        <f>IFERROR(__xludf.DUMMYFUNCTION("""COMPUTED_VALUE"""),"오이")</f>
        <v>오이</v>
      </c>
    </row>
    <row r="8266">
      <c r="A8266" s="2" t="str">
        <f>IFERROR(__xludf.DUMMYFUNCTION("""COMPUTED_VALUE"""),"장금이 브런치")</f>
        <v>장금이 브런치</v>
      </c>
      <c r="B8266" s="2" t="str">
        <f>IFERROR(__xludf.DUMMYFUNCTION("""COMPUTED_VALUE"""),"소고기 안심")</f>
        <v>소고기 안심</v>
      </c>
    </row>
    <row r="8267">
      <c r="A8267" s="2" t="str">
        <f>IFERROR(__xludf.DUMMYFUNCTION("""COMPUTED_VALUE"""),"장금이 브런치")</f>
        <v>장금이 브런치</v>
      </c>
      <c r="B8267" s="2" t="str">
        <f>IFERROR(__xludf.DUMMYFUNCTION("""COMPUTED_VALUE"""),"감자")</f>
        <v>감자</v>
      </c>
    </row>
    <row r="8268">
      <c r="A8268" s="2" t="str">
        <f>IFERROR(__xludf.DUMMYFUNCTION("""COMPUTED_VALUE"""),"장금이 브런치")</f>
        <v>장금이 브런치</v>
      </c>
      <c r="B8268" s="2" t="str">
        <f>IFERROR(__xludf.DUMMYFUNCTION("""COMPUTED_VALUE"""),"양상추")</f>
        <v>양상추</v>
      </c>
    </row>
    <row r="8269">
      <c r="A8269" s="2" t="str">
        <f>IFERROR(__xludf.DUMMYFUNCTION("""COMPUTED_VALUE"""),"장금이 브런치")</f>
        <v>장금이 브런치</v>
      </c>
      <c r="B8269" s="2" t="str">
        <f>IFERROR(__xludf.DUMMYFUNCTION("""COMPUTED_VALUE"""),"된장")</f>
        <v>된장</v>
      </c>
    </row>
    <row r="8270">
      <c r="A8270" s="2" t="str">
        <f>IFERROR(__xludf.DUMMYFUNCTION("""COMPUTED_VALUE"""),"장금이 브런치")</f>
        <v>장금이 브런치</v>
      </c>
      <c r="B8270" s="2" t="str">
        <f>IFERROR(__xludf.DUMMYFUNCTION("""COMPUTED_VALUE"""),"파프리카")</f>
        <v>파프리카</v>
      </c>
    </row>
    <row r="8271">
      <c r="A8271" s="2" t="str">
        <f>IFERROR(__xludf.DUMMYFUNCTION("""COMPUTED_VALUE"""),"장금이 브런치")</f>
        <v>장금이 브런치</v>
      </c>
      <c r="B8271" s="2" t="str">
        <f>IFERROR(__xludf.DUMMYFUNCTION("""COMPUTED_VALUE"""),"꽈리고추찜")</f>
        <v>꽈리고추찜</v>
      </c>
    </row>
    <row r="8272">
      <c r="A8272" s="2" t="str">
        <f>IFERROR(__xludf.DUMMYFUNCTION("""COMPUTED_VALUE"""),"장금이 브런치")</f>
        <v>장금이 브런치</v>
      </c>
      <c r="B8272" s="2" t="str">
        <f>IFERROR(__xludf.DUMMYFUNCTION("""COMPUTED_VALUE"""),"자숙문어")</f>
        <v>자숙문어</v>
      </c>
    </row>
    <row r="8273">
      <c r="A8273" s="2" t="str">
        <f>IFERROR(__xludf.DUMMYFUNCTION("""COMPUTED_VALUE"""),"장금이 브런치")</f>
        <v>장금이 브런치</v>
      </c>
      <c r="B8273" s="2" t="str">
        <f>IFERROR(__xludf.DUMMYFUNCTION("""COMPUTED_VALUE"""),"고추장")</f>
        <v>고추장</v>
      </c>
    </row>
    <row r="8274">
      <c r="A8274" s="2" t="str">
        <f>IFERROR(__xludf.DUMMYFUNCTION("""COMPUTED_VALUE"""),"장금이 브런치")</f>
        <v>장금이 브런치</v>
      </c>
      <c r="B8274" s="2" t="str">
        <f>IFERROR(__xludf.DUMMYFUNCTION("""COMPUTED_VALUE"""),"매실장아찌")</f>
        <v>매실장아찌</v>
      </c>
    </row>
    <row r="8275">
      <c r="A8275" s="2" t="str">
        <f>IFERROR(__xludf.DUMMYFUNCTION("""COMPUTED_VALUE"""),"장금이 브런치")</f>
        <v>장금이 브런치</v>
      </c>
      <c r="B8275" s="2" t="str">
        <f>IFERROR(__xludf.DUMMYFUNCTION("""COMPUTED_VALUE"""),"채소피클")</f>
        <v>채소피클</v>
      </c>
    </row>
    <row r="8276">
      <c r="A8276" s="2" t="str">
        <f>IFERROR(__xludf.DUMMYFUNCTION("""COMPUTED_VALUE"""),"장금이 브런치")</f>
        <v>장금이 브런치</v>
      </c>
      <c r="B8276" s="2" t="str">
        <f>IFERROR(__xludf.DUMMYFUNCTION("""COMPUTED_VALUE"""),"카스텔라")</f>
        <v>카스텔라</v>
      </c>
    </row>
    <row r="8277">
      <c r="A8277" s="2" t="str">
        <f>IFERROR(__xludf.DUMMYFUNCTION("""COMPUTED_VALUE"""),"장금이 브런치")</f>
        <v>장금이 브런치</v>
      </c>
      <c r="B8277" s="2" t="str">
        <f>IFERROR(__xludf.DUMMYFUNCTION("""COMPUTED_VALUE"""),"콩가루")</f>
        <v>콩가루</v>
      </c>
    </row>
    <row r="8278">
      <c r="A8278" s="2" t="str">
        <f>IFERROR(__xludf.DUMMYFUNCTION("""COMPUTED_VALUE"""),"장금이 브런치")</f>
        <v>장금이 브런치</v>
      </c>
      <c r="B8278" s="2" t="str">
        <f>IFERROR(__xludf.DUMMYFUNCTION("""COMPUTED_VALUE"""),"참기름")</f>
        <v>참기름</v>
      </c>
    </row>
    <row r="8279">
      <c r="A8279" s="2" t="str">
        <f>IFERROR(__xludf.DUMMYFUNCTION("""COMPUTED_VALUE"""),"장금이 브런치")</f>
        <v>장금이 브런치</v>
      </c>
      <c r="B8279" s="2" t="str">
        <f>IFERROR(__xludf.DUMMYFUNCTION("""COMPUTED_VALUE"""),"다진 마늘")</f>
        <v>다진 마늘</v>
      </c>
    </row>
    <row r="8280">
      <c r="A8280" s="2" t="str">
        <f>IFERROR(__xludf.DUMMYFUNCTION("""COMPUTED_VALUE"""),"장금이 브런치")</f>
        <v>장금이 브런치</v>
      </c>
      <c r="B8280" s="2" t="str">
        <f>IFERROR(__xludf.DUMMYFUNCTION("""COMPUTED_VALUE"""),"소금")</f>
        <v>소금</v>
      </c>
    </row>
    <row r="8281">
      <c r="A8281" s="2" t="str">
        <f>IFERROR(__xludf.DUMMYFUNCTION("""COMPUTED_VALUE"""),"장금이 브런치")</f>
        <v>장금이 브런치</v>
      </c>
      <c r="B8281" s="2" t="str">
        <f>IFERROR(__xludf.DUMMYFUNCTION("""COMPUTED_VALUE"""),"밀가루")</f>
        <v>밀가루</v>
      </c>
    </row>
    <row r="8282">
      <c r="A8282" s="2" t="str">
        <f>IFERROR(__xludf.DUMMYFUNCTION("""COMPUTED_VALUE"""),"장금이 브런치")</f>
        <v>장금이 브런치</v>
      </c>
      <c r="B8282" s="2" t="str">
        <f>IFERROR(__xludf.DUMMYFUNCTION("""COMPUTED_VALUE"""),"전분")</f>
        <v>전분</v>
      </c>
    </row>
    <row r="8283">
      <c r="A8283" s="2" t="str">
        <f>IFERROR(__xludf.DUMMYFUNCTION("""COMPUTED_VALUE"""),"장금이 브런치")</f>
        <v>장금이 브런치</v>
      </c>
      <c r="B8283" s="2" t="str">
        <f>IFERROR(__xludf.DUMMYFUNCTION("""COMPUTED_VALUE"""),"즉석밥")</f>
        <v>즉석밥</v>
      </c>
    </row>
    <row r="8284">
      <c r="A8284" s="2" t="str">
        <f>IFERROR(__xludf.DUMMYFUNCTION("""COMPUTED_VALUE"""),"장금이 브런치")</f>
        <v>장금이 브런치</v>
      </c>
      <c r="B8284" s="2" t="str">
        <f>IFERROR(__xludf.DUMMYFUNCTION("""COMPUTED_VALUE"""),"깨")</f>
        <v>깨</v>
      </c>
    </row>
    <row r="8285">
      <c r="A8285" s="2" t="str">
        <f>IFERROR(__xludf.DUMMYFUNCTION("""COMPUTED_VALUE"""),"장금이 브런치")</f>
        <v>장금이 브런치</v>
      </c>
      <c r="B8285" s="2" t="str">
        <f>IFERROR(__xludf.DUMMYFUNCTION("""COMPUTED_VALUE"""),"설탕")</f>
        <v>설탕</v>
      </c>
    </row>
    <row r="8286">
      <c r="A8286" s="2" t="str">
        <f>IFERROR(__xludf.DUMMYFUNCTION("""COMPUTED_VALUE"""),"거침없이 불고기")</f>
        <v>거침없이 불고기</v>
      </c>
      <c r="B8286" s="2" t="str">
        <f>IFERROR(__xludf.DUMMYFUNCTION("""COMPUTED_VALUE"""),"가지")</f>
        <v>가지</v>
      </c>
    </row>
    <row r="8287">
      <c r="A8287" s="2" t="str">
        <f>IFERROR(__xludf.DUMMYFUNCTION("""COMPUTED_VALUE"""),"거침없이 불고기")</f>
        <v>거침없이 불고기</v>
      </c>
      <c r="B8287" s="2" t="str">
        <f>IFERROR(__xludf.DUMMYFUNCTION("""COMPUTED_VALUE"""),"무")</f>
        <v>무</v>
      </c>
    </row>
    <row r="8288">
      <c r="A8288" s="2" t="str">
        <f>IFERROR(__xludf.DUMMYFUNCTION("""COMPUTED_VALUE"""),"거침없이 불고기")</f>
        <v>거침없이 불고기</v>
      </c>
      <c r="B8288" s="2" t="str">
        <f>IFERROR(__xludf.DUMMYFUNCTION("""COMPUTED_VALUE"""),"불고기용 소고기")</f>
        <v>불고기용 소고기</v>
      </c>
    </row>
    <row r="8289">
      <c r="A8289" s="2" t="str">
        <f>IFERROR(__xludf.DUMMYFUNCTION("""COMPUTED_VALUE"""),"거침없이 불고기")</f>
        <v>거침없이 불고기</v>
      </c>
      <c r="B8289" s="2" t="str">
        <f>IFERROR(__xludf.DUMMYFUNCTION("""COMPUTED_VALUE"""),"콩나물")</f>
        <v>콩나물</v>
      </c>
    </row>
    <row r="8290">
      <c r="A8290" s="2" t="str">
        <f>IFERROR(__xludf.DUMMYFUNCTION("""COMPUTED_VALUE"""),"거침없이 불고기")</f>
        <v>거침없이 불고기</v>
      </c>
      <c r="B8290" s="2" t="str">
        <f>IFERROR(__xludf.DUMMYFUNCTION("""COMPUTED_VALUE"""),"오이")</f>
        <v>오이</v>
      </c>
    </row>
    <row r="8291">
      <c r="A8291" s="2" t="str">
        <f>IFERROR(__xludf.DUMMYFUNCTION("""COMPUTED_VALUE"""),"거침없이 불고기")</f>
        <v>거침없이 불고기</v>
      </c>
      <c r="B8291" s="2" t="str">
        <f>IFERROR(__xludf.DUMMYFUNCTION("""COMPUTED_VALUE"""),"팽이버섯")</f>
        <v>팽이버섯</v>
      </c>
    </row>
    <row r="8292">
      <c r="A8292" s="2" t="str">
        <f>IFERROR(__xludf.DUMMYFUNCTION("""COMPUTED_VALUE"""),"거침없이 불고기")</f>
        <v>거침없이 불고기</v>
      </c>
      <c r="B8292" s="2" t="str">
        <f>IFERROR(__xludf.DUMMYFUNCTION("""COMPUTED_VALUE"""),"소금")</f>
        <v>소금</v>
      </c>
    </row>
    <row r="8293">
      <c r="A8293" s="2" t="str">
        <f>IFERROR(__xludf.DUMMYFUNCTION("""COMPUTED_VALUE"""),"거침없이 불고기")</f>
        <v>거침없이 불고기</v>
      </c>
      <c r="B8293" s="2" t="str">
        <f>IFERROR(__xludf.DUMMYFUNCTION("""COMPUTED_VALUE"""),"식초")</f>
        <v>식초</v>
      </c>
    </row>
    <row r="8294">
      <c r="A8294" s="2" t="str">
        <f>IFERROR(__xludf.DUMMYFUNCTION("""COMPUTED_VALUE"""),"거침없이 불고기")</f>
        <v>거침없이 불고기</v>
      </c>
      <c r="B8294" s="2" t="str">
        <f>IFERROR(__xludf.DUMMYFUNCTION("""COMPUTED_VALUE"""),"설탕")</f>
        <v>설탕</v>
      </c>
    </row>
    <row r="8295">
      <c r="A8295" s="2" t="str">
        <f>IFERROR(__xludf.DUMMYFUNCTION("""COMPUTED_VALUE"""),"거침없이 불고기")</f>
        <v>거침없이 불고기</v>
      </c>
      <c r="B8295" s="2" t="str">
        <f>IFERROR(__xludf.DUMMYFUNCTION("""COMPUTED_VALUE"""),"다진 마늘")</f>
        <v>다진 마늘</v>
      </c>
    </row>
    <row r="8296">
      <c r="A8296" s="2" t="str">
        <f>IFERROR(__xludf.DUMMYFUNCTION("""COMPUTED_VALUE"""),"거침없이 불고기")</f>
        <v>거침없이 불고기</v>
      </c>
      <c r="B8296" s="2" t="str">
        <f>IFERROR(__xludf.DUMMYFUNCTION("""COMPUTED_VALUE"""),"맛술")</f>
        <v>맛술</v>
      </c>
    </row>
    <row r="8297">
      <c r="A8297" s="2" t="str">
        <f>IFERROR(__xludf.DUMMYFUNCTION("""COMPUTED_VALUE"""),"거침없이 불고기")</f>
        <v>거침없이 불고기</v>
      </c>
      <c r="B8297" s="2" t="str">
        <f>IFERROR(__xludf.DUMMYFUNCTION("""COMPUTED_VALUE"""),"청주")</f>
        <v>청주</v>
      </c>
    </row>
    <row r="8298">
      <c r="A8298" s="2" t="str">
        <f>IFERROR(__xludf.DUMMYFUNCTION("""COMPUTED_VALUE"""),"거침없이 불고기")</f>
        <v>거침없이 불고기</v>
      </c>
      <c r="B8298" s="2" t="str">
        <f>IFERROR(__xludf.DUMMYFUNCTION("""COMPUTED_VALUE"""),"간장")</f>
        <v>간장</v>
      </c>
    </row>
    <row r="8299">
      <c r="A8299" s="2" t="str">
        <f>IFERROR(__xludf.DUMMYFUNCTION("""COMPUTED_VALUE"""),"거침없이 불고기")</f>
        <v>거침없이 불고기</v>
      </c>
      <c r="B8299" s="2" t="str">
        <f>IFERROR(__xludf.DUMMYFUNCTION("""COMPUTED_VALUE"""),"참기름")</f>
        <v>참기름</v>
      </c>
    </row>
    <row r="8300">
      <c r="A8300" s="2" t="str">
        <f>IFERROR(__xludf.DUMMYFUNCTION("""COMPUTED_VALUE"""),"거침없이 불고기")</f>
        <v>거침없이 불고기</v>
      </c>
      <c r="B8300" s="2" t="str">
        <f>IFERROR(__xludf.DUMMYFUNCTION("""COMPUTED_VALUE"""),"대파")</f>
        <v>대파</v>
      </c>
    </row>
    <row r="8301">
      <c r="A8301" s="2" t="str">
        <f>IFERROR(__xludf.DUMMYFUNCTION("""COMPUTED_VALUE"""),"거침없이 불고기")</f>
        <v>거침없이 불고기</v>
      </c>
      <c r="B8301" s="2" t="str">
        <f>IFERROR(__xludf.DUMMYFUNCTION("""COMPUTED_VALUE"""),"즉석밥")</f>
        <v>즉석밥</v>
      </c>
    </row>
    <row r="8302">
      <c r="A8302" s="2" t="str">
        <f>IFERROR(__xludf.DUMMYFUNCTION("""COMPUTED_VALUE"""),"거침없이 불고기")</f>
        <v>거침없이 불고기</v>
      </c>
      <c r="B8302" s="2" t="str">
        <f>IFERROR(__xludf.DUMMYFUNCTION("""COMPUTED_VALUE"""),"깨")</f>
        <v>깨</v>
      </c>
    </row>
    <row r="8303">
      <c r="A8303" s="2" t="str">
        <f>IFERROR(__xludf.DUMMYFUNCTION("""COMPUTED_VALUE"""),"거침없이 불고기")</f>
        <v>거침없이 불고기</v>
      </c>
      <c r="B8303" s="2" t="str">
        <f>IFERROR(__xludf.DUMMYFUNCTION("""COMPUTED_VALUE"""),"청고추")</f>
        <v>청고추</v>
      </c>
    </row>
    <row r="8304">
      <c r="A8304" s="2" t="str">
        <f>IFERROR(__xludf.DUMMYFUNCTION("""COMPUTED_VALUE"""),"거침없이 불고기")</f>
        <v>거침없이 불고기</v>
      </c>
      <c r="B8304" s="2" t="str">
        <f>IFERROR(__xludf.DUMMYFUNCTION("""COMPUTED_VALUE"""),"홍고추")</f>
        <v>홍고추</v>
      </c>
    </row>
    <row r="8305">
      <c r="A8305" s="2" t="str">
        <f>IFERROR(__xludf.DUMMYFUNCTION("""COMPUTED_VALUE"""),"거침없이 불고기")</f>
        <v>거침없이 불고기</v>
      </c>
      <c r="B8305" s="2" t="str">
        <f>IFERROR(__xludf.DUMMYFUNCTION("""COMPUTED_VALUE"""),"당근")</f>
        <v>당근</v>
      </c>
    </row>
    <row r="8306">
      <c r="A8306" s="2" t="str">
        <f>IFERROR(__xludf.DUMMYFUNCTION("""COMPUTED_VALUE"""),"거침없이 불고기")</f>
        <v>거침없이 불고기</v>
      </c>
      <c r="B8306" s="2" t="str">
        <f>IFERROR(__xludf.DUMMYFUNCTION("""COMPUTED_VALUE"""),"달걀")</f>
        <v>달걀</v>
      </c>
    </row>
    <row r="8307">
      <c r="A8307" s="2" t="str">
        <f>IFERROR(__xludf.DUMMYFUNCTION("""COMPUTED_VALUE"""),"젓갈볶음밥을 잘 만드는 남자♬")</f>
        <v>젓갈볶음밥을 잘 만드는 남자♬</v>
      </c>
      <c r="B8307" s="2" t="str">
        <f>IFERROR(__xludf.DUMMYFUNCTION("""COMPUTED_VALUE"""),"새우")</f>
        <v>새우</v>
      </c>
    </row>
    <row r="8308">
      <c r="A8308" s="2" t="str">
        <f>IFERROR(__xludf.DUMMYFUNCTION("""COMPUTED_VALUE"""),"젓갈볶음밥을 잘 만드는 남자♬")</f>
        <v>젓갈볶음밥을 잘 만드는 남자♬</v>
      </c>
      <c r="B8308" s="2" t="str">
        <f>IFERROR(__xludf.DUMMYFUNCTION("""COMPUTED_VALUE"""),"랍스터")</f>
        <v>랍스터</v>
      </c>
    </row>
    <row r="8309">
      <c r="A8309" s="2" t="str">
        <f>IFERROR(__xludf.DUMMYFUNCTION("""COMPUTED_VALUE"""),"젓갈볶음밥을 잘 만드는 남자♬")</f>
        <v>젓갈볶음밥을 잘 만드는 남자♬</v>
      </c>
      <c r="B8309" s="2" t="str">
        <f>IFERROR(__xludf.DUMMYFUNCTION("""COMPUTED_VALUE"""),"깻잎")</f>
        <v>깻잎</v>
      </c>
    </row>
    <row r="8310">
      <c r="A8310" s="2" t="str">
        <f>IFERROR(__xludf.DUMMYFUNCTION("""COMPUTED_VALUE"""),"젓갈볶음밥을 잘 만드는 남자♬")</f>
        <v>젓갈볶음밥을 잘 만드는 남자♬</v>
      </c>
      <c r="B8310" s="2" t="str">
        <f>IFERROR(__xludf.DUMMYFUNCTION("""COMPUTED_VALUE"""),"자숙피꼬막")</f>
        <v>자숙피꼬막</v>
      </c>
    </row>
    <row r="8311">
      <c r="A8311" s="2" t="str">
        <f>IFERROR(__xludf.DUMMYFUNCTION("""COMPUTED_VALUE"""),"젓갈볶음밥을 잘 만드는 남자♬")</f>
        <v>젓갈볶음밥을 잘 만드는 남자♬</v>
      </c>
      <c r="B8311" s="2" t="str">
        <f>IFERROR(__xludf.DUMMYFUNCTION("""COMPUTED_VALUE"""),"순태젓")</f>
        <v>순태젓</v>
      </c>
    </row>
    <row r="8312">
      <c r="A8312" s="2" t="str">
        <f>IFERROR(__xludf.DUMMYFUNCTION("""COMPUTED_VALUE"""),"젓갈볶음밥을 잘 만드는 남자♬")</f>
        <v>젓갈볶음밥을 잘 만드는 남자♬</v>
      </c>
      <c r="B8312" s="2" t="str">
        <f>IFERROR(__xludf.DUMMYFUNCTION("""COMPUTED_VALUE"""),"가리비젓")</f>
        <v>가리비젓</v>
      </c>
    </row>
    <row r="8313">
      <c r="A8313" s="2" t="str">
        <f>IFERROR(__xludf.DUMMYFUNCTION("""COMPUTED_VALUE"""),"젓갈볶음밥을 잘 만드는 남자♬")</f>
        <v>젓갈볶음밥을 잘 만드는 남자♬</v>
      </c>
      <c r="B8313" s="2" t="str">
        <f>IFERROR(__xludf.DUMMYFUNCTION("""COMPUTED_VALUE"""),"굴")</f>
        <v>굴</v>
      </c>
    </row>
    <row r="8314">
      <c r="A8314" s="2" t="str">
        <f>IFERROR(__xludf.DUMMYFUNCTION("""COMPUTED_VALUE"""),"젓갈볶음밥을 잘 만드는 남자♬")</f>
        <v>젓갈볶음밥을 잘 만드는 남자♬</v>
      </c>
      <c r="B8314" s="2" t="str">
        <f>IFERROR(__xludf.DUMMYFUNCTION("""COMPUTED_VALUE"""),"산초가루")</f>
        <v>산초가루</v>
      </c>
    </row>
    <row r="8315">
      <c r="A8315" s="2" t="str">
        <f>IFERROR(__xludf.DUMMYFUNCTION("""COMPUTED_VALUE"""),"젓갈볶음밥을 잘 만드는 남자♬")</f>
        <v>젓갈볶음밥을 잘 만드는 남자♬</v>
      </c>
      <c r="B8315" s="2" t="str">
        <f>IFERROR(__xludf.DUMMYFUNCTION("""COMPUTED_VALUE"""),"포도")</f>
        <v>포도</v>
      </c>
    </row>
    <row r="8316">
      <c r="A8316" s="2" t="str">
        <f>IFERROR(__xludf.DUMMYFUNCTION("""COMPUTED_VALUE"""),"젓갈볶음밥을 잘 만드는 남자♬")</f>
        <v>젓갈볶음밥을 잘 만드는 남자♬</v>
      </c>
      <c r="B8316" s="2" t="str">
        <f>IFERROR(__xludf.DUMMYFUNCTION("""COMPUTED_VALUE"""),"양파")</f>
        <v>양파</v>
      </c>
    </row>
    <row r="8317">
      <c r="A8317" s="2" t="str">
        <f>IFERROR(__xludf.DUMMYFUNCTION("""COMPUTED_VALUE"""),"젓갈볶음밥을 잘 만드는 남자♬")</f>
        <v>젓갈볶음밥을 잘 만드는 남자♬</v>
      </c>
      <c r="B8317" s="2" t="str">
        <f>IFERROR(__xludf.DUMMYFUNCTION("""COMPUTED_VALUE"""),"마늘")</f>
        <v>마늘</v>
      </c>
    </row>
    <row r="8318">
      <c r="A8318" s="2" t="str">
        <f>IFERROR(__xludf.DUMMYFUNCTION("""COMPUTED_VALUE"""),"젓갈볶음밥을 잘 만드는 남자♬")</f>
        <v>젓갈볶음밥을 잘 만드는 남자♬</v>
      </c>
      <c r="B8318" s="2" t="str">
        <f>IFERROR(__xludf.DUMMYFUNCTION("""COMPUTED_VALUE"""),"레몬")</f>
        <v>레몬</v>
      </c>
    </row>
    <row r="8319">
      <c r="A8319" s="2" t="str">
        <f>IFERROR(__xludf.DUMMYFUNCTION("""COMPUTED_VALUE"""),"젓갈볶음밥을 잘 만드는 남자♬")</f>
        <v>젓갈볶음밥을 잘 만드는 남자♬</v>
      </c>
      <c r="B8319" s="2" t="str">
        <f>IFERROR(__xludf.DUMMYFUNCTION("""COMPUTED_VALUE"""),"소금")</f>
        <v>소금</v>
      </c>
    </row>
    <row r="8320">
      <c r="A8320" s="2" t="str">
        <f>IFERROR(__xludf.DUMMYFUNCTION("""COMPUTED_VALUE"""),"젓갈볶음밥을 잘 만드는 남자♬")</f>
        <v>젓갈볶음밥을 잘 만드는 남자♬</v>
      </c>
      <c r="B8320" s="2" t="str">
        <f>IFERROR(__xludf.DUMMYFUNCTION("""COMPUTED_VALUE"""),"대파")</f>
        <v>대파</v>
      </c>
    </row>
    <row r="8321">
      <c r="A8321" s="2" t="str">
        <f>IFERROR(__xludf.DUMMYFUNCTION("""COMPUTED_VALUE"""),"젓갈볶음밥을 잘 만드는 남자♬")</f>
        <v>젓갈볶음밥을 잘 만드는 남자♬</v>
      </c>
      <c r="B8321" s="2" t="str">
        <f>IFERROR(__xludf.DUMMYFUNCTION("""COMPUTED_VALUE"""),"고추")</f>
        <v>고추</v>
      </c>
    </row>
    <row r="8322">
      <c r="A8322" s="2" t="str">
        <f>IFERROR(__xludf.DUMMYFUNCTION("""COMPUTED_VALUE"""),"젓갈볶음밥을 잘 만드는 남자♬")</f>
        <v>젓갈볶음밥을 잘 만드는 남자♬</v>
      </c>
      <c r="B8322" s="2" t="str">
        <f>IFERROR(__xludf.DUMMYFUNCTION("""COMPUTED_VALUE"""),"맛술")</f>
        <v>맛술</v>
      </c>
    </row>
    <row r="8323">
      <c r="A8323" s="2" t="str">
        <f>IFERROR(__xludf.DUMMYFUNCTION("""COMPUTED_VALUE"""),"젓갈볶음밥을 잘 만드는 남자♬")</f>
        <v>젓갈볶음밥을 잘 만드는 남자♬</v>
      </c>
      <c r="B8323" s="2" t="str">
        <f>IFERROR(__xludf.DUMMYFUNCTION("""COMPUTED_VALUE"""),"즉석밥")</f>
        <v>즉석밥</v>
      </c>
    </row>
    <row r="8324">
      <c r="A8324" s="2" t="str">
        <f>IFERROR(__xludf.DUMMYFUNCTION("""COMPUTED_VALUE"""),"젓갈볶음밥을 잘 만드는 남자♬")</f>
        <v>젓갈볶음밥을 잘 만드는 남자♬</v>
      </c>
      <c r="B8324" s="2" t="str">
        <f>IFERROR(__xludf.DUMMYFUNCTION("""COMPUTED_VALUE"""),"들기름")</f>
        <v>들기름</v>
      </c>
    </row>
    <row r="8325">
      <c r="A8325" s="2" t="str">
        <f>IFERROR(__xludf.DUMMYFUNCTION("""COMPUTED_VALUE"""),"젓갈볶음밥을 잘 만드는 남자♬")</f>
        <v>젓갈볶음밥을 잘 만드는 남자♬</v>
      </c>
      <c r="B8325" s="2" t="str">
        <f>IFERROR(__xludf.DUMMYFUNCTION("""COMPUTED_VALUE"""),"깨")</f>
        <v>깨</v>
      </c>
    </row>
    <row r="8326">
      <c r="A8326" s="2" t="str">
        <f>IFERROR(__xludf.DUMMYFUNCTION("""COMPUTED_VALUE"""),"젓갈볶음밥을 잘 만드는 남자♬")</f>
        <v>젓갈볶음밥을 잘 만드는 남자♬</v>
      </c>
      <c r="B8326" s="2" t="str">
        <f>IFERROR(__xludf.DUMMYFUNCTION("""COMPUTED_VALUE"""),"후추")</f>
        <v>후추</v>
      </c>
    </row>
    <row r="8327">
      <c r="A8327" s="2" t="str">
        <f>IFERROR(__xludf.DUMMYFUNCTION("""COMPUTED_VALUE"""),"젓갈볶음밥을 잘 만드는 남자♬")</f>
        <v>젓갈볶음밥을 잘 만드는 남자♬</v>
      </c>
      <c r="B8327" s="2" t="str">
        <f>IFERROR(__xludf.DUMMYFUNCTION("""COMPUTED_VALUE"""),"올리브오일")</f>
        <v>올리브오일</v>
      </c>
    </row>
    <row r="8328">
      <c r="A8328" s="2" t="str">
        <f>IFERROR(__xludf.DUMMYFUNCTION("""COMPUTED_VALUE"""),"갈치 많이 먹어도 배 안 나오는 남자♬")</f>
        <v>갈치 많이 먹어도 배 안 나오는 남자♬</v>
      </c>
      <c r="B8328" s="2" t="str">
        <f>IFERROR(__xludf.DUMMYFUNCTION("""COMPUTED_VALUE"""),"전복")</f>
        <v>전복</v>
      </c>
    </row>
    <row r="8329">
      <c r="A8329" s="2" t="str">
        <f>IFERROR(__xludf.DUMMYFUNCTION("""COMPUTED_VALUE"""),"갈치 많이 먹어도 배 안 나오는 남자♬")</f>
        <v>갈치 많이 먹어도 배 안 나오는 남자♬</v>
      </c>
      <c r="B8329" s="2" t="str">
        <f>IFERROR(__xludf.DUMMYFUNCTION("""COMPUTED_VALUE"""),"갈치")</f>
        <v>갈치</v>
      </c>
    </row>
    <row r="8330">
      <c r="A8330" s="2" t="str">
        <f>IFERROR(__xludf.DUMMYFUNCTION("""COMPUTED_VALUE"""),"갈치 많이 먹어도 배 안 나오는 남자♬")</f>
        <v>갈치 많이 먹어도 배 안 나오는 남자♬</v>
      </c>
      <c r="B8330" s="2" t="str">
        <f>IFERROR(__xludf.DUMMYFUNCTION("""COMPUTED_VALUE"""),"랍스터")</f>
        <v>랍스터</v>
      </c>
    </row>
    <row r="8331">
      <c r="A8331" s="2" t="str">
        <f>IFERROR(__xludf.DUMMYFUNCTION("""COMPUTED_VALUE"""),"갈치 많이 먹어도 배 안 나오는 남자♬")</f>
        <v>갈치 많이 먹어도 배 안 나오는 남자♬</v>
      </c>
      <c r="B8331" s="2" t="str">
        <f>IFERROR(__xludf.DUMMYFUNCTION("""COMPUTED_VALUE"""),"성게알")</f>
        <v>성게알</v>
      </c>
    </row>
    <row r="8332">
      <c r="A8332" s="2" t="str">
        <f>IFERROR(__xludf.DUMMYFUNCTION("""COMPUTED_VALUE"""),"갈치 많이 먹어도 배 안 나오는 남자♬")</f>
        <v>갈치 많이 먹어도 배 안 나오는 남자♬</v>
      </c>
      <c r="B8332" s="2" t="str">
        <f>IFERROR(__xludf.DUMMYFUNCTION("""COMPUTED_VALUE"""),"새우")</f>
        <v>새우</v>
      </c>
    </row>
    <row r="8333">
      <c r="A8333" s="2" t="str">
        <f>IFERROR(__xludf.DUMMYFUNCTION("""COMPUTED_VALUE"""),"갈치 많이 먹어도 배 안 나오는 남자♬")</f>
        <v>갈치 많이 먹어도 배 안 나오는 남자♬</v>
      </c>
      <c r="B8333" s="2" t="str">
        <f>IFERROR(__xludf.DUMMYFUNCTION("""COMPUTED_VALUE"""),"전복내장")</f>
        <v>전복내장</v>
      </c>
    </row>
    <row r="8334">
      <c r="A8334" s="2" t="str">
        <f>IFERROR(__xludf.DUMMYFUNCTION("""COMPUTED_VALUE"""),"갈치 많이 먹어도 배 안 나오는 남자♬")</f>
        <v>갈치 많이 먹어도 배 안 나오는 남자♬</v>
      </c>
      <c r="B8334" s="2" t="str">
        <f>IFERROR(__xludf.DUMMYFUNCTION("""COMPUTED_VALUE"""),"맛간장")</f>
        <v>맛간장</v>
      </c>
    </row>
    <row r="8335">
      <c r="A8335" s="2" t="str">
        <f>IFERROR(__xludf.DUMMYFUNCTION("""COMPUTED_VALUE"""),"갈치 많이 먹어도 배 안 나오는 남자♬")</f>
        <v>갈치 많이 먹어도 배 안 나오는 남자♬</v>
      </c>
      <c r="B8335" s="2" t="str">
        <f>IFERROR(__xludf.DUMMYFUNCTION("""COMPUTED_VALUE"""),"깻잎")</f>
        <v>깻잎</v>
      </c>
    </row>
    <row r="8336">
      <c r="A8336" s="2" t="str">
        <f>IFERROR(__xludf.DUMMYFUNCTION("""COMPUTED_VALUE"""),"갈치 많이 먹어도 배 안 나오는 남자♬")</f>
        <v>갈치 많이 먹어도 배 안 나오는 남자♬</v>
      </c>
      <c r="B8336" s="2" t="str">
        <f>IFERROR(__xludf.DUMMYFUNCTION("""COMPUTED_VALUE"""),"청주")</f>
        <v>청주</v>
      </c>
    </row>
    <row r="8337">
      <c r="A8337" s="2" t="str">
        <f>IFERROR(__xludf.DUMMYFUNCTION("""COMPUTED_VALUE"""),"갈치 많이 먹어도 배 안 나오는 남자♬")</f>
        <v>갈치 많이 먹어도 배 안 나오는 남자♬</v>
      </c>
      <c r="B8337" s="2" t="str">
        <f>IFERROR(__xludf.DUMMYFUNCTION("""COMPUTED_VALUE"""),"전분")</f>
        <v>전분</v>
      </c>
    </row>
    <row r="8338">
      <c r="A8338" s="2" t="str">
        <f>IFERROR(__xludf.DUMMYFUNCTION("""COMPUTED_VALUE"""),"갈치 많이 먹어도 배 안 나오는 남자♬")</f>
        <v>갈치 많이 먹어도 배 안 나오는 남자♬</v>
      </c>
      <c r="B8338" s="2" t="str">
        <f>IFERROR(__xludf.DUMMYFUNCTION("""COMPUTED_VALUE"""),"소금")</f>
        <v>소금</v>
      </c>
    </row>
    <row r="8339">
      <c r="A8339" s="2" t="str">
        <f>IFERROR(__xludf.DUMMYFUNCTION("""COMPUTED_VALUE"""),"갈치 많이 먹어도 배 안 나오는 남자♬")</f>
        <v>갈치 많이 먹어도 배 안 나오는 남자♬</v>
      </c>
      <c r="B8339" s="2" t="str">
        <f>IFERROR(__xludf.DUMMYFUNCTION("""COMPUTED_VALUE"""),"박력분")</f>
        <v>박력분</v>
      </c>
    </row>
    <row r="8340">
      <c r="A8340" s="2" t="str">
        <f>IFERROR(__xludf.DUMMYFUNCTION("""COMPUTED_VALUE"""),"갈치 많이 먹어도 배 안 나오는 남자♬")</f>
        <v>갈치 많이 먹어도 배 안 나오는 남자♬</v>
      </c>
      <c r="B8340" s="2" t="str">
        <f>IFERROR(__xludf.DUMMYFUNCTION("""COMPUTED_VALUE"""),"양파")</f>
        <v>양파</v>
      </c>
    </row>
    <row r="8341">
      <c r="A8341" s="2" t="str">
        <f>IFERROR(__xludf.DUMMYFUNCTION("""COMPUTED_VALUE"""),"갈치 많이 먹어도 배 안 나오는 남자♬")</f>
        <v>갈치 많이 먹어도 배 안 나오는 남자♬</v>
      </c>
      <c r="B8341" s="2" t="str">
        <f>IFERROR(__xludf.DUMMYFUNCTION("""COMPUTED_VALUE"""),"홍고추")</f>
        <v>홍고추</v>
      </c>
    </row>
    <row r="8342">
      <c r="A8342" s="2" t="str">
        <f>IFERROR(__xludf.DUMMYFUNCTION("""COMPUTED_VALUE"""),"갈치 많이 먹어도 배 안 나오는 남자♬")</f>
        <v>갈치 많이 먹어도 배 안 나오는 남자♬</v>
      </c>
      <c r="B8342" s="2" t="str">
        <f>IFERROR(__xludf.DUMMYFUNCTION("""COMPUTED_VALUE"""),"마늘")</f>
        <v>마늘</v>
      </c>
    </row>
    <row r="8343">
      <c r="A8343" s="2" t="str">
        <f>IFERROR(__xludf.DUMMYFUNCTION("""COMPUTED_VALUE"""),"갈치 많이 먹어도 배 안 나오는 남자♬")</f>
        <v>갈치 많이 먹어도 배 안 나오는 남자♬</v>
      </c>
      <c r="B8343" s="2" t="str">
        <f>IFERROR(__xludf.DUMMYFUNCTION("""COMPUTED_VALUE"""),"후추")</f>
        <v>후추</v>
      </c>
    </row>
    <row r="8344">
      <c r="A8344" s="2" t="str">
        <f>IFERROR(__xludf.DUMMYFUNCTION("""COMPUTED_VALUE"""),"갈치 많이 먹어도 배 안 나오는 남자♬")</f>
        <v>갈치 많이 먹어도 배 안 나오는 남자♬</v>
      </c>
      <c r="B8344" s="2" t="str">
        <f>IFERROR(__xludf.DUMMYFUNCTION("""COMPUTED_VALUE"""),"버터")</f>
        <v>버터</v>
      </c>
    </row>
    <row r="8345">
      <c r="A8345" s="2" t="str">
        <f>IFERROR(__xludf.DUMMYFUNCTION("""COMPUTED_VALUE"""),"갈치 많이 먹어도 배 안 나오는 남자♬")</f>
        <v>갈치 많이 먹어도 배 안 나오는 남자♬</v>
      </c>
      <c r="B8345" s="2" t="str">
        <f>IFERROR(__xludf.DUMMYFUNCTION("""COMPUTED_VALUE"""),"달걀")</f>
        <v>달걀</v>
      </c>
    </row>
    <row r="8346">
      <c r="A8346" s="2" t="str">
        <f>IFERROR(__xludf.DUMMYFUNCTION("""COMPUTED_VALUE"""),"갈치 많이 먹어도 배 안 나오는 남자♬")</f>
        <v>갈치 많이 먹어도 배 안 나오는 남자♬</v>
      </c>
      <c r="B8346" s="2" t="str">
        <f>IFERROR(__xludf.DUMMYFUNCTION("""COMPUTED_VALUE"""),"참기름")</f>
        <v>참기름</v>
      </c>
    </row>
    <row r="8347">
      <c r="A8347" s="2" t="str">
        <f>IFERROR(__xludf.DUMMYFUNCTION("""COMPUTED_VALUE"""),"바람은 널 살치게 하네♬")</f>
        <v>바람은 널 살치게 하네♬</v>
      </c>
      <c r="B8347" s="2" t="str">
        <f>IFERROR(__xludf.DUMMYFUNCTION("""COMPUTED_VALUE"""),"살치살")</f>
        <v>살치살</v>
      </c>
    </row>
    <row r="8348">
      <c r="A8348" s="2" t="str">
        <f>IFERROR(__xludf.DUMMYFUNCTION("""COMPUTED_VALUE"""),"바람은 널 살치게 하네♬")</f>
        <v>바람은 널 살치게 하네♬</v>
      </c>
      <c r="B8348" s="2" t="str">
        <f>IFERROR(__xludf.DUMMYFUNCTION("""COMPUTED_VALUE"""),"산초가루")</f>
        <v>산초가루</v>
      </c>
    </row>
    <row r="8349">
      <c r="A8349" s="2" t="str">
        <f>IFERROR(__xludf.DUMMYFUNCTION("""COMPUTED_VALUE"""),"바람은 널 살치게 하네♬")</f>
        <v>바람은 널 살치게 하네♬</v>
      </c>
      <c r="B8349" s="2" t="str">
        <f>IFERROR(__xludf.DUMMYFUNCTION("""COMPUTED_VALUE"""),"도라지청")</f>
        <v>도라지청</v>
      </c>
    </row>
    <row r="8350">
      <c r="A8350" s="2" t="str">
        <f>IFERROR(__xludf.DUMMYFUNCTION("""COMPUTED_VALUE"""),"바람은 널 살치게 하네♬")</f>
        <v>바람은 널 살치게 하네♬</v>
      </c>
      <c r="B8350" s="2" t="str">
        <f>IFERROR(__xludf.DUMMYFUNCTION("""COMPUTED_VALUE"""),"도라지정과")</f>
        <v>도라지정과</v>
      </c>
    </row>
    <row r="8351">
      <c r="A8351" s="2" t="str">
        <f>IFERROR(__xludf.DUMMYFUNCTION("""COMPUTED_VALUE"""),"바람은 널 살치게 하네♬")</f>
        <v>바람은 널 살치게 하네♬</v>
      </c>
      <c r="B8351" s="2" t="str">
        <f>IFERROR(__xludf.DUMMYFUNCTION("""COMPUTED_VALUE"""),"무")</f>
        <v>무</v>
      </c>
    </row>
    <row r="8352">
      <c r="A8352" s="2" t="str">
        <f>IFERROR(__xludf.DUMMYFUNCTION("""COMPUTED_VALUE"""),"바람은 널 살치게 하네♬")</f>
        <v>바람은 널 살치게 하네♬</v>
      </c>
      <c r="B8352" s="2" t="str">
        <f>IFERROR(__xludf.DUMMYFUNCTION("""COMPUTED_VALUE"""),"복분자즙")</f>
        <v>복분자즙</v>
      </c>
    </row>
    <row r="8353">
      <c r="A8353" s="2" t="str">
        <f>IFERROR(__xludf.DUMMYFUNCTION("""COMPUTED_VALUE"""),"바람은 널 살치게 하네♬")</f>
        <v>바람은 널 살치게 하네♬</v>
      </c>
      <c r="B8353" s="2" t="str">
        <f>IFERROR(__xludf.DUMMYFUNCTION("""COMPUTED_VALUE"""),"양상추")</f>
        <v>양상추</v>
      </c>
    </row>
    <row r="8354">
      <c r="A8354" s="2" t="str">
        <f>IFERROR(__xludf.DUMMYFUNCTION("""COMPUTED_VALUE"""),"바람은 널 살치게 하네♬")</f>
        <v>바람은 널 살치게 하네♬</v>
      </c>
      <c r="B8354" s="2" t="str">
        <f>IFERROR(__xludf.DUMMYFUNCTION("""COMPUTED_VALUE"""),"깻순나물무침")</f>
        <v>깻순나물무침</v>
      </c>
    </row>
    <row r="8355">
      <c r="A8355" s="2" t="str">
        <f>IFERROR(__xludf.DUMMYFUNCTION("""COMPUTED_VALUE"""),"바람은 널 살치게 하네♬")</f>
        <v>바람은 널 살치게 하네♬</v>
      </c>
      <c r="B8355" s="2" t="str">
        <f>IFERROR(__xludf.DUMMYFUNCTION("""COMPUTED_VALUE"""),"파김치")</f>
        <v>파김치</v>
      </c>
    </row>
    <row r="8356">
      <c r="A8356" s="2" t="str">
        <f>IFERROR(__xludf.DUMMYFUNCTION("""COMPUTED_VALUE"""),"바람은 널 살치게 하네♬")</f>
        <v>바람은 널 살치게 하네♬</v>
      </c>
      <c r="B8356" s="2" t="str">
        <f>IFERROR(__xludf.DUMMYFUNCTION("""COMPUTED_VALUE"""),"도토리묵")</f>
        <v>도토리묵</v>
      </c>
    </row>
    <row r="8357">
      <c r="A8357" s="2" t="str">
        <f>IFERROR(__xludf.DUMMYFUNCTION("""COMPUTED_VALUE"""),"바람은 널 살치게 하네♬")</f>
        <v>바람은 널 살치게 하네♬</v>
      </c>
      <c r="B8357" s="2" t="str">
        <f>IFERROR(__xludf.DUMMYFUNCTION("""COMPUTED_VALUE"""),"다진고추고기절임")</f>
        <v>다진고추고기절임</v>
      </c>
    </row>
    <row r="8358">
      <c r="A8358" s="2" t="str">
        <f>IFERROR(__xludf.DUMMYFUNCTION("""COMPUTED_VALUE"""),"바람은 널 살치게 하네♬")</f>
        <v>바람은 널 살치게 하네♬</v>
      </c>
      <c r="B8358" s="2" t="str">
        <f>IFERROR(__xludf.DUMMYFUNCTION("""COMPUTED_VALUE"""),"산초장아찌")</f>
        <v>산초장아찌</v>
      </c>
    </row>
    <row r="8359">
      <c r="A8359" s="2" t="str">
        <f>IFERROR(__xludf.DUMMYFUNCTION("""COMPUTED_VALUE"""),"바람은 널 살치게 하네♬")</f>
        <v>바람은 널 살치게 하네♬</v>
      </c>
      <c r="B8359" s="2" t="str">
        <f>IFERROR(__xludf.DUMMYFUNCTION("""COMPUTED_VALUE"""),"오디")</f>
        <v>오디</v>
      </c>
    </row>
    <row r="8360">
      <c r="A8360" s="2" t="str">
        <f>IFERROR(__xludf.DUMMYFUNCTION("""COMPUTED_VALUE"""),"바람은 널 살치게 하네♬")</f>
        <v>바람은 널 살치게 하네♬</v>
      </c>
      <c r="B8360" s="2" t="str">
        <f>IFERROR(__xludf.DUMMYFUNCTION("""COMPUTED_VALUE"""),"양파")</f>
        <v>양파</v>
      </c>
    </row>
    <row r="8361">
      <c r="A8361" s="2" t="str">
        <f>IFERROR(__xludf.DUMMYFUNCTION("""COMPUTED_VALUE"""),"바람은 널 살치게 하네♬")</f>
        <v>바람은 널 살치게 하네♬</v>
      </c>
      <c r="B8361" s="2" t="str">
        <f>IFERROR(__xludf.DUMMYFUNCTION("""COMPUTED_VALUE"""),"대파")</f>
        <v>대파</v>
      </c>
    </row>
    <row r="8362">
      <c r="A8362" s="2" t="str">
        <f>IFERROR(__xludf.DUMMYFUNCTION("""COMPUTED_VALUE"""),"바람은 널 살치게 하네♬")</f>
        <v>바람은 널 살치게 하네♬</v>
      </c>
      <c r="B8362" s="2" t="str">
        <f>IFERROR(__xludf.DUMMYFUNCTION("""COMPUTED_VALUE"""),"설탕")</f>
        <v>설탕</v>
      </c>
    </row>
    <row r="8363">
      <c r="A8363" s="2" t="str">
        <f>IFERROR(__xludf.DUMMYFUNCTION("""COMPUTED_VALUE"""),"바람은 널 살치게 하네♬")</f>
        <v>바람은 널 살치게 하네♬</v>
      </c>
      <c r="B8363" s="2" t="str">
        <f>IFERROR(__xludf.DUMMYFUNCTION("""COMPUTED_VALUE"""),"간장")</f>
        <v>간장</v>
      </c>
    </row>
    <row r="8364">
      <c r="A8364" s="2" t="str">
        <f>IFERROR(__xludf.DUMMYFUNCTION("""COMPUTED_VALUE"""),"바람은 널 살치게 하네♬")</f>
        <v>바람은 널 살치게 하네♬</v>
      </c>
      <c r="B8364" s="2" t="str">
        <f>IFERROR(__xludf.DUMMYFUNCTION("""COMPUTED_VALUE"""),"소금")</f>
        <v>소금</v>
      </c>
    </row>
    <row r="8365">
      <c r="A8365" s="2" t="str">
        <f>IFERROR(__xludf.DUMMYFUNCTION("""COMPUTED_VALUE"""),"바람은 널 살치게 하네♬")</f>
        <v>바람은 널 살치게 하네♬</v>
      </c>
      <c r="B8365" s="2" t="str">
        <f>IFERROR(__xludf.DUMMYFUNCTION("""COMPUTED_VALUE"""),"식초")</f>
        <v>식초</v>
      </c>
    </row>
    <row r="8366">
      <c r="A8366" s="2" t="str">
        <f>IFERROR(__xludf.DUMMYFUNCTION("""COMPUTED_VALUE"""),"바람은 널 살치게 하네♬")</f>
        <v>바람은 널 살치게 하네♬</v>
      </c>
      <c r="B8366" s="2" t="str">
        <f>IFERROR(__xludf.DUMMYFUNCTION("""COMPUTED_VALUE"""),"후추")</f>
        <v>후추</v>
      </c>
    </row>
    <row r="8367">
      <c r="A8367" s="2" t="str">
        <f>IFERROR(__xludf.DUMMYFUNCTION("""COMPUTED_VALUE"""),"바람은 널 살치게 하네♬")</f>
        <v>바람은 널 살치게 하네♬</v>
      </c>
      <c r="B8367" s="2" t="str">
        <f>IFERROR(__xludf.DUMMYFUNCTION("""COMPUTED_VALUE"""),"즉석밥")</f>
        <v>즉석밥</v>
      </c>
    </row>
    <row r="8368">
      <c r="A8368" s="2" t="str">
        <f>IFERROR(__xludf.DUMMYFUNCTION("""COMPUTED_VALUE"""),"난 돼지고기가 좋더라♬")</f>
        <v>난 돼지고기가 좋더라♬</v>
      </c>
      <c r="B8368" s="2" t="str">
        <f>IFERROR(__xludf.DUMMYFUNCTION("""COMPUTED_VALUE"""),"삼겹살")</f>
        <v>삼겹살</v>
      </c>
    </row>
    <row r="8369">
      <c r="A8369" s="2" t="str">
        <f>IFERROR(__xludf.DUMMYFUNCTION("""COMPUTED_VALUE"""),"난 돼지고기가 좋더라♬")</f>
        <v>난 돼지고기가 좋더라♬</v>
      </c>
      <c r="B8369" s="2" t="str">
        <f>IFERROR(__xludf.DUMMYFUNCTION("""COMPUTED_VALUE"""),"무")</f>
        <v>무</v>
      </c>
    </row>
    <row r="8370">
      <c r="A8370" s="2" t="str">
        <f>IFERROR(__xludf.DUMMYFUNCTION("""COMPUTED_VALUE"""),"난 돼지고기가 좋더라♬")</f>
        <v>난 돼지고기가 좋더라♬</v>
      </c>
      <c r="B8370" s="2" t="str">
        <f>IFERROR(__xludf.DUMMYFUNCTION("""COMPUTED_VALUE"""),"산초장아찌")</f>
        <v>산초장아찌</v>
      </c>
    </row>
    <row r="8371">
      <c r="A8371" s="2" t="str">
        <f>IFERROR(__xludf.DUMMYFUNCTION("""COMPUTED_VALUE"""),"난 돼지고기가 좋더라♬")</f>
        <v>난 돼지고기가 좋더라♬</v>
      </c>
      <c r="B8371" s="2" t="str">
        <f>IFERROR(__xludf.DUMMYFUNCTION("""COMPUTED_VALUE"""),"산초가루")</f>
        <v>산초가루</v>
      </c>
    </row>
    <row r="8372">
      <c r="A8372" s="2" t="str">
        <f>IFERROR(__xludf.DUMMYFUNCTION("""COMPUTED_VALUE"""),"난 돼지고기가 좋더라♬")</f>
        <v>난 돼지고기가 좋더라♬</v>
      </c>
      <c r="B8372" s="2" t="str">
        <f>IFERROR(__xludf.DUMMYFUNCTION("""COMPUTED_VALUE"""),"대파")</f>
        <v>대파</v>
      </c>
    </row>
    <row r="8373">
      <c r="A8373" s="2" t="str">
        <f>IFERROR(__xludf.DUMMYFUNCTION("""COMPUTED_VALUE"""),"난 돼지고기가 좋더라♬")</f>
        <v>난 돼지고기가 좋더라♬</v>
      </c>
      <c r="B8373" s="2" t="str">
        <f>IFERROR(__xludf.DUMMYFUNCTION("""COMPUTED_VALUE"""),"마늘")</f>
        <v>마늘</v>
      </c>
    </row>
    <row r="8374">
      <c r="A8374" s="2" t="str">
        <f>IFERROR(__xludf.DUMMYFUNCTION("""COMPUTED_VALUE"""),"난 돼지고기가 좋더라♬")</f>
        <v>난 돼지고기가 좋더라♬</v>
      </c>
      <c r="B8374" s="2" t="str">
        <f>IFERROR(__xludf.DUMMYFUNCTION("""COMPUTED_VALUE"""),"양파")</f>
        <v>양파</v>
      </c>
    </row>
    <row r="8375">
      <c r="A8375" s="2" t="str">
        <f>IFERROR(__xludf.DUMMYFUNCTION("""COMPUTED_VALUE"""),"난 돼지고기가 좋더라♬")</f>
        <v>난 돼지고기가 좋더라♬</v>
      </c>
      <c r="B8375" s="2" t="str">
        <f>IFERROR(__xludf.DUMMYFUNCTION("""COMPUTED_VALUE"""),"간장")</f>
        <v>간장</v>
      </c>
    </row>
    <row r="8376">
      <c r="A8376" s="2" t="str">
        <f>IFERROR(__xludf.DUMMYFUNCTION("""COMPUTED_VALUE"""),"난 돼지고기가 좋더라♬")</f>
        <v>난 돼지고기가 좋더라♬</v>
      </c>
      <c r="B8376" s="2" t="str">
        <f>IFERROR(__xludf.DUMMYFUNCTION("""COMPUTED_VALUE"""),"설탕")</f>
        <v>설탕</v>
      </c>
    </row>
    <row r="8377">
      <c r="A8377" s="2" t="str">
        <f>IFERROR(__xludf.DUMMYFUNCTION("""COMPUTED_VALUE"""),"난 돼지고기가 좋더라♬")</f>
        <v>난 돼지고기가 좋더라♬</v>
      </c>
      <c r="B8377" s="2" t="str">
        <f>IFERROR(__xludf.DUMMYFUNCTION("""COMPUTED_VALUE"""),"식초")</f>
        <v>식초</v>
      </c>
    </row>
    <row r="8378">
      <c r="A8378" s="2" t="str">
        <f>IFERROR(__xludf.DUMMYFUNCTION("""COMPUTED_VALUE"""),"난 돼지고기가 좋더라♬")</f>
        <v>난 돼지고기가 좋더라♬</v>
      </c>
      <c r="B8378" s="2" t="str">
        <f>IFERROR(__xludf.DUMMYFUNCTION("""COMPUTED_VALUE"""),"맛술")</f>
        <v>맛술</v>
      </c>
    </row>
    <row r="8379">
      <c r="A8379" s="2" t="str">
        <f>IFERROR(__xludf.DUMMYFUNCTION("""COMPUTED_VALUE"""),"난 돼지고기가 좋더라♬")</f>
        <v>난 돼지고기가 좋더라♬</v>
      </c>
      <c r="B8379" s="2" t="str">
        <f>IFERROR(__xludf.DUMMYFUNCTION("""COMPUTED_VALUE"""),"들기름")</f>
        <v>들기름</v>
      </c>
    </row>
    <row r="8380">
      <c r="A8380" s="2" t="str">
        <f>IFERROR(__xludf.DUMMYFUNCTION("""COMPUTED_VALUE"""),"난 돼지고기가 좋더라♬")</f>
        <v>난 돼지고기가 좋더라♬</v>
      </c>
      <c r="B8380" s="2" t="str">
        <f>IFERROR(__xludf.DUMMYFUNCTION("""COMPUTED_VALUE"""),"연겨자")</f>
        <v>연겨자</v>
      </c>
    </row>
    <row r="8381">
      <c r="A8381" s="2" t="str">
        <f>IFERROR(__xludf.DUMMYFUNCTION("""COMPUTED_VALUE"""),"난 돼지고기가 좋더라♬")</f>
        <v>난 돼지고기가 좋더라♬</v>
      </c>
      <c r="B8381" s="2" t="str">
        <f>IFERROR(__xludf.DUMMYFUNCTION("""COMPUTED_VALUE"""),"레몬")</f>
        <v>레몬</v>
      </c>
    </row>
    <row r="8382">
      <c r="A8382" s="2" t="str">
        <f>IFERROR(__xludf.DUMMYFUNCTION("""COMPUTED_VALUE"""),"난 돼지고기가 좋더라♬")</f>
        <v>난 돼지고기가 좋더라♬</v>
      </c>
      <c r="B8382" s="2" t="str">
        <f>IFERROR(__xludf.DUMMYFUNCTION("""COMPUTED_VALUE"""),"고춧가루")</f>
        <v>고춧가루</v>
      </c>
    </row>
    <row r="8383">
      <c r="A8383" s="2" t="str">
        <f>IFERROR(__xludf.DUMMYFUNCTION("""COMPUTED_VALUE"""),"난 돼지고기가 좋더라♬")</f>
        <v>난 돼지고기가 좋더라♬</v>
      </c>
      <c r="B8383" s="2" t="str">
        <f>IFERROR(__xludf.DUMMYFUNCTION("""COMPUTED_VALUE"""),"홍고추")</f>
        <v>홍고추</v>
      </c>
    </row>
    <row r="8384">
      <c r="A8384" s="2" t="str">
        <f>IFERROR(__xludf.DUMMYFUNCTION("""COMPUTED_VALUE"""),"난 돼지고기가 좋더라♬")</f>
        <v>난 돼지고기가 좋더라♬</v>
      </c>
      <c r="B8384" s="2" t="str">
        <f>IFERROR(__xludf.DUMMYFUNCTION("""COMPUTED_VALUE"""),"청양고추")</f>
        <v>청양고추</v>
      </c>
    </row>
    <row r="8385">
      <c r="A8385" s="2" t="str">
        <f>IFERROR(__xludf.DUMMYFUNCTION("""COMPUTED_VALUE"""),"채소를 말아요♬")</f>
        <v>채소를 말아요♬</v>
      </c>
      <c r="B8385" s="2" t="str">
        <f>IFERROR(__xludf.DUMMYFUNCTION("""COMPUTED_VALUE"""),"토마토")</f>
        <v>토마토</v>
      </c>
    </row>
    <row r="8386">
      <c r="A8386" s="2" t="str">
        <f>IFERROR(__xludf.DUMMYFUNCTION("""COMPUTED_VALUE"""),"채소를 말아요♬")</f>
        <v>채소를 말아요♬</v>
      </c>
      <c r="B8386" s="2" t="str">
        <f>IFERROR(__xludf.DUMMYFUNCTION("""COMPUTED_VALUE"""),"블랙올리브")</f>
        <v>블랙올리브</v>
      </c>
    </row>
    <row r="8387">
      <c r="A8387" s="2" t="str">
        <f>IFERROR(__xludf.DUMMYFUNCTION("""COMPUTED_VALUE"""),"채소를 말아요♬")</f>
        <v>채소를 말아요♬</v>
      </c>
      <c r="B8387" s="2" t="str">
        <f>IFERROR(__xludf.DUMMYFUNCTION("""COMPUTED_VALUE"""),"코코넛잼")</f>
        <v>코코넛잼</v>
      </c>
    </row>
    <row r="8388">
      <c r="A8388" s="2" t="str">
        <f>IFERROR(__xludf.DUMMYFUNCTION("""COMPUTED_VALUE"""),"채소를 말아요♬")</f>
        <v>채소를 말아요♬</v>
      </c>
      <c r="B8388" s="2" t="str">
        <f>IFERROR(__xludf.DUMMYFUNCTION("""COMPUTED_VALUE"""),"마")</f>
        <v>마</v>
      </c>
    </row>
    <row r="8389">
      <c r="A8389" s="2" t="str">
        <f>IFERROR(__xludf.DUMMYFUNCTION("""COMPUTED_VALUE"""),"채소를 말아요♬")</f>
        <v>채소를 말아요♬</v>
      </c>
      <c r="B8389" s="2" t="str">
        <f>IFERROR(__xludf.DUMMYFUNCTION("""COMPUTED_VALUE"""),"느타리버섯")</f>
        <v>느타리버섯</v>
      </c>
    </row>
    <row r="8390">
      <c r="A8390" s="2" t="str">
        <f>IFERROR(__xludf.DUMMYFUNCTION("""COMPUTED_VALUE"""),"채소를 말아요♬")</f>
        <v>채소를 말아요♬</v>
      </c>
      <c r="B8390" s="2" t="str">
        <f>IFERROR(__xludf.DUMMYFUNCTION("""COMPUTED_VALUE"""),"팽이버섯")</f>
        <v>팽이버섯</v>
      </c>
    </row>
    <row r="8391">
      <c r="A8391" s="2" t="str">
        <f>IFERROR(__xludf.DUMMYFUNCTION("""COMPUTED_VALUE"""),"채소를 말아요♬")</f>
        <v>채소를 말아요♬</v>
      </c>
      <c r="B8391" s="2" t="str">
        <f>IFERROR(__xludf.DUMMYFUNCTION("""COMPUTED_VALUE"""),"밀가루")</f>
        <v>밀가루</v>
      </c>
    </row>
    <row r="8392">
      <c r="A8392" s="2" t="str">
        <f>IFERROR(__xludf.DUMMYFUNCTION("""COMPUTED_VALUE"""),"채소를 말아요♬")</f>
        <v>채소를 말아요♬</v>
      </c>
      <c r="B8392" s="2" t="str">
        <f>IFERROR(__xludf.DUMMYFUNCTION("""COMPUTED_VALUE"""),"달걀")</f>
        <v>달걀</v>
      </c>
    </row>
    <row r="8393">
      <c r="A8393" s="2" t="str">
        <f>IFERROR(__xludf.DUMMYFUNCTION("""COMPUTED_VALUE"""),"채소를 말아요♬")</f>
        <v>채소를 말아요♬</v>
      </c>
      <c r="B8393" s="2" t="str">
        <f>IFERROR(__xludf.DUMMYFUNCTION("""COMPUTED_VALUE"""),"레몬")</f>
        <v>레몬</v>
      </c>
    </row>
    <row r="8394">
      <c r="A8394" s="2" t="str">
        <f>IFERROR(__xludf.DUMMYFUNCTION("""COMPUTED_VALUE"""),"채소를 말아요♬")</f>
        <v>채소를 말아요♬</v>
      </c>
      <c r="B8394" s="2" t="str">
        <f>IFERROR(__xludf.DUMMYFUNCTION("""COMPUTED_VALUE"""),"올리브오일")</f>
        <v>올리브오일</v>
      </c>
    </row>
    <row r="8395">
      <c r="A8395" s="2" t="str">
        <f>IFERROR(__xludf.DUMMYFUNCTION("""COMPUTED_VALUE"""),"채소를 말아요♬")</f>
        <v>채소를 말아요♬</v>
      </c>
      <c r="B8395" s="2" t="str">
        <f>IFERROR(__xludf.DUMMYFUNCTION("""COMPUTED_VALUE"""),"설탕")</f>
        <v>설탕</v>
      </c>
    </row>
    <row r="8396">
      <c r="A8396" s="2" t="str">
        <f>IFERROR(__xludf.DUMMYFUNCTION("""COMPUTED_VALUE"""),"채소를 말아요♬")</f>
        <v>채소를 말아요♬</v>
      </c>
      <c r="B8396" s="2" t="str">
        <f>IFERROR(__xludf.DUMMYFUNCTION("""COMPUTED_VALUE"""),"당근")</f>
        <v>당근</v>
      </c>
    </row>
    <row r="8397">
      <c r="A8397" s="2" t="str">
        <f>IFERROR(__xludf.DUMMYFUNCTION("""COMPUTED_VALUE"""),"채소를 말아요♬")</f>
        <v>채소를 말아요♬</v>
      </c>
      <c r="B8397" s="2" t="str">
        <f>IFERROR(__xludf.DUMMYFUNCTION("""COMPUTED_VALUE"""),"소금")</f>
        <v>소금</v>
      </c>
    </row>
    <row r="8398">
      <c r="A8398" s="2" t="str">
        <f>IFERROR(__xludf.DUMMYFUNCTION("""COMPUTED_VALUE"""),"채소를 말아요♬")</f>
        <v>채소를 말아요♬</v>
      </c>
      <c r="B8398" s="2" t="str">
        <f>IFERROR(__xludf.DUMMYFUNCTION("""COMPUTED_VALUE"""),"후추")</f>
        <v>후추</v>
      </c>
    </row>
    <row r="8399">
      <c r="A8399" s="2" t="str">
        <f>IFERROR(__xludf.DUMMYFUNCTION("""COMPUTED_VALUE"""),"채소를 말아요♬")</f>
        <v>채소를 말아요♬</v>
      </c>
      <c r="B8399" s="2" t="str">
        <f>IFERROR(__xludf.DUMMYFUNCTION("""COMPUTED_VALUE"""),"간장")</f>
        <v>간장</v>
      </c>
    </row>
    <row r="8400">
      <c r="A8400" s="2" t="str">
        <f>IFERROR(__xludf.DUMMYFUNCTION("""COMPUTED_VALUE"""),"채소를 말아요♬")</f>
        <v>채소를 말아요♬</v>
      </c>
      <c r="B8400" s="2" t="str">
        <f>IFERROR(__xludf.DUMMYFUNCTION("""COMPUTED_VALUE"""),"참기름")</f>
        <v>참기름</v>
      </c>
    </row>
    <row r="8401">
      <c r="A8401" s="2" t="str">
        <f>IFERROR(__xludf.DUMMYFUNCTION("""COMPUTED_VALUE"""),"채소를 말아요♬")</f>
        <v>채소를 말아요♬</v>
      </c>
      <c r="B8401" s="2" t="str">
        <f>IFERROR(__xludf.DUMMYFUNCTION("""COMPUTED_VALUE"""),"다진 마늘")</f>
        <v>다진 마늘</v>
      </c>
    </row>
    <row r="8402">
      <c r="A8402" s="2" t="str">
        <f>IFERROR(__xludf.DUMMYFUNCTION("""COMPUTED_VALUE"""),"채소퀸")</f>
        <v>채소퀸</v>
      </c>
      <c r="B8402" s="2" t="str">
        <f>IFERROR(__xludf.DUMMYFUNCTION("""COMPUTED_VALUE"""),"느타리버섯")</f>
        <v>느타리버섯</v>
      </c>
    </row>
    <row r="8403">
      <c r="A8403" s="2" t="str">
        <f>IFERROR(__xludf.DUMMYFUNCTION("""COMPUTED_VALUE"""),"채소퀸")</f>
        <v>채소퀸</v>
      </c>
      <c r="B8403" s="2" t="str">
        <f>IFERROR(__xludf.DUMMYFUNCTION("""COMPUTED_VALUE"""),"표고버섯")</f>
        <v>표고버섯</v>
      </c>
    </row>
    <row r="8404">
      <c r="A8404" s="2" t="str">
        <f>IFERROR(__xludf.DUMMYFUNCTION("""COMPUTED_VALUE"""),"채소퀸")</f>
        <v>채소퀸</v>
      </c>
      <c r="B8404" s="2" t="str">
        <f>IFERROR(__xludf.DUMMYFUNCTION("""COMPUTED_VALUE"""),"토마토")</f>
        <v>토마토</v>
      </c>
    </row>
    <row r="8405">
      <c r="A8405" s="2" t="str">
        <f>IFERROR(__xludf.DUMMYFUNCTION("""COMPUTED_VALUE"""),"채소퀸")</f>
        <v>채소퀸</v>
      </c>
      <c r="B8405" s="2" t="str">
        <f>IFERROR(__xludf.DUMMYFUNCTION("""COMPUTED_VALUE"""),"청양고추소박이")</f>
        <v>청양고추소박이</v>
      </c>
    </row>
    <row r="8406">
      <c r="A8406" s="2" t="str">
        <f>IFERROR(__xludf.DUMMYFUNCTION("""COMPUTED_VALUE"""),"채소퀸")</f>
        <v>채소퀸</v>
      </c>
      <c r="B8406" s="2" t="str">
        <f>IFERROR(__xludf.DUMMYFUNCTION("""COMPUTED_VALUE"""),"블랙올리브")</f>
        <v>블랙올리브</v>
      </c>
    </row>
    <row r="8407">
      <c r="A8407" s="2" t="str">
        <f>IFERROR(__xludf.DUMMYFUNCTION("""COMPUTED_VALUE"""),"채소퀸")</f>
        <v>채소퀸</v>
      </c>
      <c r="B8407" s="2" t="str">
        <f>IFERROR(__xludf.DUMMYFUNCTION("""COMPUTED_VALUE"""),"생모차렐라치즈")</f>
        <v>생모차렐라치즈</v>
      </c>
    </row>
    <row r="8408">
      <c r="A8408" s="2" t="str">
        <f>IFERROR(__xludf.DUMMYFUNCTION("""COMPUTED_VALUE"""),"채소퀸")</f>
        <v>채소퀸</v>
      </c>
      <c r="B8408" s="2" t="str">
        <f>IFERROR(__xludf.DUMMYFUNCTION("""COMPUTED_VALUE"""),"깻잎")</f>
        <v>깻잎</v>
      </c>
    </row>
    <row r="8409">
      <c r="A8409" s="2" t="str">
        <f>IFERROR(__xludf.DUMMYFUNCTION("""COMPUTED_VALUE"""),"채소퀸")</f>
        <v>채소퀸</v>
      </c>
      <c r="B8409" s="2" t="str">
        <f>IFERROR(__xludf.DUMMYFUNCTION("""COMPUTED_VALUE"""),"오이김치")</f>
        <v>오이김치</v>
      </c>
    </row>
    <row r="8410">
      <c r="A8410" s="2" t="str">
        <f>IFERROR(__xludf.DUMMYFUNCTION("""COMPUTED_VALUE"""),"채소퀸")</f>
        <v>채소퀸</v>
      </c>
      <c r="B8410" s="2" t="str">
        <f>IFERROR(__xludf.DUMMYFUNCTION("""COMPUTED_VALUE"""),"버터")</f>
        <v>버터</v>
      </c>
    </row>
    <row r="8411">
      <c r="A8411" s="2" t="str">
        <f>IFERROR(__xludf.DUMMYFUNCTION("""COMPUTED_VALUE"""),"채소퀸")</f>
        <v>채소퀸</v>
      </c>
      <c r="B8411" s="2" t="str">
        <f>IFERROR(__xludf.DUMMYFUNCTION("""COMPUTED_VALUE"""),"간장")</f>
        <v>간장</v>
      </c>
    </row>
    <row r="8412">
      <c r="A8412" s="2" t="str">
        <f>IFERROR(__xludf.DUMMYFUNCTION("""COMPUTED_VALUE"""),"채소퀸")</f>
        <v>채소퀸</v>
      </c>
      <c r="B8412" s="2" t="str">
        <f>IFERROR(__xludf.DUMMYFUNCTION("""COMPUTED_VALUE"""),"마늘")</f>
        <v>마늘</v>
      </c>
    </row>
    <row r="8413">
      <c r="A8413" s="2" t="str">
        <f>IFERROR(__xludf.DUMMYFUNCTION("""COMPUTED_VALUE"""),"채소퀸")</f>
        <v>채소퀸</v>
      </c>
      <c r="B8413" s="2" t="str">
        <f>IFERROR(__xludf.DUMMYFUNCTION("""COMPUTED_VALUE"""),"즉석밥")</f>
        <v>즉석밥</v>
      </c>
    </row>
    <row r="8414">
      <c r="A8414" s="2" t="str">
        <f>IFERROR(__xludf.DUMMYFUNCTION("""COMPUTED_VALUE"""),"채소퀸")</f>
        <v>채소퀸</v>
      </c>
      <c r="B8414" s="2" t="str">
        <f>IFERROR(__xludf.DUMMYFUNCTION("""COMPUTED_VALUE"""),"소금")</f>
        <v>소금</v>
      </c>
    </row>
    <row r="8415">
      <c r="A8415" s="2" t="str">
        <f>IFERROR(__xludf.DUMMYFUNCTION("""COMPUTED_VALUE"""),"채소퀸")</f>
        <v>채소퀸</v>
      </c>
      <c r="B8415" s="2" t="str">
        <f>IFERROR(__xludf.DUMMYFUNCTION("""COMPUTED_VALUE"""),"후추")</f>
        <v>후추</v>
      </c>
    </row>
    <row r="8416">
      <c r="A8416" s="2" t="str">
        <f>IFERROR(__xludf.DUMMYFUNCTION("""COMPUTED_VALUE"""),"완선이는 이걸 먹고 웃지")</f>
        <v>완선이는 이걸 먹고 웃지</v>
      </c>
      <c r="B8416" s="2" t="str">
        <f>IFERROR(__xludf.DUMMYFUNCTION("""COMPUTED_VALUE"""),"소갈빗살")</f>
        <v>소갈빗살</v>
      </c>
    </row>
    <row r="8417">
      <c r="A8417" s="2" t="str">
        <f>IFERROR(__xludf.DUMMYFUNCTION("""COMPUTED_VALUE"""),"완선이는 이걸 먹고 웃지")</f>
        <v>완선이는 이걸 먹고 웃지</v>
      </c>
      <c r="B8417" s="2" t="str">
        <f>IFERROR(__xludf.DUMMYFUNCTION("""COMPUTED_VALUE"""),"키위")</f>
        <v>키위</v>
      </c>
    </row>
    <row r="8418">
      <c r="A8418" s="2" t="str">
        <f>IFERROR(__xludf.DUMMYFUNCTION("""COMPUTED_VALUE"""),"완선이는 이걸 먹고 웃지")</f>
        <v>완선이는 이걸 먹고 웃지</v>
      </c>
      <c r="B8418" s="2" t="str">
        <f>IFERROR(__xludf.DUMMYFUNCTION("""COMPUTED_VALUE"""),"새송이버섯")</f>
        <v>새송이버섯</v>
      </c>
    </row>
    <row r="8419">
      <c r="A8419" s="2" t="str">
        <f>IFERROR(__xludf.DUMMYFUNCTION("""COMPUTED_VALUE"""),"완선이는 이걸 먹고 웃지")</f>
        <v>완선이는 이걸 먹고 웃지</v>
      </c>
      <c r="B8419" s="2" t="str">
        <f>IFERROR(__xludf.DUMMYFUNCTION("""COMPUTED_VALUE"""),"대구살")</f>
        <v>대구살</v>
      </c>
    </row>
    <row r="8420">
      <c r="A8420" s="2" t="str">
        <f>IFERROR(__xludf.DUMMYFUNCTION("""COMPUTED_VALUE"""),"완선이는 이걸 먹고 웃지")</f>
        <v>완선이는 이걸 먹고 웃지</v>
      </c>
      <c r="B8420" s="2" t="str">
        <f>IFERROR(__xludf.DUMMYFUNCTION("""COMPUTED_VALUE"""),"굴소스볶음라면")</f>
        <v>굴소스볶음라면</v>
      </c>
    </row>
    <row r="8421">
      <c r="A8421" s="2" t="str">
        <f>IFERROR(__xludf.DUMMYFUNCTION("""COMPUTED_VALUE"""),"완선이는 이걸 먹고 웃지")</f>
        <v>완선이는 이걸 먹고 웃지</v>
      </c>
      <c r="B8421" s="2" t="str">
        <f>IFERROR(__xludf.DUMMYFUNCTION("""COMPUTED_VALUE"""),"스리라차소스")</f>
        <v>스리라차소스</v>
      </c>
    </row>
    <row r="8422">
      <c r="A8422" s="2" t="str">
        <f>IFERROR(__xludf.DUMMYFUNCTION("""COMPUTED_VALUE"""),"완선이는 이걸 먹고 웃지")</f>
        <v>완선이는 이걸 먹고 웃지</v>
      </c>
      <c r="B8422" s="2" t="str">
        <f>IFERROR(__xludf.DUMMYFUNCTION("""COMPUTED_VALUE"""),"대파")</f>
        <v>대파</v>
      </c>
    </row>
    <row r="8423">
      <c r="A8423" s="2" t="str">
        <f>IFERROR(__xludf.DUMMYFUNCTION("""COMPUTED_VALUE"""),"완선이는 이걸 먹고 웃지")</f>
        <v>완선이는 이걸 먹고 웃지</v>
      </c>
      <c r="B8423" s="2" t="str">
        <f>IFERROR(__xludf.DUMMYFUNCTION("""COMPUTED_VALUE"""),"다진 생강")</f>
        <v>다진 생강</v>
      </c>
    </row>
    <row r="8424">
      <c r="A8424" s="2" t="str">
        <f>IFERROR(__xludf.DUMMYFUNCTION("""COMPUTED_VALUE"""),"완선이는 이걸 먹고 웃지")</f>
        <v>완선이는 이걸 먹고 웃지</v>
      </c>
      <c r="B8424" s="2" t="str">
        <f>IFERROR(__xludf.DUMMYFUNCTION("""COMPUTED_VALUE"""),"간장")</f>
        <v>간장</v>
      </c>
    </row>
    <row r="8425">
      <c r="A8425" s="2" t="str">
        <f>IFERROR(__xludf.DUMMYFUNCTION("""COMPUTED_VALUE"""),"완선이는 이걸 먹고 웃지")</f>
        <v>완선이는 이걸 먹고 웃지</v>
      </c>
      <c r="B8425" s="2" t="str">
        <f>IFERROR(__xludf.DUMMYFUNCTION("""COMPUTED_VALUE"""),"설탕")</f>
        <v>설탕</v>
      </c>
    </row>
    <row r="8426">
      <c r="A8426" s="2" t="str">
        <f>IFERROR(__xludf.DUMMYFUNCTION("""COMPUTED_VALUE"""),"완선이는 이걸 먹고 웃지")</f>
        <v>완선이는 이걸 먹고 웃지</v>
      </c>
      <c r="B8426" s="2" t="str">
        <f>IFERROR(__xludf.DUMMYFUNCTION("""COMPUTED_VALUE"""),"후추")</f>
        <v>후추</v>
      </c>
    </row>
    <row r="8427">
      <c r="A8427" s="2" t="str">
        <f>IFERROR(__xludf.DUMMYFUNCTION("""COMPUTED_VALUE"""),"완선이는 이걸 먹고 웃지")</f>
        <v>완선이는 이걸 먹고 웃지</v>
      </c>
      <c r="B8427" s="2" t="str">
        <f>IFERROR(__xludf.DUMMYFUNCTION("""COMPUTED_VALUE"""),"맛술")</f>
        <v>맛술</v>
      </c>
    </row>
    <row r="8428">
      <c r="A8428" s="2" t="str">
        <f>IFERROR(__xludf.DUMMYFUNCTION("""COMPUTED_VALUE"""),"완선이는 이걸 먹고 웃지")</f>
        <v>완선이는 이걸 먹고 웃지</v>
      </c>
      <c r="B8428" s="2" t="str">
        <f>IFERROR(__xludf.DUMMYFUNCTION("""COMPUTED_VALUE"""),"마늘")</f>
        <v>마늘</v>
      </c>
    </row>
    <row r="8429">
      <c r="A8429" s="2" t="str">
        <f>IFERROR(__xludf.DUMMYFUNCTION("""COMPUTED_VALUE"""),"완선이는 이걸 먹고 웃지")</f>
        <v>완선이는 이걸 먹고 웃지</v>
      </c>
      <c r="B8429" s="2" t="str">
        <f>IFERROR(__xludf.DUMMYFUNCTION("""COMPUTED_VALUE"""),"청주")</f>
        <v>청주</v>
      </c>
    </row>
    <row r="8430">
      <c r="A8430" s="2" t="str">
        <f>IFERROR(__xludf.DUMMYFUNCTION("""COMPUTED_VALUE"""),"완선이는 이걸 먹고 웃지")</f>
        <v>완선이는 이걸 먹고 웃지</v>
      </c>
      <c r="B8430" s="2" t="str">
        <f>IFERROR(__xludf.DUMMYFUNCTION("""COMPUTED_VALUE"""),"소금")</f>
        <v>소금</v>
      </c>
    </row>
    <row r="8431">
      <c r="A8431" s="2" t="str">
        <f>IFERROR(__xludf.DUMMYFUNCTION("""COMPUTED_VALUE"""),"완선이는 이걸 먹고 웃지")</f>
        <v>완선이는 이걸 먹고 웃지</v>
      </c>
      <c r="B8431" s="2" t="str">
        <f>IFERROR(__xludf.DUMMYFUNCTION("""COMPUTED_VALUE"""),"청양고추")</f>
        <v>청양고추</v>
      </c>
    </row>
    <row r="8432">
      <c r="A8432" s="2" t="str">
        <f>IFERROR(__xludf.DUMMYFUNCTION("""COMPUTED_VALUE"""),"완선이는 이걸 먹고 웃지")</f>
        <v>완선이는 이걸 먹고 웃지</v>
      </c>
      <c r="B8432" s="2" t="str">
        <f>IFERROR(__xludf.DUMMYFUNCTION("""COMPUTED_VALUE"""),"식초")</f>
        <v>식초</v>
      </c>
    </row>
    <row r="8433">
      <c r="A8433" s="2" t="str">
        <f>IFERROR(__xludf.DUMMYFUNCTION("""COMPUTED_VALUE"""),"완선이는 이걸 먹고 웃지")</f>
        <v>완선이는 이걸 먹고 웃지</v>
      </c>
      <c r="B8433" s="2" t="str">
        <f>IFERROR(__xludf.DUMMYFUNCTION("""COMPUTED_VALUE"""),"된장")</f>
        <v>된장</v>
      </c>
    </row>
    <row r="8434">
      <c r="A8434" s="2" t="str">
        <f>IFERROR(__xludf.DUMMYFUNCTION("""COMPUTED_VALUE"""),"김완섬")</f>
        <v>김완섬</v>
      </c>
      <c r="B8434" s="2" t="str">
        <f>IFERROR(__xludf.DUMMYFUNCTION("""COMPUTED_VALUE"""),"대구살")</f>
        <v>대구살</v>
      </c>
    </row>
    <row r="8435">
      <c r="A8435" s="2" t="str">
        <f>IFERROR(__xludf.DUMMYFUNCTION("""COMPUTED_VALUE"""),"김완섬")</f>
        <v>김완섬</v>
      </c>
      <c r="B8435" s="2" t="str">
        <f>IFERROR(__xludf.DUMMYFUNCTION("""COMPUTED_VALUE"""),"팽이버섯")</f>
        <v>팽이버섯</v>
      </c>
    </row>
    <row r="8436">
      <c r="A8436" s="2" t="str">
        <f>IFERROR(__xludf.DUMMYFUNCTION("""COMPUTED_VALUE"""),"김완섬")</f>
        <v>김완섬</v>
      </c>
      <c r="B8436" s="2" t="str">
        <f>IFERROR(__xludf.DUMMYFUNCTION("""COMPUTED_VALUE"""),"불린 쌀")</f>
        <v>불린 쌀</v>
      </c>
    </row>
    <row r="8437">
      <c r="A8437" s="2" t="str">
        <f>IFERROR(__xludf.DUMMYFUNCTION("""COMPUTED_VALUE"""),"김완섬")</f>
        <v>김완섬</v>
      </c>
      <c r="B8437" s="2" t="str">
        <f>IFERROR(__xludf.DUMMYFUNCTION("""COMPUTED_VALUE"""),"밀가루")</f>
        <v>밀가루</v>
      </c>
    </row>
    <row r="8438">
      <c r="A8438" s="2" t="str">
        <f>IFERROR(__xludf.DUMMYFUNCTION("""COMPUTED_VALUE"""),"김완섬")</f>
        <v>김완섬</v>
      </c>
      <c r="B8438" s="2" t="str">
        <f>IFERROR(__xludf.DUMMYFUNCTION("""COMPUTED_VALUE"""),"전분")</f>
        <v>전분</v>
      </c>
    </row>
    <row r="8439">
      <c r="A8439" s="2" t="str">
        <f>IFERROR(__xludf.DUMMYFUNCTION("""COMPUTED_VALUE"""),"김완섬")</f>
        <v>김완섬</v>
      </c>
      <c r="B8439" s="2" t="str">
        <f>IFERROR(__xludf.DUMMYFUNCTION("""COMPUTED_VALUE"""),"대파")</f>
        <v>대파</v>
      </c>
    </row>
    <row r="8440">
      <c r="A8440" s="2" t="str">
        <f>IFERROR(__xludf.DUMMYFUNCTION("""COMPUTED_VALUE"""),"김완섬")</f>
        <v>김완섬</v>
      </c>
      <c r="B8440" s="2" t="str">
        <f>IFERROR(__xludf.DUMMYFUNCTION("""COMPUTED_VALUE"""),"고춧가루")</f>
        <v>고춧가루</v>
      </c>
    </row>
    <row r="8441">
      <c r="A8441" s="2" t="str">
        <f>IFERROR(__xludf.DUMMYFUNCTION("""COMPUTED_VALUE"""),"김완섬")</f>
        <v>김완섬</v>
      </c>
      <c r="B8441" s="2" t="str">
        <f>IFERROR(__xludf.DUMMYFUNCTION("""COMPUTED_VALUE"""),"간장")</f>
        <v>간장</v>
      </c>
    </row>
    <row r="8442">
      <c r="A8442" s="2" t="str">
        <f>IFERROR(__xludf.DUMMYFUNCTION("""COMPUTED_VALUE"""),"김완섬")</f>
        <v>김완섬</v>
      </c>
      <c r="B8442" s="2" t="str">
        <f>IFERROR(__xludf.DUMMYFUNCTION("""COMPUTED_VALUE"""),"설탕")</f>
        <v>설탕</v>
      </c>
    </row>
    <row r="8443">
      <c r="A8443" s="2" t="str">
        <f>IFERROR(__xludf.DUMMYFUNCTION("""COMPUTED_VALUE"""),"김완섬")</f>
        <v>김완섬</v>
      </c>
      <c r="B8443" s="2" t="str">
        <f>IFERROR(__xludf.DUMMYFUNCTION("""COMPUTED_VALUE"""),"청양고추")</f>
        <v>청양고추</v>
      </c>
    </row>
    <row r="8444">
      <c r="A8444" s="2" t="str">
        <f>IFERROR(__xludf.DUMMYFUNCTION("""COMPUTED_VALUE"""),"김완섬")</f>
        <v>김완섬</v>
      </c>
      <c r="B8444" s="2" t="str">
        <f>IFERROR(__xludf.DUMMYFUNCTION("""COMPUTED_VALUE"""),"마늘")</f>
        <v>마늘</v>
      </c>
    </row>
    <row r="8445">
      <c r="A8445" s="2" t="str">
        <f>IFERROR(__xludf.DUMMYFUNCTION("""COMPUTED_VALUE"""),"김완섬")</f>
        <v>김완섬</v>
      </c>
      <c r="B8445" s="2" t="str">
        <f>IFERROR(__xludf.DUMMYFUNCTION("""COMPUTED_VALUE"""),"소금")</f>
        <v>소금</v>
      </c>
    </row>
    <row r="8446">
      <c r="A8446" s="2" t="str">
        <f>IFERROR(__xludf.DUMMYFUNCTION("""COMPUTED_VALUE"""),"김완섬")</f>
        <v>김완섬</v>
      </c>
      <c r="B8446" s="2" t="str">
        <f>IFERROR(__xludf.DUMMYFUNCTION("""COMPUTED_VALUE"""),"후추")</f>
        <v>후추</v>
      </c>
    </row>
    <row r="8447">
      <c r="A8447" s="2" t="str">
        <f>IFERROR(__xludf.DUMMYFUNCTION("""COMPUTED_VALUE"""),"김완섬")</f>
        <v>김완섬</v>
      </c>
      <c r="B8447" s="2" t="str">
        <f>IFERROR(__xludf.DUMMYFUNCTION("""COMPUTED_VALUE"""),"다진 생강")</f>
        <v>다진 생강</v>
      </c>
    </row>
    <row r="8448">
      <c r="A8448" s="2" t="str">
        <f>IFERROR(__xludf.DUMMYFUNCTION("""COMPUTED_VALUE"""),"김완섬")</f>
        <v>김완섬</v>
      </c>
      <c r="B8448" s="2" t="str">
        <f>IFERROR(__xludf.DUMMYFUNCTION("""COMPUTED_VALUE"""),"맛술")</f>
        <v>맛술</v>
      </c>
    </row>
    <row r="8449">
      <c r="A8449" s="2" t="str">
        <f>IFERROR(__xludf.DUMMYFUNCTION("""COMPUTED_VALUE"""),"낙낙낙낙 낙지호롱♬")</f>
        <v>낙낙낙낙 낙지호롱♬</v>
      </c>
      <c r="B8449" s="2" t="str">
        <f>IFERROR(__xludf.DUMMYFUNCTION("""COMPUTED_VALUE"""),"낙지")</f>
        <v>낙지</v>
      </c>
    </row>
    <row r="8450">
      <c r="A8450" s="2" t="str">
        <f>IFERROR(__xludf.DUMMYFUNCTION("""COMPUTED_VALUE"""),"낙낙낙낙 낙지호롱♬")</f>
        <v>낙낙낙낙 낙지호롱♬</v>
      </c>
      <c r="B8450" s="2" t="str">
        <f>IFERROR(__xludf.DUMMYFUNCTION("""COMPUTED_VALUE"""),"대패삼겹살")</f>
        <v>대패삼겹살</v>
      </c>
    </row>
    <row r="8451">
      <c r="A8451" s="2" t="str">
        <f>IFERROR(__xludf.DUMMYFUNCTION("""COMPUTED_VALUE"""),"낙낙낙낙 낙지호롱♬")</f>
        <v>낙낙낙낙 낙지호롱♬</v>
      </c>
      <c r="B8451" s="2" t="str">
        <f>IFERROR(__xludf.DUMMYFUNCTION("""COMPUTED_VALUE"""),"가츠오부시")</f>
        <v>가츠오부시</v>
      </c>
    </row>
    <row r="8452">
      <c r="A8452" s="2" t="str">
        <f>IFERROR(__xludf.DUMMYFUNCTION("""COMPUTED_VALUE"""),"낙낙낙낙 낙지호롱♬")</f>
        <v>낙낙낙낙 낙지호롱♬</v>
      </c>
      <c r="B8452" s="2" t="str">
        <f>IFERROR(__xludf.DUMMYFUNCTION("""COMPUTED_VALUE"""),"설탕")</f>
        <v>설탕</v>
      </c>
    </row>
    <row r="8453">
      <c r="A8453" s="2" t="str">
        <f>IFERROR(__xludf.DUMMYFUNCTION("""COMPUTED_VALUE"""),"낙낙낙낙 낙지호롱♬")</f>
        <v>낙낙낙낙 낙지호롱♬</v>
      </c>
      <c r="B8453" s="2" t="str">
        <f>IFERROR(__xludf.DUMMYFUNCTION("""COMPUTED_VALUE"""),"청주")</f>
        <v>청주</v>
      </c>
    </row>
    <row r="8454">
      <c r="A8454" s="2" t="str">
        <f>IFERROR(__xludf.DUMMYFUNCTION("""COMPUTED_VALUE"""),"낙낙낙낙 낙지호롱♬")</f>
        <v>낙낙낙낙 낙지호롱♬</v>
      </c>
      <c r="B8454" s="2" t="str">
        <f>IFERROR(__xludf.DUMMYFUNCTION("""COMPUTED_VALUE"""),"맛술")</f>
        <v>맛술</v>
      </c>
    </row>
    <row r="8455">
      <c r="A8455" s="2" t="str">
        <f>IFERROR(__xludf.DUMMYFUNCTION("""COMPUTED_VALUE"""),"낙낙낙낙 낙지호롱♬")</f>
        <v>낙낙낙낙 낙지호롱♬</v>
      </c>
      <c r="B8455" s="2" t="str">
        <f>IFERROR(__xludf.DUMMYFUNCTION("""COMPUTED_VALUE"""),"간장")</f>
        <v>간장</v>
      </c>
    </row>
    <row r="8456">
      <c r="A8456" s="2" t="str">
        <f>IFERROR(__xludf.DUMMYFUNCTION("""COMPUTED_VALUE"""),"낙낙낙낙 낙지호롱♬")</f>
        <v>낙낙낙낙 낙지호롱♬</v>
      </c>
      <c r="B8456" s="2" t="str">
        <f>IFERROR(__xludf.DUMMYFUNCTION("""COMPUTED_VALUE"""),"마늘")</f>
        <v>마늘</v>
      </c>
    </row>
    <row r="8457">
      <c r="A8457" s="2" t="str">
        <f>IFERROR(__xludf.DUMMYFUNCTION("""COMPUTED_VALUE"""),"낙낙낙낙 낙지호롱♬")</f>
        <v>낙낙낙낙 낙지호롱♬</v>
      </c>
      <c r="B8457" s="2" t="str">
        <f>IFERROR(__xludf.DUMMYFUNCTION("""COMPUTED_VALUE"""),"대파")</f>
        <v>대파</v>
      </c>
    </row>
    <row r="8458">
      <c r="A8458" s="2" t="str">
        <f>IFERROR(__xludf.DUMMYFUNCTION("""COMPUTED_VALUE"""),"낙낙낙낙 낙지호롱♬")</f>
        <v>낙낙낙낙 낙지호롱♬</v>
      </c>
      <c r="B8458" s="2" t="str">
        <f>IFERROR(__xludf.DUMMYFUNCTION("""COMPUTED_VALUE"""),"식초")</f>
        <v>식초</v>
      </c>
    </row>
    <row r="8459">
      <c r="A8459" s="2" t="str">
        <f>IFERROR(__xludf.DUMMYFUNCTION("""COMPUTED_VALUE"""),"낙낙낙낙 낙지호롱♬")</f>
        <v>낙낙낙낙 낙지호롱♬</v>
      </c>
      <c r="B8459" s="2" t="str">
        <f>IFERROR(__xludf.DUMMYFUNCTION("""COMPUTED_VALUE"""),"달걀")</f>
        <v>달걀</v>
      </c>
    </row>
    <row r="8460">
      <c r="A8460" s="2" t="str">
        <f>IFERROR(__xludf.DUMMYFUNCTION("""COMPUTED_VALUE"""),"낙낙낙낙 낙지호롱♬")</f>
        <v>낙낙낙낙 낙지호롱♬</v>
      </c>
      <c r="B8460" s="2" t="str">
        <f>IFERROR(__xludf.DUMMYFUNCTION("""COMPUTED_VALUE"""),"고춧가루")</f>
        <v>고춧가루</v>
      </c>
    </row>
    <row r="8461">
      <c r="A8461" s="2" t="str">
        <f>IFERROR(__xludf.DUMMYFUNCTION("""COMPUTED_VALUE"""),"유러피안 낙지")</f>
        <v>유러피안 낙지</v>
      </c>
      <c r="B8461" s="2" t="str">
        <f>IFERROR(__xludf.DUMMYFUNCTION("""COMPUTED_VALUE"""),"낙지")</f>
        <v>낙지</v>
      </c>
    </row>
    <row r="8462">
      <c r="A8462" s="2" t="str">
        <f>IFERROR(__xludf.DUMMYFUNCTION("""COMPUTED_VALUE"""),"유러피안 낙지")</f>
        <v>유러피안 낙지</v>
      </c>
      <c r="B8462" s="2" t="str">
        <f>IFERROR(__xludf.DUMMYFUNCTION("""COMPUTED_VALUE"""),"콜라")</f>
        <v>콜라</v>
      </c>
    </row>
    <row r="8463">
      <c r="A8463" s="2" t="str">
        <f>IFERROR(__xludf.DUMMYFUNCTION("""COMPUTED_VALUE"""),"유러피안 낙지")</f>
        <v>유러피안 낙지</v>
      </c>
      <c r="B8463" s="2" t="str">
        <f>IFERROR(__xludf.DUMMYFUNCTION("""COMPUTED_VALUE"""),"허브솔트")</f>
        <v>허브솔트</v>
      </c>
    </row>
    <row r="8464">
      <c r="A8464" s="2" t="str">
        <f>IFERROR(__xludf.DUMMYFUNCTION("""COMPUTED_VALUE"""),"유러피안 낙지")</f>
        <v>유러피안 낙지</v>
      </c>
      <c r="B8464" s="2" t="str">
        <f>IFERROR(__xludf.DUMMYFUNCTION("""COMPUTED_VALUE"""),"바질가루")</f>
        <v>바질가루</v>
      </c>
    </row>
    <row r="8465">
      <c r="A8465" s="2" t="str">
        <f>IFERROR(__xludf.DUMMYFUNCTION("""COMPUTED_VALUE"""),"유러피안 낙지")</f>
        <v>유러피안 낙지</v>
      </c>
      <c r="B8465" s="2" t="str">
        <f>IFERROR(__xludf.DUMMYFUNCTION("""COMPUTED_VALUE"""),"화이트와인")</f>
        <v>화이트와인</v>
      </c>
    </row>
    <row r="8466">
      <c r="A8466" s="2" t="str">
        <f>IFERROR(__xludf.DUMMYFUNCTION("""COMPUTED_VALUE"""),"유러피안 낙지")</f>
        <v>유러피안 낙지</v>
      </c>
      <c r="B8466" s="2" t="str">
        <f>IFERROR(__xludf.DUMMYFUNCTION("""COMPUTED_VALUE"""),"자몽")</f>
        <v>자몽</v>
      </c>
    </row>
    <row r="8467">
      <c r="A8467" s="2" t="str">
        <f>IFERROR(__xludf.DUMMYFUNCTION("""COMPUTED_VALUE"""),"유러피안 낙지")</f>
        <v>유러피안 낙지</v>
      </c>
      <c r="B8467" s="2" t="str">
        <f>IFERROR(__xludf.DUMMYFUNCTION("""COMPUTED_VALUE"""),"양배추")</f>
        <v>양배추</v>
      </c>
    </row>
    <row r="8468">
      <c r="A8468" s="2" t="str">
        <f>IFERROR(__xludf.DUMMYFUNCTION("""COMPUTED_VALUE"""),"유러피안 낙지")</f>
        <v>유러피안 낙지</v>
      </c>
      <c r="B8468" s="2" t="str">
        <f>IFERROR(__xludf.DUMMYFUNCTION("""COMPUTED_VALUE"""),"파프리카")</f>
        <v>파프리카</v>
      </c>
    </row>
    <row r="8469">
      <c r="A8469" s="2" t="str">
        <f>IFERROR(__xludf.DUMMYFUNCTION("""COMPUTED_VALUE"""),"유러피안 낙지")</f>
        <v>유러피안 낙지</v>
      </c>
      <c r="B8469" s="2" t="str">
        <f>IFERROR(__xludf.DUMMYFUNCTION("""COMPUTED_VALUE"""),"애호박")</f>
        <v>애호박</v>
      </c>
    </row>
    <row r="8470">
      <c r="A8470" s="2" t="str">
        <f>IFERROR(__xludf.DUMMYFUNCTION("""COMPUTED_VALUE"""),"유러피안 낙지")</f>
        <v>유러피안 낙지</v>
      </c>
      <c r="B8470" s="2" t="str">
        <f>IFERROR(__xludf.DUMMYFUNCTION("""COMPUTED_VALUE"""),"식빵")</f>
        <v>식빵</v>
      </c>
    </row>
    <row r="8471">
      <c r="A8471" s="2" t="str">
        <f>IFERROR(__xludf.DUMMYFUNCTION("""COMPUTED_VALUE"""),"유러피안 낙지")</f>
        <v>유러피안 낙지</v>
      </c>
      <c r="B8471" s="2" t="str">
        <f>IFERROR(__xludf.DUMMYFUNCTION("""COMPUTED_VALUE"""),"아몬드")</f>
        <v>아몬드</v>
      </c>
    </row>
    <row r="8472">
      <c r="A8472" s="2" t="str">
        <f>IFERROR(__xludf.DUMMYFUNCTION("""COMPUTED_VALUE"""),"유러피안 낙지")</f>
        <v>유러피안 낙지</v>
      </c>
      <c r="B8472" s="2" t="str">
        <f>IFERROR(__xludf.DUMMYFUNCTION("""COMPUTED_VALUE"""),"새우")</f>
        <v>새우</v>
      </c>
    </row>
    <row r="8473">
      <c r="A8473" s="2" t="str">
        <f>IFERROR(__xludf.DUMMYFUNCTION("""COMPUTED_VALUE"""),"유러피안 낙지")</f>
        <v>유러피안 낙지</v>
      </c>
      <c r="B8473" s="2" t="str">
        <f>IFERROR(__xludf.DUMMYFUNCTION("""COMPUTED_VALUE"""),"느타리버섯")</f>
        <v>느타리버섯</v>
      </c>
    </row>
    <row r="8474">
      <c r="A8474" s="2" t="str">
        <f>IFERROR(__xludf.DUMMYFUNCTION("""COMPUTED_VALUE"""),"유러피안 낙지")</f>
        <v>유러피안 낙지</v>
      </c>
      <c r="B8474" s="2" t="str">
        <f>IFERROR(__xludf.DUMMYFUNCTION("""COMPUTED_VALUE"""),"마늘쫑")</f>
        <v>마늘쫑</v>
      </c>
    </row>
    <row r="8475">
      <c r="A8475" s="2" t="str">
        <f>IFERROR(__xludf.DUMMYFUNCTION("""COMPUTED_VALUE"""),"유러피안 낙지")</f>
        <v>유러피안 낙지</v>
      </c>
      <c r="B8475" s="2" t="str">
        <f>IFERROR(__xludf.DUMMYFUNCTION("""COMPUTED_VALUE"""),"귤")</f>
        <v>귤</v>
      </c>
    </row>
    <row r="8476">
      <c r="A8476" s="2" t="str">
        <f>IFERROR(__xludf.DUMMYFUNCTION("""COMPUTED_VALUE"""),"유러피안 낙지")</f>
        <v>유러피안 낙지</v>
      </c>
      <c r="B8476" s="2" t="str">
        <f>IFERROR(__xludf.DUMMYFUNCTION("""COMPUTED_VALUE"""),"통후추")</f>
        <v>통후추</v>
      </c>
    </row>
    <row r="8477">
      <c r="A8477" s="2" t="str">
        <f>IFERROR(__xludf.DUMMYFUNCTION("""COMPUTED_VALUE"""),"유러피안 낙지")</f>
        <v>유러피안 낙지</v>
      </c>
      <c r="B8477" s="2" t="str">
        <f>IFERROR(__xludf.DUMMYFUNCTION("""COMPUTED_VALUE"""),"마늘")</f>
        <v>마늘</v>
      </c>
    </row>
    <row r="8478">
      <c r="A8478" s="2" t="str">
        <f>IFERROR(__xludf.DUMMYFUNCTION("""COMPUTED_VALUE"""),"유러피안 낙지")</f>
        <v>유러피안 낙지</v>
      </c>
      <c r="B8478" s="2" t="str">
        <f>IFERROR(__xludf.DUMMYFUNCTION("""COMPUTED_VALUE"""),"당근")</f>
        <v>당근</v>
      </c>
    </row>
    <row r="8479">
      <c r="A8479" s="2" t="str">
        <f>IFERROR(__xludf.DUMMYFUNCTION("""COMPUTED_VALUE"""),"유러피안 낙지")</f>
        <v>유러피안 낙지</v>
      </c>
      <c r="B8479" s="2" t="str">
        <f>IFERROR(__xludf.DUMMYFUNCTION("""COMPUTED_VALUE"""),"소금")</f>
        <v>소금</v>
      </c>
    </row>
    <row r="8480">
      <c r="A8480" s="2" t="str">
        <f>IFERROR(__xludf.DUMMYFUNCTION("""COMPUTED_VALUE"""),"유러피안 낙지")</f>
        <v>유러피안 낙지</v>
      </c>
      <c r="B8480" s="2" t="str">
        <f>IFERROR(__xludf.DUMMYFUNCTION("""COMPUTED_VALUE"""),"올리브오일")</f>
        <v>올리브오일</v>
      </c>
    </row>
    <row r="8481">
      <c r="A8481" s="2" t="str">
        <f>IFERROR(__xludf.DUMMYFUNCTION("""COMPUTED_VALUE"""),"유러피안 낙지")</f>
        <v>유러피안 낙지</v>
      </c>
      <c r="B8481" s="2" t="str">
        <f>IFERROR(__xludf.DUMMYFUNCTION("""COMPUTED_VALUE"""),"버터")</f>
        <v>버터</v>
      </c>
    </row>
    <row r="8482">
      <c r="A8482" s="2" t="str">
        <f>IFERROR(__xludf.DUMMYFUNCTION("""COMPUTED_VALUE"""),"복사부일체")</f>
        <v>복사부일체</v>
      </c>
      <c r="B8482" s="2" t="str">
        <f>IFERROR(__xludf.DUMMYFUNCTION("""COMPUTED_VALUE"""),"호두")</f>
        <v>호두</v>
      </c>
    </row>
    <row r="8483">
      <c r="A8483" s="2" t="str">
        <f>IFERROR(__xludf.DUMMYFUNCTION("""COMPUTED_VALUE"""),"복사부일체")</f>
        <v>복사부일체</v>
      </c>
      <c r="B8483" s="2" t="str">
        <f>IFERROR(__xludf.DUMMYFUNCTION("""COMPUTED_VALUE"""),"잣")</f>
        <v>잣</v>
      </c>
    </row>
    <row r="8484">
      <c r="A8484" s="2" t="str">
        <f>IFERROR(__xludf.DUMMYFUNCTION("""COMPUTED_VALUE"""),"복사부일체")</f>
        <v>복사부일체</v>
      </c>
      <c r="B8484" s="2" t="str">
        <f>IFERROR(__xludf.DUMMYFUNCTION("""COMPUTED_VALUE"""),"가지")</f>
        <v>가지</v>
      </c>
    </row>
    <row r="8485">
      <c r="A8485" s="2" t="str">
        <f>IFERROR(__xludf.DUMMYFUNCTION("""COMPUTED_VALUE"""),"복사부일체")</f>
        <v>복사부일체</v>
      </c>
      <c r="B8485" s="2" t="str">
        <f>IFERROR(__xludf.DUMMYFUNCTION("""COMPUTED_VALUE"""),"말린 새송이버섯")</f>
        <v>말린 새송이버섯</v>
      </c>
    </row>
    <row r="8486">
      <c r="A8486" s="2" t="str">
        <f>IFERROR(__xludf.DUMMYFUNCTION("""COMPUTED_VALUE"""),"복사부일체")</f>
        <v>복사부일체</v>
      </c>
      <c r="B8486" s="2" t="str">
        <f>IFERROR(__xludf.DUMMYFUNCTION("""COMPUTED_VALUE"""),"파프리카")</f>
        <v>파프리카</v>
      </c>
    </row>
    <row r="8487">
      <c r="A8487" s="2" t="str">
        <f>IFERROR(__xludf.DUMMYFUNCTION("""COMPUTED_VALUE"""),"복사부일체")</f>
        <v>복사부일체</v>
      </c>
      <c r="B8487" s="2" t="str">
        <f>IFERROR(__xludf.DUMMYFUNCTION("""COMPUTED_VALUE"""),"애호박")</f>
        <v>애호박</v>
      </c>
    </row>
    <row r="8488">
      <c r="A8488" s="2" t="str">
        <f>IFERROR(__xludf.DUMMYFUNCTION("""COMPUTED_VALUE"""),"복사부일체")</f>
        <v>복사부일체</v>
      </c>
      <c r="B8488" s="2" t="str">
        <f>IFERROR(__xludf.DUMMYFUNCTION("""COMPUTED_VALUE"""),"오징어")</f>
        <v>오징어</v>
      </c>
    </row>
    <row r="8489">
      <c r="A8489" s="2" t="str">
        <f>IFERROR(__xludf.DUMMYFUNCTION("""COMPUTED_VALUE"""),"복사부일체")</f>
        <v>복사부일체</v>
      </c>
      <c r="B8489" s="2" t="str">
        <f>IFERROR(__xludf.DUMMYFUNCTION("""COMPUTED_VALUE"""),"새우")</f>
        <v>새우</v>
      </c>
    </row>
    <row r="8490">
      <c r="A8490" s="2" t="str">
        <f>IFERROR(__xludf.DUMMYFUNCTION("""COMPUTED_VALUE"""),"복사부일체")</f>
        <v>복사부일체</v>
      </c>
      <c r="B8490" s="2" t="str">
        <f>IFERROR(__xludf.DUMMYFUNCTION("""COMPUTED_VALUE"""),"굴소스")</f>
        <v>굴소스</v>
      </c>
    </row>
    <row r="8491">
      <c r="A8491" s="2" t="str">
        <f>IFERROR(__xludf.DUMMYFUNCTION("""COMPUTED_VALUE"""),"복사부일체")</f>
        <v>복사부일체</v>
      </c>
      <c r="B8491" s="2" t="str">
        <f>IFERROR(__xludf.DUMMYFUNCTION("""COMPUTED_VALUE"""),"소면")</f>
        <v>소면</v>
      </c>
    </row>
    <row r="8492">
      <c r="A8492" s="2" t="str">
        <f>IFERROR(__xludf.DUMMYFUNCTION("""COMPUTED_VALUE"""),"복사부일체")</f>
        <v>복사부일체</v>
      </c>
      <c r="B8492" s="2" t="str">
        <f>IFERROR(__xludf.DUMMYFUNCTION("""COMPUTED_VALUE"""),"대파")</f>
        <v>대파</v>
      </c>
    </row>
    <row r="8493">
      <c r="A8493" s="2" t="str">
        <f>IFERROR(__xludf.DUMMYFUNCTION("""COMPUTED_VALUE"""),"복사부일체")</f>
        <v>복사부일체</v>
      </c>
      <c r="B8493" s="2" t="str">
        <f>IFERROR(__xludf.DUMMYFUNCTION("""COMPUTED_VALUE"""),"고춧가루")</f>
        <v>고춧가루</v>
      </c>
    </row>
    <row r="8494">
      <c r="A8494" s="2" t="str">
        <f>IFERROR(__xludf.DUMMYFUNCTION("""COMPUTED_VALUE"""),"복사부일체")</f>
        <v>복사부일체</v>
      </c>
      <c r="B8494" s="2" t="str">
        <f>IFERROR(__xludf.DUMMYFUNCTION("""COMPUTED_VALUE"""),"양파")</f>
        <v>양파</v>
      </c>
    </row>
    <row r="8495">
      <c r="A8495" s="2" t="str">
        <f>IFERROR(__xludf.DUMMYFUNCTION("""COMPUTED_VALUE"""),"복사부일체")</f>
        <v>복사부일체</v>
      </c>
      <c r="B8495" s="2" t="str">
        <f>IFERROR(__xludf.DUMMYFUNCTION("""COMPUTED_VALUE"""),"마늘")</f>
        <v>마늘</v>
      </c>
    </row>
    <row r="8496">
      <c r="A8496" s="2" t="str">
        <f>IFERROR(__xludf.DUMMYFUNCTION("""COMPUTED_VALUE"""),"복사부일체")</f>
        <v>복사부일체</v>
      </c>
      <c r="B8496" s="2" t="str">
        <f>IFERROR(__xludf.DUMMYFUNCTION("""COMPUTED_VALUE"""),"간장")</f>
        <v>간장</v>
      </c>
    </row>
    <row r="8497">
      <c r="A8497" s="2" t="str">
        <f>IFERROR(__xludf.DUMMYFUNCTION("""COMPUTED_VALUE"""),"복사부일체")</f>
        <v>복사부일체</v>
      </c>
      <c r="B8497" s="2" t="str">
        <f>IFERROR(__xludf.DUMMYFUNCTION("""COMPUTED_VALUE"""),"후추")</f>
        <v>후추</v>
      </c>
    </row>
    <row r="8498">
      <c r="A8498" s="2" t="str">
        <f>IFERROR(__xludf.DUMMYFUNCTION("""COMPUTED_VALUE"""),"복사부일체")</f>
        <v>복사부일체</v>
      </c>
      <c r="B8498" s="2" t="str">
        <f>IFERROR(__xludf.DUMMYFUNCTION("""COMPUTED_VALUE"""),"맛술")</f>
        <v>맛술</v>
      </c>
    </row>
    <row r="8499">
      <c r="A8499" s="2" t="str">
        <f>IFERROR(__xludf.DUMMYFUNCTION("""COMPUTED_VALUE"""),"복사부일체")</f>
        <v>복사부일체</v>
      </c>
      <c r="B8499" s="2" t="str">
        <f>IFERROR(__xludf.DUMMYFUNCTION("""COMPUTED_VALUE"""),"식초")</f>
        <v>식초</v>
      </c>
    </row>
    <row r="8500">
      <c r="A8500" s="2" t="str">
        <f>IFERROR(__xludf.DUMMYFUNCTION("""COMPUTED_VALUE"""),"복사부일체")</f>
        <v>복사부일체</v>
      </c>
      <c r="B8500" s="2" t="str">
        <f>IFERROR(__xludf.DUMMYFUNCTION("""COMPUTED_VALUE"""),"참기름")</f>
        <v>참기름</v>
      </c>
    </row>
    <row r="8501">
      <c r="A8501" s="2" t="str">
        <f>IFERROR(__xludf.DUMMYFUNCTION("""COMPUTED_VALUE"""),"복사부일체")</f>
        <v>복사부일체</v>
      </c>
      <c r="B8501" s="2" t="str">
        <f>IFERROR(__xludf.DUMMYFUNCTION("""COMPUTED_VALUE"""),"달걀")</f>
        <v>달걀</v>
      </c>
    </row>
    <row r="8502">
      <c r="A8502" s="2" t="str">
        <f>IFERROR(__xludf.DUMMYFUNCTION("""COMPUTED_VALUE"""),"넌 학생이고 난 샘이야")</f>
        <v>넌 학생이고 난 샘이야</v>
      </c>
      <c r="B8502" s="2" t="str">
        <f>IFERROR(__xludf.DUMMYFUNCTION("""COMPUTED_VALUE"""),"마")</f>
        <v>마</v>
      </c>
    </row>
    <row r="8503">
      <c r="A8503" s="2" t="str">
        <f>IFERROR(__xludf.DUMMYFUNCTION("""COMPUTED_VALUE"""),"넌 학생이고 난 샘이야")</f>
        <v>넌 학생이고 난 샘이야</v>
      </c>
      <c r="B8503" s="2" t="str">
        <f>IFERROR(__xludf.DUMMYFUNCTION("""COMPUTED_VALUE"""),"애호박")</f>
        <v>애호박</v>
      </c>
    </row>
    <row r="8504">
      <c r="A8504" s="2" t="str">
        <f>IFERROR(__xludf.DUMMYFUNCTION("""COMPUTED_VALUE"""),"넌 학생이고 난 샘이야")</f>
        <v>넌 학생이고 난 샘이야</v>
      </c>
      <c r="B8504" s="2" t="str">
        <f>IFERROR(__xludf.DUMMYFUNCTION("""COMPUTED_VALUE"""),"가지")</f>
        <v>가지</v>
      </c>
    </row>
    <row r="8505">
      <c r="A8505" s="2" t="str">
        <f>IFERROR(__xludf.DUMMYFUNCTION("""COMPUTED_VALUE"""),"넌 학생이고 난 샘이야")</f>
        <v>넌 학생이고 난 샘이야</v>
      </c>
      <c r="B8505" s="2" t="str">
        <f>IFERROR(__xludf.DUMMYFUNCTION("""COMPUTED_VALUE"""),"파프리카")</f>
        <v>파프리카</v>
      </c>
    </row>
    <row r="8506">
      <c r="A8506" s="2" t="str">
        <f>IFERROR(__xludf.DUMMYFUNCTION("""COMPUTED_VALUE"""),"넌 학생이고 난 샘이야")</f>
        <v>넌 학생이고 난 샘이야</v>
      </c>
      <c r="B8506" s="2" t="str">
        <f>IFERROR(__xludf.DUMMYFUNCTION("""COMPUTED_VALUE"""),"황태채")</f>
        <v>황태채</v>
      </c>
    </row>
    <row r="8507">
      <c r="A8507" s="2" t="str">
        <f>IFERROR(__xludf.DUMMYFUNCTION("""COMPUTED_VALUE"""),"넌 학생이고 난 샘이야")</f>
        <v>넌 학생이고 난 샘이야</v>
      </c>
      <c r="B8507" s="2" t="str">
        <f>IFERROR(__xludf.DUMMYFUNCTION("""COMPUTED_VALUE"""),"두유")</f>
        <v>두유</v>
      </c>
    </row>
    <row r="8508">
      <c r="A8508" s="2" t="str">
        <f>IFERROR(__xludf.DUMMYFUNCTION("""COMPUTED_VALUE"""),"넌 학생이고 난 샘이야")</f>
        <v>넌 학생이고 난 샘이야</v>
      </c>
      <c r="B8508" s="2" t="str">
        <f>IFERROR(__xludf.DUMMYFUNCTION("""COMPUTED_VALUE"""),"발사믹드레싱")</f>
        <v>발사믹드레싱</v>
      </c>
    </row>
    <row r="8509">
      <c r="A8509" s="2" t="str">
        <f>IFERROR(__xludf.DUMMYFUNCTION("""COMPUTED_VALUE"""),"넌 학생이고 난 샘이야")</f>
        <v>넌 학생이고 난 샘이야</v>
      </c>
      <c r="B8509" s="2" t="str">
        <f>IFERROR(__xludf.DUMMYFUNCTION("""COMPUTED_VALUE"""),"바질가루")</f>
        <v>바질가루</v>
      </c>
    </row>
    <row r="8510">
      <c r="A8510" s="2" t="str">
        <f>IFERROR(__xludf.DUMMYFUNCTION("""COMPUTED_VALUE"""),"넌 학생이고 난 샘이야")</f>
        <v>넌 학생이고 난 샘이야</v>
      </c>
      <c r="B8510" s="2" t="str">
        <f>IFERROR(__xludf.DUMMYFUNCTION("""COMPUTED_VALUE"""),"잣")</f>
        <v>잣</v>
      </c>
    </row>
    <row r="8511">
      <c r="A8511" s="2" t="str">
        <f>IFERROR(__xludf.DUMMYFUNCTION("""COMPUTED_VALUE"""),"넌 학생이고 난 샘이야")</f>
        <v>넌 학생이고 난 샘이야</v>
      </c>
      <c r="B8511" s="2" t="str">
        <f>IFERROR(__xludf.DUMMYFUNCTION("""COMPUTED_VALUE"""),"식빵")</f>
        <v>식빵</v>
      </c>
    </row>
    <row r="8512">
      <c r="A8512" s="2" t="str">
        <f>IFERROR(__xludf.DUMMYFUNCTION("""COMPUTED_VALUE"""),"넌 학생이고 난 샘이야")</f>
        <v>넌 학생이고 난 샘이야</v>
      </c>
      <c r="B8512" s="2" t="str">
        <f>IFERROR(__xludf.DUMMYFUNCTION("""COMPUTED_VALUE"""),"새우")</f>
        <v>새우</v>
      </c>
    </row>
    <row r="8513">
      <c r="A8513" s="2" t="str">
        <f>IFERROR(__xludf.DUMMYFUNCTION("""COMPUTED_VALUE"""),"넌 학생이고 난 샘이야")</f>
        <v>넌 학생이고 난 샘이야</v>
      </c>
      <c r="B8513" s="2" t="str">
        <f>IFERROR(__xludf.DUMMYFUNCTION("""COMPUTED_VALUE"""),"양파")</f>
        <v>양파</v>
      </c>
    </row>
    <row r="8514">
      <c r="A8514" s="2" t="str">
        <f>IFERROR(__xludf.DUMMYFUNCTION("""COMPUTED_VALUE"""),"넌 학생이고 난 샘이야")</f>
        <v>넌 학생이고 난 샘이야</v>
      </c>
      <c r="B8514" s="2" t="str">
        <f>IFERROR(__xludf.DUMMYFUNCTION("""COMPUTED_VALUE"""),"밀가루")</f>
        <v>밀가루</v>
      </c>
    </row>
    <row r="8515">
      <c r="A8515" s="2" t="str">
        <f>IFERROR(__xludf.DUMMYFUNCTION("""COMPUTED_VALUE"""),"넌 학생이고 난 샘이야")</f>
        <v>넌 학생이고 난 샘이야</v>
      </c>
      <c r="B8515" s="2" t="str">
        <f>IFERROR(__xludf.DUMMYFUNCTION("""COMPUTED_VALUE"""),"소금")</f>
        <v>소금</v>
      </c>
    </row>
    <row r="8516">
      <c r="A8516" s="2" t="str">
        <f>IFERROR(__xludf.DUMMYFUNCTION("""COMPUTED_VALUE"""),"넌 학생이고 난 샘이야")</f>
        <v>넌 학생이고 난 샘이야</v>
      </c>
      <c r="B8516" s="2" t="str">
        <f>IFERROR(__xludf.DUMMYFUNCTION("""COMPUTED_VALUE"""),"후추")</f>
        <v>후추</v>
      </c>
    </row>
    <row r="8517">
      <c r="A8517" s="2" t="str">
        <f>IFERROR(__xludf.DUMMYFUNCTION("""COMPUTED_VALUE"""),"넌 학생이고 난 샘이야")</f>
        <v>넌 학생이고 난 샘이야</v>
      </c>
      <c r="B8517" s="2" t="str">
        <f>IFERROR(__xludf.DUMMYFUNCTION("""COMPUTED_VALUE"""),"버터")</f>
        <v>버터</v>
      </c>
    </row>
    <row r="8518">
      <c r="A8518" s="2" t="str">
        <f>IFERROR(__xludf.DUMMYFUNCTION("""COMPUTED_VALUE"""),"넌 학생이고 난 샘이야")</f>
        <v>넌 학생이고 난 샘이야</v>
      </c>
      <c r="B8518" s="2" t="str">
        <f>IFERROR(__xludf.DUMMYFUNCTION("""COMPUTED_VALUE"""),"밀가루")</f>
        <v>밀가루</v>
      </c>
    </row>
    <row r="8519">
      <c r="A8519" s="2" t="str">
        <f>IFERROR(__xludf.DUMMYFUNCTION("""COMPUTED_VALUE"""),"넌 학생이고 난 샘이야")</f>
        <v>넌 학생이고 난 샘이야</v>
      </c>
      <c r="B8519" s="2" t="str">
        <f>IFERROR(__xludf.DUMMYFUNCTION("""COMPUTED_VALUE"""),"레몬")</f>
        <v>레몬</v>
      </c>
    </row>
    <row r="8520">
      <c r="A8520" s="2" t="str">
        <f>IFERROR(__xludf.DUMMYFUNCTION("""COMPUTED_VALUE"""),"넌 학생이고 난 샘이야")</f>
        <v>넌 학생이고 난 샘이야</v>
      </c>
      <c r="B8520" s="2" t="str">
        <f>IFERROR(__xludf.DUMMYFUNCTION("""COMPUTED_VALUE"""),"올리브오일")</f>
        <v>올리브오일</v>
      </c>
    </row>
    <row r="8521">
      <c r="A8521" s="2" t="str">
        <f>IFERROR(__xludf.DUMMYFUNCTION("""COMPUTED_VALUE"""),"조기 이즈 베리 임폴턴트")</f>
        <v>조기 이즈 베리 임폴턴트</v>
      </c>
      <c r="B8521" s="2" t="str">
        <f>IFERROR(__xludf.DUMMYFUNCTION("""COMPUTED_VALUE"""),"조기")</f>
        <v>조기</v>
      </c>
    </row>
    <row r="8522">
      <c r="A8522" s="2" t="str">
        <f>IFERROR(__xludf.DUMMYFUNCTION("""COMPUTED_VALUE"""),"조기 이즈 베리 임폴턴트")</f>
        <v>조기 이즈 베리 임폴턴트</v>
      </c>
      <c r="B8522" s="2" t="str">
        <f>IFERROR(__xludf.DUMMYFUNCTION("""COMPUTED_VALUE"""),"마늘꿀")</f>
        <v>마늘꿀</v>
      </c>
    </row>
    <row r="8523">
      <c r="A8523" s="2" t="str">
        <f>IFERROR(__xludf.DUMMYFUNCTION("""COMPUTED_VALUE"""),"조기 이즈 베리 임폴턴트")</f>
        <v>조기 이즈 베리 임폴턴트</v>
      </c>
      <c r="B8523" s="2" t="str">
        <f>IFERROR(__xludf.DUMMYFUNCTION("""COMPUTED_VALUE"""),"녹차티백")</f>
        <v>녹차티백</v>
      </c>
    </row>
    <row r="8524">
      <c r="A8524" s="2" t="str">
        <f>IFERROR(__xludf.DUMMYFUNCTION("""COMPUTED_VALUE"""),"조기 이즈 베리 임폴턴트")</f>
        <v>조기 이즈 베리 임폴턴트</v>
      </c>
      <c r="B8524" s="2" t="str">
        <f>IFERROR(__xludf.DUMMYFUNCTION("""COMPUTED_VALUE"""),"명란젓")</f>
        <v>명란젓</v>
      </c>
    </row>
    <row r="8525">
      <c r="A8525" s="2" t="str">
        <f>IFERROR(__xludf.DUMMYFUNCTION("""COMPUTED_VALUE"""),"조기 이즈 베리 임폴턴트")</f>
        <v>조기 이즈 베리 임폴턴트</v>
      </c>
      <c r="B8525" s="2" t="str">
        <f>IFERROR(__xludf.DUMMYFUNCTION("""COMPUTED_VALUE"""),"아몬드")</f>
        <v>아몬드</v>
      </c>
    </row>
    <row r="8526">
      <c r="A8526" s="2" t="str">
        <f>IFERROR(__xludf.DUMMYFUNCTION("""COMPUTED_VALUE"""),"조기 이즈 베리 임폴턴트")</f>
        <v>조기 이즈 베리 임폴턴트</v>
      </c>
      <c r="B8526" s="2" t="str">
        <f>IFERROR(__xludf.DUMMYFUNCTION("""COMPUTED_VALUE"""),"잣")</f>
        <v>잣</v>
      </c>
    </row>
    <row r="8527">
      <c r="A8527" s="2" t="str">
        <f>IFERROR(__xludf.DUMMYFUNCTION("""COMPUTED_VALUE"""),"조기 이즈 베리 임폴턴트")</f>
        <v>조기 이즈 베리 임폴턴트</v>
      </c>
      <c r="B8527" s="2" t="str">
        <f>IFERROR(__xludf.DUMMYFUNCTION("""COMPUTED_VALUE"""),"크랜베리")</f>
        <v>크랜베리</v>
      </c>
    </row>
    <row r="8528">
      <c r="A8528" s="2" t="str">
        <f>IFERROR(__xludf.DUMMYFUNCTION("""COMPUTED_VALUE"""),"조기 이즈 베리 임폴턴트")</f>
        <v>조기 이즈 베리 임폴턴트</v>
      </c>
      <c r="B8528" s="2" t="str">
        <f>IFERROR(__xludf.DUMMYFUNCTION("""COMPUTED_VALUE"""),"가지")</f>
        <v>가지</v>
      </c>
    </row>
    <row r="8529">
      <c r="A8529" s="2" t="str">
        <f>IFERROR(__xludf.DUMMYFUNCTION("""COMPUTED_VALUE"""),"조기 이즈 베리 임폴턴트")</f>
        <v>조기 이즈 베리 임폴턴트</v>
      </c>
      <c r="B8529" s="2" t="str">
        <f>IFERROR(__xludf.DUMMYFUNCTION("""COMPUTED_VALUE"""),"오리엔탈드레싱")</f>
        <v>오리엔탈드레싱</v>
      </c>
    </row>
    <row r="8530">
      <c r="A8530" s="2" t="str">
        <f>IFERROR(__xludf.DUMMYFUNCTION("""COMPUTED_VALUE"""),"조기 이즈 베리 임폴턴트")</f>
        <v>조기 이즈 베리 임폴턴트</v>
      </c>
      <c r="B8530" s="2" t="str">
        <f>IFERROR(__xludf.DUMMYFUNCTION("""COMPUTED_VALUE"""),"후추")</f>
        <v>후추</v>
      </c>
    </row>
    <row r="8531">
      <c r="A8531" s="2" t="str">
        <f>IFERROR(__xludf.DUMMYFUNCTION("""COMPUTED_VALUE"""),"조기 이즈 베리 임폴턴트")</f>
        <v>조기 이즈 베리 임폴턴트</v>
      </c>
      <c r="B8531" s="2" t="str">
        <f>IFERROR(__xludf.DUMMYFUNCTION("""COMPUTED_VALUE"""),"맛술")</f>
        <v>맛술</v>
      </c>
    </row>
    <row r="8532">
      <c r="A8532" s="2" t="str">
        <f>IFERROR(__xludf.DUMMYFUNCTION("""COMPUTED_VALUE"""),"조기 이즈 베리 임폴턴트")</f>
        <v>조기 이즈 베리 임폴턴트</v>
      </c>
      <c r="B8532" s="2" t="str">
        <f>IFERROR(__xludf.DUMMYFUNCTION("""COMPUTED_VALUE"""),"대파")</f>
        <v>대파</v>
      </c>
    </row>
    <row r="8533">
      <c r="A8533" s="2" t="str">
        <f>IFERROR(__xludf.DUMMYFUNCTION("""COMPUTED_VALUE"""),"조기 이즈 베리 임폴턴트")</f>
        <v>조기 이즈 베리 임폴턴트</v>
      </c>
      <c r="B8533" s="2" t="str">
        <f>IFERROR(__xludf.DUMMYFUNCTION("""COMPUTED_VALUE"""),"청양고추")</f>
        <v>청양고추</v>
      </c>
    </row>
    <row r="8534">
      <c r="A8534" s="2" t="str">
        <f>IFERROR(__xludf.DUMMYFUNCTION("""COMPUTED_VALUE"""),"조기 이즈 베리 임폴턴트")</f>
        <v>조기 이즈 베리 임폴턴트</v>
      </c>
      <c r="B8534" s="2" t="str">
        <f>IFERROR(__xludf.DUMMYFUNCTION("""COMPUTED_VALUE"""),"고추냉이")</f>
        <v>고추냉이</v>
      </c>
    </row>
    <row r="8535">
      <c r="A8535" s="2" t="str">
        <f>IFERROR(__xludf.DUMMYFUNCTION("""COMPUTED_VALUE"""),"조기 이즈 베리 임폴턴트")</f>
        <v>조기 이즈 베리 임폴턴트</v>
      </c>
      <c r="B8535" s="2" t="str">
        <f>IFERROR(__xludf.DUMMYFUNCTION("""COMPUTED_VALUE"""),"마요네즈")</f>
        <v>마요네즈</v>
      </c>
    </row>
    <row r="8536">
      <c r="A8536" s="2" t="str">
        <f>IFERROR(__xludf.DUMMYFUNCTION("""COMPUTED_VALUE"""),"조기 이즈 베리 임폴턴트")</f>
        <v>조기 이즈 베리 임폴턴트</v>
      </c>
      <c r="B8536" s="2" t="str">
        <f>IFERROR(__xludf.DUMMYFUNCTION("""COMPUTED_VALUE"""),"간장")</f>
        <v>간장</v>
      </c>
    </row>
    <row r="8537">
      <c r="A8537" s="2" t="str">
        <f>IFERROR(__xludf.DUMMYFUNCTION("""COMPUTED_VALUE"""),"조기 이즈 베리 임폴턴트")</f>
        <v>조기 이즈 베리 임폴턴트</v>
      </c>
      <c r="B8537" s="2" t="str">
        <f>IFERROR(__xludf.DUMMYFUNCTION("""COMPUTED_VALUE"""),"달걀")</f>
        <v>달걀</v>
      </c>
    </row>
    <row r="8538">
      <c r="A8538" s="2" t="str">
        <f>IFERROR(__xludf.DUMMYFUNCTION("""COMPUTED_VALUE"""),"조기 이즈 베리 임폴턴트")</f>
        <v>조기 이즈 베리 임폴턴트</v>
      </c>
      <c r="B8538" s="2" t="str">
        <f>IFERROR(__xludf.DUMMYFUNCTION("""COMPUTED_VALUE"""),"즉석밥")</f>
        <v>즉석밥</v>
      </c>
    </row>
    <row r="8539">
      <c r="A8539" s="2" t="str">
        <f>IFERROR(__xludf.DUMMYFUNCTION("""COMPUTED_VALUE"""),"조기 이즈 베리 임폴턴트")</f>
        <v>조기 이즈 베리 임폴턴트</v>
      </c>
      <c r="B8539" s="2" t="str">
        <f>IFERROR(__xludf.DUMMYFUNCTION("""COMPUTED_VALUE"""),"버터")</f>
        <v>버터</v>
      </c>
    </row>
    <row r="8540">
      <c r="A8540" s="2" t="str">
        <f>IFERROR(__xludf.DUMMYFUNCTION("""COMPUTED_VALUE"""),"조기 이즈 베리 임폴턴트")</f>
        <v>조기 이즈 베리 임폴턴트</v>
      </c>
      <c r="B8540" s="2" t="str">
        <f>IFERROR(__xludf.DUMMYFUNCTION("""COMPUTED_VALUE"""),"소금")</f>
        <v>소금</v>
      </c>
    </row>
    <row r="8541">
      <c r="A8541" s="2" t="str">
        <f>IFERROR(__xludf.DUMMYFUNCTION("""COMPUTED_VALUE"""),"돈테크만")</f>
        <v>돈테크만</v>
      </c>
      <c r="B8541" s="2" t="str">
        <f>IFERROR(__xludf.DUMMYFUNCTION("""COMPUTED_VALUE"""),"삼겹살")</f>
        <v>삼겹살</v>
      </c>
    </row>
    <row r="8542">
      <c r="A8542" s="2" t="str">
        <f>IFERROR(__xludf.DUMMYFUNCTION("""COMPUTED_VALUE"""),"돈테크만")</f>
        <v>돈테크만</v>
      </c>
      <c r="B8542" s="2" t="str">
        <f>IFERROR(__xludf.DUMMYFUNCTION("""COMPUTED_VALUE"""),"오징어")</f>
        <v>오징어</v>
      </c>
    </row>
    <row r="8543">
      <c r="A8543" s="2" t="str">
        <f>IFERROR(__xludf.DUMMYFUNCTION("""COMPUTED_VALUE"""),"돈테크만")</f>
        <v>돈테크만</v>
      </c>
      <c r="B8543" s="2" t="str">
        <f>IFERROR(__xludf.DUMMYFUNCTION("""COMPUTED_VALUE"""),"발사믹식초")</f>
        <v>발사믹식초</v>
      </c>
    </row>
    <row r="8544">
      <c r="A8544" s="2" t="str">
        <f>IFERROR(__xludf.DUMMYFUNCTION("""COMPUTED_VALUE"""),"돈테크만")</f>
        <v>돈테크만</v>
      </c>
      <c r="B8544" s="2" t="str">
        <f>IFERROR(__xludf.DUMMYFUNCTION("""COMPUTED_VALUE"""),"딸기잼")</f>
        <v>딸기잼</v>
      </c>
    </row>
    <row r="8545">
      <c r="A8545" s="2" t="str">
        <f>IFERROR(__xludf.DUMMYFUNCTION("""COMPUTED_VALUE"""),"돈테크만")</f>
        <v>돈테크만</v>
      </c>
      <c r="B8545" s="2" t="str">
        <f>IFERROR(__xludf.DUMMYFUNCTION("""COMPUTED_VALUE"""),"잣")</f>
        <v>잣</v>
      </c>
    </row>
    <row r="8546">
      <c r="A8546" s="2" t="str">
        <f>IFERROR(__xludf.DUMMYFUNCTION("""COMPUTED_VALUE"""),"돈테크만")</f>
        <v>돈테크만</v>
      </c>
      <c r="B8546" s="2" t="str">
        <f>IFERROR(__xludf.DUMMYFUNCTION("""COMPUTED_VALUE"""),"우유")</f>
        <v>우유</v>
      </c>
    </row>
    <row r="8547">
      <c r="A8547" s="2" t="str">
        <f>IFERROR(__xludf.DUMMYFUNCTION("""COMPUTED_VALUE"""),"돈테크만")</f>
        <v>돈테크만</v>
      </c>
      <c r="B8547" s="2" t="str">
        <f>IFERROR(__xludf.DUMMYFUNCTION("""COMPUTED_VALUE"""),"쯔유")</f>
        <v>쯔유</v>
      </c>
    </row>
    <row r="8548">
      <c r="A8548" s="2" t="str">
        <f>IFERROR(__xludf.DUMMYFUNCTION("""COMPUTED_VALUE"""),"돈테크만")</f>
        <v>돈테크만</v>
      </c>
      <c r="B8548" s="2" t="str">
        <f>IFERROR(__xludf.DUMMYFUNCTION("""COMPUTED_VALUE"""),"홍삼진액")</f>
        <v>홍삼진액</v>
      </c>
    </row>
    <row r="8549">
      <c r="A8549" s="2" t="str">
        <f>IFERROR(__xludf.DUMMYFUNCTION("""COMPUTED_VALUE"""),"돈테크만")</f>
        <v>돈테크만</v>
      </c>
      <c r="B8549" s="2" t="str">
        <f>IFERROR(__xludf.DUMMYFUNCTION("""COMPUTED_VALUE"""),"소금")</f>
        <v>소금</v>
      </c>
    </row>
    <row r="8550">
      <c r="A8550" s="2" t="str">
        <f>IFERROR(__xludf.DUMMYFUNCTION("""COMPUTED_VALUE"""),"돈테크만")</f>
        <v>돈테크만</v>
      </c>
      <c r="B8550" s="2" t="str">
        <f>IFERROR(__xludf.DUMMYFUNCTION("""COMPUTED_VALUE"""),"식용유")</f>
        <v>식용유</v>
      </c>
    </row>
    <row r="8551">
      <c r="A8551" s="2" t="str">
        <f>IFERROR(__xludf.DUMMYFUNCTION("""COMPUTED_VALUE"""),"돈테크만")</f>
        <v>돈테크만</v>
      </c>
      <c r="B8551" s="2" t="str">
        <f>IFERROR(__xludf.DUMMYFUNCTION("""COMPUTED_VALUE"""),"대파")</f>
        <v>대파</v>
      </c>
    </row>
    <row r="8552">
      <c r="A8552" s="2" t="str">
        <f>IFERROR(__xludf.DUMMYFUNCTION("""COMPUTED_VALUE"""),"돈테크만")</f>
        <v>돈테크만</v>
      </c>
      <c r="B8552" s="2" t="str">
        <f>IFERROR(__xludf.DUMMYFUNCTION("""COMPUTED_VALUE"""),"설탕")</f>
        <v>설탕</v>
      </c>
    </row>
    <row r="8553">
      <c r="A8553" s="2" t="str">
        <f>IFERROR(__xludf.DUMMYFUNCTION("""COMPUTED_VALUE"""),"돈테크만")</f>
        <v>돈테크만</v>
      </c>
      <c r="B8553" s="2" t="str">
        <f>IFERROR(__xludf.DUMMYFUNCTION("""COMPUTED_VALUE"""),"청주")</f>
        <v>청주</v>
      </c>
    </row>
    <row r="8554">
      <c r="A8554" s="2" t="str">
        <f>IFERROR(__xludf.DUMMYFUNCTION("""COMPUTED_VALUE"""),"돈테크만")</f>
        <v>돈테크만</v>
      </c>
      <c r="B8554" s="2" t="str">
        <f>IFERROR(__xludf.DUMMYFUNCTION("""COMPUTED_VALUE"""),"연겨자")</f>
        <v>연겨자</v>
      </c>
    </row>
    <row r="8555">
      <c r="A8555" s="2" t="str">
        <f>IFERROR(__xludf.DUMMYFUNCTION("""COMPUTED_VALUE"""),"돈테크만")</f>
        <v>돈테크만</v>
      </c>
      <c r="B8555" s="2" t="str">
        <f>IFERROR(__xludf.DUMMYFUNCTION("""COMPUTED_VALUE"""),"간장")</f>
        <v>간장</v>
      </c>
    </row>
    <row r="8556">
      <c r="A8556" s="2" t="str">
        <f>IFERROR(__xludf.DUMMYFUNCTION("""COMPUTED_VALUE"""),"돈테크만")</f>
        <v>돈테크만</v>
      </c>
      <c r="B8556" s="2" t="str">
        <f>IFERROR(__xludf.DUMMYFUNCTION("""COMPUTED_VALUE"""),"식초")</f>
        <v>식초</v>
      </c>
    </row>
    <row r="8557">
      <c r="A8557" s="2" t="str">
        <f>IFERROR(__xludf.DUMMYFUNCTION("""COMPUTED_VALUE"""),"돈테크만")</f>
        <v>돈테크만</v>
      </c>
      <c r="B8557" s="2" t="str">
        <f>IFERROR(__xludf.DUMMYFUNCTION("""COMPUTED_VALUE"""),"맛술")</f>
        <v>맛술</v>
      </c>
    </row>
    <row r="8558">
      <c r="A8558" s="2" t="str">
        <f>IFERROR(__xludf.DUMMYFUNCTION("""COMPUTED_VALUE"""),"돈테크만")</f>
        <v>돈테크만</v>
      </c>
      <c r="B8558" s="2" t="str">
        <f>IFERROR(__xludf.DUMMYFUNCTION("""COMPUTED_VALUE"""),"고춧가루")</f>
        <v>고춧가루</v>
      </c>
    </row>
    <row r="8559">
      <c r="A8559" s="2" t="str">
        <f>IFERROR(__xludf.DUMMYFUNCTION("""COMPUTED_VALUE"""),"돈테크만")</f>
        <v>돈테크만</v>
      </c>
      <c r="B8559" s="2" t="str">
        <f>IFERROR(__xludf.DUMMYFUNCTION("""COMPUTED_VALUE"""),"버터")</f>
        <v>버터</v>
      </c>
    </row>
    <row r="8560">
      <c r="A8560" s="2" t="str">
        <f>IFERROR(__xludf.DUMMYFUNCTION("""COMPUTED_VALUE"""),"출발! 짜글이 여행")</f>
        <v>출발! 짜글이 여행</v>
      </c>
      <c r="B8560" s="2" t="str">
        <f>IFERROR(__xludf.DUMMYFUNCTION("""COMPUTED_VALUE"""),"무")</f>
        <v>무</v>
      </c>
    </row>
    <row r="8561">
      <c r="A8561" s="2" t="str">
        <f>IFERROR(__xludf.DUMMYFUNCTION("""COMPUTED_VALUE"""),"출발! 짜글이 여행")</f>
        <v>출발! 짜글이 여행</v>
      </c>
      <c r="B8561" s="2" t="str">
        <f>IFERROR(__xludf.DUMMYFUNCTION("""COMPUTED_VALUE"""),"새우젓")</f>
        <v>새우젓</v>
      </c>
    </row>
    <row r="8562">
      <c r="A8562" s="2" t="str">
        <f>IFERROR(__xludf.DUMMYFUNCTION("""COMPUTED_VALUE"""),"출발! 짜글이 여행")</f>
        <v>출발! 짜글이 여행</v>
      </c>
      <c r="B8562" s="2" t="str">
        <f>IFERROR(__xludf.DUMMYFUNCTION("""COMPUTED_VALUE"""),"게맛살")</f>
        <v>게맛살</v>
      </c>
    </row>
    <row r="8563">
      <c r="A8563" s="2" t="str">
        <f>IFERROR(__xludf.DUMMYFUNCTION("""COMPUTED_VALUE"""),"출발! 짜글이 여행")</f>
        <v>출발! 짜글이 여행</v>
      </c>
      <c r="B8563" s="2" t="str">
        <f>IFERROR(__xludf.DUMMYFUNCTION("""COMPUTED_VALUE"""),"새송이버섯")</f>
        <v>새송이버섯</v>
      </c>
    </row>
    <row r="8564">
      <c r="A8564" s="2" t="str">
        <f>IFERROR(__xludf.DUMMYFUNCTION("""COMPUTED_VALUE"""),"출발! 짜글이 여행")</f>
        <v>출발! 짜글이 여행</v>
      </c>
      <c r="B8564" s="2" t="str">
        <f>IFERROR(__xludf.DUMMYFUNCTION("""COMPUTED_VALUE"""),"명란젓")</f>
        <v>명란젓</v>
      </c>
    </row>
    <row r="8565">
      <c r="A8565" s="2" t="str">
        <f>IFERROR(__xludf.DUMMYFUNCTION("""COMPUTED_VALUE"""),"출발! 짜글이 여행")</f>
        <v>출발! 짜글이 여행</v>
      </c>
      <c r="B8565" s="2" t="str">
        <f>IFERROR(__xludf.DUMMYFUNCTION("""COMPUTED_VALUE"""),"쯔유")</f>
        <v>쯔유</v>
      </c>
    </row>
    <row r="8566">
      <c r="A8566" s="2" t="str">
        <f>IFERROR(__xludf.DUMMYFUNCTION("""COMPUTED_VALUE"""),"출발! 짜글이 여행")</f>
        <v>출발! 짜글이 여행</v>
      </c>
      <c r="B8566" s="2" t="str">
        <f>IFERROR(__xludf.DUMMYFUNCTION("""COMPUTED_VALUE"""),"들기름")</f>
        <v>들기름</v>
      </c>
    </row>
    <row r="8567">
      <c r="A8567" s="2" t="str">
        <f>IFERROR(__xludf.DUMMYFUNCTION("""COMPUTED_VALUE"""),"출발! 짜글이 여행")</f>
        <v>출발! 짜글이 여행</v>
      </c>
      <c r="B8567" s="2" t="str">
        <f>IFERROR(__xludf.DUMMYFUNCTION("""COMPUTED_VALUE"""),"된장")</f>
        <v>된장</v>
      </c>
    </row>
    <row r="8568">
      <c r="A8568" s="2" t="str">
        <f>IFERROR(__xludf.DUMMYFUNCTION("""COMPUTED_VALUE"""),"출발! 짜글이 여행")</f>
        <v>출발! 짜글이 여행</v>
      </c>
      <c r="B8568" s="2" t="str">
        <f>IFERROR(__xludf.DUMMYFUNCTION("""COMPUTED_VALUE"""),"고춧가루")</f>
        <v>고춧가루</v>
      </c>
    </row>
    <row r="8569">
      <c r="A8569" s="2" t="str">
        <f>IFERROR(__xludf.DUMMYFUNCTION("""COMPUTED_VALUE"""),"출발! 짜글이 여행")</f>
        <v>출발! 짜글이 여행</v>
      </c>
      <c r="B8569" s="2" t="str">
        <f>IFERROR(__xludf.DUMMYFUNCTION("""COMPUTED_VALUE"""),"식초")</f>
        <v>식초</v>
      </c>
    </row>
    <row r="8570">
      <c r="A8570" s="2" t="str">
        <f>IFERROR(__xludf.DUMMYFUNCTION("""COMPUTED_VALUE"""),"출발! 짜글이 여행")</f>
        <v>출발! 짜글이 여행</v>
      </c>
      <c r="B8570" s="2" t="str">
        <f>IFERROR(__xludf.DUMMYFUNCTION("""COMPUTED_VALUE"""),"대파")</f>
        <v>대파</v>
      </c>
    </row>
    <row r="8571">
      <c r="A8571" s="2" t="str">
        <f>IFERROR(__xludf.DUMMYFUNCTION("""COMPUTED_VALUE"""),"출발! 짜글이 여행")</f>
        <v>출발! 짜글이 여행</v>
      </c>
      <c r="B8571" s="2" t="str">
        <f>IFERROR(__xludf.DUMMYFUNCTION("""COMPUTED_VALUE"""),"즉석밥")</f>
        <v>즉석밥</v>
      </c>
    </row>
    <row r="8572">
      <c r="A8572" s="2" t="str">
        <f>IFERROR(__xludf.DUMMYFUNCTION("""COMPUTED_VALUE"""),"출발! 짜글이 여행")</f>
        <v>출발! 짜글이 여행</v>
      </c>
      <c r="B8572" s="2" t="str">
        <f>IFERROR(__xludf.DUMMYFUNCTION("""COMPUTED_VALUE"""),"마늘")</f>
        <v>마늘</v>
      </c>
    </row>
    <row r="8573">
      <c r="A8573" s="2" t="str">
        <f>IFERROR(__xludf.DUMMYFUNCTION("""COMPUTED_VALUE"""),"명불허전 그뤠잇!")</f>
        <v>명불허전 그뤠잇!</v>
      </c>
      <c r="B8573" s="2" t="str">
        <f>IFERROR(__xludf.DUMMYFUNCTION("""COMPUTED_VALUE"""),"삼겹살")</f>
        <v>삼겹살</v>
      </c>
    </row>
    <row r="8574">
      <c r="A8574" s="2" t="str">
        <f>IFERROR(__xludf.DUMMYFUNCTION("""COMPUTED_VALUE"""),"명불허전 그뤠잇!")</f>
        <v>명불허전 그뤠잇!</v>
      </c>
      <c r="B8574" s="2" t="str">
        <f>IFERROR(__xludf.DUMMYFUNCTION("""COMPUTED_VALUE"""),"맥주")</f>
        <v>맥주</v>
      </c>
    </row>
    <row r="8575">
      <c r="A8575" s="2" t="str">
        <f>IFERROR(__xludf.DUMMYFUNCTION("""COMPUTED_VALUE"""),"명불허전 그뤠잇!")</f>
        <v>명불허전 그뤠잇!</v>
      </c>
      <c r="B8575" s="2" t="str">
        <f>IFERROR(__xludf.DUMMYFUNCTION("""COMPUTED_VALUE"""),"양파장아찌")</f>
        <v>양파장아찌</v>
      </c>
    </row>
    <row r="8576">
      <c r="A8576" s="2" t="str">
        <f>IFERROR(__xludf.DUMMYFUNCTION("""COMPUTED_VALUE"""),"명불허전 그뤠잇!")</f>
        <v>명불허전 그뤠잇!</v>
      </c>
      <c r="B8576" s="2" t="str">
        <f>IFERROR(__xludf.DUMMYFUNCTION("""COMPUTED_VALUE"""),"매운볶음소스")</f>
        <v>매운볶음소스</v>
      </c>
    </row>
    <row r="8577">
      <c r="A8577" s="2" t="str">
        <f>IFERROR(__xludf.DUMMYFUNCTION("""COMPUTED_VALUE"""),"명불허전 그뤠잇!")</f>
        <v>명불허전 그뤠잇!</v>
      </c>
      <c r="B8577" s="2" t="str">
        <f>IFERROR(__xludf.DUMMYFUNCTION("""COMPUTED_VALUE"""),"고춧가루")</f>
        <v>고춧가루</v>
      </c>
    </row>
    <row r="8578">
      <c r="A8578" s="2" t="str">
        <f>IFERROR(__xludf.DUMMYFUNCTION("""COMPUTED_VALUE"""),"명불허전 그뤠잇!")</f>
        <v>명불허전 그뤠잇!</v>
      </c>
      <c r="B8578" s="2" t="str">
        <f>IFERROR(__xludf.DUMMYFUNCTION("""COMPUTED_VALUE"""),"매실액")</f>
        <v>매실액</v>
      </c>
    </row>
    <row r="8579">
      <c r="A8579" s="2" t="str">
        <f>IFERROR(__xludf.DUMMYFUNCTION("""COMPUTED_VALUE"""),"명불허전 그뤠잇!")</f>
        <v>명불허전 그뤠잇!</v>
      </c>
      <c r="B8579" s="2" t="str">
        <f>IFERROR(__xludf.DUMMYFUNCTION("""COMPUTED_VALUE"""),"참치액")</f>
        <v>참치액</v>
      </c>
    </row>
    <row r="8580">
      <c r="A8580" s="2" t="str">
        <f>IFERROR(__xludf.DUMMYFUNCTION("""COMPUTED_VALUE"""),"명불허전 그뤠잇!")</f>
        <v>명불허전 그뤠잇!</v>
      </c>
      <c r="B8580" s="2" t="str">
        <f>IFERROR(__xludf.DUMMYFUNCTION("""COMPUTED_VALUE"""),"새송이버섯")</f>
        <v>새송이버섯</v>
      </c>
    </row>
    <row r="8581">
      <c r="A8581" s="2" t="str">
        <f>IFERROR(__xludf.DUMMYFUNCTION("""COMPUTED_VALUE"""),"명불허전 그뤠잇!")</f>
        <v>명불허전 그뤠잇!</v>
      </c>
      <c r="B8581" s="2" t="str">
        <f>IFERROR(__xludf.DUMMYFUNCTION("""COMPUTED_VALUE"""),"낫토")</f>
        <v>낫토</v>
      </c>
    </row>
    <row r="8582">
      <c r="A8582" s="2" t="str">
        <f>IFERROR(__xludf.DUMMYFUNCTION("""COMPUTED_VALUE"""),"명불허전 그뤠잇!")</f>
        <v>명불허전 그뤠잇!</v>
      </c>
      <c r="B8582" s="2" t="str">
        <f>IFERROR(__xludf.DUMMYFUNCTION("""COMPUTED_VALUE"""),"명란젓")</f>
        <v>명란젓</v>
      </c>
    </row>
    <row r="8583">
      <c r="A8583" s="2" t="str">
        <f>IFERROR(__xludf.DUMMYFUNCTION("""COMPUTED_VALUE"""),"명불허전 그뤠잇!")</f>
        <v>명불허전 그뤠잇!</v>
      </c>
      <c r="B8583" s="2" t="str">
        <f>IFERROR(__xludf.DUMMYFUNCTION("""COMPUTED_VALUE"""),"게맛살")</f>
        <v>게맛살</v>
      </c>
    </row>
    <row r="8584">
      <c r="A8584" s="2" t="str">
        <f>IFERROR(__xludf.DUMMYFUNCTION("""COMPUTED_VALUE"""),"명불허전 그뤠잇!")</f>
        <v>명불허전 그뤠잇!</v>
      </c>
      <c r="B8584" s="2" t="str">
        <f>IFERROR(__xludf.DUMMYFUNCTION("""COMPUTED_VALUE"""),"식용유")</f>
        <v>식용유</v>
      </c>
    </row>
    <row r="8585">
      <c r="A8585" s="2" t="str">
        <f>IFERROR(__xludf.DUMMYFUNCTION("""COMPUTED_VALUE"""),"명불허전 그뤠잇!")</f>
        <v>명불허전 그뤠잇!</v>
      </c>
      <c r="B8585" s="2" t="str">
        <f>IFERROR(__xludf.DUMMYFUNCTION("""COMPUTED_VALUE"""),"대파")</f>
        <v>대파</v>
      </c>
    </row>
    <row r="8586">
      <c r="A8586" s="2" t="str">
        <f>IFERROR(__xludf.DUMMYFUNCTION("""COMPUTED_VALUE"""),"명불허전 그뤠잇!")</f>
        <v>명불허전 그뤠잇!</v>
      </c>
      <c r="B8586" s="2" t="str">
        <f>IFERROR(__xludf.DUMMYFUNCTION("""COMPUTED_VALUE"""),"양파")</f>
        <v>양파</v>
      </c>
    </row>
    <row r="8587">
      <c r="A8587" s="2" t="str">
        <f>IFERROR(__xludf.DUMMYFUNCTION("""COMPUTED_VALUE"""),"명불허전 그뤠잇!")</f>
        <v>명불허전 그뤠잇!</v>
      </c>
      <c r="B8587" s="2" t="str">
        <f>IFERROR(__xludf.DUMMYFUNCTION("""COMPUTED_VALUE"""),"깨")</f>
        <v>깨</v>
      </c>
    </row>
    <row r="8588">
      <c r="A8588" s="2" t="str">
        <f>IFERROR(__xludf.DUMMYFUNCTION("""COMPUTED_VALUE"""),"명불허전 그뤠잇!")</f>
        <v>명불허전 그뤠잇!</v>
      </c>
      <c r="B8588" s="2" t="str">
        <f>IFERROR(__xludf.DUMMYFUNCTION("""COMPUTED_VALUE"""),"홍고추")</f>
        <v>홍고추</v>
      </c>
    </row>
    <row r="8589">
      <c r="A8589" s="2" t="str">
        <f>IFERROR(__xludf.DUMMYFUNCTION("""COMPUTED_VALUE"""),"명불허전 그뤠잇!")</f>
        <v>명불허전 그뤠잇!</v>
      </c>
      <c r="B8589" s="2" t="str">
        <f>IFERROR(__xludf.DUMMYFUNCTION("""COMPUTED_VALUE"""),"청양고추")</f>
        <v>청양고추</v>
      </c>
    </row>
    <row r="8590">
      <c r="A8590" s="2" t="str">
        <f>IFERROR(__xludf.DUMMYFUNCTION("""COMPUTED_VALUE"""),"명불허전 그뤠잇!")</f>
        <v>명불허전 그뤠잇!</v>
      </c>
      <c r="B8590" s="2" t="str">
        <f>IFERROR(__xludf.DUMMYFUNCTION("""COMPUTED_VALUE"""),"설탕")</f>
        <v>설탕</v>
      </c>
    </row>
    <row r="8591">
      <c r="A8591" s="2" t="str">
        <f>IFERROR(__xludf.DUMMYFUNCTION("""COMPUTED_VALUE"""),"명불허전 그뤠잇!")</f>
        <v>명불허전 그뤠잇!</v>
      </c>
      <c r="B8591" s="2" t="str">
        <f>IFERROR(__xludf.DUMMYFUNCTION("""COMPUTED_VALUE"""),"즉석밥")</f>
        <v>즉석밥</v>
      </c>
    </row>
    <row r="8592">
      <c r="A8592" s="2" t="str">
        <f>IFERROR(__xludf.DUMMYFUNCTION("""COMPUTED_VALUE"""),"명불허전 그뤠잇!")</f>
        <v>명불허전 그뤠잇!</v>
      </c>
      <c r="B8592" s="2" t="str">
        <f>IFERROR(__xludf.DUMMYFUNCTION("""COMPUTED_VALUE"""),"후추")</f>
        <v>후추</v>
      </c>
    </row>
    <row r="8593">
      <c r="A8593" s="2" t="str">
        <f>IFERROR(__xludf.DUMMYFUNCTION("""COMPUTED_VALUE"""),"HOT한 갈비찜")</f>
        <v>HOT한 갈비찜</v>
      </c>
      <c r="B8593" s="2" t="str">
        <f>IFERROR(__xludf.DUMMYFUNCTION("""COMPUTED_VALUE"""),"인스턴트 소갈비탕")</f>
        <v>인스턴트 소갈비탕</v>
      </c>
    </row>
    <row r="8594">
      <c r="A8594" s="2" t="str">
        <f>IFERROR(__xludf.DUMMYFUNCTION("""COMPUTED_VALUE"""),"HOT한 갈비찜")</f>
        <v>HOT한 갈비찜</v>
      </c>
      <c r="B8594" s="2" t="str">
        <f>IFERROR(__xludf.DUMMYFUNCTION("""COMPUTED_VALUE"""),"새송이버섯")</f>
        <v>새송이버섯</v>
      </c>
    </row>
    <row r="8595">
      <c r="A8595" s="2" t="str">
        <f>IFERROR(__xludf.DUMMYFUNCTION("""COMPUTED_VALUE"""),"HOT한 갈비찜")</f>
        <v>HOT한 갈비찜</v>
      </c>
      <c r="B8595" s="2" t="str">
        <f>IFERROR(__xludf.DUMMYFUNCTION("""COMPUTED_VALUE"""),"콩나물")</f>
        <v>콩나물</v>
      </c>
    </row>
    <row r="8596">
      <c r="A8596" s="2" t="str">
        <f>IFERROR(__xludf.DUMMYFUNCTION("""COMPUTED_VALUE"""),"HOT한 갈비찜")</f>
        <v>HOT한 갈비찜</v>
      </c>
      <c r="B8596" s="2" t="str">
        <f>IFERROR(__xludf.DUMMYFUNCTION("""COMPUTED_VALUE"""),"쌈장")</f>
        <v>쌈장</v>
      </c>
    </row>
    <row r="8597">
      <c r="A8597" s="2" t="str">
        <f>IFERROR(__xludf.DUMMYFUNCTION("""COMPUTED_VALUE"""),"HOT한 갈비찜")</f>
        <v>HOT한 갈비찜</v>
      </c>
      <c r="B8597" s="2" t="str">
        <f>IFERROR(__xludf.DUMMYFUNCTION("""COMPUTED_VALUE"""),"볶음고추장")</f>
        <v>볶음고추장</v>
      </c>
    </row>
    <row r="8598">
      <c r="A8598" s="2" t="str">
        <f>IFERROR(__xludf.DUMMYFUNCTION("""COMPUTED_VALUE"""),"HOT한 갈비찜")</f>
        <v>HOT한 갈비찜</v>
      </c>
      <c r="B8598" s="2" t="str">
        <f>IFERROR(__xludf.DUMMYFUNCTION("""COMPUTED_VALUE"""),"감자칩과자")</f>
        <v>감자칩과자</v>
      </c>
    </row>
    <row r="8599">
      <c r="A8599" s="2" t="str">
        <f>IFERROR(__xludf.DUMMYFUNCTION("""COMPUTED_VALUE"""),"HOT한 갈비찜")</f>
        <v>HOT한 갈비찜</v>
      </c>
      <c r="B8599" s="2" t="str">
        <f>IFERROR(__xludf.DUMMYFUNCTION("""COMPUTED_VALUE"""),"감자스틱과자")</f>
        <v>감자스틱과자</v>
      </c>
    </row>
    <row r="8600">
      <c r="A8600" s="2" t="str">
        <f>IFERROR(__xludf.DUMMYFUNCTION("""COMPUTED_VALUE"""),"HOT한 갈비찜")</f>
        <v>HOT한 갈비찜</v>
      </c>
      <c r="B8600" s="2" t="str">
        <f>IFERROR(__xludf.DUMMYFUNCTION("""COMPUTED_VALUE"""),"김과자")</f>
        <v>김과자</v>
      </c>
    </row>
    <row r="8601">
      <c r="A8601" s="2" t="str">
        <f>IFERROR(__xludf.DUMMYFUNCTION("""COMPUTED_VALUE"""),"HOT한 갈비찜")</f>
        <v>HOT한 갈비찜</v>
      </c>
      <c r="B8601" s="2" t="str">
        <f>IFERROR(__xludf.DUMMYFUNCTION("""COMPUTED_VALUE"""),"새우맛 누룽지과자")</f>
        <v>새우맛 누룽지과자</v>
      </c>
    </row>
    <row r="8602">
      <c r="A8602" s="2" t="str">
        <f>IFERROR(__xludf.DUMMYFUNCTION("""COMPUTED_VALUE"""),"HOT한 갈비찜")</f>
        <v>HOT한 갈비찜</v>
      </c>
      <c r="B8602" s="2" t="str">
        <f>IFERROR(__xludf.DUMMYFUNCTION("""COMPUTED_VALUE"""),"소주")</f>
        <v>소주</v>
      </c>
    </row>
    <row r="8603">
      <c r="A8603" s="2" t="str">
        <f>IFERROR(__xludf.DUMMYFUNCTION("""COMPUTED_VALUE"""),"HOT한 갈비찜")</f>
        <v>HOT한 갈비찜</v>
      </c>
      <c r="B8603" s="2" t="str">
        <f>IFERROR(__xludf.DUMMYFUNCTION("""COMPUTED_VALUE"""),"양파")</f>
        <v>양파</v>
      </c>
    </row>
    <row r="8604">
      <c r="A8604" s="2" t="str">
        <f>IFERROR(__xludf.DUMMYFUNCTION("""COMPUTED_VALUE"""),"HOT한 갈비찜")</f>
        <v>HOT한 갈비찜</v>
      </c>
      <c r="B8604" s="2" t="str">
        <f>IFERROR(__xludf.DUMMYFUNCTION("""COMPUTED_VALUE"""),"대파")</f>
        <v>대파</v>
      </c>
    </row>
    <row r="8605">
      <c r="A8605" s="2" t="str">
        <f>IFERROR(__xludf.DUMMYFUNCTION("""COMPUTED_VALUE"""),"HOT한 갈비찜")</f>
        <v>HOT한 갈비찜</v>
      </c>
      <c r="B8605" s="2" t="str">
        <f>IFERROR(__xludf.DUMMYFUNCTION("""COMPUTED_VALUE"""),"다진 마늘")</f>
        <v>다진 마늘</v>
      </c>
    </row>
    <row r="8606">
      <c r="A8606" s="2" t="str">
        <f>IFERROR(__xludf.DUMMYFUNCTION("""COMPUTED_VALUE"""),"HOT한 갈비찜")</f>
        <v>HOT한 갈비찜</v>
      </c>
      <c r="B8606" s="2" t="str">
        <f>IFERROR(__xludf.DUMMYFUNCTION("""COMPUTED_VALUE"""),"다진 생강")</f>
        <v>다진 생강</v>
      </c>
    </row>
    <row r="8607">
      <c r="A8607" s="2" t="str">
        <f>IFERROR(__xludf.DUMMYFUNCTION("""COMPUTED_VALUE"""),"HOT한 갈비찜")</f>
        <v>HOT한 갈비찜</v>
      </c>
      <c r="B8607" s="2" t="str">
        <f>IFERROR(__xludf.DUMMYFUNCTION("""COMPUTED_VALUE"""),"간장")</f>
        <v>간장</v>
      </c>
    </row>
    <row r="8608">
      <c r="A8608" s="2" t="str">
        <f>IFERROR(__xludf.DUMMYFUNCTION("""COMPUTED_VALUE"""),"HOT한 갈비찜")</f>
        <v>HOT한 갈비찜</v>
      </c>
      <c r="B8608" s="2" t="str">
        <f>IFERROR(__xludf.DUMMYFUNCTION("""COMPUTED_VALUE"""),"설탕")</f>
        <v>설탕</v>
      </c>
    </row>
    <row r="8609">
      <c r="A8609" s="2" t="str">
        <f>IFERROR(__xludf.DUMMYFUNCTION("""COMPUTED_VALUE"""),"HOT한 갈비찜")</f>
        <v>HOT한 갈비찜</v>
      </c>
      <c r="B8609" s="2" t="str">
        <f>IFERROR(__xludf.DUMMYFUNCTION("""COMPUTED_VALUE"""),"참기름")</f>
        <v>참기름</v>
      </c>
    </row>
    <row r="8610">
      <c r="A8610" s="2" t="str">
        <f>IFERROR(__xludf.DUMMYFUNCTION("""COMPUTED_VALUE"""),"HOT한 갈비찜")</f>
        <v>HOT한 갈비찜</v>
      </c>
      <c r="B8610" s="2" t="str">
        <f>IFERROR(__xludf.DUMMYFUNCTION("""COMPUTED_VALUE"""),"청양고추")</f>
        <v>청양고추</v>
      </c>
    </row>
    <row r="8611">
      <c r="A8611" s="2" t="str">
        <f>IFERROR(__xludf.DUMMYFUNCTION("""COMPUTED_VALUE"""),"HOT한 갈비찜")</f>
        <v>HOT한 갈비찜</v>
      </c>
      <c r="B8611" s="2" t="str">
        <f>IFERROR(__xludf.DUMMYFUNCTION("""COMPUTED_VALUE"""),"맛술")</f>
        <v>맛술</v>
      </c>
    </row>
    <row r="8612">
      <c r="A8612" s="2" t="str">
        <f>IFERROR(__xludf.DUMMYFUNCTION("""COMPUTED_VALUE"""),"HOT한 갈비찜")</f>
        <v>HOT한 갈비찜</v>
      </c>
      <c r="B8612" s="2" t="str">
        <f>IFERROR(__xludf.DUMMYFUNCTION("""COMPUTED_VALUE"""),"고춧가루")</f>
        <v>고춧가루</v>
      </c>
    </row>
    <row r="8613">
      <c r="A8613" s="2" t="str">
        <f>IFERROR(__xludf.DUMMYFUNCTION("""COMPUTED_VALUE"""),"HOT한 갈비찜")</f>
        <v>HOT한 갈비찜</v>
      </c>
      <c r="B8613" s="2" t="str">
        <f>IFERROR(__xludf.DUMMYFUNCTION("""COMPUTED_VALUE"""),"달걀")</f>
        <v>달걀</v>
      </c>
    </row>
    <row r="8614">
      <c r="A8614" s="2" t="str">
        <f>IFERROR(__xludf.DUMMYFUNCTION("""COMPUTED_VALUE"""),"HOT한 갈비찜")</f>
        <v>HOT한 갈비찜</v>
      </c>
      <c r="B8614" s="2" t="str">
        <f>IFERROR(__xludf.DUMMYFUNCTION("""COMPUTED_VALUE"""),"전분")</f>
        <v>전분</v>
      </c>
    </row>
    <row r="8615">
      <c r="A8615" s="2" t="str">
        <f>IFERROR(__xludf.DUMMYFUNCTION("""COMPUTED_VALUE"""),"입덕볶이")</f>
        <v>입덕볶이</v>
      </c>
      <c r="B8615" s="2" t="str">
        <f>IFERROR(__xludf.DUMMYFUNCTION("""COMPUTED_VALUE"""),"새송이버섯")</f>
        <v>새송이버섯</v>
      </c>
    </row>
    <row r="8616">
      <c r="A8616" s="2" t="str">
        <f>IFERROR(__xludf.DUMMYFUNCTION("""COMPUTED_VALUE"""),"입덕볶이")</f>
        <v>입덕볶이</v>
      </c>
      <c r="B8616" s="2" t="str">
        <f>IFERROR(__xludf.DUMMYFUNCTION("""COMPUTED_VALUE"""),"통조림 햄")</f>
        <v>통조림 햄</v>
      </c>
    </row>
    <row r="8617">
      <c r="A8617" s="2" t="str">
        <f>IFERROR(__xludf.DUMMYFUNCTION("""COMPUTED_VALUE"""),"입덕볶이")</f>
        <v>입덕볶이</v>
      </c>
      <c r="B8617" s="2" t="str">
        <f>IFERROR(__xludf.DUMMYFUNCTION("""COMPUTED_VALUE"""),"인스턴트 비빔냉면")</f>
        <v>인스턴트 비빔냉면</v>
      </c>
    </row>
    <row r="8618">
      <c r="A8618" s="2" t="str">
        <f>IFERROR(__xludf.DUMMYFUNCTION("""COMPUTED_VALUE"""),"입덕볶이")</f>
        <v>입덕볶이</v>
      </c>
      <c r="B8618" s="2" t="str">
        <f>IFERROR(__xludf.DUMMYFUNCTION("""COMPUTED_VALUE"""),"인스턴트 짜장")</f>
        <v>인스턴트 짜장</v>
      </c>
    </row>
    <row r="8619">
      <c r="A8619" s="2" t="str">
        <f>IFERROR(__xludf.DUMMYFUNCTION("""COMPUTED_VALUE"""),"입덕볶이")</f>
        <v>입덕볶이</v>
      </c>
      <c r="B8619" s="2" t="str">
        <f>IFERROR(__xludf.DUMMYFUNCTION("""COMPUTED_VALUE"""),"콩나물")</f>
        <v>콩나물</v>
      </c>
    </row>
    <row r="8620">
      <c r="A8620" s="2" t="str">
        <f>IFERROR(__xludf.DUMMYFUNCTION("""COMPUTED_VALUE"""),"입덕볶이")</f>
        <v>입덕볶이</v>
      </c>
      <c r="B8620" s="2" t="str">
        <f>IFERROR(__xludf.DUMMYFUNCTION("""COMPUTED_VALUE"""),"고량주")</f>
        <v>고량주</v>
      </c>
    </row>
    <row r="8621">
      <c r="A8621" s="2" t="str">
        <f>IFERROR(__xludf.DUMMYFUNCTION("""COMPUTED_VALUE"""),"입덕볶이")</f>
        <v>입덕볶이</v>
      </c>
      <c r="B8621" s="2" t="str">
        <f>IFERROR(__xludf.DUMMYFUNCTION("""COMPUTED_VALUE"""),"간장")</f>
        <v>간장</v>
      </c>
    </row>
    <row r="8622">
      <c r="A8622" s="2" t="str">
        <f>IFERROR(__xludf.DUMMYFUNCTION("""COMPUTED_VALUE"""),"입덕볶이")</f>
        <v>입덕볶이</v>
      </c>
      <c r="B8622" s="2" t="str">
        <f>IFERROR(__xludf.DUMMYFUNCTION("""COMPUTED_VALUE"""),"맛술")</f>
        <v>맛술</v>
      </c>
    </row>
    <row r="8623">
      <c r="A8623" s="2" t="str">
        <f>IFERROR(__xludf.DUMMYFUNCTION("""COMPUTED_VALUE"""),"입덕볶이")</f>
        <v>입덕볶이</v>
      </c>
      <c r="B8623" s="2" t="str">
        <f>IFERROR(__xludf.DUMMYFUNCTION("""COMPUTED_VALUE"""),"전분")</f>
        <v>전분</v>
      </c>
    </row>
    <row r="8624">
      <c r="A8624" s="2" t="str">
        <f>IFERROR(__xludf.DUMMYFUNCTION("""COMPUTED_VALUE"""),"입덕볶이")</f>
        <v>입덕볶이</v>
      </c>
      <c r="B8624" s="2" t="str">
        <f>IFERROR(__xludf.DUMMYFUNCTION("""COMPUTED_VALUE"""),"밀가루")</f>
        <v>밀가루</v>
      </c>
    </row>
    <row r="8625">
      <c r="A8625" s="2" t="str">
        <f>IFERROR(__xludf.DUMMYFUNCTION("""COMPUTED_VALUE"""),"입덕볶이")</f>
        <v>입덕볶이</v>
      </c>
      <c r="B8625" s="2" t="str">
        <f>IFERROR(__xludf.DUMMYFUNCTION("""COMPUTED_VALUE"""),"달걀")</f>
        <v>달걀</v>
      </c>
    </row>
    <row r="8626">
      <c r="A8626" s="2" t="str">
        <f>IFERROR(__xludf.DUMMYFUNCTION("""COMPUTED_VALUE"""),"입덕볶이")</f>
        <v>입덕볶이</v>
      </c>
      <c r="B8626" s="2" t="str">
        <f>IFERROR(__xludf.DUMMYFUNCTION("""COMPUTED_VALUE"""),"대파")</f>
        <v>대파</v>
      </c>
    </row>
    <row r="8627">
      <c r="A8627" s="2" t="str">
        <f>IFERROR(__xludf.DUMMYFUNCTION("""COMPUTED_VALUE"""),"입덕볶이")</f>
        <v>입덕볶이</v>
      </c>
      <c r="B8627" s="2" t="str">
        <f>IFERROR(__xludf.DUMMYFUNCTION("""COMPUTED_VALUE"""),"고추장")</f>
        <v>고추장</v>
      </c>
    </row>
    <row r="8628">
      <c r="A8628" s="2" t="str">
        <f>IFERROR(__xludf.DUMMYFUNCTION("""COMPUTED_VALUE"""),"입덕볶이")</f>
        <v>입덕볶이</v>
      </c>
      <c r="B8628" s="2" t="str">
        <f>IFERROR(__xludf.DUMMYFUNCTION("""COMPUTED_VALUE"""),"고춧가루")</f>
        <v>고춧가루</v>
      </c>
    </row>
    <row r="8629">
      <c r="A8629" s="2" t="str">
        <f>IFERROR(__xludf.DUMMYFUNCTION("""COMPUTED_VALUE"""),"입덕볶이")</f>
        <v>입덕볶이</v>
      </c>
      <c r="B8629" s="2" t="str">
        <f>IFERROR(__xludf.DUMMYFUNCTION("""COMPUTED_VALUE"""),"마늘")</f>
        <v>마늘</v>
      </c>
    </row>
    <row r="8630">
      <c r="A8630" s="2" t="str">
        <f>IFERROR(__xludf.DUMMYFUNCTION("""COMPUTED_VALUE"""),"입덕볶이")</f>
        <v>입덕볶이</v>
      </c>
      <c r="B8630" s="2" t="str">
        <f>IFERROR(__xludf.DUMMYFUNCTION("""COMPUTED_VALUE"""),"설탕")</f>
        <v>설탕</v>
      </c>
    </row>
    <row r="8631">
      <c r="A8631" s="2" t="str">
        <f>IFERROR(__xludf.DUMMYFUNCTION("""COMPUTED_VALUE"""),"입덕볶이")</f>
        <v>입덕볶이</v>
      </c>
      <c r="B8631" s="2" t="str">
        <f>IFERROR(__xludf.DUMMYFUNCTION("""COMPUTED_VALUE"""),"양파")</f>
        <v>양파</v>
      </c>
    </row>
    <row r="8632">
      <c r="A8632" s="2" t="str">
        <f>IFERROR(__xludf.DUMMYFUNCTION("""COMPUTED_VALUE"""),"소생소사")</f>
        <v>소생소사</v>
      </c>
      <c r="B8632" s="2" t="str">
        <f>IFERROR(__xludf.DUMMYFUNCTION("""COMPUTED_VALUE"""),"소고기 등심")</f>
        <v>소고기 등심</v>
      </c>
    </row>
    <row r="8633">
      <c r="A8633" s="2" t="str">
        <f>IFERROR(__xludf.DUMMYFUNCTION("""COMPUTED_VALUE"""),"소생소사")</f>
        <v>소생소사</v>
      </c>
      <c r="B8633" s="2" t="str">
        <f>IFERROR(__xludf.DUMMYFUNCTION("""COMPUTED_VALUE"""),"아스파라거스")</f>
        <v>아스파라거스</v>
      </c>
    </row>
    <row r="8634">
      <c r="A8634" s="2" t="str">
        <f>IFERROR(__xludf.DUMMYFUNCTION("""COMPUTED_VALUE"""),"소생소사")</f>
        <v>소생소사</v>
      </c>
      <c r="B8634" s="2" t="str">
        <f>IFERROR(__xludf.DUMMYFUNCTION("""COMPUTED_VALUE"""),"새송이버섯")</f>
        <v>새송이버섯</v>
      </c>
    </row>
    <row r="8635">
      <c r="A8635" s="2" t="str">
        <f>IFERROR(__xludf.DUMMYFUNCTION("""COMPUTED_VALUE"""),"소생소사")</f>
        <v>소생소사</v>
      </c>
      <c r="B8635" s="2" t="str">
        <f>IFERROR(__xludf.DUMMYFUNCTION("""COMPUTED_VALUE"""),"회과육소스")</f>
        <v>회과육소스</v>
      </c>
    </row>
    <row r="8636">
      <c r="A8636" s="2" t="str">
        <f>IFERROR(__xludf.DUMMYFUNCTION("""COMPUTED_VALUE"""),"소생소사")</f>
        <v>소생소사</v>
      </c>
      <c r="B8636" s="2" t="str">
        <f>IFERROR(__xludf.DUMMYFUNCTION("""COMPUTED_VALUE"""),"땅콩버터")</f>
        <v>땅콩버터</v>
      </c>
    </row>
    <row r="8637">
      <c r="A8637" s="2" t="str">
        <f>IFERROR(__xludf.DUMMYFUNCTION("""COMPUTED_VALUE"""),"소생소사")</f>
        <v>소생소사</v>
      </c>
      <c r="B8637" s="2" t="str">
        <f>IFERROR(__xludf.DUMMYFUNCTION("""COMPUTED_VALUE"""),"새우과자")</f>
        <v>새우과자</v>
      </c>
    </row>
    <row r="8638">
      <c r="A8638" s="2" t="str">
        <f>IFERROR(__xludf.DUMMYFUNCTION("""COMPUTED_VALUE"""),"소생소사")</f>
        <v>소생소사</v>
      </c>
      <c r="B8638" s="2" t="str">
        <f>IFERROR(__xludf.DUMMYFUNCTION("""COMPUTED_VALUE"""),"마카다미아")</f>
        <v>마카다미아</v>
      </c>
    </row>
    <row r="8639">
      <c r="A8639" s="2" t="str">
        <f>IFERROR(__xludf.DUMMYFUNCTION("""COMPUTED_VALUE"""),"소생소사")</f>
        <v>소생소사</v>
      </c>
      <c r="B8639" s="2" t="str">
        <f>IFERROR(__xludf.DUMMYFUNCTION("""COMPUTED_VALUE"""),"간장")</f>
        <v>간장</v>
      </c>
    </row>
    <row r="8640">
      <c r="A8640" s="2" t="str">
        <f>IFERROR(__xludf.DUMMYFUNCTION("""COMPUTED_VALUE"""),"소생소사")</f>
        <v>소생소사</v>
      </c>
      <c r="B8640" s="2" t="str">
        <f>IFERROR(__xludf.DUMMYFUNCTION("""COMPUTED_VALUE"""),"맛술")</f>
        <v>맛술</v>
      </c>
    </row>
    <row r="8641">
      <c r="A8641" s="2" t="str">
        <f>IFERROR(__xludf.DUMMYFUNCTION("""COMPUTED_VALUE"""),"소생소사")</f>
        <v>소생소사</v>
      </c>
      <c r="B8641" s="2" t="str">
        <f>IFERROR(__xludf.DUMMYFUNCTION("""COMPUTED_VALUE"""),"청주")</f>
        <v>청주</v>
      </c>
    </row>
    <row r="8642">
      <c r="A8642" s="2" t="str">
        <f>IFERROR(__xludf.DUMMYFUNCTION("""COMPUTED_VALUE"""),"소생소사")</f>
        <v>소생소사</v>
      </c>
      <c r="B8642" s="2" t="str">
        <f>IFERROR(__xludf.DUMMYFUNCTION("""COMPUTED_VALUE"""),"설탕")</f>
        <v>설탕</v>
      </c>
    </row>
    <row r="8643">
      <c r="A8643" s="2" t="str">
        <f>IFERROR(__xludf.DUMMYFUNCTION("""COMPUTED_VALUE"""),"소생소사")</f>
        <v>소생소사</v>
      </c>
      <c r="B8643" s="2" t="str">
        <f>IFERROR(__xludf.DUMMYFUNCTION("""COMPUTED_VALUE"""),"맛술")</f>
        <v>맛술</v>
      </c>
    </row>
    <row r="8644">
      <c r="A8644" s="2" t="str">
        <f>IFERROR(__xludf.DUMMYFUNCTION("""COMPUTED_VALUE"""),"소생소사")</f>
        <v>소생소사</v>
      </c>
      <c r="B8644" s="2" t="str">
        <f>IFERROR(__xludf.DUMMYFUNCTION("""COMPUTED_VALUE"""),"연겨자")</f>
        <v>연겨자</v>
      </c>
    </row>
    <row r="8645">
      <c r="A8645" s="2" t="str">
        <f>IFERROR(__xludf.DUMMYFUNCTION("""COMPUTED_VALUE"""),"소생소사")</f>
        <v>소생소사</v>
      </c>
      <c r="B8645" s="2" t="str">
        <f>IFERROR(__xludf.DUMMYFUNCTION("""COMPUTED_VALUE"""),"식초")</f>
        <v>식초</v>
      </c>
    </row>
    <row r="8646">
      <c r="A8646" s="2" t="str">
        <f>IFERROR(__xludf.DUMMYFUNCTION("""COMPUTED_VALUE"""),"소생소사")</f>
        <v>소생소사</v>
      </c>
      <c r="B8646" s="2" t="str">
        <f>IFERROR(__xludf.DUMMYFUNCTION("""COMPUTED_VALUE"""),"마요네즈")</f>
        <v>마요네즈</v>
      </c>
    </row>
    <row r="8647">
      <c r="A8647" s="2" t="str">
        <f>IFERROR(__xludf.DUMMYFUNCTION("""COMPUTED_VALUE"""),"소생소사")</f>
        <v>소생소사</v>
      </c>
      <c r="B8647" s="2" t="str">
        <f>IFERROR(__xludf.DUMMYFUNCTION("""COMPUTED_VALUE"""),"홍고추")</f>
        <v>홍고추</v>
      </c>
    </row>
    <row r="8648">
      <c r="A8648" s="2" t="str">
        <f>IFERROR(__xludf.DUMMYFUNCTION("""COMPUTED_VALUE"""),"소생소사")</f>
        <v>소생소사</v>
      </c>
      <c r="B8648" s="2" t="str">
        <f>IFERROR(__xludf.DUMMYFUNCTION("""COMPUTED_VALUE"""),"청양고추")</f>
        <v>청양고추</v>
      </c>
    </row>
    <row r="8649">
      <c r="A8649" s="2" t="str">
        <f>IFERROR(__xludf.DUMMYFUNCTION("""COMPUTED_VALUE"""),"소생소사")</f>
        <v>소생소사</v>
      </c>
      <c r="B8649" s="2" t="str">
        <f>IFERROR(__xludf.DUMMYFUNCTION("""COMPUTED_VALUE"""),"양파")</f>
        <v>양파</v>
      </c>
    </row>
    <row r="8650">
      <c r="A8650" s="2" t="str">
        <f>IFERROR(__xludf.DUMMYFUNCTION("""COMPUTED_VALUE"""),"소생소사")</f>
        <v>소생소사</v>
      </c>
      <c r="B8650" s="2" t="str">
        <f>IFERROR(__xludf.DUMMYFUNCTION("""COMPUTED_VALUE"""),"마늘")</f>
        <v>마늘</v>
      </c>
    </row>
    <row r="8651">
      <c r="A8651" s="2" t="str">
        <f>IFERROR(__xludf.DUMMYFUNCTION("""COMPUTED_VALUE"""),"소생소사")</f>
        <v>소생소사</v>
      </c>
      <c r="B8651" s="2" t="str">
        <f>IFERROR(__xludf.DUMMYFUNCTION("""COMPUTED_VALUE"""),"고춧가루")</f>
        <v>고춧가루</v>
      </c>
    </row>
    <row r="8652">
      <c r="A8652" s="2" t="str">
        <f>IFERROR(__xludf.DUMMYFUNCTION("""COMPUTED_VALUE"""),"소생소사")</f>
        <v>소생소사</v>
      </c>
      <c r="B8652" s="2" t="str">
        <f>IFERROR(__xludf.DUMMYFUNCTION("""COMPUTED_VALUE"""),"고추장")</f>
        <v>고추장</v>
      </c>
    </row>
    <row r="8653">
      <c r="A8653" s="2" t="str">
        <f>IFERROR(__xludf.DUMMYFUNCTION("""COMPUTED_VALUE"""),"소생소사")</f>
        <v>소생소사</v>
      </c>
      <c r="B8653" s="2" t="str">
        <f>IFERROR(__xludf.DUMMYFUNCTION("""COMPUTED_VALUE"""),"레몬")</f>
        <v>레몬</v>
      </c>
    </row>
    <row r="8654">
      <c r="A8654" s="2" t="str">
        <f>IFERROR(__xludf.DUMMYFUNCTION("""COMPUTED_VALUE"""),"닭스키스")</f>
        <v>닭스키스</v>
      </c>
      <c r="B8654" s="2" t="str">
        <f>IFERROR(__xludf.DUMMYFUNCTION("""COMPUTED_VALUE"""),"닭")</f>
        <v>닭</v>
      </c>
    </row>
    <row r="8655">
      <c r="A8655" s="2" t="str">
        <f>IFERROR(__xludf.DUMMYFUNCTION("""COMPUTED_VALUE"""),"닭스키스")</f>
        <v>닭스키스</v>
      </c>
      <c r="B8655" s="2" t="str">
        <f>IFERROR(__xludf.DUMMYFUNCTION("""COMPUTED_VALUE"""),"콜라")</f>
        <v>콜라</v>
      </c>
    </row>
    <row r="8656">
      <c r="A8656" s="2" t="str">
        <f>IFERROR(__xludf.DUMMYFUNCTION("""COMPUTED_VALUE"""),"닭스키스")</f>
        <v>닭스키스</v>
      </c>
      <c r="B8656" s="2" t="str">
        <f>IFERROR(__xludf.DUMMYFUNCTION("""COMPUTED_VALUE"""),"땅콩버터")</f>
        <v>땅콩버터</v>
      </c>
    </row>
    <row r="8657">
      <c r="A8657" s="2" t="str">
        <f>IFERROR(__xludf.DUMMYFUNCTION("""COMPUTED_VALUE"""),"닭스키스")</f>
        <v>닭스키스</v>
      </c>
      <c r="B8657" s="2" t="str">
        <f>IFERROR(__xludf.DUMMYFUNCTION("""COMPUTED_VALUE"""),"맥주")</f>
        <v>맥주</v>
      </c>
    </row>
    <row r="8658">
      <c r="A8658" s="2" t="str">
        <f>IFERROR(__xludf.DUMMYFUNCTION("""COMPUTED_VALUE"""),"닭스키스")</f>
        <v>닭스키스</v>
      </c>
      <c r="B8658" s="2" t="str">
        <f>IFERROR(__xludf.DUMMYFUNCTION("""COMPUTED_VALUE"""),"오렌지")</f>
        <v>오렌지</v>
      </c>
    </row>
    <row r="8659">
      <c r="A8659" s="2" t="str">
        <f>IFERROR(__xludf.DUMMYFUNCTION("""COMPUTED_VALUE"""),"닭스키스")</f>
        <v>닭스키스</v>
      </c>
      <c r="B8659" s="2" t="str">
        <f>IFERROR(__xludf.DUMMYFUNCTION("""COMPUTED_VALUE"""),"곡물시리얼")</f>
        <v>곡물시리얼</v>
      </c>
    </row>
    <row r="8660">
      <c r="A8660" s="2" t="str">
        <f>IFERROR(__xludf.DUMMYFUNCTION("""COMPUTED_VALUE"""),"닭스키스")</f>
        <v>닭스키스</v>
      </c>
      <c r="B8660" s="2" t="str">
        <f>IFERROR(__xludf.DUMMYFUNCTION("""COMPUTED_VALUE"""),"소금")</f>
        <v>소금</v>
      </c>
    </row>
    <row r="8661">
      <c r="A8661" s="2" t="str">
        <f>IFERROR(__xludf.DUMMYFUNCTION("""COMPUTED_VALUE"""),"닭스키스")</f>
        <v>닭스키스</v>
      </c>
      <c r="B8661" s="2" t="str">
        <f>IFERROR(__xludf.DUMMYFUNCTION("""COMPUTED_VALUE"""),"전분")</f>
        <v>전분</v>
      </c>
    </row>
    <row r="8662">
      <c r="A8662" s="2" t="str">
        <f>IFERROR(__xludf.DUMMYFUNCTION("""COMPUTED_VALUE"""),"닭스키스")</f>
        <v>닭스키스</v>
      </c>
      <c r="B8662" s="2" t="str">
        <f>IFERROR(__xludf.DUMMYFUNCTION("""COMPUTED_VALUE"""),"마늘")</f>
        <v>마늘</v>
      </c>
    </row>
    <row r="8663">
      <c r="A8663" s="2" t="str">
        <f>IFERROR(__xludf.DUMMYFUNCTION("""COMPUTED_VALUE"""),"닭스키스")</f>
        <v>닭스키스</v>
      </c>
      <c r="B8663" s="2" t="str">
        <f>IFERROR(__xludf.DUMMYFUNCTION("""COMPUTED_VALUE"""),"대파")</f>
        <v>대파</v>
      </c>
    </row>
    <row r="8664">
      <c r="A8664" s="2" t="str">
        <f>IFERROR(__xludf.DUMMYFUNCTION("""COMPUTED_VALUE"""),"닭스키스")</f>
        <v>닭스키스</v>
      </c>
      <c r="B8664" s="2" t="str">
        <f>IFERROR(__xludf.DUMMYFUNCTION("""COMPUTED_VALUE"""),"고춧가루")</f>
        <v>고춧가루</v>
      </c>
    </row>
    <row r="8665">
      <c r="A8665" s="2" t="str">
        <f>IFERROR(__xludf.DUMMYFUNCTION("""COMPUTED_VALUE"""),"닭스키스")</f>
        <v>닭스키스</v>
      </c>
      <c r="B8665" s="2" t="str">
        <f>IFERROR(__xludf.DUMMYFUNCTION("""COMPUTED_VALUE"""),"홍고추")</f>
        <v>홍고추</v>
      </c>
    </row>
    <row r="8666">
      <c r="A8666" s="2" t="str">
        <f>IFERROR(__xludf.DUMMYFUNCTION("""COMPUTED_VALUE"""),"닭스키스")</f>
        <v>닭스키스</v>
      </c>
      <c r="B8666" s="2" t="str">
        <f>IFERROR(__xludf.DUMMYFUNCTION("""COMPUTED_VALUE"""),"참기름")</f>
        <v>참기름</v>
      </c>
    </row>
    <row r="8667">
      <c r="A8667" s="2" t="str">
        <f>IFERROR(__xludf.DUMMYFUNCTION("""COMPUTED_VALUE"""),"닭스키스")</f>
        <v>닭스키스</v>
      </c>
      <c r="B8667" s="2" t="str">
        <f>IFERROR(__xludf.DUMMYFUNCTION("""COMPUTED_VALUE"""),"설탕")</f>
        <v>설탕</v>
      </c>
    </row>
    <row r="8668">
      <c r="A8668" s="2" t="str">
        <f>IFERROR(__xludf.DUMMYFUNCTION("""COMPUTED_VALUE"""),"닭스키스")</f>
        <v>닭스키스</v>
      </c>
      <c r="B8668" s="2" t="str">
        <f>IFERROR(__xludf.DUMMYFUNCTION("""COMPUTED_VALUE"""),"고추장")</f>
        <v>고추장</v>
      </c>
    </row>
    <row r="8669">
      <c r="A8669" s="2" t="str">
        <f>IFERROR(__xludf.DUMMYFUNCTION("""COMPUTED_VALUE"""),"닭스키스")</f>
        <v>닭스키스</v>
      </c>
      <c r="B8669" s="2" t="str">
        <f>IFERROR(__xludf.DUMMYFUNCTION("""COMPUTED_VALUE"""),"마요네즈")</f>
        <v>마요네즈</v>
      </c>
    </row>
    <row r="8670">
      <c r="A8670" s="2" t="str">
        <f>IFERROR(__xludf.DUMMYFUNCTION("""COMPUTED_VALUE"""),"닭스키스")</f>
        <v>닭스키스</v>
      </c>
      <c r="B8670" s="2" t="str">
        <f>IFERROR(__xludf.DUMMYFUNCTION("""COMPUTED_VALUE"""),"간장")</f>
        <v>간장</v>
      </c>
    </row>
    <row r="8671">
      <c r="A8671" s="2" t="str">
        <f>IFERROR(__xludf.DUMMYFUNCTION("""COMPUTED_VALUE"""),"닭스키스")</f>
        <v>닭스키스</v>
      </c>
      <c r="B8671" s="2" t="str">
        <f>IFERROR(__xludf.DUMMYFUNCTION("""COMPUTED_VALUE"""),"청양고추")</f>
        <v>청양고추</v>
      </c>
    </row>
    <row r="8672">
      <c r="A8672" s="2" t="str">
        <f>IFERROR(__xludf.DUMMYFUNCTION("""COMPUTED_VALUE"""),"삼겹살~ 왜 내 맘을 흔드는 건데♬")</f>
        <v>삼겹살~ 왜 내 맘을 흔드는 건데♬</v>
      </c>
      <c r="B8672" s="2" t="str">
        <f>IFERROR(__xludf.DUMMYFUNCTION("""COMPUTED_VALUE"""),"삼겹살")</f>
        <v>삼겹살</v>
      </c>
    </row>
    <row r="8673">
      <c r="A8673" s="2" t="str">
        <f>IFERROR(__xludf.DUMMYFUNCTION("""COMPUTED_VALUE"""),"삼겹살~ 왜 내 맘을 흔드는 건데♬")</f>
        <v>삼겹살~ 왜 내 맘을 흔드는 건데♬</v>
      </c>
      <c r="B8673" s="2" t="str">
        <f>IFERROR(__xludf.DUMMYFUNCTION("""COMPUTED_VALUE"""),"굴소스")</f>
        <v>굴소스</v>
      </c>
    </row>
    <row r="8674">
      <c r="A8674" s="2" t="str">
        <f>IFERROR(__xludf.DUMMYFUNCTION("""COMPUTED_VALUE"""),"삼겹살~ 왜 내 맘을 흔드는 건데♬")</f>
        <v>삼겹살~ 왜 내 맘을 흔드는 건데♬</v>
      </c>
      <c r="B8674" s="2" t="str">
        <f>IFERROR(__xludf.DUMMYFUNCTION("""COMPUTED_VALUE"""),"소금")</f>
        <v>소금</v>
      </c>
    </row>
    <row r="8675">
      <c r="A8675" s="2" t="str">
        <f>IFERROR(__xludf.DUMMYFUNCTION("""COMPUTED_VALUE"""),"삼겹살~ 왜 내 맘을 흔드는 건데♬")</f>
        <v>삼겹살~ 왜 내 맘을 흔드는 건데♬</v>
      </c>
      <c r="B8675" s="2" t="str">
        <f>IFERROR(__xludf.DUMMYFUNCTION("""COMPUTED_VALUE"""),"후추")</f>
        <v>후추</v>
      </c>
    </row>
    <row r="8676">
      <c r="A8676" s="2" t="str">
        <f>IFERROR(__xludf.DUMMYFUNCTION("""COMPUTED_VALUE"""),"삼겹살~ 왜 내 맘을 흔드는 건데♬")</f>
        <v>삼겹살~ 왜 내 맘을 흔드는 건데♬</v>
      </c>
      <c r="B8676" s="2" t="str">
        <f>IFERROR(__xludf.DUMMYFUNCTION("""COMPUTED_VALUE"""),"마늘")</f>
        <v>마늘</v>
      </c>
    </row>
    <row r="8677">
      <c r="A8677" s="2" t="str">
        <f>IFERROR(__xludf.DUMMYFUNCTION("""COMPUTED_VALUE"""),"삼겹살~ 왜 내 맘을 흔드는 건데♬")</f>
        <v>삼겹살~ 왜 내 맘을 흔드는 건데♬</v>
      </c>
      <c r="B8677" s="2" t="str">
        <f>IFERROR(__xludf.DUMMYFUNCTION("""COMPUTED_VALUE"""),"대파")</f>
        <v>대파</v>
      </c>
    </row>
    <row r="8678">
      <c r="A8678" s="2" t="str">
        <f>IFERROR(__xludf.DUMMYFUNCTION("""COMPUTED_VALUE"""),"삼겹살~ 왜 내 맘을 흔드는 건데♬")</f>
        <v>삼겹살~ 왜 내 맘을 흔드는 건데♬</v>
      </c>
      <c r="B8678" s="2" t="str">
        <f>IFERROR(__xludf.DUMMYFUNCTION("""COMPUTED_VALUE"""),"양파")</f>
        <v>양파</v>
      </c>
    </row>
    <row r="8679">
      <c r="A8679" s="2" t="str">
        <f>IFERROR(__xludf.DUMMYFUNCTION("""COMPUTED_VALUE"""),"삼겹살~ 왜 내 맘을 흔드는 건데♬")</f>
        <v>삼겹살~ 왜 내 맘을 흔드는 건데♬</v>
      </c>
      <c r="B8679" s="2" t="str">
        <f>IFERROR(__xludf.DUMMYFUNCTION("""COMPUTED_VALUE"""),"식용유")</f>
        <v>식용유</v>
      </c>
    </row>
    <row r="8680">
      <c r="A8680" s="2" t="str">
        <f>IFERROR(__xludf.DUMMYFUNCTION("""COMPUTED_VALUE"""),"삼겹살~ 왜 내 맘을 흔드는 건데♬")</f>
        <v>삼겹살~ 왜 내 맘을 흔드는 건데♬</v>
      </c>
      <c r="B8680" s="2" t="str">
        <f>IFERROR(__xludf.DUMMYFUNCTION("""COMPUTED_VALUE"""),"고춧가루")</f>
        <v>고춧가루</v>
      </c>
    </row>
    <row r="8681">
      <c r="A8681" s="2" t="str">
        <f>IFERROR(__xludf.DUMMYFUNCTION("""COMPUTED_VALUE"""),"삼겹살~ 왜 내 맘을 흔드는 건데♬")</f>
        <v>삼겹살~ 왜 내 맘을 흔드는 건데♬</v>
      </c>
      <c r="B8681" s="2" t="str">
        <f>IFERROR(__xludf.DUMMYFUNCTION("""COMPUTED_VALUE"""),"간장")</f>
        <v>간장</v>
      </c>
    </row>
    <row r="8682">
      <c r="A8682" s="2" t="str">
        <f>IFERROR(__xludf.DUMMYFUNCTION("""COMPUTED_VALUE"""),"삼겹살~ 왜 내 맘을 흔드는 건데♬")</f>
        <v>삼겹살~ 왜 내 맘을 흔드는 건데♬</v>
      </c>
      <c r="B8682" s="2" t="str">
        <f>IFERROR(__xludf.DUMMYFUNCTION("""COMPUTED_VALUE"""),"식초")</f>
        <v>식초</v>
      </c>
    </row>
    <row r="8683">
      <c r="A8683" s="2" t="str">
        <f>IFERROR(__xludf.DUMMYFUNCTION("""COMPUTED_VALUE"""),"삼겹살~ 왜 내 맘을 흔드는 건데♬")</f>
        <v>삼겹살~ 왜 내 맘을 흔드는 건데♬</v>
      </c>
      <c r="B8683" s="2" t="str">
        <f>IFERROR(__xludf.DUMMYFUNCTION("""COMPUTED_VALUE"""),"설탕")</f>
        <v>설탕</v>
      </c>
    </row>
    <row r="8684">
      <c r="A8684" s="2" t="str">
        <f>IFERROR(__xludf.DUMMYFUNCTION("""COMPUTED_VALUE"""),"삼겹살~ 왜 내 맘을 흔드는 건데♬")</f>
        <v>삼겹살~ 왜 내 맘을 흔드는 건데♬</v>
      </c>
      <c r="B8684" s="2" t="str">
        <f>IFERROR(__xludf.DUMMYFUNCTION("""COMPUTED_VALUE"""),"다진 마늘")</f>
        <v>다진 마늘</v>
      </c>
    </row>
    <row r="8685">
      <c r="A8685" s="2" t="str">
        <f>IFERROR(__xludf.DUMMYFUNCTION("""COMPUTED_VALUE"""),"삼겹살~ 왜 내 맘을 흔드는 건데♬")</f>
        <v>삼겹살~ 왜 내 맘을 흔드는 건데♬</v>
      </c>
      <c r="B8685" s="2" t="str">
        <f>IFERROR(__xludf.DUMMYFUNCTION("""COMPUTED_VALUE"""),"고추")</f>
        <v>고추</v>
      </c>
    </row>
    <row r="8686">
      <c r="A8686" s="2" t="str">
        <f>IFERROR(__xludf.DUMMYFUNCTION("""COMPUTED_VALUE"""),"삼겹살~ 왜 내 맘을 흔드는 건데♬")</f>
        <v>삼겹살~ 왜 내 맘을 흔드는 건데♬</v>
      </c>
      <c r="B8686" s="2" t="str">
        <f>IFERROR(__xludf.DUMMYFUNCTION("""COMPUTED_VALUE"""),"홍고추")</f>
        <v>홍고추</v>
      </c>
    </row>
    <row r="8687">
      <c r="A8687" s="2" t="str">
        <f>IFERROR(__xludf.DUMMYFUNCTION("""COMPUTED_VALUE"""),"삼겹살~ 왜 내 맘을 흔드는 건데♬")</f>
        <v>삼겹살~ 왜 내 맘을 흔드는 건데♬</v>
      </c>
      <c r="B8687" s="2" t="str">
        <f>IFERROR(__xludf.DUMMYFUNCTION("""COMPUTED_VALUE"""),"올리브오일")</f>
        <v>올리브오일</v>
      </c>
    </row>
    <row r="8688">
      <c r="A8688" s="2" t="str">
        <f>IFERROR(__xludf.DUMMYFUNCTION("""COMPUTED_VALUE"""),"삼겹살~ 왜 내 맘을 흔드는 건데♬")</f>
        <v>삼겹살~ 왜 내 맘을 흔드는 건데♬</v>
      </c>
      <c r="B8688" s="2" t="str">
        <f>IFERROR(__xludf.DUMMYFUNCTION("""COMPUTED_VALUE"""),"레몬")</f>
        <v>레몬</v>
      </c>
    </row>
    <row r="8689">
      <c r="A8689" s="2" t="str">
        <f>IFERROR(__xludf.DUMMYFUNCTION("""COMPUTED_VALUE"""),"삼겹살~ 왜 내 맘을 흔드는 건데♬")</f>
        <v>삼겹살~ 왜 내 맘을 흔드는 건데♬</v>
      </c>
      <c r="B8689" s="2" t="str">
        <f>IFERROR(__xludf.DUMMYFUNCTION("""COMPUTED_VALUE"""),"깨")</f>
        <v>깨</v>
      </c>
    </row>
    <row r="8690">
      <c r="A8690" s="2" t="str">
        <f>IFERROR(__xludf.DUMMYFUNCTION("""COMPUTED_VALUE"""),"삼겹살~ 왜 내 맘을 흔드는 건데♬")</f>
        <v>삼겹살~ 왜 내 맘을 흔드는 건데♬</v>
      </c>
      <c r="B8690" s="2" t="str">
        <f>IFERROR(__xludf.DUMMYFUNCTION("""COMPUTED_VALUE"""),"참기름")</f>
        <v>참기름</v>
      </c>
    </row>
    <row r="8691">
      <c r="A8691" s="2" t="str">
        <f>IFERROR(__xludf.DUMMYFUNCTION("""COMPUTED_VALUE"""),"삼겹살DNA")</f>
        <v>삼겹살DNA</v>
      </c>
      <c r="B8691" s="2" t="str">
        <f>IFERROR(__xludf.DUMMYFUNCTION("""COMPUTED_VALUE"""),"삼겹살")</f>
        <v>삼겹살</v>
      </c>
    </row>
    <row r="8692">
      <c r="A8692" s="2" t="str">
        <f>IFERROR(__xludf.DUMMYFUNCTION("""COMPUTED_VALUE"""),"삼겹살DNA")</f>
        <v>삼겹살DNA</v>
      </c>
      <c r="B8692" s="2" t="str">
        <f>IFERROR(__xludf.DUMMYFUNCTION("""COMPUTED_VALUE"""),"소시지")</f>
        <v>소시지</v>
      </c>
    </row>
    <row r="8693">
      <c r="A8693" s="2" t="str">
        <f>IFERROR(__xludf.DUMMYFUNCTION("""COMPUTED_VALUE"""),"삼겹살DNA")</f>
        <v>삼겹살DNA</v>
      </c>
      <c r="B8693" s="2" t="str">
        <f>IFERROR(__xludf.DUMMYFUNCTION("""COMPUTED_VALUE"""),"햄")</f>
        <v>햄</v>
      </c>
    </row>
    <row r="8694">
      <c r="A8694" s="2" t="str">
        <f>IFERROR(__xludf.DUMMYFUNCTION("""COMPUTED_VALUE"""),"삼겹살DNA")</f>
        <v>삼겹살DNA</v>
      </c>
      <c r="B8694" s="2" t="str">
        <f>IFERROR(__xludf.DUMMYFUNCTION("""COMPUTED_VALUE"""),"칠리페퍼소스")</f>
        <v>칠리페퍼소스</v>
      </c>
    </row>
    <row r="8695">
      <c r="A8695" s="2" t="str">
        <f>IFERROR(__xludf.DUMMYFUNCTION("""COMPUTED_VALUE"""),"삼겹살DNA")</f>
        <v>삼겹살DNA</v>
      </c>
      <c r="B8695" s="2" t="str">
        <f>IFERROR(__xludf.DUMMYFUNCTION("""COMPUTED_VALUE"""),"검은콩두유")</f>
        <v>검은콩두유</v>
      </c>
    </row>
    <row r="8696">
      <c r="A8696" s="2" t="str">
        <f>IFERROR(__xludf.DUMMYFUNCTION("""COMPUTED_VALUE"""),"삼겹살DNA")</f>
        <v>삼겹살DNA</v>
      </c>
      <c r="B8696" s="2" t="str">
        <f>IFERROR(__xludf.DUMMYFUNCTION("""COMPUTED_VALUE"""),"마늘")</f>
        <v>마늘</v>
      </c>
    </row>
    <row r="8697">
      <c r="A8697" s="2" t="str">
        <f>IFERROR(__xludf.DUMMYFUNCTION("""COMPUTED_VALUE"""),"삼겹살DNA")</f>
        <v>삼겹살DNA</v>
      </c>
      <c r="B8697" s="2" t="str">
        <f>IFERROR(__xludf.DUMMYFUNCTION("""COMPUTED_VALUE"""),"양파")</f>
        <v>양파</v>
      </c>
    </row>
    <row r="8698">
      <c r="A8698" s="2" t="str">
        <f>IFERROR(__xludf.DUMMYFUNCTION("""COMPUTED_VALUE"""),"삼겹살DNA")</f>
        <v>삼겹살DNA</v>
      </c>
      <c r="B8698" s="2" t="str">
        <f>IFERROR(__xludf.DUMMYFUNCTION("""COMPUTED_VALUE"""),"당근")</f>
        <v>당근</v>
      </c>
    </row>
    <row r="8699">
      <c r="A8699" s="2" t="str">
        <f>IFERROR(__xludf.DUMMYFUNCTION("""COMPUTED_VALUE"""),"삼겹살DNA")</f>
        <v>삼겹살DNA</v>
      </c>
      <c r="B8699" s="2" t="str">
        <f>IFERROR(__xludf.DUMMYFUNCTION("""COMPUTED_VALUE"""),"대파")</f>
        <v>대파</v>
      </c>
    </row>
    <row r="8700">
      <c r="A8700" s="2" t="str">
        <f>IFERROR(__xludf.DUMMYFUNCTION("""COMPUTED_VALUE"""),"삼겹살DNA")</f>
        <v>삼겹살DNA</v>
      </c>
      <c r="B8700" s="2" t="str">
        <f>IFERROR(__xludf.DUMMYFUNCTION("""COMPUTED_VALUE"""),"올리브오일")</f>
        <v>올리브오일</v>
      </c>
    </row>
    <row r="8701">
      <c r="A8701" s="2" t="str">
        <f>IFERROR(__xludf.DUMMYFUNCTION("""COMPUTED_VALUE"""),"삼겹살DNA")</f>
        <v>삼겹살DNA</v>
      </c>
      <c r="B8701" s="2" t="str">
        <f>IFERROR(__xludf.DUMMYFUNCTION("""COMPUTED_VALUE"""),"식초")</f>
        <v>식초</v>
      </c>
    </row>
    <row r="8702">
      <c r="A8702" s="2" t="str">
        <f>IFERROR(__xludf.DUMMYFUNCTION("""COMPUTED_VALUE"""),"삼겹살DNA")</f>
        <v>삼겹살DNA</v>
      </c>
      <c r="B8702" s="2" t="str">
        <f>IFERROR(__xludf.DUMMYFUNCTION("""COMPUTED_VALUE"""),"레몬")</f>
        <v>레몬</v>
      </c>
    </row>
    <row r="8703">
      <c r="A8703" s="2" t="str">
        <f>IFERROR(__xludf.DUMMYFUNCTION("""COMPUTED_VALUE"""),"삼겹살DNA")</f>
        <v>삼겹살DNA</v>
      </c>
      <c r="B8703" s="2" t="str">
        <f>IFERROR(__xludf.DUMMYFUNCTION("""COMPUTED_VALUE"""),"홍고추")</f>
        <v>홍고추</v>
      </c>
    </row>
    <row r="8704">
      <c r="A8704" s="2" t="str">
        <f>IFERROR(__xludf.DUMMYFUNCTION("""COMPUTED_VALUE"""),"삼겹살DNA")</f>
        <v>삼겹살DNA</v>
      </c>
      <c r="B8704" s="2" t="str">
        <f>IFERROR(__xludf.DUMMYFUNCTION("""COMPUTED_VALUE"""),"소금")</f>
        <v>소금</v>
      </c>
    </row>
    <row r="8705">
      <c r="A8705" s="2" t="str">
        <f>IFERROR(__xludf.DUMMYFUNCTION("""COMPUTED_VALUE"""),"삼겹살DNA")</f>
        <v>삼겹살DNA</v>
      </c>
      <c r="B8705" s="2" t="str">
        <f>IFERROR(__xludf.DUMMYFUNCTION("""COMPUTED_VALUE"""),"후추")</f>
        <v>후추</v>
      </c>
    </row>
    <row r="8706">
      <c r="A8706" s="2" t="str">
        <f>IFERROR(__xludf.DUMMYFUNCTION("""COMPUTED_VALUE"""),"삼겹살DNA")</f>
        <v>삼겹살DNA</v>
      </c>
      <c r="B8706" s="2" t="str">
        <f>IFERROR(__xludf.DUMMYFUNCTION("""COMPUTED_VALUE"""),"다진 마늘")</f>
        <v>다진 마늘</v>
      </c>
    </row>
    <row r="8707">
      <c r="A8707" s="2" t="str">
        <f>IFERROR(__xludf.DUMMYFUNCTION("""COMPUTED_VALUE"""),"삼겹살DNA")</f>
        <v>삼겹살DNA</v>
      </c>
      <c r="B8707" s="2" t="str">
        <f>IFERROR(__xludf.DUMMYFUNCTION("""COMPUTED_VALUE"""),"버터")</f>
        <v>버터</v>
      </c>
    </row>
    <row r="8708">
      <c r="A8708" s="2" t="str">
        <f>IFERROR(__xludf.DUMMYFUNCTION("""COMPUTED_VALUE"""),"삼겹살DNA")</f>
        <v>삼겹살DNA</v>
      </c>
      <c r="B8708" s="2" t="str">
        <f>IFERROR(__xludf.DUMMYFUNCTION("""COMPUTED_VALUE"""),"달걀")</f>
        <v>달걀</v>
      </c>
    </row>
    <row r="8709">
      <c r="A8709" s="2" t="str">
        <f>IFERROR(__xludf.DUMMYFUNCTION("""COMPUTED_VALUE"""),"삼겹살DNA")</f>
        <v>삼겹살DNA</v>
      </c>
      <c r="B8709" s="2" t="str">
        <f>IFERROR(__xludf.DUMMYFUNCTION("""COMPUTED_VALUE"""),"청양고추")</f>
        <v>청양고추</v>
      </c>
    </row>
    <row r="8710">
      <c r="A8710" s="2" t="str">
        <f>IFERROR(__xludf.DUMMYFUNCTION("""COMPUTED_VALUE"""),"골풍기")</f>
        <v>골풍기</v>
      </c>
      <c r="B8710" s="2" t="str">
        <f>IFERROR(__xludf.DUMMYFUNCTION("""COMPUTED_VALUE"""),"골뱅이 통조림")</f>
        <v>골뱅이 통조림</v>
      </c>
    </row>
    <row r="8711">
      <c r="A8711" s="2" t="str">
        <f>IFERROR(__xludf.DUMMYFUNCTION("""COMPUTED_VALUE"""),"골풍기")</f>
        <v>골풍기</v>
      </c>
      <c r="B8711" s="2" t="str">
        <f>IFERROR(__xludf.DUMMYFUNCTION("""COMPUTED_VALUE"""),"우유")</f>
        <v>우유</v>
      </c>
    </row>
    <row r="8712">
      <c r="A8712" s="2" t="str">
        <f>IFERROR(__xludf.DUMMYFUNCTION("""COMPUTED_VALUE"""),"골풍기")</f>
        <v>골풍기</v>
      </c>
      <c r="B8712" s="2" t="str">
        <f>IFERROR(__xludf.DUMMYFUNCTION("""COMPUTED_VALUE"""),"굴소스")</f>
        <v>굴소스</v>
      </c>
    </row>
    <row r="8713">
      <c r="A8713" s="2" t="str">
        <f>IFERROR(__xludf.DUMMYFUNCTION("""COMPUTED_VALUE"""),"골풍기")</f>
        <v>골풍기</v>
      </c>
      <c r="B8713" s="2" t="str">
        <f>IFERROR(__xludf.DUMMYFUNCTION("""COMPUTED_VALUE"""),"가래떡")</f>
        <v>가래떡</v>
      </c>
    </row>
    <row r="8714">
      <c r="A8714" s="2" t="str">
        <f>IFERROR(__xludf.DUMMYFUNCTION("""COMPUTED_VALUE"""),"골풍기")</f>
        <v>골풍기</v>
      </c>
      <c r="B8714" s="2" t="str">
        <f>IFERROR(__xludf.DUMMYFUNCTION("""COMPUTED_VALUE"""),"땅콩버터")</f>
        <v>땅콩버터</v>
      </c>
    </row>
    <row r="8715">
      <c r="A8715" s="2" t="str">
        <f>IFERROR(__xludf.DUMMYFUNCTION("""COMPUTED_VALUE"""),"골풍기")</f>
        <v>골풍기</v>
      </c>
      <c r="B8715" s="2" t="str">
        <f>IFERROR(__xludf.DUMMYFUNCTION("""COMPUTED_VALUE"""),"모차렐라치즈")</f>
        <v>모차렐라치즈</v>
      </c>
    </row>
    <row r="8716">
      <c r="A8716" s="2" t="str">
        <f>IFERROR(__xludf.DUMMYFUNCTION("""COMPUTED_VALUE"""),"골풍기")</f>
        <v>골풍기</v>
      </c>
      <c r="B8716" s="2" t="str">
        <f>IFERROR(__xludf.DUMMYFUNCTION("""COMPUTED_VALUE"""),"견과류")</f>
        <v>견과류</v>
      </c>
    </row>
    <row r="8717">
      <c r="A8717" s="2" t="str">
        <f>IFERROR(__xludf.DUMMYFUNCTION("""COMPUTED_VALUE"""),"골풍기")</f>
        <v>골풍기</v>
      </c>
      <c r="B8717" s="2" t="str">
        <f>IFERROR(__xludf.DUMMYFUNCTION("""COMPUTED_VALUE"""),"양파")</f>
        <v>양파</v>
      </c>
    </row>
    <row r="8718">
      <c r="A8718" s="2" t="str">
        <f>IFERROR(__xludf.DUMMYFUNCTION("""COMPUTED_VALUE"""),"골풍기")</f>
        <v>골풍기</v>
      </c>
      <c r="B8718" s="2" t="str">
        <f>IFERROR(__xludf.DUMMYFUNCTION("""COMPUTED_VALUE"""),"대파")</f>
        <v>대파</v>
      </c>
    </row>
    <row r="8719">
      <c r="A8719" s="2" t="str">
        <f>IFERROR(__xludf.DUMMYFUNCTION("""COMPUTED_VALUE"""),"골풍기")</f>
        <v>골풍기</v>
      </c>
      <c r="B8719" s="2" t="str">
        <f>IFERROR(__xludf.DUMMYFUNCTION("""COMPUTED_VALUE"""),"고춧가루")</f>
        <v>고춧가루</v>
      </c>
    </row>
    <row r="8720">
      <c r="A8720" s="2" t="str">
        <f>IFERROR(__xludf.DUMMYFUNCTION("""COMPUTED_VALUE"""),"골풍기")</f>
        <v>골풍기</v>
      </c>
      <c r="B8720" s="2" t="str">
        <f>IFERROR(__xludf.DUMMYFUNCTION("""COMPUTED_VALUE"""),"밀가루")</f>
        <v>밀가루</v>
      </c>
    </row>
    <row r="8721">
      <c r="A8721" s="2" t="str">
        <f>IFERROR(__xludf.DUMMYFUNCTION("""COMPUTED_VALUE"""),"골풍기")</f>
        <v>골풍기</v>
      </c>
      <c r="B8721" s="2" t="str">
        <f>IFERROR(__xludf.DUMMYFUNCTION("""COMPUTED_VALUE"""),"버터")</f>
        <v>버터</v>
      </c>
    </row>
    <row r="8722">
      <c r="A8722" s="2" t="str">
        <f>IFERROR(__xludf.DUMMYFUNCTION("""COMPUTED_VALUE"""),"골풍기")</f>
        <v>골풍기</v>
      </c>
      <c r="B8722" s="2" t="str">
        <f>IFERROR(__xludf.DUMMYFUNCTION("""COMPUTED_VALUE"""),"소금")</f>
        <v>소금</v>
      </c>
    </row>
    <row r="8723">
      <c r="A8723" s="2" t="str">
        <f>IFERROR(__xludf.DUMMYFUNCTION("""COMPUTED_VALUE"""),"골풍기")</f>
        <v>골풍기</v>
      </c>
      <c r="B8723" s="2" t="str">
        <f>IFERROR(__xludf.DUMMYFUNCTION("""COMPUTED_VALUE"""),"당근")</f>
        <v>당근</v>
      </c>
    </row>
    <row r="8724">
      <c r="A8724" s="2" t="str">
        <f>IFERROR(__xludf.DUMMYFUNCTION("""COMPUTED_VALUE"""),"골풍기")</f>
        <v>골풍기</v>
      </c>
      <c r="B8724" s="2" t="str">
        <f>IFERROR(__xludf.DUMMYFUNCTION("""COMPUTED_VALUE"""),"청양고추")</f>
        <v>청양고추</v>
      </c>
    </row>
    <row r="8725">
      <c r="A8725" s="2" t="str">
        <f>IFERROR(__xludf.DUMMYFUNCTION("""COMPUTED_VALUE"""),"골풍기")</f>
        <v>골풍기</v>
      </c>
      <c r="B8725" s="2" t="str">
        <f>IFERROR(__xludf.DUMMYFUNCTION("""COMPUTED_VALUE"""),"간장")</f>
        <v>간장</v>
      </c>
    </row>
    <row r="8726">
      <c r="A8726" s="2" t="str">
        <f>IFERROR(__xludf.DUMMYFUNCTION("""COMPUTED_VALUE"""),"골풍기")</f>
        <v>골풍기</v>
      </c>
      <c r="B8726" s="2" t="str">
        <f>IFERROR(__xludf.DUMMYFUNCTION("""COMPUTED_VALUE"""),"맛술")</f>
        <v>맛술</v>
      </c>
    </row>
    <row r="8727">
      <c r="A8727" s="2" t="str">
        <f>IFERROR(__xludf.DUMMYFUNCTION("""COMPUTED_VALUE"""),"골풍기")</f>
        <v>골풍기</v>
      </c>
      <c r="B8727" s="2" t="str">
        <f>IFERROR(__xludf.DUMMYFUNCTION("""COMPUTED_VALUE"""),"식초")</f>
        <v>식초</v>
      </c>
    </row>
    <row r="8728">
      <c r="A8728" s="2" t="str">
        <f>IFERROR(__xludf.DUMMYFUNCTION("""COMPUTED_VALUE"""),"골풍기")</f>
        <v>골풍기</v>
      </c>
      <c r="B8728" s="2" t="str">
        <f>IFERROR(__xludf.DUMMYFUNCTION("""COMPUTED_VALUE"""),"설탕")</f>
        <v>설탕</v>
      </c>
    </row>
    <row r="8729">
      <c r="A8729" s="2" t="str">
        <f>IFERROR(__xludf.DUMMYFUNCTION("""COMPUTED_VALUE"""),"골풍기")</f>
        <v>골풍기</v>
      </c>
      <c r="B8729" s="2" t="str">
        <f>IFERROR(__xludf.DUMMYFUNCTION("""COMPUTED_VALUE"""),"후추")</f>
        <v>후추</v>
      </c>
    </row>
    <row r="8730">
      <c r="A8730" s="2" t="str">
        <f>IFERROR(__xludf.DUMMYFUNCTION("""COMPUTED_VALUE"""),"김치 곱빼기")</f>
        <v>김치 곱빼기</v>
      </c>
      <c r="B8730" s="2" t="str">
        <f>IFERROR(__xludf.DUMMYFUNCTION("""COMPUTED_VALUE"""),"배추김치")</f>
        <v>배추김치</v>
      </c>
    </row>
    <row r="8731">
      <c r="A8731" s="2" t="str">
        <f>IFERROR(__xludf.DUMMYFUNCTION("""COMPUTED_VALUE"""),"김치 곱빼기")</f>
        <v>김치 곱빼기</v>
      </c>
      <c r="B8731" s="2" t="str">
        <f>IFERROR(__xludf.DUMMYFUNCTION("""COMPUTED_VALUE"""),"사골국")</f>
        <v>사골국</v>
      </c>
    </row>
    <row r="8732">
      <c r="A8732" s="2" t="str">
        <f>IFERROR(__xludf.DUMMYFUNCTION("""COMPUTED_VALUE"""),"김치 곱빼기")</f>
        <v>김치 곱빼기</v>
      </c>
      <c r="B8732" s="2" t="str">
        <f>IFERROR(__xludf.DUMMYFUNCTION("""COMPUTED_VALUE"""),"간 돼지고기")</f>
        <v>간 돼지고기</v>
      </c>
    </row>
    <row r="8733">
      <c r="A8733" s="2" t="str">
        <f>IFERROR(__xludf.DUMMYFUNCTION("""COMPUTED_VALUE"""),"김치 곱빼기")</f>
        <v>김치 곱빼기</v>
      </c>
      <c r="B8733" s="2" t="str">
        <f>IFERROR(__xludf.DUMMYFUNCTION("""COMPUTED_VALUE"""),"인스턴트 양념곱창")</f>
        <v>인스턴트 양념곱창</v>
      </c>
    </row>
    <row r="8734">
      <c r="A8734" s="2" t="str">
        <f>IFERROR(__xludf.DUMMYFUNCTION("""COMPUTED_VALUE"""),"김치 곱빼기")</f>
        <v>김치 곱빼기</v>
      </c>
      <c r="B8734" s="2" t="str">
        <f>IFERROR(__xludf.DUMMYFUNCTION("""COMPUTED_VALUE"""),"두부")</f>
        <v>두부</v>
      </c>
    </row>
    <row r="8735">
      <c r="A8735" s="2" t="str">
        <f>IFERROR(__xludf.DUMMYFUNCTION("""COMPUTED_VALUE"""),"김치 곱빼기")</f>
        <v>김치 곱빼기</v>
      </c>
      <c r="B8735" s="2" t="str">
        <f>IFERROR(__xludf.DUMMYFUNCTION("""COMPUTED_VALUE"""),"무")</f>
        <v>무</v>
      </c>
    </row>
    <row r="8736">
      <c r="A8736" s="2" t="str">
        <f>IFERROR(__xludf.DUMMYFUNCTION("""COMPUTED_VALUE"""),"김치 곱빼기")</f>
        <v>김치 곱빼기</v>
      </c>
      <c r="B8736" s="2" t="str">
        <f>IFERROR(__xludf.DUMMYFUNCTION("""COMPUTED_VALUE"""),"데친 참나물")</f>
        <v>데친 참나물</v>
      </c>
    </row>
    <row r="8737">
      <c r="A8737" s="2" t="str">
        <f>IFERROR(__xludf.DUMMYFUNCTION("""COMPUTED_VALUE"""),"김치 곱빼기")</f>
        <v>김치 곱빼기</v>
      </c>
      <c r="B8737" s="2" t="str">
        <f>IFERROR(__xludf.DUMMYFUNCTION("""COMPUTED_VALUE"""),"고구마순김치")</f>
        <v>고구마순김치</v>
      </c>
    </row>
    <row r="8738">
      <c r="A8738" s="2" t="str">
        <f>IFERROR(__xludf.DUMMYFUNCTION("""COMPUTED_VALUE"""),"김치 곱빼기")</f>
        <v>김치 곱빼기</v>
      </c>
      <c r="B8738" s="2" t="str">
        <f>IFERROR(__xludf.DUMMYFUNCTION("""COMPUTED_VALUE"""),"명이나물장아찌")</f>
        <v>명이나물장아찌</v>
      </c>
    </row>
    <row r="8739">
      <c r="A8739" s="2" t="str">
        <f>IFERROR(__xludf.DUMMYFUNCTION("""COMPUTED_VALUE"""),"김치 곱빼기")</f>
        <v>김치 곱빼기</v>
      </c>
      <c r="B8739" s="2" t="str">
        <f>IFERROR(__xludf.DUMMYFUNCTION("""COMPUTED_VALUE"""),"표고버섯")</f>
        <v>표고버섯</v>
      </c>
    </row>
    <row r="8740">
      <c r="A8740" s="2" t="str">
        <f>IFERROR(__xludf.DUMMYFUNCTION("""COMPUTED_VALUE"""),"김치 곱빼기")</f>
        <v>김치 곱빼기</v>
      </c>
      <c r="B8740" s="2" t="str">
        <f>IFERROR(__xludf.DUMMYFUNCTION("""COMPUTED_VALUE"""),"팽이버섯")</f>
        <v>팽이버섯</v>
      </c>
    </row>
    <row r="8741">
      <c r="A8741" s="2" t="str">
        <f>IFERROR(__xludf.DUMMYFUNCTION("""COMPUTED_VALUE"""),"김치 곱빼기")</f>
        <v>김치 곱빼기</v>
      </c>
      <c r="B8741" s="2" t="str">
        <f>IFERROR(__xludf.DUMMYFUNCTION("""COMPUTED_VALUE"""),"양파")</f>
        <v>양파</v>
      </c>
    </row>
    <row r="8742">
      <c r="A8742" s="2" t="str">
        <f>IFERROR(__xludf.DUMMYFUNCTION("""COMPUTED_VALUE"""),"김치 곱빼기")</f>
        <v>김치 곱빼기</v>
      </c>
      <c r="B8742" s="2" t="str">
        <f>IFERROR(__xludf.DUMMYFUNCTION("""COMPUTED_VALUE"""),"대파")</f>
        <v>대파</v>
      </c>
    </row>
    <row r="8743">
      <c r="A8743" s="2" t="str">
        <f>IFERROR(__xludf.DUMMYFUNCTION("""COMPUTED_VALUE"""),"김치 곱빼기")</f>
        <v>김치 곱빼기</v>
      </c>
      <c r="B8743" s="2" t="str">
        <f>IFERROR(__xludf.DUMMYFUNCTION("""COMPUTED_VALUE"""),"소금")</f>
        <v>소금</v>
      </c>
    </row>
    <row r="8744">
      <c r="A8744" s="2" t="str">
        <f>IFERROR(__xludf.DUMMYFUNCTION("""COMPUTED_VALUE"""),"김치 곱빼기")</f>
        <v>김치 곱빼기</v>
      </c>
      <c r="B8744" s="2" t="str">
        <f>IFERROR(__xludf.DUMMYFUNCTION("""COMPUTED_VALUE"""),"고추장")</f>
        <v>고추장</v>
      </c>
    </row>
    <row r="8745">
      <c r="A8745" s="2" t="str">
        <f>IFERROR(__xludf.DUMMYFUNCTION("""COMPUTED_VALUE"""),"김치 곱빼기")</f>
        <v>김치 곱빼기</v>
      </c>
      <c r="B8745" s="2" t="str">
        <f>IFERROR(__xludf.DUMMYFUNCTION("""COMPUTED_VALUE"""),"참기름")</f>
        <v>참기름</v>
      </c>
    </row>
    <row r="8746">
      <c r="A8746" s="2" t="str">
        <f>IFERROR(__xludf.DUMMYFUNCTION("""COMPUTED_VALUE"""),"김치 곱빼기")</f>
        <v>김치 곱빼기</v>
      </c>
      <c r="B8746" s="2" t="str">
        <f>IFERROR(__xludf.DUMMYFUNCTION("""COMPUTED_VALUE"""),"설탕")</f>
        <v>설탕</v>
      </c>
    </row>
    <row r="8747">
      <c r="A8747" s="2" t="str">
        <f>IFERROR(__xludf.DUMMYFUNCTION("""COMPUTED_VALUE"""),"김치 곱빼기")</f>
        <v>김치 곱빼기</v>
      </c>
      <c r="B8747" s="2" t="str">
        <f>IFERROR(__xludf.DUMMYFUNCTION("""COMPUTED_VALUE"""),"깨")</f>
        <v>깨</v>
      </c>
    </row>
    <row r="8748">
      <c r="A8748" s="2" t="str">
        <f>IFERROR(__xludf.DUMMYFUNCTION("""COMPUTED_VALUE"""),"김치 곱빼기")</f>
        <v>김치 곱빼기</v>
      </c>
      <c r="B8748" s="2" t="str">
        <f>IFERROR(__xludf.DUMMYFUNCTION("""COMPUTED_VALUE"""),"식초")</f>
        <v>식초</v>
      </c>
    </row>
    <row r="8749">
      <c r="A8749" s="2" t="str">
        <f>IFERROR(__xludf.DUMMYFUNCTION("""COMPUTED_VALUE"""),"김치 곱빼기")</f>
        <v>김치 곱빼기</v>
      </c>
      <c r="B8749" s="2" t="str">
        <f>IFERROR(__xludf.DUMMYFUNCTION("""COMPUTED_VALUE"""),"고춧가루")</f>
        <v>고춧가루</v>
      </c>
    </row>
    <row r="8750">
      <c r="A8750" s="2" t="str">
        <f>IFERROR(__xludf.DUMMYFUNCTION("""COMPUTED_VALUE"""),"김치 곱빼기")</f>
        <v>김치 곱빼기</v>
      </c>
      <c r="B8750" s="2" t="str">
        <f>IFERROR(__xludf.DUMMYFUNCTION("""COMPUTED_VALUE"""),"홍고추")</f>
        <v>홍고추</v>
      </c>
    </row>
    <row r="8751">
      <c r="A8751" s="2" t="str">
        <f>IFERROR(__xludf.DUMMYFUNCTION("""COMPUTED_VALUE"""),"김치 곱빼기")</f>
        <v>김치 곱빼기</v>
      </c>
      <c r="B8751" s="2" t="str">
        <f>IFERROR(__xludf.DUMMYFUNCTION("""COMPUTED_VALUE"""),"고추")</f>
        <v>고추</v>
      </c>
    </row>
    <row r="8752">
      <c r="A8752" s="2" t="str">
        <f>IFERROR(__xludf.DUMMYFUNCTION("""COMPUTED_VALUE"""),"김치 곱빼기")</f>
        <v>김치 곱빼기</v>
      </c>
      <c r="B8752" s="2" t="str">
        <f>IFERROR(__xludf.DUMMYFUNCTION("""COMPUTED_VALUE"""),"다진 마늘")</f>
        <v>다진 마늘</v>
      </c>
    </row>
    <row r="8753">
      <c r="A8753" s="2" t="str">
        <f>IFERROR(__xludf.DUMMYFUNCTION("""COMPUTED_VALUE"""),"김치 곱빼기")</f>
        <v>김치 곱빼기</v>
      </c>
      <c r="B8753" s="2" t="str">
        <f>IFERROR(__xludf.DUMMYFUNCTION("""COMPUTED_VALUE"""),"즉석밥")</f>
        <v>즉석밥</v>
      </c>
    </row>
    <row r="8754">
      <c r="A8754" s="2" t="str">
        <f>IFERROR(__xludf.DUMMYFUNCTION("""COMPUTED_VALUE"""),"레이먼킴치")</f>
        <v>레이먼킴치</v>
      </c>
      <c r="B8754" s="2" t="str">
        <f>IFERROR(__xludf.DUMMYFUNCTION("""COMPUTED_VALUE"""),"배추김치")</f>
        <v>배추김치</v>
      </c>
    </row>
    <row r="8755">
      <c r="A8755" s="2" t="str">
        <f>IFERROR(__xludf.DUMMYFUNCTION("""COMPUTED_VALUE"""),"레이먼킴치")</f>
        <v>레이먼킴치</v>
      </c>
      <c r="B8755" s="2" t="str">
        <f>IFERROR(__xludf.DUMMYFUNCTION("""COMPUTED_VALUE"""),"사과")</f>
        <v>사과</v>
      </c>
    </row>
    <row r="8756">
      <c r="A8756" s="2" t="str">
        <f>IFERROR(__xludf.DUMMYFUNCTION("""COMPUTED_VALUE"""),"레이먼킴치")</f>
        <v>레이먼킴치</v>
      </c>
      <c r="B8756" s="2" t="str">
        <f>IFERROR(__xludf.DUMMYFUNCTION("""COMPUTED_VALUE"""),"요거트")</f>
        <v>요거트</v>
      </c>
    </row>
    <row r="8757">
      <c r="A8757" s="2" t="str">
        <f>IFERROR(__xludf.DUMMYFUNCTION("""COMPUTED_VALUE"""),"레이먼킴치")</f>
        <v>레이먼킴치</v>
      </c>
      <c r="B8757" s="2" t="str">
        <f>IFERROR(__xludf.DUMMYFUNCTION("""COMPUTED_VALUE"""),"돼지목살")</f>
        <v>돼지목살</v>
      </c>
    </row>
    <row r="8758">
      <c r="A8758" s="2" t="str">
        <f>IFERROR(__xludf.DUMMYFUNCTION("""COMPUTED_VALUE"""),"레이먼킴치")</f>
        <v>레이먼킴치</v>
      </c>
      <c r="B8758" s="2" t="str">
        <f>IFERROR(__xludf.DUMMYFUNCTION("""COMPUTED_VALUE"""),"고구마순김치")</f>
        <v>고구마순김치</v>
      </c>
    </row>
    <row r="8759">
      <c r="A8759" s="2" t="str">
        <f>IFERROR(__xludf.DUMMYFUNCTION("""COMPUTED_VALUE"""),"레이먼킴치")</f>
        <v>레이먼킴치</v>
      </c>
      <c r="B8759" s="2" t="str">
        <f>IFERROR(__xludf.DUMMYFUNCTION("""COMPUTED_VALUE"""),"달걀")</f>
        <v>달걀</v>
      </c>
    </row>
    <row r="8760">
      <c r="A8760" s="2" t="str">
        <f>IFERROR(__xludf.DUMMYFUNCTION("""COMPUTED_VALUE"""),"레이먼킴치")</f>
        <v>레이먼킴치</v>
      </c>
      <c r="B8760" s="2" t="str">
        <f>IFERROR(__xludf.DUMMYFUNCTION("""COMPUTED_VALUE"""),"조미김")</f>
        <v>조미김</v>
      </c>
    </row>
    <row r="8761">
      <c r="A8761" s="2" t="str">
        <f>IFERROR(__xludf.DUMMYFUNCTION("""COMPUTED_VALUE"""),"레이먼킴치")</f>
        <v>레이먼킴치</v>
      </c>
      <c r="B8761" s="2" t="str">
        <f>IFERROR(__xludf.DUMMYFUNCTION("""COMPUTED_VALUE"""),"사골국")</f>
        <v>사골국</v>
      </c>
    </row>
    <row r="8762">
      <c r="A8762" s="2" t="str">
        <f>IFERROR(__xludf.DUMMYFUNCTION("""COMPUTED_VALUE"""),"레이먼킴치")</f>
        <v>레이먼킴치</v>
      </c>
      <c r="B8762" s="2" t="str">
        <f>IFERROR(__xludf.DUMMYFUNCTION("""COMPUTED_VALUE"""),"돼지등심 스테이크")</f>
        <v>돼지등심 스테이크</v>
      </c>
    </row>
    <row r="8763">
      <c r="A8763" s="2" t="str">
        <f>IFERROR(__xludf.DUMMYFUNCTION("""COMPUTED_VALUE"""),"레이먼킴치")</f>
        <v>레이먼킴치</v>
      </c>
      <c r="B8763" s="2" t="str">
        <f>IFERROR(__xludf.DUMMYFUNCTION("""COMPUTED_VALUE"""),"당근")</f>
        <v>당근</v>
      </c>
    </row>
    <row r="8764">
      <c r="A8764" s="2" t="str">
        <f>IFERROR(__xludf.DUMMYFUNCTION("""COMPUTED_VALUE"""),"레이먼킴치")</f>
        <v>레이먼킴치</v>
      </c>
      <c r="B8764" s="2" t="str">
        <f>IFERROR(__xludf.DUMMYFUNCTION("""COMPUTED_VALUE"""),"청양고추")</f>
        <v>청양고추</v>
      </c>
    </row>
    <row r="8765">
      <c r="A8765" s="2" t="str">
        <f>IFERROR(__xludf.DUMMYFUNCTION("""COMPUTED_VALUE"""),"레이먼킴치")</f>
        <v>레이먼킴치</v>
      </c>
      <c r="B8765" s="2" t="str">
        <f>IFERROR(__xludf.DUMMYFUNCTION("""COMPUTED_VALUE"""),"마요네즈")</f>
        <v>마요네즈</v>
      </c>
    </row>
    <row r="8766">
      <c r="A8766" s="2" t="str">
        <f>IFERROR(__xludf.DUMMYFUNCTION("""COMPUTED_VALUE"""),"레이먼킴치")</f>
        <v>레이먼킴치</v>
      </c>
      <c r="B8766" s="2" t="str">
        <f>IFERROR(__xludf.DUMMYFUNCTION("""COMPUTED_VALUE"""),"올리브오일")</f>
        <v>올리브오일</v>
      </c>
    </row>
    <row r="8767">
      <c r="A8767" s="2" t="str">
        <f>IFERROR(__xludf.DUMMYFUNCTION("""COMPUTED_VALUE"""),"레이먼킴치")</f>
        <v>레이먼킴치</v>
      </c>
      <c r="B8767" s="2" t="str">
        <f>IFERROR(__xludf.DUMMYFUNCTION("""COMPUTED_VALUE"""),"즉석밥")</f>
        <v>즉석밥</v>
      </c>
    </row>
    <row r="8768">
      <c r="A8768" s="2" t="str">
        <f>IFERROR(__xludf.DUMMYFUNCTION("""COMPUTED_VALUE"""),"레이먼킴치")</f>
        <v>레이먼킴치</v>
      </c>
      <c r="B8768" s="2" t="str">
        <f>IFERROR(__xludf.DUMMYFUNCTION("""COMPUTED_VALUE"""),"달걀")</f>
        <v>달걀</v>
      </c>
    </row>
    <row r="8769">
      <c r="A8769" s="2" t="str">
        <f>IFERROR(__xludf.DUMMYFUNCTION("""COMPUTED_VALUE"""),"레이먼킴치")</f>
        <v>레이먼킴치</v>
      </c>
      <c r="B8769" s="2" t="str">
        <f>IFERROR(__xludf.DUMMYFUNCTION("""COMPUTED_VALUE"""),"전분")</f>
        <v>전분</v>
      </c>
    </row>
    <row r="8770">
      <c r="A8770" s="2" t="str">
        <f>IFERROR(__xludf.DUMMYFUNCTION("""COMPUTED_VALUE"""),"레이먼킴치")</f>
        <v>레이먼킴치</v>
      </c>
      <c r="B8770" s="2" t="str">
        <f>IFERROR(__xludf.DUMMYFUNCTION("""COMPUTED_VALUE"""),"양파")</f>
        <v>양파</v>
      </c>
    </row>
    <row r="8771">
      <c r="A8771" s="2" t="str">
        <f>IFERROR(__xludf.DUMMYFUNCTION("""COMPUTED_VALUE"""),"레이먼킴치")</f>
        <v>레이먼킴치</v>
      </c>
      <c r="B8771" s="2" t="str">
        <f>IFERROR(__xludf.DUMMYFUNCTION("""COMPUTED_VALUE"""),"대파")</f>
        <v>대파</v>
      </c>
    </row>
    <row r="8772">
      <c r="A8772" s="2" t="str">
        <f>IFERROR(__xludf.DUMMYFUNCTION("""COMPUTED_VALUE"""),"레이먼킴치")</f>
        <v>레이먼킴치</v>
      </c>
      <c r="B8772" s="2" t="str">
        <f>IFERROR(__xludf.DUMMYFUNCTION("""COMPUTED_VALUE"""),"맛술")</f>
        <v>맛술</v>
      </c>
    </row>
    <row r="8773">
      <c r="A8773" s="2" t="str">
        <f>IFERROR(__xludf.DUMMYFUNCTION("""COMPUTED_VALUE"""),"레이먼킴치")</f>
        <v>레이먼킴치</v>
      </c>
      <c r="B8773" s="2" t="str">
        <f>IFERROR(__xludf.DUMMYFUNCTION("""COMPUTED_VALUE"""),"밀가루")</f>
        <v>밀가루</v>
      </c>
    </row>
    <row r="8774">
      <c r="A8774" s="2" t="str">
        <f>IFERROR(__xludf.DUMMYFUNCTION("""COMPUTED_VALUE"""),"레이먼킴치")</f>
        <v>레이먼킴치</v>
      </c>
      <c r="B8774" s="2" t="str">
        <f>IFERROR(__xludf.DUMMYFUNCTION("""COMPUTED_VALUE"""),"버터")</f>
        <v>버터</v>
      </c>
    </row>
    <row r="8775">
      <c r="A8775" s="2" t="str">
        <f>IFERROR(__xludf.DUMMYFUNCTION("""COMPUTED_VALUE"""),"김치 곱빼기")</f>
        <v>김치 곱빼기</v>
      </c>
      <c r="B8775" s="2" t="str">
        <f>IFERROR(__xludf.DUMMYFUNCTION("""COMPUTED_VALUE"""),"배추김치")</f>
        <v>배추김치</v>
      </c>
    </row>
    <row r="8776">
      <c r="A8776" s="2" t="str">
        <f>IFERROR(__xludf.DUMMYFUNCTION("""COMPUTED_VALUE"""),"김치 곱빼기")</f>
        <v>김치 곱빼기</v>
      </c>
      <c r="B8776" s="2" t="str">
        <f>IFERROR(__xludf.DUMMYFUNCTION("""COMPUTED_VALUE"""),"사골국")</f>
        <v>사골국</v>
      </c>
    </row>
    <row r="8777">
      <c r="A8777" s="2" t="str">
        <f>IFERROR(__xludf.DUMMYFUNCTION("""COMPUTED_VALUE"""),"김치 곱빼기")</f>
        <v>김치 곱빼기</v>
      </c>
      <c r="B8777" s="2" t="str">
        <f>IFERROR(__xludf.DUMMYFUNCTION("""COMPUTED_VALUE"""),"간 돼지고기")</f>
        <v>간 돼지고기</v>
      </c>
    </row>
    <row r="8778">
      <c r="A8778" s="2" t="str">
        <f>IFERROR(__xludf.DUMMYFUNCTION("""COMPUTED_VALUE"""),"김치 곱빼기")</f>
        <v>김치 곱빼기</v>
      </c>
      <c r="B8778" s="2" t="str">
        <f>IFERROR(__xludf.DUMMYFUNCTION("""COMPUTED_VALUE"""),"인스턴트 양념곱창")</f>
        <v>인스턴트 양념곱창</v>
      </c>
    </row>
    <row r="8779">
      <c r="A8779" s="2" t="str">
        <f>IFERROR(__xludf.DUMMYFUNCTION("""COMPUTED_VALUE"""),"김치 곱빼기")</f>
        <v>김치 곱빼기</v>
      </c>
      <c r="B8779" s="2" t="str">
        <f>IFERROR(__xludf.DUMMYFUNCTION("""COMPUTED_VALUE"""),"두부")</f>
        <v>두부</v>
      </c>
    </row>
    <row r="8780">
      <c r="A8780" s="2" t="str">
        <f>IFERROR(__xludf.DUMMYFUNCTION("""COMPUTED_VALUE"""),"김치 곱빼기")</f>
        <v>김치 곱빼기</v>
      </c>
      <c r="B8780" s="2" t="str">
        <f>IFERROR(__xludf.DUMMYFUNCTION("""COMPUTED_VALUE"""),"무")</f>
        <v>무</v>
      </c>
    </row>
    <row r="8781">
      <c r="A8781" s="2" t="str">
        <f>IFERROR(__xludf.DUMMYFUNCTION("""COMPUTED_VALUE"""),"김치 곱빼기")</f>
        <v>김치 곱빼기</v>
      </c>
      <c r="B8781" s="2" t="str">
        <f>IFERROR(__xludf.DUMMYFUNCTION("""COMPUTED_VALUE"""),"데친 참나물")</f>
        <v>데친 참나물</v>
      </c>
    </row>
    <row r="8782">
      <c r="A8782" s="2" t="str">
        <f>IFERROR(__xludf.DUMMYFUNCTION("""COMPUTED_VALUE"""),"김치 곱빼기")</f>
        <v>김치 곱빼기</v>
      </c>
      <c r="B8782" s="2" t="str">
        <f>IFERROR(__xludf.DUMMYFUNCTION("""COMPUTED_VALUE"""),"고구마순김치")</f>
        <v>고구마순김치</v>
      </c>
    </row>
    <row r="8783">
      <c r="A8783" s="2" t="str">
        <f>IFERROR(__xludf.DUMMYFUNCTION("""COMPUTED_VALUE"""),"김치 곱빼기")</f>
        <v>김치 곱빼기</v>
      </c>
      <c r="B8783" s="2" t="str">
        <f>IFERROR(__xludf.DUMMYFUNCTION("""COMPUTED_VALUE"""),"명이나물장아찌")</f>
        <v>명이나물장아찌</v>
      </c>
    </row>
    <row r="8784">
      <c r="A8784" s="2" t="str">
        <f>IFERROR(__xludf.DUMMYFUNCTION("""COMPUTED_VALUE"""),"김치 곱빼기")</f>
        <v>김치 곱빼기</v>
      </c>
      <c r="B8784" s="2" t="str">
        <f>IFERROR(__xludf.DUMMYFUNCTION("""COMPUTED_VALUE"""),"표고버섯")</f>
        <v>표고버섯</v>
      </c>
    </row>
    <row r="8785">
      <c r="A8785" s="2" t="str">
        <f>IFERROR(__xludf.DUMMYFUNCTION("""COMPUTED_VALUE"""),"김치 곱빼기")</f>
        <v>김치 곱빼기</v>
      </c>
      <c r="B8785" s="2" t="str">
        <f>IFERROR(__xludf.DUMMYFUNCTION("""COMPUTED_VALUE"""),"팽이버섯")</f>
        <v>팽이버섯</v>
      </c>
    </row>
    <row r="8786">
      <c r="A8786" s="2" t="str">
        <f>IFERROR(__xludf.DUMMYFUNCTION("""COMPUTED_VALUE"""),"김치 곱빼기")</f>
        <v>김치 곱빼기</v>
      </c>
      <c r="B8786" s="2" t="str">
        <f>IFERROR(__xludf.DUMMYFUNCTION("""COMPUTED_VALUE"""),"양파")</f>
        <v>양파</v>
      </c>
    </row>
    <row r="8787">
      <c r="A8787" s="2" t="str">
        <f>IFERROR(__xludf.DUMMYFUNCTION("""COMPUTED_VALUE"""),"김치 곱빼기")</f>
        <v>김치 곱빼기</v>
      </c>
      <c r="B8787" s="2" t="str">
        <f>IFERROR(__xludf.DUMMYFUNCTION("""COMPUTED_VALUE"""),"대파")</f>
        <v>대파</v>
      </c>
    </row>
    <row r="8788">
      <c r="A8788" s="2" t="str">
        <f>IFERROR(__xludf.DUMMYFUNCTION("""COMPUTED_VALUE"""),"김치 곱빼기")</f>
        <v>김치 곱빼기</v>
      </c>
      <c r="B8788" s="2" t="str">
        <f>IFERROR(__xludf.DUMMYFUNCTION("""COMPUTED_VALUE"""),"소금")</f>
        <v>소금</v>
      </c>
    </row>
    <row r="8789">
      <c r="A8789" s="2" t="str">
        <f>IFERROR(__xludf.DUMMYFUNCTION("""COMPUTED_VALUE"""),"김치 곱빼기")</f>
        <v>김치 곱빼기</v>
      </c>
      <c r="B8789" s="2" t="str">
        <f>IFERROR(__xludf.DUMMYFUNCTION("""COMPUTED_VALUE"""),"고추장")</f>
        <v>고추장</v>
      </c>
    </row>
    <row r="8790">
      <c r="A8790" s="2" t="str">
        <f>IFERROR(__xludf.DUMMYFUNCTION("""COMPUTED_VALUE"""),"김치 곱빼기")</f>
        <v>김치 곱빼기</v>
      </c>
      <c r="B8790" s="2" t="str">
        <f>IFERROR(__xludf.DUMMYFUNCTION("""COMPUTED_VALUE"""),"참기름")</f>
        <v>참기름</v>
      </c>
    </row>
    <row r="8791">
      <c r="A8791" s="2" t="str">
        <f>IFERROR(__xludf.DUMMYFUNCTION("""COMPUTED_VALUE"""),"김치 곱빼기")</f>
        <v>김치 곱빼기</v>
      </c>
      <c r="B8791" s="2" t="str">
        <f>IFERROR(__xludf.DUMMYFUNCTION("""COMPUTED_VALUE"""),"설탕")</f>
        <v>설탕</v>
      </c>
    </row>
    <row r="8792">
      <c r="A8792" s="2" t="str">
        <f>IFERROR(__xludf.DUMMYFUNCTION("""COMPUTED_VALUE"""),"김치 곱빼기")</f>
        <v>김치 곱빼기</v>
      </c>
      <c r="B8792" s="2" t="str">
        <f>IFERROR(__xludf.DUMMYFUNCTION("""COMPUTED_VALUE"""),"깨")</f>
        <v>깨</v>
      </c>
    </row>
    <row r="8793">
      <c r="A8793" s="2" t="str">
        <f>IFERROR(__xludf.DUMMYFUNCTION("""COMPUTED_VALUE"""),"김치 곱빼기")</f>
        <v>김치 곱빼기</v>
      </c>
      <c r="B8793" s="2" t="str">
        <f>IFERROR(__xludf.DUMMYFUNCTION("""COMPUTED_VALUE"""),"식초")</f>
        <v>식초</v>
      </c>
    </row>
    <row r="8794">
      <c r="A8794" s="2" t="str">
        <f>IFERROR(__xludf.DUMMYFUNCTION("""COMPUTED_VALUE"""),"김치 곱빼기")</f>
        <v>김치 곱빼기</v>
      </c>
      <c r="B8794" s="2" t="str">
        <f>IFERROR(__xludf.DUMMYFUNCTION("""COMPUTED_VALUE"""),"고춧가루")</f>
        <v>고춧가루</v>
      </c>
    </row>
    <row r="8795">
      <c r="A8795" s="2" t="str">
        <f>IFERROR(__xludf.DUMMYFUNCTION("""COMPUTED_VALUE"""),"김치 곱빼기")</f>
        <v>김치 곱빼기</v>
      </c>
      <c r="B8795" s="2" t="str">
        <f>IFERROR(__xludf.DUMMYFUNCTION("""COMPUTED_VALUE"""),"홍고추")</f>
        <v>홍고추</v>
      </c>
    </row>
    <row r="8796">
      <c r="A8796" s="2" t="str">
        <f>IFERROR(__xludf.DUMMYFUNCTION("""COMPUTED_VALUE"""),"김치 곱빼기")</f>
        <v>김치 곱빼기</v>
      </c>
      <c r="B8796" s="2" t="str">
        <f>IFERROR(__xludf.DUMMYFUNCTION("""COMPUTED_VALUE"""),"고추")</f>
        <v>고추</v>
      </c>
    </row>
    <row r="8797">
      <c r="A8797" s="2" t="str">
        <f>IFERROR(__xludf.DUMMYFUNCTION("""COMPUTED_VALUE"""),"김치 곱빼기")</f>
        <v>김치 곱빼기</v>
      </c>
      <c r="B8797" s="2" t="str">
        <f>IFERROR(__xludf.DUMMYFUNCTION("""COMPUTED_VALUE"""),"다진 마늘")</f>
        <v>다진 마늘</v>
      </c>
    </row>
    <row r="8798">
      <c r="A8798" s="2" t="str">
        <f>IFERROR(__xludf.DUMMYFUNCTION("""COMPUTED_VALUE"""),"김치 곱빼기")</f>
        <v>김치 곱빼기</v>
      </c>
      <c r="B8798" s="2" t="str">
        <f>IFERROR(__xludf.DUMMYFUNCTION("""COMPUTED_VALUE"""),"즉석밥")</f>
        <v>즉석밥</v>
      </c>
    </row>
    <row r="8799">
      <c r="A8799" s="2" t="str">
        <f>IFERROR(__xludf.DUMMYFUNCTION("""COMPUTED_VALUE"""),"복스테이크")</f>
        <v>복스테이크</v>
      </c>
      <c r="B8799" s="2" t="str">
        <f>IFERROR(__xludf.DUMMYFUNCTION("""COMPUTED_VALUE"""),"돼지목살")</f>
        <v>돼지목살</v>
      </c>
    </row>
    <row r="8800">
      <c r="A8800" s="2" t="str">
        <f>IFERROR(__xludf.DUMMYFUNCTION("""COMPUTED_VALUE"""),"복스테이크")</f>
        <v>복스테이크</v>
      </c>
      <c r="B8800" s="2" t="str">
        <f>IFERROR(__xludf.DUMMYFUNCTION("""COMPUTED_VALUE"""),"애호박")</f>
        <v>애호박</v>
      </c>
    </row>
    <row r="8801">
      <c r="A8801" s="2" t="str">
        <f>IFERROR(__xludf.DUMMYFUNCTION("""COMPUTED_VALUE"""),"복스테이크")</f>
        <v>복스테이크</v>
      </c>
      <c r="B8801" s="2" t="str">
        <f>IFERROR(__xludf.DUMMYFUNCTION("""COMPUTED_VALUE"""),"단호박")</f>
        <v>단호박</v>
      </c>
    </row>
    <row r="8802">
      <c r="A8802" s="2" t="str">
        <f>IFERROR(__xludf.DUMMYFUNCTION("""COMPUTED_VALUE"""),"복스테이크")</f>
        <v>복스테이크</v>
      </c>
      <c r="B8802" s="2" t="str">
        <f>IFERROR(__xludf.DUMMYFUNCTION("""COMPUTED_VALUE"""),"더덕")</f>
        <v>더덕</v>
      </c>
    </row>
    <row r="8803">
      <c r="A8803" s="2" t="str">
        <f>IFERROR(__xludf.DUMMYFUNCTION("""COMPUTED_VALUE"""),"복스테이크")</f>
        <v>복스테이크</v>
      </c>
      <c r="B8803" s="2" t="str">
        <f>IFERROR(__xludf.DUMMYFUNCTION("""COMPUTED_VALUE"""),"표고버섯")</f>
        <v>표고버섯</v>
      </c>
    </row>
    <row r="8804">
      <c r="A8804" s="2" t="str">
        <f>IFERROR(__xludf.DUMMYFUNCTION("""COMPUTED_VALUE"""),"복스테이크")</f>
        <v>복스테이크</v>
      </c>
      <c r="B8804" s="2" t="str">
        <f>IFERROR(__xludf.DUMMYFUNCTION("""COMPUTED_VALUE"""),"매실액")</f>
        <v>매실액</v>
      </c>
    </row>
    <row r="8805">
      <c r="A8805" s="2" t="str">
        <f>IFERROR(__xludf.DUMMYFUNCTION("""COMPUTED_VALUE"""),"복스테이크")</f>
        <v>복스테이크</v>
      </c>
      <c r="B8805" s="2" t="str">
        <f>IFERROR(__xludf.DUMMYFUNCTION("""COMPUTED_VALUE"""),"칼라만시 원액")</f>
        <v>칼라만시 원액</v>
      </c>
    </row>
    <row r="8806">
      <c r="A8806" s="2" t="str">
        <f>IFERROR(__xludf.DUMMYFUNCTION("""COMPUTED_VALUE"""),"복스테이크")</f>
        <v>복스테이크</v>
      </c>
      <c r="B8806" s="2" t="str">
        <f>IFERROR(__xludf.DUMMYFUNCTION("""COMPUTED_VALUE"""),"배")</f>
        <v>배</v>
      </c>
    </row>
    <row r="8807">
      <c r="A8807" s="2" t="str">
        <f>IFERROR(__xludf.DUMMYFUNCTION("""COMPUTED_VALUE"""),"복스테이크")</f>
        <v>복스테이크</v>
      </c>
      <c r="B8807" s="2" t="str">
        <f>IFERROR(__xludf.DUMMYFUNCTION("""COMPUTED_VALUE"""),"달걀")</f>
        <v>달걀</v>
      </c>
    </row>
    <row r="8808">
      <c r="A8808" s="2" t="str">
        <f>IFERROR(__xludf.DUMMYFUNCTION("""COMPUTED_VALUE"""),"복스테이크")</f>
        <v>복스테이크</v>
      </c>
      <c r="B8808" s="2" t="str">
        <f>IFERROR(__xludf.DUMMYFUNCTION("""COMPUTED_VALUE"""),"굴소스")</f>
        <v>굴소스</v>
      </c>
    </row>
    <row r="8809">
      <c r="A8809" s="2" t="str">
        <f>IFERROR(__xludf.DUMMYFUNCTION("""COMPUTED_VALUE"""),"복스테이크")</f>
        <v>복스테이크</v>
      </c>
      <c r="B8809" s="2" t="str">
        <f>IFERROR(__xludf.DUMMYFUNCTION("""COMPUTED_VALUE"""),"올리브오일")</f>
        <v>올리브오일</v>
      </c>
    </row>
    <row r="8810">
      <c r="A8810" s="2" t="str">
        <f>IFERROR(__xludf.DUMMYFUNCTION("""COMPUTED_VALUE"""),"복스테이크")</f>
        <v>복스테이크</v>
      </c>
      <c r="B8810" s="2" t="str">
        <f>IFERROR(__xludf.DUMMYFUNCTION("""COMPUTED_VALUE"""),"마늘")</f>
        <v>마늘</v>
      </c>
    </row>
    <row r="8811">
      <c r="A8811" s="2" t="str">
        <f>IFERROR(__xludf.DUMMYFUNCTION("""COMPUTED_VALUE"""),"복스테이크")</f>
        <v>복스테이크</v>
      </c>
      <c r="B8811" s="2" t="str">
        <f>IFERROR(__xludf.DUMMYFUNCTION("""COMPUTED_VALUE"""),"대파")</f>
        <v>대파</v>
      </c>
    </row>
    <row r="8812">
      <c r="A8812" s="2" t="str">
        <f>IFERROR(__xludf.DUMMYFUNCTION("""COMPUTED_VALUE"""),"복스테이크")</f>
        <v>복스테이크</v>
      </c>
      <c r="B8812" s="2" t="str">
        <f>IFERROR(__xludf.DUMMYFUNCTION("""COMPUTED_VALUE"""),"고춧가루")</f>
        <v>고춧가루</v>
      </c>
    </row>
    <row r="8813">
      <c r="A8813" s="2" t="str">
        <f>IFERROR(__xludf.DUMMYFUNCTION("""COMPUTED_VALUE"""),"복스테이크")</f>
        <v>복스테이크</v>
      </c>
      <c r="B8813" s="2" t="str">
        <f>IFERROR(__xludf.DUMMYFUNCTION("""COMPUTED_VALUE"""),"양파")</f>
        <v>양파</v>
      </c>
    </row>
    <row r="8814">
      <c r="A8814" s="2" t="str">
        <f>IFERROR(__xludf.DUMMYFUNCTION("""COMPUTED_VALUE"""),"복스테이크")</f>
        <v>복스테이크</v>
      </c>
      <c r="B8814" s="2" t="str">
        <f>IFERROR(__xludf.DUMMYFUNCTION("""COMPUTED_VALUE"""),"청양고추")</f>
        <v>청양고추</v>
      </c>
    </row>
    <row r="8815">
      <c r="A8815" s="2" t="str">
        <f>IFERROR(__xludf.DUMMYFUNCTION("""COMPUTED_VALUE"""),"복스테이크")</f>
        <v>복스테이크</v>
      </c>
      <c r="B8815" s="2" t="str">
        <f>IFERROR(__xludf.DUMMYFUNCTION("""COMPUTED_VALUE"""),"간장")</f>
        <v>간장</v>
      </c>
    </row>
    <row r="8816">
      <c r="A8816" s="2" t="str">
        <f>IFERROR(__xludf.DUMMYFUNCTION("""COMPUTED_VALUE"""),"복스테이크")</f>
        <v>복스테이크</v>
      </c>
      <c r="B8816" s="2" t="str">
        <f>IFERROR(__xludf.DUMMYFUNCTION("""COMPUTED_VALUE"""),"설탕")</f>
        <v>설탕</v>
      </c>
    </row>
    <row r="8817">
      <c r="A8817" s="2" t="str">
        <f>IFERROR(__xludf.DUMMYFUNCTION("""COMPUTED_VALUE"""),"복스테이크")</f>
        <v>복스테이크</v>
      </c>
      <c r="B8817" s="2" t="str">
        <f>IFERROR(__xludf.DUMMYFUNCTION("""COMPUTED_VALUE"""),"맛술")</f>
        <v>맛술</v>
      </c>
    </row>
    <row r="8818">
      <c r="A8818" s="2" t="str">
        <f>IFERROR(__xludf.DUMMYFUNCTION("""COMPUTED_VALUE"""),"복스테이크")</f>
        <v>복스테이크</v>
      </c>
      <c r="B8818" s="2" t="str">
        <f>IFERROR(__xludf.DUMMYFUNCTION("""COMPUTED_VALUE"""),"후추")</f>
        <v>후추</v>
      </c>
    </row>
    <row r="8819">
      <c r="A8819" s="2" t="str">
        <f>IFERROR(__xludf.DUMMYFUNCTION("""COMPUTED_VALUE"""),"복스테이크")</f>
        <v>복스테이크</v>
      </c>
      <c r="B8819" s="2" t="str">
        <f>IFERROR(__xludf.DUMMYFUNCTION("""COMPUTED_VALUE"""),"즉석밥")</f>
        <v>즉석밥</v>
      </c>
    </row>
    <row r="8820">
      <c r="A8820" s="2" t="str">
        <f>IFERROR(__xludf.DUMMYFUNCTION("""COMPUTED_VALUE"""),"복스테이크")</f>
        <v>복스테이크</v>
      </c>
      <c r="B8820" s="2" t="str">
        <f>IFERROR(__xludf.DUMMYFUNCTION("""COMPUTED_VALUE"""),"당근")</f>
        <v>당근</v>
      </c>
    </row>
    <row r="8821">
      <c r="A8821" s="2" t="str">
        <f>IFERROR(__xludf.DUMMYFUNCTION("""COMPUTED_VALUE"""),"복스테이크")</f>
        <v>복스테이크</v>
      </c>
      <c r="B8821" s="2" t="str">
        <f>IFERROR(__xludf.DUMMYFUNCTION("""COMPUTED_VALUE"""),"달걀")</f>
        <v>달걀</v>
      </c>
    </row>
    <row r="8822">
      <c r="A8822" s="2" t="str">
        <f>IFERROR(__xludf.DUMMYFUNCTION("""COMPUTED_VALUE"""),"펌킨 치킨")</f>
        <v>펌킨 치킨</v>
      </c>
      <c r="B8822" s="2" t="str">
        <f>IFERROR(__xludf.DUMMYFUNCTION("""COMPUTED_VALUE"""),"단호박")</f>
        <v>단호박</v>
      </c>
    </row>
    <row r="8823">
      <c r="A8823" s="2" t="str">
        <f>IFERROR(__xludf.DUMMYFUNCTION("""COMPUTED_VALUE"""),"펌킨 치킨")</f>
        <v>펌킨 치킨</v>
      </c>
      <c r="B8823" s="2" t="str">
        <f>IFERROR(__xludf.DUMMYFUNCTION("""COMPUTED_VALUE"""),"닭다리")</f>
        <v>닭다리</v>
      </c>
    </row>
    <row r="8824">
      <c r="A8824" s="2" t="str">
        <f>IFERROR(__xludf.DUMMYFUNCTION("""COMPUTED_VALUE"""),"펌킨 치킨")</f>
        <v>펌킨 치킨</v>
      </c>
      <c r="B8824" s="2" t="str">
        <f>IFERROR(__xludf.DUMMYFUNCTION("""COMPUTED_VALUE"""),"닭날개")</f>
        <v>닭날개</v>
      </c>
    </row>
    <row r="8825">
      <c r="A8825" s="2" t="str">
        <f>IFERROR(__xludf.DUMMYFUNCTION("""COMPUTED_VALUE"""),"펌킨 치킨")</f>
        <v>펌킨 치킨</v>
      </c>
      <c r="B8825" s="2" t="str">
        <f>IFERROR(__xludf.DUMMYFUNCTION("""COMPUTED_VALUE"""),"표고버섯")</f>
        <v>표고버섯</v>
      </c>
    </row>
    <row r="8826">
      <c r="A8826" s="2" t="str">
        <f>IFERROR(__xludf.DUMMYFUNCTION("""COMPUTED_VALUE"""),"펌킨 치킨")</f>
        <v>펌킨 치킨</v>
      </c>
      <c r="B8826" s="2" t="str">
        <f>IFERROR(__xludf.DUMMYFUNCTION("""COMPUTED_VALUE"""),"비엔나소시지")</f>
        <v>비엔나소시지</v>
      </c>
    </row>
    <row r="8827">
      <c r="A8827" s="2" t="str">
        <f>IFERROR(__xludf.DUMMYFUNCTION("""COMPUTED_VALUE"""),"펌킨 치킨")</f>
        <v>펌킨 치킨</v>
      </c>
      <c r="B8827" s="2" t="str">
        <f>IFERROR(__xludf.DUMMYFUNCTION("""COMPUTED_VALUE"""),"팽이버섯")</f>
        <v>팽이버섯</v>
      </c>
    </row>
    <row r="8828">
      <c r="A8828" s="2" t="str">
        <f>IFERROR(__xludf.DUMMYFUNCTION("""COMPUTED_VALUE"""),"펌킨 치킨")</f>
        <v>펌킨 치킨</v>
      </c>
      <c r="B8828" s="2" t="str">
        <f>IFERROR(__xludf.DUMMYFUNCTION("""COMPUTED_VALUE"""),"맥주")</f>
        <v>맥주</v>
      </c>
    </row>
    <row r="8829">
      <c r="A8829" s="2" t="str">
        <f>IFERROR(__xludf.DUMMYFUNCTION("""COMPUTED_VALUE"""),"펌킨 치킨")</f>
        <v>펌킨 치킨</v>
      </c>
      <c r="B8829" s="2" t="str">
        <f>IFERROR(__xludf.DUMMYFUNCTION("""COMPUTED_VALUE"""),"할라피뇨")</f>
        <v>할라피뇨</v>
      </c>
    </row>
    <row r="8830">
      <c r="A8830" s="2" t="str">
        <f>IFERROR(__xludf.DUMMYFUNCTION("""COMPUTED_VALUE"""),"펌킨 치킨")</f>
        <v>펌킨 치킨</v>
      </c>
      <c r="B8830" s="2" t="str">
        <f>IFERROR(__xludf.DUMMYFUNCTION("""COMPUTED_VALUE"""),"토마토소스")</f>
        <v>토마토소스</v>
      </c>
    </row>
    <row r="8831">
      <c r="A8831" s="2" t="str">
        <f>IFERROR(__xludf.DUMMYFUNCTION("""COMPUTED_VALUE"""),"펌킨 치킨")</f>
        <v>펌킨 치킨</v>
      </c>
      <c r="B8831" s="2" t="str">
        <f>IFERROR(__xludf.DUMMYFUNCTION("""COMPUTED_VALUE"""),"소금")</f>
        <v>소금</v>
      </c>
    </row>
    <row r="8832">
      <c r="A8832" s="2" t="str">
        <f>IFERROR(__xludf.DUMMYFUNCTION("""COMPUTED_VALUE"""),"펌킨 치킨")</f>
        <v>펌킨 치킨</v>
      </c>
      <c r="B8832" s="2" t="str">
        <f>IFERROR(__xludf.DUMMYFUNCTION("""COMPUTED_VALUE"""),"후추")</f>
        <v>후추</v>
      </c>
    </row>
    <row r="8833">
      <c r="A8833" s="2" t="str">
        <f>IFERROR(__xludf.DUMMYFUNCTION("""COMPUTED_VALUE"""),"펌킨 치킨")</f>
        <v>펌킨 치킨</v>
      </c>
      <c r="B8833" s="2" t="str">
        <f>IFERROR(__xludf.DUMMYFUNCTION("""COMPUTED_VALUE"""),"당근")</f>
        <v>당근</v>
      </c>
    </row>
    <row r="8834">
      <c r="A8834" s="2" t="str">
        <f>IFERROR(__xludf.DUMMYFUNCTION("""COMPUTED_VALUE"""),"펌킨 치킨")</f>
        <v>펌킨 치킨</v>
      </c>
      <c r="B8834" s="2" t="str">
        <f>IFERROR(__xludf.DUMMYFUNCTION("""COMPUTED_VALUE"""),"마늘")</f>
        <v>마늘</v>
      </c>
    </row>
    <row r="8835">
      <c r="A8835" s="2" t="str">
        <f>IFERROR(__xludf.DUMMYFUNCTION("""COMPUTED_VALUE"""),"펌킨 치킨")</f>
        <v>펌킨 치킨</v>
      </c>
      <c r="B8835" s="2" t="str">
        <f>IFERROR(__xludf.DUMMYFUNCTION("""COMPUTED_VALUE"""),"양파")</f>
        <v>양파</v>
      </c>
    </row>
    <row r="8836">
      <c r="A8836" s="2" t="str">
        <f>IFERROR(__xludf.DUMMYFUNCTION("""COMPUTED_VALUE"""),"펌킨 치킨")</f>
        <v>펌킨 치킨</v>
      </c>
      <c r="B8836" s="2" t="str">
        <f>IFERROR(__xludf.DUMMYFUNCTION("""COMPUTED_VALUE"""),"간장")</f>
        <v>간장</v>
      </c>
    </row>
    <row r="8837">
      <c r="A8837" s="2" t="str">
        <f>IFERROR(__xludf.DUMMYFUNCTION("""COMPUTED_VALUE"""),"펌킨 치킨")</f>
        <v>펌킨 치킨</v>
      </c>
      <c r="B8837" s="2" t="str">
        <f>IFERROR(__xludf.DUMMYFUNCTION("""COMPUTED_VALUE"""),"버터")</f>
        <v>버터</v>
      </c>
    </row>
    <row r="8838">
      <c r="A8838" s="2" t="str">
        <f>IFERROR(__xludf.DUMMYFUNCTION("""COMPUTED_VALUE"""),"펌킨 치킨")</f>
        <v>펌킨 치킨</v>
      </c>
      <c r="B8838" s="2" t="str">
        <f>IFERROR(__xludf.DUMMYFUNCTION("""COMPUTED_VALUE"""),"전분")</f>
        <v>전분</v>
      </c>
    </row>
    <row r="8839">
      <c r="A8839" s="2" t="str">
        <f>IFERROR(__xludf.DUMMYFUNCTION("""COMPUTED_VALUE"""),"칼로리 듬풍 샌드위치")</f>
        <v>칼로리 듬풍 샌드위치</v>
      </c>
      <c r="B8839" s="2" t="str">
        <f>IFERROR(__xludf.DUMMYFUNCTION("""COMPUTED_VALUE"""),"유자청")</f>
        <v>유자청</v>
      </c>
    </row>
    <row r="8840">
      <c r="A8840" s="2" t="str">
        <f>IFERROR(__xludf.DUMMYFUNCTION("""COMPUTED_VALUE"""),"칼로리 듬풍 샌드위치")</f>
        <v>칼로리 듬풍 샌드위치</v>
      </c>
      <c r="B8840" s="2" t="str">
        <f>IFERROR(__xludf.DUMMYFUNCTION("""COMPUTED_VALUE"""),"맥주")</f>
        <v>맥주</v>
      </c>
    </row>
    <row r="8841">
      <c r="A8841" s="2" t="str">
        <f>IFERROR(__xludf.DUMMYFUNCTION("""COMPUTED_VALUE"""),"칼로리 듬풍 샌드위치")</f>
        <v>칼로리 듬풍 샌드위치</v>
      </c>
      <c r="B8841" s="2" t="str">
        <f>IFERROR(__xludf.DUMMYFUNCTION("""COMPUTED_VALUE"""),"식빵")</f>
        <v>식빵</v>
      </c>
    </row>
    <row r="8842">
      <c r="A8842" s="2" t="str">
        <f>IFERROR(__xludf.DUMMYFUNCTION("""COMPUTED_VALUE"""),"칼로리 듬풍 샌드위치")</f>
        <v>칼로리 듬풍 샌드위치</v>
      </c>
      <c r="B8842" s="2" t="str">
        <f>IFERROR(__xludf.DUMMYFUNCTION("""COMPUTED_VALUE"""),"통조림햄")</f>
        <v>통조림햄</v>
      </c>
    </row>
    <row r="8843">
      <c r="A8843" s="2" t="str">
        <f>IFERROR(__xludf.DUMMYFUNCTION("""COMPUTED_VALUE"""),"칼로리 듬풍 샌드위치")</f>
        <v>칼로리 듬풍 샌드위치</v>
      </c>
      <c r="B8843" s="2" t="str">
        <f>IFERROR(__xludf.DUMMYFUNCTION("""COMPUTED_VALUE"""),"훈제 닭가슴살 슬라이스")</f>
        <v>훈제 닭가슴살 슬라이스</v>
      </c>
    </row>
    <row r="8844">
      <c r="A8844" s="2" t="str">
        <f>IFERROR(__xludf.DUMMYFUNCTION("""COMPUTED_VALUE"""),"칼로리 듬풍 샌드위치")</f>
        <v>칼로리 듬풍 샌드위치</v>
      </c>
      <c r="B8844" s="2" t="str">
        <f>IFERROR(__xludf.DUMMYFUNCTION("""COMPUTED_VALUE"""),"쇠고기수프분말")</f>
        <v>쇠고기수프분말</v>
      </c>
    </row>
    <row r="8845">
      <c r="A8845" s="2" t="str">
        <f>IFERROR(__xludf.DUMMYFUNCTION("""COMPUTED_VALUE"""),"칼로리 듬풍 샌드위치")</f>
        <v>칼로리 듬풍 샌드위치</v>
      </c>
      <c r="B8845" s="2" t="str">
        <f>IFERROR(__xludf.DUMMYFUNCTION("""COMPUTED_VALUE"""),"짜장라면")</f>
        <v>짜장라면</v>
      </c>
    </row>
    <row r="8846">
      <c r="A8846" s="2" t="str">
        <f>IFERROR(__xludf.DUMMYFUNCTION("""COMPUTED_VALUE"""),"칼로리 듬풍 샌드위치")</f>
        <v>칼로리 듬풍 샌드위치</v>
      </c>
      <c r="B8846" s="2" t="str">
        <f>IFERROR(__xludf.DUMMYFUNCTION("""COMPUTED_VALUE"""),"양파")</f>
        <v>양파</v>
      </c>
    </row>
    <row r="8847">
      <c r="A8847" s="2" t="str">
        <f>IFERROR(__xludf.DUMMYFUNCTION("""COMPUTED_VALUE"""),"칼로리 듬풍 샌드위치")</f>
        <v>칼로리 듬풍 샌드위치</v>
      </c>
      <c r="B8847" s="2" t="str">
        <f>IFERROR(__xludf.DUMMYFUNCTION("""COMPUTED_VALUE"""),"버터")</f>
        <v>버터</v>
      </c>
    </row>
    <row r="8848">
      <c r="A8848" s="2" t="str">
        <f>IFERROR(__xludf.DUMMYFUNCTION("""COMPUTED_VALUE"""),"칼로리 듬풍 샌드위치")</f>
        <v>칼로리 듬풍 샌드위치</v>
      </c>
      <c r="B8848" s="2" t="str">
        <f>IFERROR(__xludf.DUMMYFUNCTION("""COMPUTED_VALUE"""),"달걀")</f>
        <v>달걀</v>
      </c>
    </row>
    <row r="8849">
      <c r="A8849" s="2" t="str">
        <f>IFERROR(__xludf.DUMMYFUNCTION("""COMPUTED_VALUE"""),"칼로리 듬풍 샌드위치")</f>
        <v>칼로리 듬풍 샌드위치</v>
      </c>
      <c r="B8849" s="2" t="str">
        <f>IFERROR(__xludf.DUMMYFUNCTION("""COMPUTED_VALUE"""),"밀가루")</f>
        <v>밀가루</v>
      </c>
    </row>
    <row r="8850">
      <c r="A8850" s="2" t="str">
        <f>IFERROR(__xludf.DUMMYFUNCTION("""COMPUTED_VALUE"""),"칼로리 듬풍 샌드위치")</f>
        <v>칼로리 듬풍 샌드위치</v>
      </c>
      <c r="B8850" s="2" t="str">
        <f>IFERROR(__xludf.DUMMYFUNCTION("""COMPUTED_VALUE"""),"소금")</f>
        <v>소금</v>
      </c>
    </row>
    <row r="8851">
      <c r="A8851" s="2" t="str">
        <f>IFERROR(__xludf.DUMMYFUNCTION("""COMPUTED_VALUE"""),"칼로리 듬풍 샌드위치")</f>
        <v>칼로리 듬풍 샌드위치</v>
      </c>
      <c r="B8851" s="2" t="str">
        <f>IFERROR(__xludf.DUMMYFUNCTION("""COMPUTED_VALUE"""),"다진 마늘")</f>
        <v>다진 마늘</v>
      </c>
    </row>
    <row r="8852">
      <c r="A8852" s="2" t="str">
        <f>IFERROR(__xludf.DUMMYFUNCTION("""COMPUTED_VALUE"""),"칼로리 듬풍 샌드위치")</f>
        <v>칼로리 듬풍 샌드위치</v>
      </c>
      <c r="B8852" s="2" t="str">
        <f>IFERROR(__xludf.DUMMYFUNCTION("""COMPUTED_VALUE"""),"전분")</f>
        <v>전분</v>
      </c>
    </row>
    <row r="8853">
      <c r="A8853" s="2" t="str">
        <f>IFERROR(__xludf.DUMMYFUNCTION("""COMPUTED_VALUE"""),"칼로리 듬풍 샌드위치")</f>
        <v>칼로리 듬풍 샌드위치</v>
      </c>
      <c r="B8853" s="2" t="str">
        <f>IFERROR(__xludf.DUMMYFUNCTION("""COMPUTED_VALUE"""),"청양고추")</f>
        <v>청양고추</v>
      </c>
    </row>
    <row r="8854">
      <c r="A8854" s="2" t="str">
        <f>IFERROR(__xludf.DUMMYFUNCTION("""COMPUTED_VALUE"""),"칼로리 듬풍 샌드위치")</f>
        <v>칼로리 듬풍 샌드위치</v>
      </c>
      <c r="B8854" s="2" t="str">
        <f>IFERROR(__xludf.DUMMYFUNCTION("""COMPUTED_VALUE"""),"후추")</f>
        <v>후추</v>
      </c>
    </row>
    <row r="8855">
      <c r="A8855" s="2" t="str">
        <f>IFERROR(__xludf.DUMMYFUNCTION("""COMPUTED_VALUE"""),"슈퍼헤비급 플래터")</f>
        <v>슈퍼헤비급 플래터</v>
      </c>
      <c r="B8855" s="2" t="str">
        <f>IFERROR(__xludf.DUMMYFUNCTION("""COMPUTED_VALUE"""),"옥수수")</f>
        <v>옥수수</v>
      </c>
    </row>
    <row r="8856">
      <c r="A8856" s="2" t="str">
        <f>IFERROR(__xludf.DUMMYFUNCTION("""COMPUTED_VALUE"""),"슈퍼헤비급 플래터")</f>
        <v>슈퍼헤비급 플래터</v>
      </c>
      <c r="B8856" s="2" t="str">
        <f>IFERROR(__xludf.DUMMYFUNCTION("""COMPUTED_VALUE"""),"버터피칸아이스크림")</f>
        <v>버터피칸아이스크림</v>
      </c>
    </row>
    <row r="8857">
      <c r="A8857" s="2" t="str">
        <f>IFERROR(__xludf.DUMMYFUNCTION("""COMPUTED_VALUE"""),"슈퍼헤비급 플래터")</f>
        <v>슈퍼헤비급 플래터</v>
      </c>
      <c r="B8857" s="2" t="str">
        <f>IFERROR(__xludf.DUMMYFUNCTION("""COMPUTED_VALUE"""),"돼지등심 스테이크")</f>
        <v>돼지등심 스테이크</v>
      </c>
    </row>
    <row r="8858">
      <c r="A8858" s="2" t="str">
        <f>IFERROR(__xludf.DUMMYFUNCTION("""COMPUTED_VALUE"""),"슈퍼헤비급 플래터")</f>
        <v>슈퍼헤비급 플래터</v>
      </c>
      <c r="B8858" s="2" t="str">
        <f>IFERROR(__xludf.DUMMYFUNCTION("""COMPUTED_VALUE"""),"닭가슴살소시지")</f>
        <v>닭가슴살소시지</v>
      </c>
    </row>
    <row r="8859">
      <c r="A8859" s="2" t="str">
        <f>IFERROR(__xludf.DUMMYFUNCTION("""COMPUTED_VALUE"""),"슈퍼헤비급 플래터")</f>
        <v>슈퍼헤비급 플래터</v>
      </c>
      <c r="B8859" s="2" t="str">
        <f>IFERROR(__xludf.DUMMYFUNCTION("""COMPUTED_VALUE"""),"훈제 닭가슴살 슬라이스")</f>
        <v>훈제 닭가슴살 슬라이스</v>
      </c>
    </row>
    <row r="8860">
      <c r="A8860" s="2" t="str">
        <f>IFERROR(__xludf.DUMMYFUNCTION("""COMPUTED_VALUE"""),"슈퍼헤비급 플래터")</f>
        <v>슈퍼헤비급 플래터</v>
      </c>
      <c r="B8860" s="2" t="str">
        <f>IFERROR(__xludf.DUMMYFUNCTION("""COMPUTED_VALUE"""),"옥수수과자")</f>
        <v>옥수수과자</v>
      </c>
    </row>
    <row r="8861">
      <c r="A8861" s="2" t="str">
        <f>IFERROR(__xludf.DUMMYFUNCTION("""COMPUTED_VALUE"""),"슈퍼헤비급 플래터")</f>
        <v>슈퍼헤비급 플래터</v>
      </c>
      <c r="B8861" s="2" t="str">
        <f>IFERROR(__xludf.DUMMYFUNCTION("""COMPUTED_VALUE"""),"핫소스")</f>
        <v>핫소스</v>
      </c>
    </row>
    <row r="8862">
      <c r="A8862" s="2" t="str">
        <f>IFERROR(__xludf.DUMMYFUNCTION("""COMPUTED_VALUE"""),"슈퍼헤비급 플래터")</f>
        <v>슈퍼헤비급 플래터</v>
      </c>
      <c r="B8862" s="2" t="str">
        <f>IFERROR(__xludf.DUMMYFUNCTION("""COMPUTED_VALUE"""),"컵라면")</f>
        <v>컵라면</v>
      </c>
    </row>
    <row r="8863">
      <c r="A8863" s="2" t="str">
        <f>IFERROR(__xludf.DUMMYFUNCTION("""COMPUTED_VALUE"""),"슈퍼헤비급 플래터")</f>
        <v>슈퍼헤비급 플래터</v>
      </c>
      <c r="B8863" s="2" t="str">
        <f>IFERROR(__xludf.DUMMYFUNCTION("""COMPUTED_VALUE"""),"버터")</f>
        <v>버터</v>
      </c>
    </row>
    <row r="8864">
      <c r="A8864" s="2" t="str">
        <f>IFERROR(__xludf.DUMMYFUNCTION("""COMPUTED_VALUE"""),"슈퍼헤비급 플래터")</f>
        <v>슈퍼헤비급 플래터</v>
      </c>
      <c r="B8864" s="2" t="str">
        <f>IFERROR(__xludf.DUMMYFUNCTION("""COMPUTED_VALUE"""),"양파")</f>
        <v>양파</v>
      </c>
    </row>
    <row r="8865">
      <c r="A8865" s="2" t="str">
        <f>IFERROR(__xludf.DUMMYFUNCTION("""COMPUTED_VALUE"""),"슈퍼헤비급 플래터")</f>
        <v>슈퍼헤비급 플래터</v>
      </c>
      <c r="B8865" s="2" t="str">
        <f>IFERROR(__xludf.DUMMYFUNCTION("""COMPUTED_VALUE"""),"마늘")</f>
        <v>마늘</v>
      </c>
    </row>
    <row r="8866">
      <c r="A8866" s="2" t="str">
        <f>IFERROR(__xludf.DUMMYFUNCTION("""COMPUTED_VALUE"""),"슈퍼헤비급 플래터")</f>
        <v>슈퍼헤비급 플래터</v>
      </c>
      <c r="B8866" s="2" t="str">
        <f>IFERROR(__xludf.DUMMYFUNCTION("""COMPUTED_VALUE"""),"소금")</f>
        <v>소금</v>
      </c>
    </row>
    <row r="8867">
      <c r="A8867" s="2" t="str">
        <f>IFERROR(__xludf.DUMMYFUNCTION("""COMPUTED_VALUE"""),"슈퍼헤비급 플래터")</f>
        <v>슈퍼헤비급 플래터</v>
      </c>
      <c r="B8867" s="2" t="str">
        <f>IFERROR(__xludf.DUMMYFUNCTION("""COMPUTED_VALUE"""),"고추")</f>
        <v>고추</v>
      </c>
    </row>
    <row r="8868">
      <c r="A8868" s="2" t="str">
        <f>IFERROR(__xludf.DUMMYFUNCTION("""COMPUTED_VALUE"""),"아모르팟타이♬")</f>
        <v>아모르팟타이♬</v>
      </c>
      <c r="B8868" s="2" t="str">
        <f>IFERROR(__xludf.DUMMYFUNCTION("""COMPUTED_VALUE"""),"돼지등심 스테이크")</f>
        <v>돼지등심 스테이크</v>
      </c>
    </row>
    <row r="8869">
      <c r="A8869" s="2" t="str">
        <f>IFERROR(__xludf.DUMMYFUNCTION("""COMPUTED_VALUE"""),"아모르팟타이♬")</f>
        <v>아모르팟타이♬</v>
      </c>
      <c r="B8869" s="2" t="str">
        <f>IFERROR(__xludf.DUMMYFUNCTION("""COMPUTED_VALUE"""),"아몬드")</f>
        <v>아몬드</v>
      </c>
    </row>
    <row r="8870">
      <c r="A8870" s="2" t="str">
        <f>IFERROR(__xludf.DUMMYFUNCTION("""COMPUTED_VALUE"""),"아모르팟타이♬")</f>
        <v>아모르팟타이♬</v>
      </c>
      <c r="B8870" s="2" t="str">
        <f>IFERROR(__xludf.DUMMYFUNCTION("""COMPUTED_VALUE"""),"오리엔탈 드레싱")</f>
        <v>오리엔탈 드레싱</v>
      </c>
    </row>
    <row r="8871">
      <c r="A8871" s="2" t="str">
        <f>IFERROR(__xludf.DUMMYFUNCTION("""COMPUTED_VALUE"""),"아모르팟타이♬")</f>
        <v>아모르팟타이♬</v>
      </c>
      <c r="B8871" s="2" t="str">
        <f>IFERROR(__xludf.DUMMYFUNCTION("""COMPUTED_VALUE"""),"팟타이 컵라면")</f>
        <v>팟타이 컵라면</v>
      </c>
    </row>
    <row r="8872">
      <c r="A8872" s="2" t="str">
        <f>IFERROR(__xludf.DUMMYFUNCTION("""COMPUTED_VALUE"""),"아모르팟타이♬")</f>
        <v>아모르팟타이♬</v>
      </c>
      <c r="B8872" s="2" t="str">
        <f>IFERROR(__xludf.DUMMYFUNCTION("""COMPUTED_VALUE"""),"밀가루")</f>
        <v>밀가루</v>
      </c>
    </row>
    <row r="8873">
      <c r="A8873" s="2" t="str">
        <f>IFERROR(__xludf.DUMMYFUNCTION("""COMPUTED_VALUE"""),"아모르팟타이♬")</f>
        <v>아모르팟타이♬</v>
      </c>
      <c r="B8873" s="2" t="str">
        <f>IFERROR(__xludf.DUMMYFUNCTION("""COMPUTED_VALUE"""),"달걀")</f>
        <v>달걀</v>
      </c>
    </row>
    <row r="8874">
      <c r="A8874" s="2" t="str">
        <f>IFERROR(__xludf.DUMMYFUNCTION("""COMPUTED_VALUE"""),"아모르팟타이♬")</f>
        <v>아모르팟타이♬</v>
      </c>
      <c r="B8874" s="2" t="str">
        <f>IFERROR(__xludf.DUMMYFUNCTION("""COMPUTED_VALUE"""),"양파")</f>
        <v>양파</v>
      </c>
    </row>
    <row r="8875">
      <c r="A8875" s="2" t="str">
        <f>IFERROR(__xludf.DUMMYFUNCTION("""COMPUTED_VALUE"""),"아모르팟타이♬")</f>
        <v>아모르팟타이♬</v>
      </c>
      <c r="B8875" s="2" t="str">
        <f>IFERROR(__xludf.DUMMYFUNCTION("""COMPUTED_VALUE"""),"대파")</f>
        <v>대파</v>
      </c>
    </row>
    <row r="8876">
      <c r="A8876" s="2" t="str">
        <f>IFERROR(__xludf.DUMMYFUNCTION("""COMPUTED_VALUE"""),"아모르팟타이♬")</f>
        <v>아모르팟타이♬</v>
      </c>
      <c r="B8876" s="2" t="str">
        <f>IFERROR(__xludf.DUMMYFUNCTION("""COMPUTED_VALUE"""),"전분")</f>
        <v>전분</v>
      </c>
    </row>
    <row r="8877">
      <c r="A8877" s="2" t="str">
        <f>IFERROR(__xludf.DUMMYFUNCTION("""COMPUTED_VALUE"""),"아모르팟타이♬")</f>
        <v>아모르팟타이♬</v>
      </c>
      <c r="B8877" s="2" t="str">
        <f>IFERROR(__xludf.DUMMYFUNCTION("""COMPUTED_VALUE"""),"마늘")</f>
        <v>마늘</v>
      </c>
    </row>
    <row r="8878">
      <c r="A8878" s="2" t="str">
        <f>IFERROR(__xludf.DUMMYFUNCTION("""COMPUTED_VALUE"""),"아모르팟타이♬")</f>
        <v>아모르팟타이♬</v>
      </c>
      <c r="B8878" s="2" t="str">
        <f>IFERROR(__xludf.DUMMYFUNCTION("""COMPUTED_VALUE"""),"소금")</f>
        <v>소금</v>
      </c>
    </row>
    <row r="8879">
      <c r="A8879" s="2" t="str">
        <f>IFERROR(__xludf.DUMMYFUNCTION("""COMPUTED_VALUE"""),"아모르팟타이♬")</f>
        <v>아모르팟타이♬</v>
      </c>
      <c r="B8879" s="2" t="str">
        <f>IFERROR(__xludf.DUMMYFUNCTION("""COMPUTED_VALUE"""),"후추")</f>
        <v>후추</v>
      </c>
    </row>
    <row r="8880">
      <c r="A8880" s="2" t="str">
        <f>IFERROR(__xludf.DUMMYFUNCTION("""COMPUTED_VALUE"""),"아모르팟타이♬")</f>
        <v>아모르팟타이♬</v>
      </c>
      <c r="B8880" s="2" t="str">
        <f>IFERROR(__xludf.DUMMYFUNCTION("""COMPUTED_VALUE"""),"청양고추")</f>
        <v>청양고추</v>
      </c>
    </row>
    <row r="8881">
      <c r="A8881" s="2" t="str">
        <f>IFERROR(__xludf.DUMMYFUNCTION("""COMPUTED_VALUE"""),"아모르팟타이♬")</f>
        <v>아모르팟타이♬</v>
      </c>
      <c r="B8881" s="2" t="str">
        <f>IFERROR(__xludf.DUMMYFUNCTION("""COMPUTED_VALUE"""),"올리브오일")</f>
        <v>올리브오일</v>
      </c>
    </row>
    <row r="8882">
      <c r="A8882" s="2" t="str">
        <f>IFERROR(__xludf.DUMMYFUNCTION("""COMPUTED_VALUE"""),"아모르팟타이♬")</f>
        <v>아모르팟타이♬</v>
      </c>
      <c r="B8882" s="2" t="str">
        <f>IFERROR(__xludf.DUMMYFUNCTION("""COMPUTED_VALUE"""),"홍고추")</f>
        <v>홍고추</v>
      </c>
    </row>
    <row r="8883">
      <c r="A8883" s="2" t="str">
        <f>IFERROR(__xludf.DUMMYFUNCTION("""COMPUTED_VALUE"""),"아모르팟타이♬")</f>
        <v>아모르팟타이♬</v>
      </c>
      <c r="B8883" s="2" t="str">
        <f>IFERROR(__xludf.DUMMYFUNCTION("""COMPUTED_VALUE"""),"식용유")</f>
        <v>식용유</v>
      </c>
    </row>
    <row r="8884">
      <c r="A8884" s="2" t="str">
        <f>IFERROR(__xludf.DUMMYFUNCTION("""COMPUTED_VALUE"""),"카츠우동♬")</f>
        <v>카츠우동♬</v>
      </c>
      <c r="B8884" s="2" t="str">
        <f>IFERROR(__xludf.DUMMYFUNCTION("""COMPUTED_VALUE"""),"식빵")</f>
        <v>식빵</v>
      </c>
    </row>
    <row r="8885">
      <c r="A8885" s="2" t="str">
        <f>IFERROR(__xludf.DUMMYFUNCTION("""COMPUTED_VALUE"""),"카츠우동♬")</f>
        <v>카츠우동♬</v>
      </c>
      <c r="B8885" s="2" t="str">
        <f>IFERROR(__xludf.DUMMYFUNCTION("""COMPUTED_VALUE"""),"돼지등심 스테이크")</f>
        <v>돼지등심 스테이크</v>
      </c>
    </row>
    <row r="8886">
      <c r="A8886" s="2" t="str">
        <f>IFERROR(__xludf.DUMMYFUNCTION("""COMPUTED_VALUE"""),"카츠우동♬")</f>
        <v>카츠우동♬</v>
      </c>
      <c r="B8886" s="2" t="str">
        <f>IFERROR(__xludf.DUMMYFUNCTION("""COMPUTED_VALUE"""),"치즈 비엔나 소시지")</f>
        <v>치즈 비엔나 소시지</v>
      </c>
    </row>
    <row r="8887">
      <c r="A8887" s="2" t="str">
        <f>IFERROR(__xludf.DUMMYFUNCTION("""COMPUTED_VALUE"""),"카츠우동♬")</f>
        <v>카츠우동♬</v>
      </c>
      <c r="B8887" s="2" t="str">
        <f>IFERROR(__xludf.DUMMYFUNCTION("""COMPUTED_VALUE"""),"통조림 햄")</f>
        <v>통조림 햄</v>
      </c>
    </row>
    <row r="8888">
      <c r="A8888" s="2" t="str">
        <f>IFERROR(__xludf.DUMMYFUNCTION("""COMPUTED_VALUE"""),"카츠우동♬")</f>
        <v>카츠우동♬</v>
      </c>
      <c r="B8888" s="2" t="str">
        <f>IFERROR(__xludf.DUMMYFUNCTION("""COMPUTED_VALUE"""),"컵라면")</f>
        <v>컵라면</v>
      </c>
    </row>
    <row r="8889">
      <c r="A8889" s="2" t="str">
        <f>IFERROR(__xludf.DUMMYFUNCTION("""COMPUTED_VALUE"""),"카츠우동♬")</f>
        <v>카츠우동♬</v>
      </c>
      <c r="B8889" s="2" t="str">
        <f>IFERROR(__xludf.DUMMYFUNCTION("""COMPUTED_VALUE"""),"밀가루")</f>
        <v>밀가루</v>
      </c>
    </row>
    <row r="8890">
      <c r="A8890" s="2" t="str">
        <f>IFERROR(__xludf.DUMMYFUNCTION("""COMPUTED_VALUE"""),"카츠우동♬")</f>
        <v>카츠우동♬</v>
      </c>
      <c r="B8890" s="2" t="str">
        <f>IFERROR(__xludf.DUMMYFUNCTION("""COMPUTED_VALUE"""),"소금")</f>
        <v>소금</v>
      </c>
    </row>
    <row r="8891">
      <c r="A8891" s="2" t="str">
        <f>IFERROR(__xludf.DUMMYFUNCTION("""COMPUTED_VALUE"""),"카츠우동♬")</f>
        <v>카츠우동♬</v>
      </c>
      <c r="B8891" s="2" t="str">
        <f>IFERROR(__xludf.DUMMYFUNCTION("""COMPUTED_VALUE"""),"달걀")</f>
        <v>달걀</v>
      </c>
    </row>
    <row r="8892">
      <c r="A8892" s="2" t="str">
        <f>IFERROR(__xludf.DUMMYFUNCTION("""COMPUTED_VALUE"""),"카츠우동♬")</f>
        <v>카츠우동♬</v>
      </c>
      <c r="B8892" s="2" t="str">
        <f>IFERROR(__xludf.DUMMYFUNCTION("""COMPUTED_VALUE"""),"양파")</f>
        <v>양파</v>
      </c>
    </row>
    <row r="8893">
      <c r="A8893" s="2" t="str">
        <f>IFERROR(__xludf.DUMMYFUNCTION("""COMPUTED_VALUE"""),"카츠우동♬")</f>
        <v>카츠우동♬</v>
      </c>
      <c r="B8893" s="2" t="str">
        <f>IFERROR(__xludf.DUMMYFUNCTION("""COMPUTED_VALUE"""),"대파")</f>
        <v>대파</v>
      </c>
    </row>
    <row r="8894">
      <c r="A8894" s="2" t="str">
        <f>IFERROR(__xludf.DUMMYFUNCTION("""COMPUTED_VALUE"""),"카츠우동♬")</f>
        <v>카츠우동♬</v>
      </c>
      <c r="B8894" s="2" t="str">
        <f>IFERROR(__xludf.DUMMYFUNCTION("""COMPUTED_VALUE"""),"마늘")</f>
        <v>마늘</v>
      </c>
    </row>
    <row r="8895">
      <c r="A8895" s="2" t="str">
        <f>IFERROR(__xludf.DUMMYFUNCTION("""COMPUTED_VALUE"""),"카츠우동♬")</f>
        <v>카츠우동♬</v>
      </c>
      <c r="B8895" s="2" t="str">
        <f>IFERROR(__xludf.DUMMYFUNCTION("""COMPUTED_VALUE"""),"된장")</f>
        <v>된장</v>
      </c>
    </row>
    <row r="8896">
      <c r="A8896" s="2" t="str">
        <f>IFERROR(__xludf.DUMMYFUNCTION("""COMPUTED_VALUE"""),"카츠우동♬")</f>
        <v>카츠우동♬</v>
      </c>
      <c r="B8896" s="2" t="str">
        <f>IFERROR(__xludf.DUMMYFUNCTION("""COMPUTED_VALUE"""),"고추장")</f>
        <v>고추장</v>
      </c>
    </row>
    <row r="8897">
      <c r="A8897" s="2" t="str">
        <f>IFERROR(__xludf.DUMMYFUNCTION("""COMPUTED_VALUE"""),"카츠우동♬")</f>
        <v>카츠우동♬</v>
      </c>
      <c r="B8897" s="2" t="str">
        <f>IFERROR(__xludf.DUMMYFUNCTION("""COMPUTED_VALUE"""),"맛술")</f>
        <v>맛술</v>
      </c>
    </row>
    <row r="8898">
      <c r="A8898" s="2" t="str">
        <f>IFERROR(__xludf.DUMMYFUNCTION("""COMPUTED_VALUE"""),"카츠우동♬")</f>
        <v>카츠우동♬</v>
      </c>
      <c r="B8898" s="2" t="str">
        <f>IFERROR(__xludf.DUMMYFUNCTION("""COMPUTED_VALUE"""),"간장")</f>
        <v>간장</v>
      </c>
    </row>
    <row r="8899">
      <c r="A8899" s="2" t="str">
        <f>IFERROR(__xludf.DUMMYFUNCTION("""COMPUTED_VALUE"""),"카츠우동♬")</f>
        <v>카츠우동♬</v>
      </c>
      <c r="B8899" s="2" t="str">
        <f>IFERROR(__xludf.DUMMYFUNCTION("""COMPUTED_VALUE"""),"설탕")</f>
        <v>설탕</v>
      </c>
    </row>
    <row r="8900">
      <c r="A8900" s="2" t="str">
        <f>IFERROR(__xludf.DUMMYFUNCTION("""COMPUTED_VALUE"""),"카츠우동♬")</f>
        <v>카츠우동♬</v>
      </c>
      <c r="B8900" s="2" t="str">
        <f>IFERROR(__xludf.DUMMYFUNCTION("""COMPUTED_VALUE"""),"고춧가루")</f>
        <v>고춧가루</v>
      </c>
    </row>
    <row r="8901">
      <c r="A8901" s="2" t="str">
        <f>IFERROR(__xludf.DUMMYFUNCTION("""COMPUTED_VALUE"""),"카츠우동♬")</f>
        <v>카츠우동♬</v>
      </c>
      <c r="B8901" s="2" t="str">
        <f>IFERROR(__xludf.DUMMYFUNCTION("""COMPUTED_VALUE"""),"청양고추")</f>
        <v>청양고추</v>
      </c>
    </row>
    <row r="8902">
      <c r="A8902" s="2" t="str">
        <f>IFERROR(__xludf.DUMMYFUNCTION("""COMPUTED_VALUE"""),"카츠우동♬")</f>
        <v>카츠우동♬</v>
      </c>
      <c r="B8902" s="2" t="str">
        <f>IFERROR(__xludf.DUMMYFUNCTION("""COMPUTED_VALUE"""),"식용유")</f>
        <v>식용유</v>
      </c>
    </row>
    <row r="8903">
      <c r="A8903" s="2" t="str">
        <f>IFERROR(__xludf.DUMMYFUNCTION("""COMPUTED_VALUE"""),"카츠우동♬")</f>
        <v>카츠우동♬</v>
      </c>
      <c r="B8903" s="2" t="str">
        <f>IFERROR(__xludf.DUMMYFUNCTION("""COMPUTED_VALUE"""),"전분")</f>
        <v>전분</v>
      </c>
    </row>
    <row r="8904">
      <c r="A8904" s="2" t="str">
        <f>IFERROR(__xludf.DUMMYFUNCTION("""COMPUTED_VALUE"""),"연복풍 탕수육")</f>
        <v>연복풍 탕수육</v>
      </c>
      <c r="B8904" s="2" t="str">
        <f>IFERROR(__xludf.DUMMYFUNCTION("""COMPUTED_VALUE"""),"소고기 안심")</f>
        <v>소고기 안심</v>
      </c>
    </row>
    <row r="8905">
      <c r="A8905" s="2" t="str">
        <f>IFERROR(__xludf.DUMMYFUNCTION("""COMPUTED_VALUE"""),"연복풍 탕수육")</f>
        <v>연복풍 탕수육</v>
      </c>
      <c r="B8905" s="2" t="str">
        <f>IFERROR(__xludf.DUMMYFUNCTION("""COMPUTED_VALUE"""),"튀김가루")</f>
        <v>튀김가루</v>
      </c>
    </row>
    <row r="8906">
      <c r="A8906" s="2" t="str">
        <f>IFERROR(__xludf.DUMMYFUNCTION("""COMPUTED_VALUE"""),"연복풍 탕수육")</f>
        <v>연복풍 탕수육</v>
      </c>
      <c r="B8906" s="2" t="str">
        <f>IFERROR(__xludf.DUMMYFUNCTION("""COMPUTED_VALUE"""),"적양배추")</f>
        <v>적양배추</v>
      </c>
    </row>
    <row r="8907">
      <c r="A8907" s="2" t="str">
        <f>IFERROR(__xludf.DUMMYFUNCTION("""COMPUTED_VALUE"""),"연복풍 탕수육")</f>
        <v>연복풍 탕수육</v>
      </c>
      <c r="B8907" s="2" t="str">
        <f>IFERROR(__xludf.DUMMYFUNCTION("""COMPUTED_VALUE"""),"대파")</f>
        <v>대파</v>
      </c>
    </row>
    <row r="8908">
      <c r="A8908" s="2" t="str">
        <f>IFERROR(__xludf.DUMMYFUNCTION("""COMPUTED_VALUE"""),"연복풍 탕수육")</f>
        <v>연복풍 탕수육</v>
      </c>
      <c r="B8908" s="2" t="str">
        <f>IFERROR(__xludf.DUMMYFUNCTION("""COMPUTED_VALUE"""),"마늘")</f>
        <v>마늘</v>
      </c>
    </row>
    <row r="8909">
      <c r="A8909" s="2" t="str">
        <f>IFERROR(__xludf.DUMMYFUNCTION("""COMPUTED_VALUE"""),"연복풍 탕수육")</f>
        <v>연복풍 탕수육</v>
      </c>
      <c r="B8909" s="2" t="str">
        <f>IFERROR(__xludf.DUMMYFUNCTION("""COMPUTED_VALUE"""),"고춧가루")</f>
        <v>고춧가루</v>
      </c>
    </row>
    <row r="8910">
      <c r="A8910" s="2" t="str">
        <f>IFERROR(__xludf.DUMMYFUNCTION("""COMPUTED_VALUE"""),"연복풍 탕수육")</f>
        <v>연복풍 탕수육</v>
      </c>
      <c r="B8910" s="2" t="str">
        <f>IFERROR(__xludf.DUMMYFUNCTION("""COMPUTED_VALUE"""),"전분")</f>
        <v>전분</v>
      </c>
    </row>
    <row r="8911">
      <c r="A8911" s="2" t="str">
        <f>IFERROR(__xludf.DUMMYFUNCTION("""COMPUTED_VALUE"""),"연복풍 탕수육")</f>
        <v>연복풍 탕수육</v>
      </c>
      <c r="B8911" s="2" t="str">
        <f>IFERROR(__xludf.DUMMYFUNCTION("""COMPUTED_VALUE"""),"설탕")</f>
        <v>설탕</v>
      </c>
    </row>
    <row r="8912">
      <c r="A8912" s="2" t="str">
        <f>IFERROR(__xludf.DUMMYFUNCTION("""COMPUTED_VALUE"""),"연복풍 탕수육")</f>
        <v>연복풍 탕수육</v>
      </c>
      <c r="B8912" s="2" t="str">
        <f>IFERROR(__xludf.DUMMYFUNCTION("""COMPUTED_VALUE"""),"식초")</f>
        <v>식초</v>
      </c>
    </row>
    <row r="8913">
      <c r="A8913" s="2" t="str">
        <f>IFERROR(__xludf.DUMMYFUNCTION("""COMPUTED_VALUE"""),"연복풍 탕수육")</f>
        <v>연복풍 탕수육</v>
      </c>
      <c r="B8913" s="2" t="str">
        <f>IFERROR(__xludf.DUMMYFUNCTION("""COMPUTED_VALUE"""),"간장")</f>
        <v>간장</v>
      </c>
    </row>
    <row r="8914">
      <c r="A8914" s="2" t="str">
        <f>IFERROR(__xludf.DUMMYFUNCTION("""COMPUTED_VALUE"""),"연복풍 탕수육")</f>
        <v>연복풍 탕수육</v>
      </c>
      <c r="B8914" s="2" t="str">
        <f>IFERROR(__xludf.DUMMYFUNCTION("""COMPUTED_VALUE"""),"양파")</f>
        <v>양파</v>
      </c>
    </row>
    <row r="8915">
      <c r="A8915" s="2" t="str">
        <f>IFERROR(__xludf.DUMMYFUNCTION("""COMPUTED_VALUE"""),"연복풍 탕수육")</f>
        <v>연복풍 탕수육</v>
      </c>
      <c r="B8915" s="2" t="str">
        <f>IFERROR(__xludf.DUMMYFUNCTION("""COMPUTED_VALUE"""),"당근")</f>
        <v>당근</v>
      </c>
    </row>
    <row r="8916">
      <c r="A8916" s="2" t="str">
        <f>IFERROR(__xludf.DUMMYFUNCTION("""COMPUTED_VALUE"""),"연복풍 탕수육")</f>
        <v>연복풍 탕수육</v>
      </c>
      <c r="B8916" s="2" t="str">
        <f>IFERROR(__xludf.DUMMYFUNCTION("""COMPUTED_VALUE"""),"청양고추")</f>
        <v>청양고추</v>
      </c>
    </row>
    <row r="8917">
      <c r="A8917" s="2" t="str">
        <f>IFERROR(__xludf.DUMMYFUNCTION("""COMPUTED_VALUE"""),"연복풍 탕수육")</f>
        <v>연복풍 탕수육</v>
      </c>
      <c r="B8917" s="2" t="str">
        <f>IFERROR(__xludf.DUMMYFUNCTION("""COMPUTED_VALUE"""),"케첩")</f>
        <v>케첩</v>
      </c>
    </row>
    <row r="8918">
      <c r="A8918" s="2" t="str">
        <f>IFERROR(__xludf.DUMMYFUNCTION("""COMPUTED_VALUE"""),"연복풍 탕수육")</f>
        <v>연복풍 탕수육</v>
      </c>
      <c r="B8918" s="2" t="str">
        <f>IFERROR(__xludf.DUMMYFUNCTION("""COMPUTED_VALUE"""),"전분")</f>
        <v>전분</v>
      </c>
    </row>
    <row r="8919">
      <c r="A8919" s="2" t="str">
        <f>IFERROR(__xludf.DUMMYFUNCTION("""COMPUTED_VALUE"""),"테리우스테이크")</f>
        <v>테리우스테이크</v>
      </c>
      <c r="B8919" s="2" t="str">
        <f>IFERROR(__xludf.DUMMYFUNCTION("""COMPUTED_VALUE"""),"스테이크용 부챗살")</f>
        <v>스테이크용 부챗살</v>
      </c>
    </row>
    <row r="8920">
      <c r="A8920" s="2" t="str">
        <f>IFERROR(__xludf.DUMMYFUNCTION("""COMPUTED_VALUE"""),"테리우스테이크")</f>
        <v>테리우스테이크</v>
      </c>
      <c r="B8920" s="2" t="str">
        <f>IFERROR(__xludf.DUMMYFUNCTION("""COMPUTED_VALUE"""),"파프리카")</f>
        <v>파프리카</v>
      </c>
    </row>
    <row r="8921">
      <c r="A8921" s="2" t="str">
        <f>IFERROR(__xludf.DUMMYFUNCTION("""COMPUTED_VALUE"""),"테리우스테이크")</f>
        <v>테리우스테이크</v>
      </c>
      <c r="B8921" s="2" t="str">
        <f>IFERROR(__xludf.DUMMYFUNCTION("""COMPUTED_VALUE"""),"전복")</f>
        <v>전복</v>
      </c>
    </row>
    <row r="8922">
      <c r="A8922" s="2" t="str">
        <f>IFERROR(__xludf.DUMMYFUNCTION("""COMPUTED_VALUE"""),"테리우스테이크")</f>
        <v>테리우스테이크</v>
      </c>
      <c r="B8922" s="2" t="str">
        <f>IFERROR(__xludf.DUMMYFUNCTION("""COMPUTED_VALUE"""),"발사믹 식초")</f>
        <v>발사믹 식초</v>
      </c>
    </row>
    <row r="8923">
      <c r="A8923" s="2" t="str">
        <f>IFERROR(__xludf.DUMMYFUNCTION("""COMPUTED_VALUE"""),"테리우스테이크")</f>
        <v>테리우스테이크</v>
      </c>
      <c r="B8923" s="2" t="str">
        <f>IFERROR(__xludf.DUMMYFUNCTION("""COMPUTED_VALUE"""),"미역")</f>
        <v>미역</v>
      </c>
    </row>
    <row r="8924">
      <c r="A8924" s="2" t="str">
        <f>IFERROR(__xludf.DUMMYFUNCTION("""COMPUTED_VALUE"""),"테리우스테이크")</f>
        <v>테리우스테이크</v>
      </c>
      <c r="B8924" s="2" t="str">
        <f>IFERROR(__xludf.DUMMYFUNCTION("""COMPUTED_VALUE"""),"참기름")</f>
        <v>참기름</v>
      </c>
    </row>
    <row r="8925">
      <c r="A8925" s="2" t="str">
        <f>IFERROR(__xludf.DUMMYFUNCTION("""COMPUTED_VALUE"""),"테리우스테이크")</f>
        <v>테리우스테이크</v>
      </c>
      <c r="B8925" s="2" t="str">
        <f>IFERROR(__xludf.DUMMYFUNCTION("""COMPUTED_VALUE"""),"양파")</f>
        <v>양파</v>
      </c>
    </row>
    <row r="8926">
      <c r="A8926" s="2" t="str">
        <f>IFERROR(__xludf.DUMMYFUNCTION("""COMPUTED_VALUE"""),"테리우스테이크")</f>
        <v>테리우스테이크</v>
      </c>
      <c r="B8926" s="2" t="str">
        <f>IFERROR(__xludf.DUMMYFUNCTION("""COMPUTED_VALUE"""),"마늘")</f>
        <v>마늘</v>
      </c>
    </row>
    <row r="8927">
      <c r="A8927" s="2" t="str">
        <f>IFERROR(__xludf.DUMMYFUNCTION("""COMPUTED_VALUE"""),"테리우스테이크")</f>
        <v>테리우스테이크</v>
      </c>
      <c r="B8927" s="2" t="str">
        <f>IFERROR(__xludf.DUMMYFUNCTION("""COMPUTED_VALUE"""),"버터")</f>
        <v>버터</v>
      </c>
    </row>
    <row r="8928">
      <c r="A8928" s="2" t="str">
        <f>IFERROR(__xludf.DUMMYFUNCTION("""COMPUTED_VALUE"""),"테리우스테이크")</f>
        <v>테리우스테이크</v>
      </c>
      <c r="B8928" s="2" t="str">
        <f>IFERROR(__xludf.DUMMYFUNCTION("""COMPUTED_VALUE"""),"다진 마늘")</f>
        <v>다진 마늘</v>
      </c>
    </row>
    <row r="8929">
      <c r="A8929" s="2" t="str">
        <f>IFERROR(__xludf.DUMMYFUNCTION("""COMPUTED_VALUE"""),"테리우스테이크")</f>
        <v>테리우스테이크</v>
      </c>
      <c r="B8929" s="2" t="str">
        <f>IFERROR(__xludf.DUMMYFUNCTION("""COMPUTED_VALUE"""),"설탕")</f>
        <v>설탕</v>
      </c>
    </row>
    <row r="8930">
      <c r="A8930" s="2" t="str">
        <f>IFERROR(__xludf.DUMMYFUNCTION("""COMPUTED_VALUE"""),"테리우스테이크")</f>
        <v>테리우스테이크</v>
      </c>
      <c r="B8930" s="2" t="str">
        <f>IFERROR(__xludf.DUMMYFUNCTION("""COMPUTED_VALUE"""),"소금")</f>
        <v>소금</v>
      </c>
    </row>
    <row r="8931">
      <c r="A8931" s="2" t="str">
        <f>IFERROR(__xludf.DUMMYFUNCTION("""COMPUTED_VALUE"""),"테리우스테이크")</f>
        <v>테리우스테이크</v>
      </c>
      <c r="B8931" s="2" t="str">
        <f>IFERROR(__xludf.DUMMYFUNCTION("""COMPUTED_VALUE"""),"후추")</f>
        <v>후추</v>
      </c>
    </row>
    <row r="8932">
      <c r="A8932" s="2" t="str">
        <f>IFERROR(__xludf.DUMMYFUNCTION("""COMPUTED_VALUE"""),"테리우스테이크")</f>
        <v>테리우스테이크</v>
      </c>
      <c r="B8932" s="2" t="str">
        <f>IFERROR(__xludf.DUMMYFUNCTION("""COMPUTED_VALUE"""),"라면")</f>
        <v>라면</v>
      </c>
    </row>
    <row r="8933">
      <c r="A8933" s="2" t="str">
        <f>IFERROR(__xludf.DUMMYFUNCTION("""COMPUTED_VALUE"""),"테리우스테이크")</f>
        <v>테리우스테이크</v>
      </c>
      <c r="B8933" s="2" t="str">
        <f>IFERROR(__xludf.DUMMYFUNCTION("""COMPUTED_VALUE"""),"레몬")</f>
        <v>레몬</v>
      </c>
    </row>
    <row r="8934">
      <c r="A8934" s="2" t="str">
        <f>IFERROR(__xludf.DUMMYFUNCTION("""COMPUTED_VALUE"""),"테리우스테이크")</f>
        <v>테리우스테이크</v>
      </c>
      <c r="B8934" s="2" t="str">
        <f>IFERROR(__xludf.DUMMYFUNCTION("""COMPUTED_VALUE"""),"올리브오일")</f>
        <v>올리브오일</v>
      </c>
    </row>
    <row r="8935">
      <c r="A8935" s="2" t="str">
        <f>IFERROR(__xludf.DUMMYFUNCTION("""COMPUTED_VALUE"""),"테리우스테이크")</f>
        <v>테리우스테이크</v>
      </c>
      <c r="B8935" s="2" t="str">
        <f>IFERROR(__xludf.DUMMYFUNCTION("""COMPUTED_VALUE"""),"대파")</f>
        <v>대파</v>
      </c>
    </row>
    <row r="8936">
      <c r="A8936" s="2" t="str">
        <f>IFERROR(__xludf.DUMMYFUNCTION("""COMPUTED_VALUE"""),"레복만두")</f>
        <v>레복만두</v>
      </c>
      <c r="B8936" s="2" t="str">
        <f>IFERROR(__xludf.DUMMYFUNCTION("""COMPUTED_VALUE"""),"새우살")</f>
        <v>새우살</v>
      </c>
    </row>
    <row r="8937">
      <c r="A8937" s="2" t="str">
        <f>IFERROR(__xludf.DUMMYFUNCTION("""COMPUTED_VALUE"""),"레복만두")</f>
        <v>레복만두</v>
      </c>
      <c r="B8937" s="2" t="str">
        <f>IFERROR(__xludf.DUMMYFUNCTION("""COMPUTED_VALUE"""),"부추")</f>
        <v>부추</v>
      </c>
    </row>
    <row r="8938">
      <c r="A8938" s="2" t="str">
        <f>IFERROR(__xludf.DUMMYFUNCTION("""COMPUTED_VALUE"""),"레복만두")</f>
        <v>레복만두</v>
      </c>
      <c r="B8938" s="2" t="str">
        <f>IFERROR(__xludf.DUMMYFUNCTION("""COMPUTED_VALUE"""),"적양배추")</f>
        <v>적양배추</v>
      </c>
    </row>
    <row r="8939">
      <c r="A8939" s="2" t="str">
        <f>IFERROR(__xludf.DUMMYFUNCTION("""COMPUTED_VALUE"""),"레복만두")</f>
        <v>레복만두</v>
      </c>
      <c r="B8939" s="2" t="str">
        <f>IFERROR(__xludf.DUMMYFUNCTION("""COMPUTED_VALUE"""),"다진 돼지고기")</f>
        <v>다진 돼지고기</v>
      </c>
    </row>
    <row r="8940">
      <c r="A8940" s="2" t="str">
        <f>IFERROR(__xludf.DUMMYFUNCTION("""COMPUTED_VALUE"""),"레복만두")</f>
        <v>레복만두</v>
      </c>
      <c r="B8940" s="2" t="str">
        <f>IFERROR(__xludf.DUMMYFUNCTION("""COMPUTED_VALUE"""),"쯔유")</f>
        <v>쯔유</v>
      </c>
    </row>
    <row r="8941">
      <c r="A8941" s="2" t="str">
        <f>IFERROR(__xludf.DUMMYFUNCTION("""COMPUTED_VALUE"""),"레복만두")</f>
        <v>레복만두</v>
      </c>
      <c r="B8941" s="2" t="str">
        <f>IFERROR(__xludf.DUMMYFUNCTION("""COMPUTED_VALUE"""),"XO소스")</f>
        <v>XO소스</v>
      </c>
    </row>
    <row r="8942">
      <c r="A8942" s="2" t="str">
        <f>IFERROR(__xludf.DUMMYFUNCTION("""COMPUTED_VALUE"""),"레복만두")</f>
        <v>레복만두</v>
      </c>
      <c r="B8942" s="2" t="str">
        <f>IFERROR(__xludf.DUMMYFUNCTION("""COMPUTED_VALUE"""),"해선장")</f>
        <v>해선장</v>
      </c>
    </row>
    <row r="8943">
      <c r="A8943" s="2" t="str">
        <f>IFERROR(__xludf.DUMMYFUNCTION("""COMPUTED_VALUE"""),"레복만두")</f>
        <v>레복만두</v>
      </c>
      <c r="B8943" s="2" t="str">
        <f>IFERROR(__xludf.DUMMYFUNCTION("""COMPUTED_VALUE"""),"아몬드버터")</f>
        <v>아몬드버터</v>
      </c>
    </row>
    <row r="8944">
      <c r="A8944" s="2" t="str">
        <f>IFERROR(__xludf.DUMMYFUNCTION("""COMPUTED_VALUE"""),"레복만두")</f>
        <v>레복만두</v>
      </c>
      <c r="B8944" s="2" t="str">
        <f>IFERROR(__xludf.DUMMYFUNCTION("""COMPUTED_VALUE"""),"전복")</f>
        <v>전복</v>
      </c>
    </row>
    <row r="8945">
      <c r="A8945" s="2" t="str">
        <f>IFERROR(__xludf.DUMMYFUNCTION("""COMPUTED_VALUE"""),"레복만두")</f>
        <v>레복만두</v>
      </c>
      <c r="B8945" s="2" t="str">
        <f>IFERROR(__xludf.DUMMYFUNCTION("""COMPUTED_VALUE"""),"베트남고추")</f>
        <v>베트남고추</v>
      </c>
    </row>
    <row r="8946">
      <c r="A8946" s="2" t="str">
        <f>IFERROR(__xludf.DUMMYFUNCTION("""COMPUTED_VALUE"""),"레복만두")</f>
        <v>레복만두</v>
      </c>
      <c r="B8946" s="2" t="str">
        <f>IFERROR(__xludf.DUMMYFUNCTION("""COMPUTED_VALUE"""),"선드라이토마토")</f>
        <v>선드라이토마토</v>
      </c>
    </row>
    <row r="8947">
      <c r="A8947" s="2" t="str">
        <f>IFERROR(__xludf.DUMMYFUNCTION("""COMPUTED_VALUE"""),"레복만두")</f>
        <v>레복만두</v>
      </c>
      <c r="B8947" s="2" t="str">
        <f>IFERROR(__xludf.DUMMYFUNCTION("""COMPUTED_VALUE"""),"바질페스토")</f>
        <v>바질페스토</v>
      </c>
    </row>
    <row r="8948">
      <c r="A8948" s="2" t="str">
        <f>IFERROR(__xludf.DUMMYFUNCTION("""COMPUTED_VALUE"""),"레복만두")</f>
        <v>레복만두</v>
      </c>
      <c r="B8948" s="2" t="str">
        <f>IFERROR(__xludf.DUMMYFUNCTION("""COMPUTED_VALUE"""),"바지락살")</f>
        <v>바지락살</v>
      </c>
    </row>
    <row r="8949">
      <c r="A8949" s="2" t="str">
        <f>IFERROR(__xludf.DUMMYFUNCTION("""COMPUTED_VALUE"""),"레복만두")</f>
        <v>레복만두</v>
      </c>
      <c r="B8949" s="2" t="str">
        <f>IFERROR(__xludf.DUMMYFUNCTION("""COMPUTED_VALUE"""),"구워먹는 치즈")</f>
        <v>구워먹는 치즈</v>
      </c>
    </row>
    <row r="8950">
      <c r="A8950" s="2" t="str">
        <f>IFERROR(__xludf.DUMMYFUNCTION("""COMPUTED_VALUE"""),"레복만두")</f>
        <v>레복만두</v>
      </c>
      <c r="B8950" s="2" t="str">
        <f>IFERROR(__xludf.DUMMYFUNCTION("""COMPUTED_VALUE"""),"트러플오일")</f>
        <v>트러플오일</v>
      </c>
    </row>
    <row r="8951">
      <c r="A8951" s="2" t="str">
        <f>IFERROR(__xludf.DUMMYFUNCTION("""COMPUTED_VALUE"""),"레복만두")</f>
        <v>레복만두</v>
      </c>
      <c r="B8951" s="2" t="str">
        <f>IFERROR(__xludf.DUMMYFUNCTION("""COMPUTED_VALUE"""),"대파")</f>
        <v>대파</v>
      </c>
    </row>
    <row r="8952">
      <c r="A8952" s="2" t="str">
        <f>IFERROR(__xludf.DUMMYFUNCTION("""COMPUTED_VALUE"""),"레복만두")</f>
        <v>레복만두</v>
      </c>
      <c r="B8952" s="2" t="str">
        <f>IFERROR(__xludf.DUMMYFUNCTION("""COMPUTED_VALUE"""),"마늘")</f>
        <v>마늘</v>
      </c>
    </row>
    <row r="8953">
      <c r="A8953" s="2" t="str">
        <f>IFERROR(__xludf.DUMMYFUNCTION("""COMPUTED_VALUE"""),"레복만두")</f>
        <v>레복만두</v>
      </c>
      <c r="B8953" s="2" t="str">
        <f>IFERROR(__xludf.DUMMYFUNCTION("""COMPUTED_VALUE"""),"밀가루")</f>
        <v>밀가루</v>
      </c>
    </row>
    <row r="8954">
      <c r="A8954" s="2" t="str">
        <f>IFERROR(__xludf.DUMMYFUNCTION("""COMPUTED_VALUE"""),"레복만두")</f>
        <v>레복만두</v>
      </c>
      <c r="B8954" s="2" t="str">
        <f>IFERROR(__xludf.DUMMYFUNCTION("""COMPUTED_VALUE"""),"소금")</f>
        <v>소금</v>
      </c>
    </row>
    <row r="8955">
      <c r="A8955" s="2" t="str">
        <f>IFERROR(__xludf.DUMMYFUNCTION("""COMPUTED_VALUE"""),"레복만두")</f>
        <v>레복만두</v>
      </c>
      <c r="B8955" s="2" t="str">
        <f>IFERROR(__xludf.DUMMYFUNCTION("""COMPUTED_VALUE"""),"다진 마늘")</f>
        <v>다진 마늘</v>
      </c>
    </row>
    <row r="8956">
      <c r="A8956" s="2" t="str">
        <f>IFERROR(__xludf.DUMMYFUNCTION("""COMPUTED_VALUE"""),"레복만두")</f>
        <v>레복만두</v>
      </c>
      <c r="B8956" s="2" t="str">
        <f>IFERROR(__xludf.DUMMYFUNCTION("""COMPUTED_VALUE"""),"다진 생강")</f>
        <v>다진 생강</v>
      </c>
    </row>
    <row r="8957">
      <c r="A8957" s="2" t="str">
        <f>IFERROR(__xludf.DUMMYFUNCTION("""COMPUTED_VALUE"""),"레복만두")</f>
        <v>레복만두</v>
      </c>
      <c r="B8957" s="2" t="str">
        <f>IFERROR(__xludf.DUMMYFUNCTION("""COMPUTED_VALUE"""),"후추")</f>
        <v>후추</v>
      </c>
    </row>
    <row r="8958">
      <c r="A8958" s="2" t="str">
        <f>IFERROR(__xludf.DUMMYFUNCTION("""COMPUTED_VALUE"""),"레복만두")</f>
        <v>레복만두</v>
      </c>
      <c r="B8958" s="2" t="str">
        <f>IFERROR(__xludf.DUMMYFUNCTION("""COMPUTED_VALUE"""),"양파")</f>
        <v>양파</v>
      </c>
    </row>
    <row r="8959">
      <c r="A8959" s="2" t="str">
        <f>IFERROR(__xludf.DUMMYFUNCTION("""COMPUTED_VALUE"""),"레복만두")</f>
        <v>레복만두</v>
      </c>
      <c r="B8959" s="2" t="str">
        <f>IFERROR(__xludf.DUMMYFUNCTION("""COMPUTED_VALUE"""),"맛술")</f>
        <v>맛술</v>
      </c>
    </row>
    <row r="8960">
      <c r="A8960" s="2" t="str">
        <f>IFERROR(__xludf.DUMMYFUNCTION("""COMPUTED_VALUE"""),"야관문 장어")</f>
        <v>야관문 장어</v>
      </c>
      <c r="B8960" s="2" t="str">
        <f>IFERROR(__xludf.DUMMYFUNCTION("""COMPUTED_VALUE"""),"간장게장")</f>
        <v>간장게장</v>
      </c>
    </row>
    <row r="8961">
      <c r="A8961" s="2" t="str">
        <f>IFERROR(__xludf.DUMMYFUNCTION("""COMPUTED_VALUE"""),"야관문 장어")</f>
        <v>야관문 장어</v>
      </c>
      <c r="B8961" s="2" t="str">
        <f>IFERROR(__xludf.DUMMYFUNCTION("""COMPUTED_VALUE"""),"전복")</f>
        <v>전복</v>
      </c>
    </row>
    <row r="8962">
      <c r="A8962" s="2" t="str">
        <f>IFERROR(__xludf.DUMMYFUNCTION("""COMPUTED_VALUE"""),"야관문 장어")</f>
        <v>야관문 장어</v>
      </c>
      <c r="B8962" s="2" t="str">
        <f>IFERROR(__xludf.DUMMYFUNCTION("""COMPUTED_VALUE"""),"야관문주")</f>
        <v>야관문주</v>
      </c>
    </row>
    <row r="8963">
      <c r="A8963" s="2" t="str">
        <f>IFERROR(__xludf.DUMMYFUNCTION("""COMPUTED_VALUE"""),"야관문 장어")</f>
        <v>야관문 장어</v>
      </c>
      <c r="B8963" s="2" t="str">
        <f>IFERROR(__xludf.DUMMYFUNCTION("""COMPUTED_VALUE"""),"쯔유")</f>
        <v>쯔유</v>
      </c>
    </row>
    <row r="8964">
      <c r="A8964" s="2" t="str">
        <f>IFERROR(__xludf.DUMMYFUNCTION("""COMPUTED_VALUE"""),"야관문 장어")</f>
        <v>야관문 장어</v>
      </c>
      <c r="B8964" s="2" t="str">
        <f>IFERROR(__xludf.DUMMYFUNCTION("""COMPUTED_VALUE"""),"참기름")</f>
        <v>참기름</v>
      </c>
    </row>
    <row r="8965">
      <c r="A8965" s="2" t="str">
        <f>IFERROR(__xludf.DUMMYFUNCTION("""COMPUTED_VALUE"""),"야관문 장어")</f>
        <v>야관문 장어</v>
      </c>
      <c r="B8965" s="2" t="str">
        <f>IFERROR(__xludf.DUMMYFUNCTION("""COMPUTED_VALUE"""),"적양배추")</f>
        <v>적양배추</v>
      </c>
    </row>
    <row r="8966">
      <c r="A8966" s="2" t="str">
        <f>IFERROR(__xludf.DUMMYFUNCTION("""COMPUTED_VALUE"""),"야관문 장어")</f>
        <v>야관문 장어</v>
      </c>
      <c r="B8966" s="2" t="str">
        <f>IFERROR(__xludf.DUMMYFUNCTION("""COMPUTED_VALUE"""),"새우분말")</f>
        <v>새우분말</v>
      </c>
    </row>
    <row r="8967">
      <c r="A8967" s="2" t="str">
        <f>IFERROR(__xludf.DUMMYFUNCTION("""COMPUTED_VALUE"""),"야관문 장어")</f>
        <v>야관문 장어</v>
      </c>
      <c r="B8967" s="2" t="str">
        <f>IFERROR(__xludf.DUMMYFUNCTION("""COMPUTED_VALUE"""),"파슬리가루")</f>
        <v>파슬리가루</v>
      </c>
    </row>
    <row r="8968">
      <c r="A8968" s="2" t="str">
        <f>IFERROR(__xludf.DUMMYFUNCTION("""COMPUTED_VALUE"""),"야관문 장어")</f>
        <v>야관문 장어</v>
      </c>
      <c r="B8968" s="2" t="str">
        <f>IFERROR(__xludf.DUMMYFUNCTION("""COMPUTED_VALUE"""),"장어")</f>
        <v>장어</v>
      </c>
    </row>
    <row r="8969">
      <c r="A8969" s="2" t="str">
        <f>IFERROR(__xludf.DUMMYFUNCTION("""COMPUTED_VALUE"""),"야관문 장어")</f>
        <v>야관문 장어</v>
      </c>
      <c r="B8969" s="2" t="str">
        <f>IFERROR(__xludf.DUMMYFUNCTION("""COMPUTED_VALUE"""),"부추")</f>
        <v>부추</v>
      </c>
    </row>
    <row r="8970">
      <c r="A8970" s="2" t="str">
        <f>IFERROR(__xludf.DUMMYFUNCTION("""COMPUTED_VALUE"""),"야관문 장어")</f>
        <v>야관문 장어</v>
      </c>
      <c r="B8970" s="2" t="str">
        <f>IFERROR(__xludf.DUMMYFUNCTION("""COMPUTED_VALUE"""),"채소절임원액")</f>
        <v>채소절임원액</v>
      </c>
    </row>
    <row r="8971">
      <c r="A8971" s="2" t="str">
        <f>IFERROR(__xludf.DUMMYFUNCTION("""COMPUTED_VALUE"""),"야관문 장어")</f>
        <v>야관문 장어</v>
      </c>
      <c r="B8971" s="2" t="str">
        <f>IFERROR(__xludf.DUMMYFUNCTION("""COMPUTED_VALUE"""),"믹스허브")</f>
        <v>믹스허브</v>
      </c>
    </row>
    <row r="8972">
      <c r="A8972" s="2" t="str">
        <f>IFERROR(__xludf.DUMMYFUNCTION("""COMPUTED_VALUE"""),"야관문 장어")</f>
        <v>야관문 장어</v>
      </c>
      <c r="B8972" s="2" t="str">
        <f>IFERROR(__xludf.DUMMYFUNCTION("""COMPUTED_VALUE"""),"구운 채소절임")</f>
        <v>구운 채소절임</v>
      </c>
    </row>
    <row r="8973">
      <c r="A8973" s="2" t="str">
        <f>IFERROR(__xludf.DUMMYFUNCTION("""COMPUTED_VALUE"""),"야관문 장어")</f>
        <v>야관문 장어</v>
      </c>
      <c r="B8973" s="2" t="str">
        <f>IFERROR(__xludf.DUMMYFUNCTION("""COMPUTED_VALUE"""),"바질페스토")</f>
        <v>바질페스토</v>
      </c>
    </row>
    <row r="8974">
      <c r="A8974" s="2" t="str">
        <f>IFERROR(__xludf.DUMMYFUNCTION("""COMPUTED_VALUE"""),"야관문 장어")</f>
        <v>야관문 장어</v>
      </c>
      <c r="B8974" s="2" t="str">
        <f>IFERROR(__xludf.DUMMYFUNCTION("""COMPUTED_VALUE"""),"라임")</f>
        <v>라임</v>
      </c>
    </row>
    <row r="8975">
      <c r="A8975" s="2" t="str">
        <f>IFERROR(__xludf.DUMMYFUNCTION("""COMPUTED_VALUE"""),"야관문 장어")</f>
        <v>야관문 장어</v>
      </c>
      <c r="B8975" s="2" t="str">
        <f>IFERROR(__xludf.DUMMYFUNCTION("""COMPUTED_VALUE"""),"트러플페스토")</f>
        <v>트러플페스토</v>
      </c>
    </row>
    <row r="8976">
      <c r="A8976" s="2" t="str">
        <f>IFERROR(__xludf.DUMMYFUNCTION("""COMPUTED_VALUE"""),"야관문 장어")</f>
        <v>야관문 장어</v>
      </c>
      <c r="B8976" s="2" t="str">
        <f>IFERROR(__xludf.DUMMYFUNCTION("""COMPUTED_VALUE"""),"개복숭아절임")</f>
        <v>개복숭아절임</v>
      </c>
    </row>
    <row r="8977">
      <c r="A8977" s="2" t="str">
        <f>IFERROR(__xludf.DUMMYFUNCTION("""COMPUTED_VALUE"""),"야관문 장어")</f>
        <v>야관문 장어</v>
      </c>
      <c r="B8977" s="2" t="str">
        <f>IFERROR(__xludf.DUMMYFUNCTION("""COMPUTED_VALUE"""),"선드라이토마토")</f>
        <v>선드라이토마토</v>
      </c>
    </row>
    <row r="8978">
      <c r="A8978" s="2" t="str">
        <f>IFERROR(__xludf.DUMMYFUNCTION("""COMPUTED_VALUE"""),"야관문 장어")</f>
        <v>야관문 장어</v>
      </c>
      <c r="B8978" s="2" t="str">
        <f>IFERROR(__xludf.DUMMYFUNCTION("""COMPUTED_VALUE"""),"블랙올리브")</f>
        <v>블랙올리브</v>
      </c>
    </row>
    <row r="8979">
      <c r="A8979" s="2" t="str">
        <f>IFERROR(__xludf.DUMMYFUNCTION("""COMPUTED_VALUE"""),"야관문 장어")</f>
        <v>야관문 장어</v>
      </c>
      <c r="B8979" s="2" t="str">
        <f>IFERROR(__xludf.DUMMYFUNCTION("""COMPUTED_VALUE"""),"청양고추")</f>
        <v>청양고추</v>
      </c>
    </row>
    <row r="8980">
      <c r="A8980" s="2" t="str">
        <f>IFERROR(__xludf.DUMMYFUNCTION("""COMPUTED_VALUE"""),"야관문 장어")</f>
        <v>야관문 장어</v>
      </c>
      <c r="B8980" s="2" t="str">
        <f>IFERROR(__xludf.DUMMYFUNCTION("""COMPUTED_VALUE"""),"마늘")</f>
        <v>마늘</v>
      </c>
    </row>
    <row r="8981">
      <c r="A8981" s="2" t="str">
        <f>IFERROR(__xludf.DUMMYFUNCTION("""COMPUTED_VALUE"""),"야관문 장어")</f>
        <v>야관문 장어</v>
      </c>
      <c r="B8981" s="2" t="str">
        <f>IFERROR(__xludf.DUMMYFUNCTION("""COMPUTED_VALUE"""),"설탕")</f>
        <v>설탕</v>
      </c>
    </row>
    <row r="8982">
      <c r="A8982" s="2" t="str">
        <f>IFERROR(__xludf.DUMMYFUNCTION("""COMPUTED_VALUE"""),"야관문 장어")</f>
        <v>야관문 장어</v>
      </c>
      <c r="B8982" s="2" t="str">
        <f>IFERROR(__xludf.DUMMYFUNCTION("""COMPUTED_VALUE"""),"맛술")</f>
        <v>맛술</v>
      </c>
    </row>
    <row r="8983">
      <c r="A8983" s="2" t="str">
        <f>IFERROR(__xludf.DUMMYFUNCTION("""COMPUTED_VALUE"""),"야관문 장어")</f>
        <v>야관문 장어</v>
      </c>
      <c r="B8983" s="2" t="str">
        <f>IFERROR(__xludf.DUMMYFUNCTION("""COMPUTED_VALUE"""),"청주")</f>
        <v>청주</v>
      </c>
    </row>
    <row r="8984">
      <c r="A8984" s="2" t="str">
        <f>IFERROR(__xludf.DUMMYFUNCTION("""COMPUTED_VALUE"""),"야관문 장어")</f>
        <v>야관문 장어</v>
      </c>
      <c r="B8984" s="2" t="str">
        <f>IFERROR(__xludf.DUMMYFUNCTION("""COMPUTED_VALUE"""),"달걀")</f>
        <v>달걀</v>
      </c>
    </row>
    <row r="8985">
      <c r="A8985" s="2" t="str">
        <f>IFERROR(__xludf.DUMMYFUNCTION("""COMPUTED_VALUE"""),"야관문 장어")</f>
        <v>야관문 장어</v>
      </c>
      <c r="B8985" s="2" t="str">
        <f>IFERROR(__xludf.DUMMYFUNCTION("""COMPUTED_VALUE"""),"식초")</f>
        <v>식초</v>
      </c>
    </row>
    <row r="8986">
      <c r="A8986" s="2" t="str">
        <f>IFERROR(__xludf.DUMMYFUNCTION("""COMPUTED_VALUE"""),"야관문 장어")</f>
        <v>야관문 장어</v>
      </c>
      <c r="B8986" s="2" t="str">
        <f>IFERROR(__xludf.DUMMYFUNCTION("""COMPUTED_VALUE"""),"밀가루")</f>
        <v>밀가루</v>
      </c>
    </row>
    <row r="8987">
      <c r="A8987" s="2" t="str">
        <f>IFERROR(__xludf.DUMMYFUNCTION("""COMPUTED_VALUE"""),"야관문 장어")</f>
        <v>야관문 장어</v>
      </c>
      <c r="B8987" s="2" t="str">
        <f>IFERROR(__xludf.DUMMYFUNCTION("""COMPUTED_VALUE"""),"소금")</f>
        <v>소금</v>
      </c>
    </row>
    <row r="8988">
      <c r="A8988" s="2" t="str">
        <f>IFERROR(__xludf.DUMMYFUNCTION("""COMPUTED_VALUE"""),"봉골레 안 먹고 가시나♬")</f>
        <v>봉골레 안 먹고 가시나♬</v>
      </c>
      <c r="B8988" s="2" t="str">
        <f>IFERROR(__xludf.DUMMYFUNCTION("""COMPUTED_VALUE"""),"호박즙")</f>
        <v>호박즙</v>
      </c>
    </row>
    <row r="8989">
      <c r="A8989" s="2" t="str">
        <f>IFERROR(__xludf.DUMMYFUNCTION("""COMPUTED_VALUE"""),"봉골레 안 먹고 가시나♬")</f>
        <v>봉골레 안 먹고 가시나♬</v>
      </c>
      <c r="B8989" s="2" t="str">
        <f>IFERROR(__xludf.DUMMYFUNCTION("""COMPUTED_VALUE"""),"새우")</f>
        <v>새우</v>
      </c>
    </row>
    <row r="8990">
      <c r="A8990" s="2" t="str">
        <f>IFERROR(__xludf.DUMMYFUNCTION("""COMPUTED_VALUE"""),"봉골레 안 먹고 가시나♬")</f>
        <v>봉골레 안 먹고 가시나♬</v>
      </c>
      <c r="B8990" s="2" t="str">
        <f>IFERROR(__xludf.DUMMYFUNCTION("""COMPUTED_VALUE"""),"오징어")</f>
        <v>오징어</v>
      </c>
    </row>
    <row r="8991">
      <c r="A8991" s="2" t="str">
        <f>IFERROR(__xludf.DUMMYFUNCTION("""COMPUTED_VALUE"""),"봉골레 안 먹고 가시나♬")</f>
        <v>봉골레 안 먹고 가시나♬</v>
      </c>
      <c r="B8991" s="2" t="str">
        <f>IFERROR(__xludf.DUMMYFUNCTION("""COMPUTED_VALUE"""),"바지락")</f>
        <v>바지락</v>
      </c>
    </row>
    <row r="8992">
      <c r="A8992" s="2" t="str">
        <f>IFERROR(__xludf.DUMMYFUNCTION("""COMPUTED_VALUE"""),"봉골레 안 먹고 가시나♬")</f>
        <v>봉골레 안 먹고 가시나♬</v>
      </c>
      <c r="B8992" s="2" t="str">
        <f>IFERROR(__xludf.DUMMYFUNCTION("""COMPUTED_VALUE"""),"모차렐라치즈")</f>
        <v>모차렐라치즈</v>
      </c>
    </row>
    <row r="8993">
      <c r="A8993" s="2" t="str">
        <f>IFERROR(__xludf.DUMMYFUNCTION("""COMPUTED_VALUE"""),"봉골레 안 먹고 가시나♬")</f>
        <v>봉골레 안 먹고 가시나♬</v>
      </c>
      <c r="B8993" s="2" t="str">
        <f>IFERROR(__xludf.DUMMYFUNCTION("""COMPUTED_VALUE"""),"마늘종장아찌")</f>
        <v>마늘종장아찌</v>
      </c>
    </row>
    <row r="8994">
      <c r="A8994" s="2" t="str">
        <f>IFERROR(__xludf.DUMMYFUNCTION("""COMPUTED_VALUE"""),"봉골레 안 먹고 가시나♬")</f>
        <v>봉골레 안 먹고 가시나♬</v>
      </c>
      <c r="B8994" s="2" t="str">
        <f>IFERROR(__xludf.DUMMYFUNCTION("""COMPUTED_VALUE"""),"칵테일소스")</f>
        <v>칵테일소스</v>
      </c>
    </row>
    <row r="8995">
      <c r="A8995" s="2" t="str">
        <f>IFERROR(__xludf.DUMMYFUNCTION("""COMPUTED_VALUE"""),"봉골레 안 먹고 가시나♬")</f>
        <v>봉골레 안 먹고 가시나♬</v>
      </c>
      <c r="B8995" s="2" t="str">
        <f>IFERROR(__xludf.DUMMYFUNCTION("""COMPUTED_VALUE"""),"밀가루")</f>
        <v>밀가루</v>
      </c>
    </row>
    <row r="8996">
      <c r="A8996" s="2" t="str">
        <f>IFERROR(__xludf.DUMMYFUNCTION("""COMPUTED_VALUE"""),"봉골레 안 먹고 가시나♬")</f>
        <v>봉골레 안 먹고 가시나♬</v>
      </c>
      <c r="B8996" s="2" t="str">
        <f>IFERROR(__xludf.DUMMYFUNCTION("""COMPUTED_VALUE"""),"마늘")</f>
        <v>마늘</v>
      </c>
    </row>
    <row r="8997">
      <c r="A8997" s="2" t="str">
        <f>IFERROR(__xludf.DUMMYFUNCTION("""COMPUTED_VALUE"""),"봉골레 안 먹고 가시나♬")</f>
        <v>봉골레 안 먹고 가시나♬</v>
      </c>
      <c r="B8997" s="2" t="str">
        <f>IFERROR(__xludf.DUMMYFUNCTION("""COMPUTED_VALUE"""),"홍고추")</f>
        <v>홍고추</v>
      </c>
    </row>
    <row r="8998">
      <c r="A8998" s="2" t="str">
        <f>IFERROR(__xludf.DUMMYFUNCTION("""COMPUTED_VALUE"""),"봉골레 안 먹고 가시나♬")</f>
        <v>봉골레 안 먹고 가시나♬</v>
      </c>
      <c r="B8998" s="2" t="str">
        <f>IFERROR(__xludf.DUMMYFUNCTION("""COMPUTED_VALUE"""),"양파")</f>
        <v>양파</v>
      </c>
    </row>
    <row r="8999">
      <c r="A8999" s="2" t="str">
        <f>IFERROR(__xludf.DUMMYFUNCTION("""COMPUTED_VALUE"""),"봉골레 안 먹고 가시나♬")</f>
        <v>봉골레 안 먹고 가시나♬</v>
      </c>
      <c r="B8999" s="2" t="str">
        <f>IFERROR(__xludf.DUMMYFUNCTION("""COMPUTED_VALUE"""),"올리브오일")</f>
        <v>올리브오일</v>
      </c>
    </row>
    <row r="9000">
      <c r="A9000" s="2" t="str">
        <f>IFERROR(__xludf.DUMMYFUNCTION("""COMPUTED_VALUE"""),"봉골레 안 먹고 가시나♬")</f>
        <v>봉골레 안 먹고 가시나♬</v>
      </c>
      <c r="B9000" s="2" t="str">
        <f>IFERROR(__xludf.DUMMYFUNCTION("""COMPUTED_VALUE"""),"소금")</f>
        <v>소금</v>
      </c>
    </row>
    <row r="9001">
      <c r="A9001" s="2" t="str">
        <f>IFERROR(__xludf.DUMMYFUNCTION("""COMPUTED_VALUE"""),"봉골레 안 먹고 가시나♬")</f>
        <v>봉골레 안 먹고 가시나♬</v>
      </c>
      <c r="B9001" s="2" t="str">
        <f>IFERROR(__xludf.DUMMYFUNCTION("""COMPUTED_VALUE"""),"후추")</f>
        <v>후추</v>
      </c>
    </row>
    <row r="9002">
      <c r="A9002" s="2" t="str">
        <f>IFERROR(__xludf.DUMMYFUNCTION("""COMPUTED_VALUE"""),"봉골레 안 먹고 가시나♬")</f>
        <v>봉골레 안 먹고 가시나♬</v>
      </c>
      <c r="B9002" s="2" t="str">
        <f>IFERROR(__xludf.DUMMYFUNCTION("""COMPUTED_VALUE"""),"버터")</f>
        <v>버터</v>
      </c>
    </row>
    <row r="9003">
      <c r="A9003" s="2" t="str">
        <f>IFERROR(__xludf.DUMMYFUNCTION("""COMPUTED_VALUE"""),"봉골레 안 먹고 가시나♬")</f>
        <v>봉골레 안 먹고 가시나♬</v>
      </c>
      <c r="B9003" s="2" t="str">
        <f>IFERROR(__xludf.DUMMYFUNCTION("""COMPUTED_VALUE"""),"대파")</f>
        <v>대파</v>
      </c>
    </row>
    <row r="9004">
      <c r="A9004" s="2" t="str">
        <f>IFERROR(__xludf.DUMMYFUNCTION("""COMPUTED_VALUE"""),"제비~ 복 먹으러 나간다")</f>
        <v>제비~ 복 먹으러 나간다</v>
      </c>
      <c r="B9004" s="2" t="str">
        <f>IFERROR(__xludf.DUMMYFUNCTION("""COMPUTED_VALUE"""),"부추")</f>
        <v>부추</v>
      </c>
    </row>
    <row r="9005">
      <c r="A9005" s="2" t="str">
        <f>IFERROR(__xludf.DUMMYFUNCTION("""COMPUTED_VALUE"""),"제비~ 복 먹으러 나간다")</f>
        <v>제비~ 복 먹으러 나간다</v>
      </c>
      <c r="B9005" s="2" t="str">
        <f>IFERROR(__xludf.DUMMYFUNCTION("""COMPUTED_VALUE"""),"북어대가리")</f>
        <v>북어대가리</v>
      </c>
    </row>
    <row r="9006">
      <c r="A9006" s="2" t="str">
        <f>IFERROR(__xludf.DUMMYFUNCTION("""COMPUTED_VALUE"""),"제비~ 복 먹으러 나간다")</f>
        <v>제비~ 복 먹으러 나간다</v>
      </c>
      <c r="B9006" s="2" t="str">
        <f>IFERROR(__xludf.DUMMYFUNCTION("""COMPUTED_VALUE"""),"인스턴트 사골곰탕")</f>
        <v>인스턴트 사골곰탕</v>
      </c>
    </row>
    <row r="9007">
      <c r="A9007" s="2" t="str">
        <f>IFERROR(__xludf.DUMMYFUNCTION("""COMPUTED_VALUE"""),"제비~ 복 먹으러 나간다")</f>
        <v>제비~ 복 먹으러 나간다</v>
      </c>
      <c r="B9007" s="2" t="str">
        <f>IFERROR(__xludf.DUMMYFUNCTION("""COMPUTED_VALUE"""),"양지")</f>
        <v>양지</v>
      </c>
    </row>
    <row r="9008">
      <c r="A9008" s="2" t="str">
        <f>IFERROR(__xludf.DUMMYFUNCTION("""COMPUTED_VALUE"""),"제비~ 복 먹으러 나간다")</f>
        <v>제비~ 복 먹으러 나간다</v>
      </c>
      <c r="B9008" s="2" t="str">
        <f>IFERROR(__xludf.DUMMYFUNCTION("""COMPUTED_VALUE"""),"알배추")</f>
        <v>알배추</v>
      </c>
    </row>
    <row r="9009">
      <c r="A9009" s="2" t="str">
        <f>IFERROR(__xludf.DUMMYFUNCTION("""COMPUTED_VALUE"""),"제비~ 복 먹으러 나간다")</f>
        <v>제비~ 복 먹으러 나간다</v>
      </c>
      <c r="B9009" s="2" t="str">
        <f>IFERROR(__xludf.DUMMYFUNCTION("""COMPUTED_VALUE"""),"대패삼겹살")</f>
        <v>대패삼겹살</v>
      </c>
    </row>
    <row r="9010">
      <c r="A9010" s="2" t="str">
        <f>IFERROR(__xludf.DUMMYFUNCTION("""COMPUTED_VALUE"""),"제비~ 복 먹으러 나간다")</f>
        <v>제비~ 복 먹으러 나간다</v>
      </c>
      <c r="B9010" s="2" t="str">
        <f>IFERROR(__xludf.DUMMYFUNCTION("""COMPUTED_VALUE"""),"달래")</f>
        <v>달래</v>
      </c>
    </row>
    <row r="9011">
      <c r="A9011" s="2" t="str">
        <f>IFERROR(__xludf.DUMMYFUNCTION("""COMPUTED_VALUE"""),"제비~ 복 먹으러 나간다")</f>
        <v>제비~ 복 먹으러 나간다</v>
      </c>
      <c r="B9011" s="2" t="str">
        <f>IFERROR(__xludf.DUMMYFUNCTION("""COMPUTED_VALUE"""),"부추장아찌")</f>
        <v>부추장아찌</v>
      </c>
    </row>
    <row r="9012">
      <c r="A9012" s="2" t="str">
        <f>IFERROR(__xludf.DUMMYFUNCTION("""COMPUTED_VALUE"""),"제비~ 복 먹으러 나간다")</f>
        <v>제비~ 복 먹으러 나간다</v>
      </c>
      <c r="B9012" s="2" t="str">
        <f>IFERROR(__xludf.DUMMYFUNCTION("""COMPUTED_VALUE"""),"팽이버섯")</f>
        <v>팽이버섯</v>
      </c>
    </row>
    <row r="9013">
      <c r="A9013" s="2" t="str">
        <f>IFERROR(__xludf.DUMMYFUNCTION("""COMPUTED_VALUE"""),"제비~ 복 먹으러 나간다")</f>
        <v>제비~ 복 먹으러 나간다</v>
      </c>
      <c r="B9013" s="2" t="str">
        <f>IFERROR(__xludf.DUMMYFUNCTION("""COMPUTED_VALUE"""),"조미간장")</f>
        <v>조미간장</v>
      </c>
    </row>
    <row r="9014">
      <c r="A9014" s="2" t="str">
        <f>IFERROR(__xludf.DUMMYFUNCTION("""COMPUTED_VALUE"""),"제비~ 복 먹으러 나간다")</f>
        <v>제비~ 복 먹으러 나간다</v>
      </c>
      <c r="B9014" s="2" t="str">
        <f>IFERROR(__xludf.DUMMYFUNCTION("""COMPUTED_VALUE"""),"일본간장")</f>
        <v>일본간장</v>
      </c>
    </row>
    <row r="9015">
      <c r="A9015" s="2" t="str">
        <f>IFERROR(__xludf.DUMMYFUNCTION("""COMPUTED_VALUE"""),"제비~ 복 먹으러 나간다")</f>
        <v>제비~ 복 먹으러 나간다</v>
      </c>
      <c r="B9015" s="2" t="str">
        <f>IFERROR(__xludf.DUMMYFUNCTION("""COMPUTED_VALUE"""),"감자")</f>
        <v>감자</v>
      </c>
    </row>
    <row r="9016">
      <c r="A9016" s="2" t="str">
        <f>IFERROR(__xludf.DUMMYFUNCTION("""COMPUTED_VALUE"""),"제비~ 복 먹으러 나간다")</f>
        <v>제비~ 복 먹으러 나간다</v>
      </c>
      <c r="B9016" s="2" t="str">
        <f>IFERROR(__xludf.DUMMYFUNCTION("""COMPUTED_VALUE"""),"바지락살")</f>
        <v>바지락살</v>
      </c>
    </row>
    <row r="9017">
      <c r="A9017" s="2" t="str">
        <f>IFERROR(__xludf.DUMMYFUNCTION("""COMPUTED_VALUE"""),"제비~ 복 먹으러 나간다")</f>
        <v>제비~ 복 먹으러 나간다</v>
      </c>
      <c r="B9017" s="2" t="str">
        <f>IFERROR(__xludf.DUMMYFUNCTION("""COMPUTED_VALUE"""),"갑오징어")</f>
        <v>갑오징어</v>
      </c>
    </row>
    <row r="9018">
      <c r="A9018" s="2" t="str">
        <f>IFERROR(__xludf.DUMMYFUNCTION("""COMPUTED_VALUE"""),"제비~ 복 먹으러 나간다")</f>
        <v>제비~ 복 먹으러 나간다</v>
      </c>
      <c r="B9018" s="2" t="str">
        <f>IFERROR(__xludf.DUMMYFUNCTION("""COMPUTED_VALUE"""),"새송이버섯")</f>
        <v>새송이버섯</v>
      </c>
    </row>
    <row r="9019">
      <c r="A9019" s="2" t="str">
        <f>IFERROR(__xludf.DUMMYFUNCTION("""COMPUTED_VALUE"""),"제비~ 복 먹으러 나간다")</f>
        <v>제비~ 복 먹으러 나간다</v>
      </c>
      <c r="B9019" s="2" t="str">
        <f>IFERROR(__xludf.DUMMYFUNCTION("""COMPUTED_VALUE"""),"밀가루")</f>
        <v>밀가루</v>
      </c>
    </row>
    <row r="9020">
      <c r="A9020" s="2" t="str">
        <f>IFERROR(__xludf.DUMMYFUNCTION("""COMPUTED_VALUE"""),"제비~ 복 먹으러 나간다")</f>
        <v>제비~ 복 먹으러 나간다</v>
      </c>
      <c r="B9020" s="2" t="str">
        <f>IFERROR(__xludf.DUMMYFUNCTION("""COMPUTED_VALUE"""),"식초")</f>
        <v>식초</v>
      </c>
    </row>
    <row r="9021">
      <c r="A9021" s="2" t="str">
        <f>IFERROR(__xludf.DUMMYFUNCTION("""COMPUTED_VALUE"""),"제비~ 복 먹으러 나간다")</f>
        <v>제비~ 복 먹으러 나간다</v>
      </c>
      <c r="B9021" s="2" t="str">
        <f>IFERROR(__xludf.DUMMYFUNCTION("""COMPUTED_VALUE"""),"다진 마늘")</f>
        <v>다진 마늘</v>
      </c>
    </row>
    <row r="9022">
      <c r="A9022" s="2" t="str">
        <f>IFERROR(__xludf.DUMMYFUNCTION("""COMPUTED_VALUE"""),"제비~ 복 먹으러 나간다")</f>
        <v>제비~ 복 먹으러 나간다</v>
      </c>
      <c r="B9022" s="2" t="str">
        <f>IFERROR(__xludf.DUMMYFUNCTION("""COMPUTED_VALUE"""),"청주")</f>
        <v>청주</v>
      </c>
    </row>
    <row r="9023">
      <c r="A9023" s="2" t="str">
        <f>IFERROR(__xludf.DUMMYFUNCTION("""COMPUTED_VALUE"""),"제비~ 복 먹으러 나간다")</f>
        <v>제비~ 복 먹으러 나간다</v>
      </c>
      <c r="B9023" s="2" t="str">
        <f>IFERROR(__xludf.DUMMYFUNCTION("""COMPUTED_VALUE"""),"대파")</f>
        <v>대파</v>
      </c>
    </row>
    <row r="9024">
      <c r="A9024" s="2" t="str">
        <f>IFERROR(__xludf.DUMMYFUNCTION("""COMPUTED_VALUE"""),"제비~ 복 먹으러 나간다")</f>
        <v>제비~ 복 먹으러 나간다</v>
      </c>
      <c r="B9024" s="2" t="str">
        <f>IFERROR(__xludf.DUMMYFUNCTION("""COMPUTED_VALUE"""),"양파")</f>
        <v>양파</v>
      </c>
    </row>
    <row r="9025">
      <c r="A9025" s="2" t="str">
        <f>IFERROR(__xludf.DUMMYFUNCTION("""COMPUTED_VALUE"""),"제비~ 복 먹으러 나간다")</f>
        <v>제비~ 복 먹으러 나간다</v>
      </c>
      <c r="B9025" s="2" t="str">
        <f>IFERROR(__xludf.DUMMYFUNCTION("""COMPUTED_VALUE"""),"깨")</f>
        <v>깨</v>
      </c>
    </row>
    <row r="9026">
      <c r="A9026" s="2" t="str">
        <f>IFERROR(__xludf.DUMMYFUNCTION("""COMPUTED_VALUE"""),"제비~ 복 먹으러 나간다")</f>
        <v>제비~ 복 먹으러 나간다</v>
      </c>
      <c r="B9026" s="2" t="str">
        <f>IFERROR(__xludf.DUMMYFUNCTION("""COMPUTED_VALUE"""),"참기름")</f>
        <v>참기름</v>
      </c>
    </row>
    <row r="9027">
      <c r="A9027" s="2" t="str">
        <f>IFERROR(__xludf.DUMMYFUNCTION("""COMPUTED_VALUE"""),"제비~ 복 먹으러 나간다")</f>
        <v>제비~ 복 먹으러 나간다</v>
      </c>
      <c r="B9027" s="2" t="str">
        <f>IFERROR(__xludf.DUMMYFUNCTION("""COMPUTED_VALUE"""),"고춧가루")</f>
        <v>고춧가루</v>
      </c>
    </row>
    <row r="9028">
      <c r="A9028" s="2" t="str">
        <f>IFERROR(__xludf.DUMMYFUNCTION("""COMPUTED_VALUE"""),"제비~ 복 먹으러 나간다")</f>
        <v>제비~ 복 먹으러 나간다</v>
      </c>
      <c r="B9028" s="2" t="str">
        <f>IFERROR(__xludf.DUMMYFUNCTION("""COMPUTED_VALUE"""),"설탕")</f>
        <v>설탕</v>
      </c>
    </row>
    <row r="9029">
      <c r="A9029" s="2" t="str">
        <f>IFERROR(__xludf.DUMMYFUNCTION("""COMPUTED_VALUE"""),"제비~ 복 먹으러 나간다")</f>
        <v>제비~ 복 먹으러 나간다</v>
      </c>
      <c r="B9029" s="2" t="str">
        <f>IFERROR(__xludf.DUMMYFUNCTION("""COMPUTED_VALUE"""),"맛술")</f>
        <v>맛술</v>
      </c>
    </row>
    <row r="9030">
      <c r="A9030" s="2" t="str">
        <f>IFERROR(__xludf.DUMMYFUNCTION("""COMPUTED_VALUE"""),"제비~ 복 먹으러 나간다")</f>
        <v>제비~ 복 먹으러 나간다</v>
      </c>
      <c r="B9030" s="2" t="str">
        <f>IFERROR(__xludf.DUMMYFUNCTION("""COMPUTED_VALUE"""),"청양고추")</f>
        <v>청양고추</v>
      </c>
    </row>
    <row r="9031">
      <c r="A9031" s="2" t="str">
        <f>IFERROR(__xludf.DUMMYFUNCTION("""COMPUTED_VALUE"""),"제비~ 복 먹으러 나간다")</f>
        <v>제비~ 복 먹으러 나간다</v>
      </c>
      <c r="B9031" s="2" t="str">
        <f>IFERROR(__xludf.DUMMYFUNCTION("""COMPUTED_VALUE"""),"마요네즈")</f>
        <v>마요네즈</v>
      </c>
    </row>
    <row r="9032">
      <c r="A9032" s="2" t="str">
        <f>IFERROR(__xludf.DUMMYFUNCTION("""COMPUTED_VALUE"""),"제비~ 복 먹으러 나간다")</f>
        <v>제비~ 복 먹으러 나간다</v>
      </c>
      <c r="B9032" s="2" t="str">
        <f>IFERROR(__xludf.DUMMYFUNCTION("""COMPUTED_VALUE"""),"전분")</f>
        <v>전분</v>
      </c>
    </row>
    <row r="9033">
      <c r="A9033" s="2" t="str">
        <f>IFERROR(__xludf.DUMMYFUNCTION("""COMPUTED_VALUE"""),"마성의 분짜조")</f>
        <v>마성의 분짜조</v>
      </c>
      <c r="B9033" s="2" t="str">
        <f>IFERROR(__xludf.DUMMYFUNCTION("""COMPUTED_VALUE"""),"쪽파")</f>
        <v>쪽파</v>
      </c>
    </row>
    <row r="9034">
      <c r="A9034" s="2" t="str">
        <f>IFERROR(__xludf.DUMMYFUNCTION("""COMPUTED_VALUE"""),"마성의 분짜조")</f>
        <v>마성의 분짜조</v>
      </c>
      <c r="B9034" s="2" t="str">
        <f>IFERROR(__xludf.DUMMYFUNCTION("""COMPUTED_VALUE"""),"두부")</f>
        <v>두부</v>
      </c>
    </row>
    <row r="9035">
      <c r="A9035" s="2" t="str">
        <f>IFERROR(__xludf.DUMMYFUNCTION("""COMPUTED_VALUE"""),"마성의 분짜조")</f>
        <v>마성의 분짜조</v>
      </c>
      <c r="B9035" s="2" t="str">
        <f>IFERROR(__xludf.DUMMYFUNCTION("""COMPUTED_VALUE"""),"묵은지")</f>
        <v>묵은지</v>
      </c>
    </row>
    <row r="9036">
      <c r="A9036" s="2" t="str">
        <f>IFERROR(__xludf.DUMMYFUNCTION("""COMPUTED_VALUE"""),"마성의 분짜조")</f>
        <v>마성의 분짜조</v>
      </c>
      <c r="B9036" s="2" t="str">
        <f>IFERROR(__xludf.DUMMYFUNCTION("""COMPUTED_VALUE"""),"목이버섯")</f>
        <v>목이버섯</v>
      </c>
    </row>
    <row r="9037">
      <c r="A9037" s="2" t="str">
        <f>IFERROR(__xludf.DUMMYFUNCTION("""COMPUTED_VALUE"""),"마성의 분짜조")</f>
        <v>마성의 분짜조</v>
      </c>
      <c r="B9037" s="2" t="str">
        <f>IFERROR(__xludf.DUMMYFUNCTION("""COMPUTED_VALUE"""),"라이스페이퍼")</f>
        <v>라이스페이퍼</v>
      </c>
    </row>
    <row r="9038">
      <c r="A9038" s="2" t="str">
        <f>IFERROR(__xludf.DUMMYFUNCTION("""COMPUTED_VALUE"""),"마성의 분짜조")</f>
        <v>마성의 분짜조</v>
      </c>
      <c r="B9038" s="2" t="str">
        <f>IFERROR(__xludf.DUMMYFUNCTION("""COMPUTED_VALUE"""),"쌀국수면")</f>
        <v>쌀국수면</v>
      </c>
    </row>
    <row r="9039">
      <c r="A9039" s="2" t="str">
        <f>IFERROR(__xludf.DUMMYFUNCTION("""COMPUTED_VALUE"""),"마성의 분짜조")</f>
        <v>마성의 분짜조</v>
      </c>
      <c r="B9039" s="2" t="str">
        <f>IFERROR(__xludf.DUMMYFUNCTION("""COMPUTED_VALUE"""),"피시소스")</f>
        <v>피시소스</v>
      </c>
    </row>
    <row r="9040">
      <c r="A9040" s="2" t="str">
        <f>IFERROR(__xludf.DUMMYFUNCTION("""COMPUTED_VALUE"""),"마성의 분짜조")</f>
        <v>마성의 분짜조</v>
      </c>
      <c r="B9040" s="2" t="str">
        <f>IFERROR(__xludf.DUMMYFUNCTION("""COMPUTED_VALUE"""),"쌀식초")</f>
        <v>쌀식초</v>
      </c>
    </row>
    <row r="9041">
      <c r="A9041" s="2" t="str">
        <f>IFERROR(__xludf.DUMMYFUNCTION("""COMPUTED_VALUE"""),"마성의 분짜조")</f>
        <v>마성의 분짜조</v>
      </c>
      <c r="B9041" s="2" t="str">
        <f>IFERROR(__xludf.DUMMYFUNCTION("""COMPUTED_VALUE"""),"갈비산적")</f>
        <v>갈비산적</v>
      </c>
    </row>
    <row r="9042">
      <c r="A9042" s="2" t="str">
        <f>IFERROR(__xludf.DUMMYFUNCTION("""COMPUTED_VALUE"""),"마성의 분짜조")</f>
        <v>마성의 분짜조</v>
      </c>
      <c r="B9042" s="2" t="str">
        <f>IFERROR(__xludf.DUMMYFUNCTION("""COMPUTED_VALUE"""),"스위트칠리소스")</f>
        <v>스위트칠리소스</v>
      </c>
    </row>
    <row r="9043">
      <c r="A9043" s="2" t="str">
        <f>IFERROR(__xludf.DUMMYFUNCTION("""COMPUTED_VALUE"""),"마성의 분짜조")</f>
        <v>마성의 분짜조</v>
      </c>
      <c r="B9043" s="2" t="str">
        <f>IFERROR(__xludf.DUMMYFUNCTION("""COMPUTED_VALUE"""),"스리라차소스")</f>
        <v>스리라차소스</v>
      </c>
    </row>
    <row r="9044">
      <c r="A9044" s="2" t="str">
        <f>IFERROR(__xludf.DUMMYFUNCTION("""COMPUTED_VALUE"""),"마성의 분짜조")</f>
        <v>마성의 분짜조</v>
      </c>
      <c r="B9044" s="2" t="str">
        <f>IFERROR(__xludf.DUMMYFUNCTION("""COMPUTED_VALUE"""),"샐러드용 채소")</f>
        <v>샐러드용 채소</v>
      </c>
    </row>
    <row r="9045">
      <c r="A9045" s="2" t="str">
        <f>IFERROR(__xludf.DUMMYFUNCTION("""COMPUTED_VALUE"""),"마성의 분짜조")</f>
        <v>마성의 분짜조</v>
      </c>
      <c r="B9045" s="2" t="str">
        <f>IFERROR(__xludf.DUMMYFUNCTION("""COMPUTED_VALUE"""),"고수")</f>
        <v>고수</v>
      </c>
    </row>
    <row r="9046">
      <c r="A9046" s="2" t="str">
        <f>IFERROR(__xludf.DUMMYFUNCTION("""COMPUTED_VALUE"""),"마성의 분짜조")</f>
        <v>마성의 분짜조</v>
      </c>
      <c r="B9046" s="2" t="str">
        <f>IFERROR(__xludf.DUMMYFUNCTION("""COMPUTED_VALUE"""),"다진 돼지고기")</f>
        <v>다진 돼지고기</v>
      </c>
    </row>
    <row r="9047">
      <c r="A9047" s="2" t="str">
        <f>IFERROR(__xludf.DUMMYFUNCTION("""COMPUTED_VALUE"""),"마성의 분짜조")</f>
        <v>마성의 분짜조</v>
      </c>
      <c r="B9047" s="2" t="str">
        <f>IFERROR(__xludf.DUMMYFUNCTION("""COMPUTED_VALUE"""),"양파")</f>
        <v>양파</v>
      </c>
    </row>
    <row r="9048">
      <c r="A9048" s="2" t="str">
        <f>IFERROR(__xludf.DUMMYFUNCTION("""COMPUTED_VALUE"""),"마성의 분짜조")</f>
        <v>마성의 분짜조</v>
      </c>
      <c r="B9048" s="2" t="str">
        <f>IFERROR(__xludf.DUMMYFUNCTION("""COMPUTED_VALUE"""),"달걀")</f>
        <v>달걀</v>
      </c>
    </row>
    <row r="9049">
      <c r="A9049" s="2" t="str">
        <f>IFERROR(__xludf.DUMMYFUNCTION("""COMPUTED_VALUE"""),"마성의 분짜조")</f>
        <v>마성의 분짜조</v>
      </c>
      <c r="B9049" s="2" t="str">
        <f>IFERROR(__xludf.DUMMYFUNCTION("""COMPUTED_VALUE"""),"설탕")</f>
        <v>설탕</v>
      </c>
    </row>
    <row r="9050">
      <c r="A9050" s="2" t="str">
        <f>IFERROR(__xludf.DUMMYFUNCTION("""COMPUTED_VALUE"""),"마성의 분짜조")</f>
        <v>마성의 분짜조</v>
      </c>
      <c r="B9050" s="2" t="str">
        <f>IFERROR(__xludf.DUMMYFUNCTION("""COMPUTED_VALUE"""),"소금")</f>
        <v>소금</v>
      </c>
    </row>
    <row r="9051">
      <c r="A9051" s="2" t="str">
        <f>IFERROR(__xludf.DUMMYFUNCTION("""COMPUTED_VALUE"""),"마성의 분짜조")</f>
        <v>마성의 분짜조</v>
      </c>
      <c r="B9051" s="2" t="str">
        <f>IFERROR(__xludf.DUMMYFUNCTION("""COMPUTED_VALUE"""),"후추")</f>
        <v>후추</v>
      </c>
    </row>
    <row r="9052">
      <c r="A9052" s="2" t="str">
        <f>IFERROR(__xludf.DUMMYFUNCTION("""COMPUTED_VALUE"""),"마성의 분짜조")</f>
        <v>마성의 분짜조</v>
      </c>
      <c r="B9052" s="2" t="str">
        <f>IFERROR(__xludf.DUMMYFUNCTION("""COMPUTED_VALUE"""),"당근")</f>
        <v>당근</v>
      </c>
    </row>
    <row r="9053">
      <c r="A9053" s="2" t="str">
        <f>IFERROR(__xludf.DUMMYFUNCTION("""COMPUTED_VALUE"""),"칼제비전")</f>
        <v>칼제비전</v>
      </c>
      <c r="B9053" s="2" t="str">
        <f>IFERROR(__xludf.DUMMYFUNCTION("""COMPUTED_VALUE"""),"새우가루")</f>
        <v>새우가루</v>
      </c>
    </row>
    <row r="9054">
      <c r="A9054" s="2" t="str">
        <f>IFERROR(__xludf.DUMMYFUNCTION("""COMPUTED_VALUE"""),"칼제비전")</f>
        <v>칼제비전</v>
      </c>
      <c r="B9054" s="2" t="str">
        <f>IFERROR(__xludf.DUMMYFUNCTION("""COMPUTED_VALUE"""),"감자")</f>
        <v>감자</v>
      </c>
    </row>
    <row r="9055">
      <c r="A9055" s="2" t="str">
        <f>IFERROR(__xludf.DUMMYFUNCTION("""COMPUTED_VALUE"""),"칼제비전")</f>
        <v>칼제비전</v>
      </c>
      <c r="B9055" s="2" t="str">
        <f>IFERROR(__xludf.DUMMYFUNCTION("""COMPUTED_VALUE"""),"애호박")</f>
        <v>애호박</v>
      </c>
    </row>
    <row r="9056">
      <c r="A9056" s="2" t="str">
        <f>IFERROR(__xludf.DUMMYFUNCTION("""COMPUTED_VALUE"""),"칼제비전")</f>
        <v>칼제비전</v>
      </c>
      <c r="B9056" s="2" t="str">
        <f>IFERROR(__xludf.DUMMYFUNCTION("""COMPUTED_VALUE"""),"부침가루")</f>
        <v>부침가루</v>
      </c>
    </row>
    <row r="9057">
      <c r="A9057" s="2" t="str">
        <f>IFERROR(__xludf.DUMMYFUNCTION("""COMPUTED_VALUE"""),"칼제비전")</f>
        <v>칼제비전</v>
      </c>
      <c r="B9057" s="2" t="str">
        <f>IFERROR(__xludf.DUMMYFUNCTION("""COMPUTED_VALUE"""),"부추")</f>
        <v>부추</v>
      </c>
    </row>
    <row r="9058">
      <c r="A9058" s="2" t="str">
        <f>IFERROR(__xludf.DUMMYFUNCTION("""COMPUTED_VALUE"""),"칼제비전")</f>
        <v>칼제비전</v>
      </c>
      <c r="B9058" s="2" t="str">
        <f>IFERROR(__xludf.DUMMYFUNCTION("""COMPUTED_VALUE"""),"깻잎")</f>
        <v>깻잎</v>
      </c>
    </row>
    <row r="9059">
      <c r="A9059" s="2" t="str">
        <f>IFERROR(__xludf.DUMMYFUNCTION("""COMPUTED_VALUE"""),"칼제비전")</f>
        <v>칼제비전</v>
      </c>
      <c r="B9059" s="2" t="str">
        <f>IFERROR(__xludf.DUMMYFUNCTION("""COMPUTED_VALUE"""),"칵테일새우")</f>
        <v>칵테일새우</v>
      </c>
    </row>
    <row r="9060">
      <c r="A9060" s="2" t="str">
        <f>IFERROR(__xludf.DUMMYFUNCTION("""COMPUTED_VALUE"""),"칼제비전")</f>
        <v>칼제비전</v>
      </c>
      <c r="B9060" s="2" t="str">
        <f>IFERROR(__xludf.DUMMYFUNCTION("""COMPUTED_VALUE"""),"칼국수면")</f>
        <v>칼국수면</v>
      </c>
    </row>
    <row r="9061">
      <c r="A9061" s="2" t="str">
        <f>IFERROR(__xludf.DUMMYFUNCTION("""COMPUTED_VALUE"""),"칼제비전")</f>
        <v>칼제비전</v>
      </c>
      <c r="B9061" s="2" t="str">
        <f>IFERROR(__xludf.DUMMYFUNCTION("""COMPUTED_VALUE"""),"수제비")</f>
        <v>수제비</v>
      </c>
    </row>
    <row r="9062">
      <c r="A9062" s="2" t="str">
        <f>IFERROR(__xludf.DUMMYFUNCTION("""COMPUTED_VALUE"""),"칼제비전")</f>
        <v>칼제비전</v>
      </c>
      <c r="B9062" s="2" t="str">
        <f>IFERROR(__xludf.DUMMYFUNCTION("""COMPUTED_VALUE"""),"팽이버섯")</f>
        <v>팽이버섯</v>
      </c>
    </row>
    <row r="9063">
      <c r="A9063" s="2" t="str">
        <f>IFERROR(__xludf.DUMMYFUNCTION("""COMPUTED_VALUE"""),"칼제비전")</f>
        <v>칼제비전</v>
      </c>
      <c r="B9063" s="2" t="str">
        <f>IFERROR(__xludf.DUMMYFUNCTION("""COMPUTED_VALUE"""),"두부")</f>
        <v>두부</v>
      </c>
    </row>
    <row r="9064">
      <c r="A9064" s="2" t="str">
        <f>IFERROR(__xludf.DUMMYFUNCTION("""COMPUTED_VALUE"""),"칼제비전")</f>
        <v>칼제비전</v>
      </c>
      <c r="B9064" s="2" t="str">
        <f>IFERROR(__xludf.DUMMYFUNCTION("""COMPUTED_VALUE"""),"날치알")</f>
        <v>날치알</v>
      </c>
    </row>
    <row r="9065">
      <c r="A9065" s="2" t="str">
        <f>IFERROR(__xludf.DUMMYFUNCTION("""COMPUTED_VALUE"""),"칼제비전")</f>
        <v>칼제비전</v>
      </c>
      <c r="B9065" s="2" t="str">
        <f>IFERROR(__xludf.DUMMYFUNCTION("""COMPUTED_VALUE"""),"막걸리")</f>
        <v>막걸리</v>
      </c>
    </row>
    <row r="9066">
      <c r="A9066" s="2" t="str">
        <f>IFERROR(__xludf.DUMMYFUNCTION("""COMPUTED_VALUE"""),"칼제비전")</f>
        <v>칼제비전</v>
      </c>
      <c r="B9066" s="2" t="str">
        <f>IFERROR(__xludf.DUMMYFUNCTION("""COMPUTED_VALUE"""),"된장")</f>
        <v>된장</v>
      </c>
    </row>
    <row r="9067">
      <c r="A9067" s="2" t="str">
        <f>IFERROR(__xludf.DUMMYFUNCTION("""COMPUTED_VALUE"""),"칼제비전")</f>
        <v>칼제비전</v>
      </c>
      <c r="B9067" s="2" t="str">
        <f>IFERROR(__xludf.DUMMYFUNCTION("""COMPUTED_VALUE"""),"청양고추")</f>
        <v>청양고추</v>
      </c>
    </row>
    <row r="9068">
      <c r="A9068" s="2" t="str">
        <f>IFERROR(__xludf.DUMMYFUNCTION("""COMPUTED_VALUE"""),"칼제비전")</f>
        <v>칼제비전</v>
      </c>
      <c r="B9068" s="2" t="str">
        <f>IFERROR(__xludf.DUMMYFUNCTION("""COMPUTED_VALUE"""),"소금")</f>
        <v>소금</v>
      </c>
    </row>
    <row r="9069">
      <c r="A9069" s="2" t="str">
        <f>IFERROR(__xludf.DUMMYFUNCTION("""COMPUTED_VALUE"""),"칼제비전")</f>
        <v>칼제비전</v>
      </c>
      <c r="B9069" s="2" t="str">
        <f>IFERROR(__xludf.DUMMYFUNCTION("""COMPUTED_VALUE"""),"참기름")</f>
        <v>참기름</v>
      </c>
    </row>
    <row r="9070">
      <c r="A9070" s="2" t="str">
        <f>IFERROR(__xludf.DUMMYFUNCTION("""COMPUTED_VALUE"""),"칼제비전")</f>
        <v>칼제비전</v>
      </c>
      <c r="B9070" s="2" t="str">
        <f>IFERROR(__xludf.DUMMYFUNCTION("""COMPUTED_VALUE"""),"홍고추")</f>
        <v>홍고추</v>
      </c>
    </row>
    <row r="9071">
      <c r="A9071" s="2" t="str">
        <f>IFERROR(__xludf.DUMMYFUNCTION("""COMPUTED_VALUE"""),"칼제비전")</f>
        <v>칼제비전</v>
      </c>
      <c r="B9071" s="2" t="str">
        <f>IFERROR(__xludf.DUMMYFUNCTION("""COMPUTED_VALUE"""),"다진 마늘")</f>
        <v>다진 마늘</v>
      </c>
    </row>
    <row r="9072">
      <c r="A9072" s="2" t="str">
        <f>IFERROR(__xludf.DUMMYFUNCTION("""COMPUTED_VALUE"""),"칼제비전")</f>
        <v>칼제비전</v>
      </c>
      <c r="B9072" s="2" t="str">
        <f>IFERROR(__xludf.DUMMYFUNCTION("""COMPUTED_VALUE"""),"후추")</f>
        <v>후추</v>
      </c>
    </row>
    <row r="9073">
      <c r="A9073" s="2" t="str">
        <f>IFERROR(__xludf.DUMMYFUNCTION("""COMPUTED_VALUE"""),"칼제비전")</f>
        <v>칼제비전</v>
      </c>
      <c r="B9073" s="2" t="str">
        <f>IFERROR(__xludf.DUMMYFUNCTION("""COMPUTED_VALUE"""),"간장")</f>
        <v>간장</v>
      </c>
    </row>
    <row r="9074">
      <c r="A9074" s="2" t="str">
        <f>IFERROR(__xludf.DUMMYFUNCTION("""COMPUTED_VALUE"""),"칼제비전")</f>
        <v>칼제비전</v>
      </c>
      <c r="B9074" s="2" t="str">
        <f>IFERROR(__xludf.DUMMYFUNCTION("""COMPUTED_VALUE"""),"식초")</f>
        <v>식초</v>
      </c>
    </row>
    <row r="9075">
      <c r="A9075" s="2" t="str">
        <f>IFERROR(__xludf.DUMMYFUNCTION("""COMPUTED_VALUE"""),"칼제비전")</f>
        <v>칼제비전</v>
      </c>
      <c r="B9075" s="2" t="str">
        <f>IFERROR(__xludf.DUMMYFUNCTION("""COMPUTED_VALUE"""),"고춧가루")</f>
        <v>고춧가루</v>
      </c>
    </row>
    <row r="9076">
      <c r="A9076" s="2" t="str">
        <f>IFERROR(__xludf.DUMMYFUNCTION("""COMPUTED_VALUE"""),"아모르 패티")</f>
        <v>아모르 패티</v>
      </c>
      <c r="B9076" s="2" t="str">
        <f>IFERROR(__xludf.DUMMYFUNCTION("""COMPUTED_VALUE"""),"소고기 등심")</f>
        <v>소고기 등심</v>
      </c>
    </row>
    <row r="9077">
      <c r="A9077" s="2" t="str">
        <f>IFERROR(__xludf.DUMMYFUNCTION("""COMPUTED_VALUE"""),"아모르 패티")</f>
        <v>아모르 패티</v>
      </c>
      <c r="B9077" s="2" t="str">
        <f>IFERROR(__xludf.DUMMYFUNCTION("""COMPUTED_VALUE"""),"다진 돼지고기")</f>
        <v>다진 돼지고기</v>
      </c>
    </row>
    <row r="9078">
      <c r="A9078" s="2" t="str">
        <f>IFERROR(__xludf.DUMMYFUNCTION("""COMPUTED_VALUE"""),"아모르 패티")</f>
        <v>아모르 패티</v>
      </c>
      <c r="B9078" s="2" t="str">
        <f>IFERROR(__xludf.DUMMYFUNCTION("""COMPUTED_VALUE"""),"부추")</f>
        <v>부추</v>
      </c>
    </row>
    <row r="9079">
      <c r="A9079" s="2" t="str">
        <f>IFERROR(__xludf.DUMMYFUNCTION("""COMPUTED_VALUE"""),"아모르 패티")</f>
        <v>아모르 패티</v>
      </c>
      <c r="B9079" s="2" t="str">
        <f>IFERROR(__xludf.DUMMYFUNCTION("""COMPUTED_VALUE"""),"모차렐라치즈")</f>
        <v>모차렐라치즈</v>
      </c>
    </row>
    <row r="9080">
      <c r="A9080" s="2" t="str">
        <f>IFERROR(__xludf.DUMMYFUNCTION("""COMPUTED_VALUE"""),"아모르 패티")</f>
        <v>아모르 패티</v>
      </c>
      <c r="B9080" s="2" t="str">
        <f>IFERROR(__xludf.DUMMYFUNCTION("""COMPUTED_VALUE"""),"감자")</f>
        <v>감자</v>
      </c>
    </row>
    <row r="9081">
      <c r="A9081" s="2" t="str">
        <f>IFERROR(__xludf.DUMMYFUNCTION("""COMPUTED_VALUE"""),"아모르 패티")</f>
        <v>아모르 패티</v>
      </c>
      <c r="B9081" s="2" t="str">
        <f>IFERROR(__xludf.DUMMYFUNCTION("""COMPUTED_VALUE"""),"토마토소스")</f>
        <v>토마토소스</v>
      </c>
    </row>
    <row r="9082">
      <c r="A9082" s="2" t="str">
        <f>IFERROR(__xludf.DUMMYFUNCTION("""COMPUTED_VALUE"""),"아모르 패티")</f>
        <v>아모르 패티</v>
      </c>
      <c r="B9082" s="2" t="str">
        <f>IFERROR(__xludf.DUMMYFUNCTION("""COMPUTED_VALUE"""),"양파")</f>
        <v>양파</v>
      </c>
    </row>
    <row r="9083">
      <c r="A9083" s="2" t="str">
        <f>IFERROR(__xludf.DUMMYFUNCTION("""COMPUTED_VALUE"""),"아모르 패티")</f>
        <v>아모르 패티</v>
      </c>
      <c r="B9083" s="2" t="str">
        <f>IFERROR(__xludf.DUMMYFUNCTION("""COMPUTED_VALUE"""),"올리브오일")</f>
        <v>올리브오일</v>
      </c>
    </row>
    <row r="9084">
      <c r="A9084" s="2" t="str">
        <f>IFERROR(__xludf.DUMMYFUNCTION("""COMPUTED_VALUE"""),"아모르 패티")</f>
        <v>아모르 패티</v>
      </c>
      <c r="B9084" s="2" t="str">
        <f>IFERROR(__xludf.DUMMYFUNCTION("""COMPUTED_VALUE"""),"소금")</f>
        <v>소금</v>
      </c>
    </row>
    <row r="9085">
      <c r="A9085" s="2" t="str">
        <f>IFERROR(__xludf.DUMMYFUNCTION("""COMPUTED_VALUE"""),"아모르 패티")</f>
        <v>아모르 패티</v>
      </c>
      <c r="B9085" s="2" t="str">
        <f>IFERROR(__xludf.DUMMYFUNCTION("""COMPUTED_VALUE"""),"후추")</f>
        <v>후추</v>
      </c>
    </row>
    <row r="9086">
      <c r="A9086" s="2" t="str">
        <f>IFERROR(__xludf.DUMMYFUNCTION("""COMPUTED_VALUE"""),"아모르 패티")</f>
        <v>아모르 패티</v>
      </c>
      <c r="B9086" s="2" t="str">
        <f>IFERROR(__xludf.DUMMYFUNCTION("""COMPUTED_VALUE"""),"달걀")</f>
        <v>달걀</v>
      </c>
    </row>
    <row r="9087">
      <c r="A9087" s="2" t="str">
        <f>IFERROR(__xludf.DUMMYFUNCTION("""COMPUTED_VALUE"""),"아모르 패티")</f>
        <v>아모르 패티</v>
      </c>
      <c r="B9087" s="2" t="str">
        <f>IFERROR(__xludf.DUMMYFUNCTION("""COMPUTED_VALUE"""),"밀가루")</f>
        <v>밀가루</v>
      </c>
    </row>
    <row r="9088">
      <c r="A9088" s="2" t="str">
        <f>IFERROR(__xludf.DUMMYFUNCTION("""COMPUTED_VALUE"""),"아모르 패티")</f>
        <v>아모르 패티</v>
      </c>
      <c r="B9088" s="2" t="str">
        <f>IFERROR(__xludf.DUMMYFUNCTION("""COMPUTED_VALUE"""),"청양고추")</f>
        <v>청양고추</v>
      </c>
    </row>
    <row r="9089">
      <c r="A9089" s="2" t="str">
        <f>IFERROR(__xludf.DUMMYFUNCTION("""COMPUTED_VALUE"""),"아모르 패티")</f>
        <v>아모르 패티</v>
      </c>
      <c r="B9089" s="2" t="str">
        <f>IFERROR(__xludf.DUMMYFUNCTION("""COMPUTED_VALUE"""),"홍고추")</f>
        <v>홍고추</v>
      </c>
    </row>
    <row r="9090">
      <c r="A9090" s="2" t="str">
        <f>IFERROR(__xludf.DUMMYFUNCTION("""COMPUTED_VALUE"""),"아모르 패티")</f>
        <v>아모르 패티</v>
      </c>
      <c r="B9090" s="2" t="str">
        <f>IFERROR(__xludf.DUMMYFUNCTION("""COMPUTED_VALUE"""),"마늘")</f>
        <v>마늘</v>
      </c>
    </row>
    <row r="9091">
      <c r="A9091" s="2" t="str">
        <f>IFERROR(__xludf.DUMMYFUNCTION("""COMPUTED_VALUE"""),"아모르 패티")</f>
        <v>아모르 패티</v>
      </c>
      <c r="B9091" s="2" t="str">
        <f>IFERROR(__xludf.DUMMYFUNCTION("""COMPUTED_VALUE"""),"식초")</f>
        <v>식초</v>
      </c>
    </row>
    <row r="9092">
      <c r="A9092" s="2" t="str">
        <f>IFERROR(__xludf.DUMMYFUNCTION("""COMPUTED_VALUE"""),"아모르 패티")</f>
        <v>아모르 패티</v>
      </c>
      <c r="B9092" s="2" t="str">
        <f>IFERROR(__xludf.DUMMYFUNCTION("""COMPUTED_VALUE"""),"레몬")</f>
        <v>레몬</v>
      </c>
    </row>
    <row r="9093">
      <c r="A9093" s="2" t="str">
        <f>IFERROR(__xludf.DUMMYFUNCTION("""COMPUTED_VALUE"""),"뜯고 씹고 호로록")</f>
        <v>뜯고 씹고 호로록</v>
      </c>
      <c r="B9093" s="2" t="str">
        <f>IFERROR(__xludf.DUMMYFUNCTION("""COMPUTED_VALUE"""),"당면")</f>
        <v>당면</v>
      </c>
    </row>
    <row r="9094">
      <c r="A9094" s="2" t="str">
        <f>IFERROR(__xludf.DUMMYFUNCTION("""COMPUTED_VALUE"""),"뜯고 씹고 호로록")</f>
        <v>뜯고 씹고 호로록</v>
      </c>
      <c r="B9094" s="2" t="str">
        <f>IFERROR(__xludf.DUMMYFUNCTION("""COMPUTED_VALUE"""),"등갈비")</f>
        <v>등갈비</v>
      </c>
    </row>
    <row r="9095">
      <c r="A9095" s="2" t="str">
        <f>IFERROR(__xludf.DUMMYFUNCTION("""COMPUTED_VALUE"""),"뜯고 씹고 호로록")</f>
        <v>뜯고 씹고 호로록</v>
      </c>
      <c r="B9095" s="2" t="str">
        <f>IFERROR(__xludf.DUMMYFUNCTION("""COMPUTED_VALUE"""),"조미간장")</f>
        <v>조미간장</v>
      </c>
    </row>
    <row r="9096">
      <c r="A9096" s="2" t="str">
        <f>IFERROR(__xludf.DUMMYFUNCTION("""COMPUTED_VALUE"""),"뜯고 씹고 호로록")</f>
        <v>뜯고 씹고 호로록</v>
      </c>
      <c r="B9096" s="2" t="str">
        <f>IFERROR(__xludf.DUMMYFUNCTION("""COMPUTED_VALUE"""),"오징어")</f>
        <v>오징어</v>
      </c>
    </row>
    <row r="9097">
      <c r="A9097" s="2" t="str">
        <f>IFERROR(__xludf.DUMMYFUNCTION("""COMPUTED_VALUE"""),"뜯고 씹고 호로록")</f>
        <v>뜯고 씹고 호로록</v>
      </c>
      <c r="B9097" s="2" t="str">
        <f>IFERROR(__xludf.DUMMYFUNCTION("""COMPUTED_VALUE"""),"돼지목살")</f>
        <v>돼지목살</v>
      </c>
    </row>
    <row r="9098">
      <c r="A9098" s="2" t="str">
        <f>IFERROR(__xludf.DUMMYFUNCTION("""COMPUTED_VALUE"""),"뜯고 씹고 호로록")</f>
        <v>뜯고 씹고 호로록</v>
      </c>
      <c r="B9098" s="2" t="str">
        <f>IFERROR(__xludf.DUMMYFUNCTION("""COMPUTED_VALUE"""),"느타리버섯")</f>
        <v>느타리버섯</v>
      </c>
    </row>
    <row r="9099">
      <c r="A9099" s="2" t="str">
        <f>IFERROR(__xludf.DUMMYFUNCTION("""COMPUTED_VALUE"""),"뜯고 씹고 호로록")</f>
        <v>뜯고 씹고 호로록</v>
      </c>
      <c r="B9099" s="2" t="str">
        <f>IFERROR(__xludf.DUMMYFUNCTION("""COMPUTED_VALUE"""),"새우가루")</f>
        <v>새우가루</v>
      </c>
    </row>
    <row r="9100">
      <c r="A9100" s="2" t="str">
        <f>IFERROR(__xludf.DUMMYFUNCTION("""COMPUTED_VALUE"""),"뜯고 씹고 호로록")</f>
        <v>뜯고 씹고 호로록</v>
      </c>
      <c r="B9100" s="2" t="str">
        <f>IFERROR(__xludf.DUMMYFUNCTION("""COMPUTED_VALUE"""),"무")</f>
        <v>무</v>
      </c>
    </row>
    <row r="9101">
      <c r="A9101" s="2" t="str">
        <f>IFERROR(__xludf.DUMMYFUNCTION("""COMPUTED_VALUE"""),"뜯고 씹고 호로록")</f>
        <v>뜯고 씹고 호로록</v>
      </c>
      <c r="B9101" s="2" t="str">
        <f>IFERROR(__xludf.DUMMYFUNCTION("""COMPUTED_VALUE"""),"새우젓")</f>
        <v>새우젓</v>
      </c>
    </row>
    <row r="9102">
      <c r="A9102" s="2" t="str">
        <f>IFERROR(__xludf.DUMMYFUNCTION("""COMPUTED_VALUE"""),"뜯고 씹고 호로록")</f>
        <v>뜯고 씹고 호로록</v>
      </c>
      <c r="B9102" s="2" t="str">
        <f>IFERROR(__xludf.DUMMYFUNCTION("""COMPUTED_VALUE"""),"인스턴트 사골곰탕")</f>
        <v>인스턴트 사골곰탕</v>
      </c>
    </row>
    <row r="9103">
      <c r="A9103" s="2" t="str">
        <f>IFERROR(__xludf.DUMMYFUNCTION("""COMPUTED_VALUE"""),"뜯고 씹고 호로록")</f>
        <v>뜯고 씹고 호로록</v>
      </c>
      <c r="B9103" s="2" t="str">
        <f>IFERROR(__xludf.DUMMYFUNCTION("""COMPUTED_VALUE"""),"새우")</f>
        <v>새우</v>
      </c>
    </row>
    <row r="9104">
      <c r="A9104" s="2" t="str">
        <f>IFERROR(__xludf.DUMMYFUNCTION("""COMPUTED_VALUE"""),"뜯고 씹고 호로록")</f>
        <v>뜯고 씹고 호로록</v>
      </c>
      <c r="B9104" s="2" t="str">
        <f>IFERROR(__xludf.DUMMYFUNCTION("""COMPUTED_VALUE"""),"양배추")</f>
        <v>양배추</v>
      </c>
    </row>
    <row r="9105">
      <c r="A9105" s="2" t="str">
        <f>IFERROR(__xludf.DUMMYFUNCTION("""COMPUTED_VALUE"""),"뜯고 씹고 호로록")</f>
        <v>뜯고 씹고 호로록</v>
      </c>
      <c r="B9105" s="2" t="str">
        <f>IFERROR(__xludf.DUMMYFUNCTION("""COMPUTED_VALUE"""),"사과")</f>
        <v>사과</v>
      </c>
    </row>
    <row r="9106">
      <c r="A9106" s="2" t="str">
        <f>IFERROR(__xludf.DUMMYFUNCTION("""COMPUTED_VALUE"""),"뜯고 씹고 호로록")</f>
        <v>뜯고 씹고 호로록</v>
      </c>
      <c r="B9106" s="2" t="str">
        <f>IFERROR(__xludf.DUMMYFUNCTION("""COMPUTED_VALUE"""),"부추")</f>
        <v>부추</v>
      </c>
    </row>
    <row r="9107">
      <c r="A9107" s="2" t="str">
        <f>IFERROR(__xludf.DUMMYFUNCTION("""COMPUTED_VALUE"""),"뜯고 씹고 호로록")</f>
        <v>뜯고 씹고 호로록</v>
      </c>
      <c r="B9107" s="2" t="str">
        <f>IFERROR(__xludf.DUMMYFUNCTION("""COMPUTED_VALUE"""),"폰즈소스")</f>
        <v>폰즈소스</v>
      </c>
    </row>
    <row r="9108">
      <c r="A9108" s="2" t="str">
        <f>IFERROR(__xludf.DUMMYFUNCTION("""COMPUTED_VALUE"""),"뜯고 씹고 호로록")</f>
        <v>뜯고 씹고 호로록</v>
      </c>
      <c r="B9108" s="2" t="str">
        <f>IFERROR(__xludf.DUMMYFUNCTION("""COMPUTED_VALUE"""),"매실액")</f>
        <v>매실액</v>
      </c>
    </row>
    <row r="9109">
      <c r="A9109" s="2" t="str">
        <f>IFERROR(__xludf.DUMMYFUNCTION("""COMPUTED_VALUE"""),"뜯고 씹고 호로록")</f>
        <v>뜯고 씹고 호로록</v>
      </c>
      <c r="B9109" s="2" t="str">
        <f>IFERROR(__xludf.DUMMYFUNCTION("""COMPUTED_VALUE"""),"대파")</f>
        <v>대파</v>
      </c>
    </row>
    <row r="9110">
      <c r="A9110" s="2" t="str">
        <f>IFERROR(__xludf.DUMMYFUNCTION("""COMPUTED_VALUE"""),"뜯고 씹고 호로록")</f>
        <v>뜯고 씹고 호로록</v>
      </c>
      <c r="B9110" s="2" t="str">
        <f>IFERROR(__xludf.DUMMYFUNCTION("""COMPUTED_VALUE"""),"고춧가루")</f>
        <v>고춧가루</v>
      </c>
    </row>
    <row r="9111">
      <c r="A9111" s="2" t="str">
        <f>IFERROR(__xludf.DUMMYFUNCTION("""COMPUTED_VALUE"""),"뜯고 씹고 호로록")</f>
        <v>뜯고 씹고 호로록</v>
      </c>
      <c r="B9111" s="2" t="str">
        <f>IFERROR(__xludf.DUMMYFUNCTION("""COMPUTED_VALUE"""),"마늘")</f>
        <v>마늘</v>
      </c>
    </row>
    <row r="9112">
      <c r="A9112" s="2" t="str">
        <f>IFERROR(__xludf.DUMMYFUNCTION("""COMPUTED_VALUE"""),"뜯고 씹고 호로록")</f>
        <v>뜯고 씹고 호로록</v>
      </c>
      <c r="B9112" s="2" t="str">
        <f>IFERROR(__xludf.DUMMYFUNCTION("""COMPUTED_VALUE"""),"전분")</f>
        <v>전분</v>
      </c>
    </row>
    <row r="9113">
      <c r="A9113" s="2" t="str">
        <f>IFERROR(__xludf.DUMMYFUNCTION("""COMPUTED_VALUE"""),"뜯고 씹고 호로록")</f>
        <v>뜯고 씹고 호로록</v>
      </c>
      <c r="B9113" s="2" t="str">
        <f>IFERROR(__xludf.DUMMYFUNCTION("""COMPUTED_VALUE"""),"양파")</f>
        <v>양파</v>
      </c>
    </row>
    <row r="9114">
      <c r="A9114" s="2" t="str">
        <f>IFERROR(__xludf.DUMMYFUNCTION("""COMPUTED_VALUE"""),"뜯고 씹고 호로록")</f>
        <v>뜯고 씹고 호로록</v>
      </c>
      <c r="B9114" s="2" t="str">
        <f>IFERROR(__xludf.DUMMYFUNCTION("""COMPUTED_VALUE"""),"청양고추")</f>
        <v>청양고추</v>
      </c>
    </row>
    <row r="9115">
      <c r="A9115" s="2" t="str">
        <f>IFERROR(__xludf.DUMMYFUNCTION("""COMPUTED_VALUE"""),"뜯고 씹고 호로록")</f>
        <v>뜯고 씹고 호로록</v>
      </c>
      <c r="B9115" s="2" t="str">
        <f>IFERROR(__xludf.DUMMYFUNCTION("""COMPUTED_VALUE"""),"홍고추")</f>
        <v>홍고추</v>
      </c>
    </row>
    <row r="9116">
      <c r="A9116" s="2" t="str">
        <f>IFERROR(__xludf.DUMMYFUNCTION("""COMPUTED_VALUE"""),"뜯고 씹고 호로록")</f>
        <v>뜯고 씹고 호로록</v>
      </c>
      <c r="B9116" s="2" t="str">
        <f>IFERROR(__xludf.DUMMYFUNCTION("""COMPUTED_VALUE"""),"설탕")</f>
        <v>설탕</v>
      </c>
    </row>
    <row r="9117">
      <c r="A9117" s="2" t="str">
        <f>IFERROR(__xludf.DUMMYFUNCTION("""COMPUTED_VALUE"""),"뜯고 씹고 호로록")</f>
        <v>뜯고 씹고 호로록</v>
      </c>
      <c r="B9117" s="2" t="str">
        <f>IFERROR(__xludf.DUMMYFUNCTION("""COMPUTED_VALUE"""),"간장")</f>
        <v>간장</v>
      </c>
    </row>
    <row r="9118">
      <c r="A9118" s="2" t="str">
        <f>IFERROR(__xludf.DUMMYFUNCTION("""COMPUTED_VALUE"""),"뜯고 씹고 호로록")</f>
        <v>뜯고 씹고 호로록</v>
      </c>
      <c r="B9118" s="2" t="str">
        <f>IFERROR(__xludf.DUMMYFUNCTION("""COMPUTED_VALUE"""),"식초")</f>
        <v>식초</v>
      </c>
    </row>
    <row r="9119">
      <c r="A9119" s="2" t="str">
        <f>IFERROR(__xludf.DUMMYFUNCTION("""COMPUTED_VALUE"""),"뜯고 씹고 호로록")</f>
        <v>뜯고 씹고 호로록</v>
      </c>
      <c r="B9119" s="2" t="str">
        <f>IFERROR(__xludf.DUMMYFUNCTION("""COMPUTED_VALUE"""),"맛술")</f>
        <v>맛술</v>
      </c>
    </row>
    <row r="9120">
      <c r="A9120" s="2" t="str">
        <f>IFERROR(__xludf.DUMMYFUNCTION("""COMPUTED_VALUE"""),"뜯고 씹고 호로록")</f>
        <v>뜯고 씹고 호로록</v>
      </c>
      <c r="B9120" s="2" t="str">
        <f>IFERROR(__xludf.DUMMYFUNCTION("""COMPUTED_VALUE"""),"전분")</f>
        <v>전분</v>
      </c>
    </row>
    <row r="9121">
      <c r="A9121" s="2" t="str">
        <f>IFERROR(__xludf.DUMMYFUNCTION("""COMPUTED_VALUE"""),"역전만루홍런")</f>
        <v>역전만루홍런</v>
      </c>
      <c r="B9121" s="2" t="str">
        <f>IFERROR(__xludf.DUMMYFUNCTION("""COMPUTED_VALUE"""),"통오겹살")</f>
        <v>통오겹살</v>
      </c>
    </row>
    <row r="9122">
      <c r="A9122" s="2" t="str">
        <f>IFERROR(__xludf.DUMMYFUNCTION("""COMPUTED_VALUE"""),"역전만루홍런")</f>
        <v>역전만루홍런</v>
      </c>
      <c r="B9122" s="2" t="str">
        <f>IFERROR(__xludf.DUMMYFUNCTION("""COMPUTED_VALUE"""),"가래떡")</f>
        <v>가래떡</v>
      </c>
    </row>
    <row r="9123">
      <c r="A9123" s="2" t="str">
        <f>IFERROR(__xludf.DUMMYFUNCTION("""COMPUTED_VALUE"""),"역전만루홍런")</f>
        <v>역전만루홍런</v>
      </c>
      <c r="B9123" s="2" t="str">
        <f>IFERROR(__xludf.DUMMYFUNCTION("""COMPUTED_VALUE"""),"손질된 묵은지")</f>
        <v>손질된 묵은지</v>
      </c>
    </row>
    <row r="9124">
      <c r="A9124" s="2" t="str">
        <f>IFERROR(__xludf.DUMMYFUNCTION("""COMPUTED_VALUE"""),"역전만루홍런")</f>
        <v>역전만루홍런</v>
      </c>
      <c r="B9124" s="2" t="str">
        <f>IFERROR(__xludf.DUMMYFUNCTION("""COMPUTED_VALUE"""),"양념불고기")</f>
        <v>양념불고기</v>
      </c>
    </row>
    <row r="9125">
      <c r="A9125" s="2" t="str">
        <f>IFERROR(__xludf.DUMMYFUNCTION("""COMPUTED_VALUE"""),"역전만루홍런")</f>
        <v>역전만루홍런</v>
      </c>
      <c r="B9125" s="2" t="str">
        <f>IFERROR(__xludf.DUMMYFUNCTION("""COMPUTED_VALUE"""),"고추장아찌")</f>
        <v>고추장아찌</v>
      </c>
    </row>
    <row r="9126">
      <c r="A9126" s="2" t="str">
        <f>IFERROR(__xludf.DUMMYFUNCTION("""COMPUTED_VALUE"""),"역전만루홍런")</f>
        <v>역전만루홍런</v>
      </c>
      <c r="B9126" s="2" t="str">
        <f>IFERROR(__xludf.DUMMYFUNCTION("""COMPUTED_VALUE"""),"깍두기국물")</f>
        <v>깍두기국물</v>
      </c>
    </row>
    <row r="9127">
      <c r="A9127" s="2" t="str">
        <f>IFERROR(__xludf.DUMMYFUNCTION("""COMPUTED_VALUE"""),"역전만루홍런")</f>
        <v>역전만루홍런</v>
      </c>
      <c r="B9127" s="2" t="str">
        <f>IFERROR(__xludf.DUMMYFUNCTION("""COMPUTED_VALUE"""),"새우젓")</f>
        <v>새우젓</v>
      </c>
    </row>
    <row r="9128">
      <c r="A9128" s="2" t="str">
        <f>IFERROR(__xludf.DUMMYFUNCTION("""COMPUTED_VALUE"""),"역전만루홍런")</f>
        <v>역전만루홍런</v>
      </c>
      <c r="B9128" s="2" t="str">
        <f>IFERROR(__xludf.DUMMYFUNCTION("""COMPUTED_VALUE"""),"매실액")</f>
        <v>매실액</v>
      </c>
    </row>
    <row r="9129">
      <c r="A9129" s="2" t="str">
        <f>IFERROR(__xludf.DUMMYFUNCTION("""COMPUTED_VALUE"""),"역전만루홍런")</f>
        <v>역전만루홍런</v>
      </c>
      <c r="B9129" s="2" t="str">
        <f>IFERROR(__xludf.DUMMYFUNCTION("""COMPUTED_VALUE"""),"피클")</f>
        <v>피클</v>
      </c>
    </row>
    <row r="9130">
      <c r="A9130" s="2" t="str">
        <f>IFERROR(__xludf.DUMMYFUNCTION("""COMPUTED_VALUE"""),"역전만루홍런")</f>
        <v>역전만루홍런</v>
      </c>
      <c r="B9130" s="2" t="str">
        <f>IFERROR(__xludf.DUMMYFUNCTION("""COMPUTED_VALUE"""),"밀가루")</f>
        <v>밀가루</v>
      </c>
    </row>
    <row r="9131">
      <c r="A9131" s="2" t="str">
        <f>IFERROR(__xludf.DUMMYFUNCTION("""COMPUTED_VALUE"""),"역전만루홍런")</f>
        <v>역전만루홍런</v>
      </c>
      <c r="B9131" s="2" t="str">
        <f>IFERROR(__xludf.DUMMYFUNCTION("""COMPUTED_VALUE"""),"고추장")</f>
        <v>고추장</v>
      </c>
    </row>
    <row r="9132">
      <c r="A9132" s="2" t="str">
        <f>IFERROR(__xludf.DUMMYFUNCTION("""COMPUTED_VALUE"""),"역전만루홍런")</f>
        <v>역전만루홍런</v>
      </c>
      <c r="B9132" s="2" t="str">
        <f>IFERROR(__xludf.DUMMYFUNCTION("""COMPUTED_VALUE"""),"대파")</f>
        <v>대파</v>
      </c>
    </row>
    <row r="9133">
      <c r="A9133" s="2" t="str">
        <f>IFERROR(__xludf.DUMMYFUNCTION("""COMPUTED_VALUE"""),"역전만루홍런")</f>
        <v>역전만루홍런</v>
      </c>
      <c r="B9133" s="2" t="str">
        <f>IFERROR(__xludf.DUMMYFUNCTION("""COMPUTED_VALUE"""),"전분")</f>
        <v>전분</v>
      </c>
    </row>
    <row r="9134">
      <c r="A9134" s="2" t="str">
        <f>IFERROR(__xludf.DUMMYFUNCTION("""COMPUTED_VALUE"""),"역전만루홍런")</f>
        <v>역전만루홍런</v>
      </c>
      <c r="B9134" s="2" t="str">
        <f>IFERROR(__xludf.DUMMYFUNCTION("""COMPUTED_VALUE"""),"밀가루")</f>
        <v>밀가루</v>
      </c>
    </row>
    <row r="9135">
      <c r="A9135" s="2" t="str">
        <f>IFERROR(__xludf.DUMMYFUNCTION("""COMPUTED_VALUE"""),"역전만루홍런")</f>
        <v>역전만루홍런</v>
      </c>
      <c r="B9135" s="2" t="str">
        <f>IFERROR(__xludf.DUMMYFUNCTION("""COMPUTED_VALUE"""),"달걀")</f>
        <v>달걀</v>
      </c>
    </row>
    <row r="9136">
      <c r="A9136" s="2" t="str">
        <f>IFERROR(__xludf.DUMMYFUNCTION("""COMPUTED_VALUE"""),"역전만루홍런")</f>
        <v>역전만루홍런</v>
      </c>
      <c r="B9136" s="2" t="str">
        <f>IFERROR(__xludf.DUMMYFUNCTION("""COMPUTED_VALUE"""),"설탕")</f>
        <v>설탕</v>
      </c>
    </row>
    <row r="9137">
      <c r="A9137" s="2" t="str">
        <f>IFERROR(__xludf.DUMMYFUNCTION("""COMPUTED_VALUE"""),"역전만루홍런")</f>
        <v>역전만루홍런</v>
      </c>
      <c r="B9137" s="2" t="str">
        <f>IFERROR(__xludf.DUMMYFUNCTION("""COMPUTED_VALUE"""),"식초")</f>
        <v>식초</v>
      </c>
    </row>
    <row r="9138">
      <c r="A9138" s="2" t="str">
        <f>IFERROR(__xludf.DUMMYFUNCTION("""COMPUTED_VALUE"""),"역전만루홍런")</f>
        <v>역전만루홍런</v>
      </c>
      <c r="B9138" s="2" t="str">
        <f>IFERROR(__xludf.DUMMYFUNCTION("""COMPUTED_VALUE"""),"양파")</f>
        <v>양파</v>
      </c>
    </row>
    <row r="9139">
      <c r="A9139" s="2" t="str">
        <f>IFERROR(__xludf.DUMMYFUNCTION("""COMPUTED_VALUE"""),"역전만루홍런")</f>
        <v>역전만루홍런</v>
      </c>
      <c r="B9139" s="2" t="str">
        <f>IFERROR(__xludf.DUMMYFUNCTION("""COMPUTED_VALUE"""),"연겨자")</f>
        <v>연겨자</v>
      </c>
    </row>
    <row r="9140">
      <c r="A9140" s="2" t="str">
        <f>IFERROR(__xludf.DUMMYFUNCTION("""COMPUTED_VALUE"""),"역전만루홍런")</f>
        <v>역전만루홍런</v>
      </c>
      <c r="B9140" s="2" t="str">
        <f>IFERROR(__xludf.DUMMYFUNCTION("""COMPUTED_VALUE"""),"간장")</f>
        <v>간장</v>
      </c>
    </row>
    <row r="9141">
      <c r="A9141" s="2" t="str">
        <f>IFERROR(__xludf.DUMMYFUNCTION("""COMPUTED_VALUE"""),"샌디에이고 짜그리스")</f>
        <v>샌디에이고 짜그리스</v>
      </c>
      <c r="B9141" s="2" t="str">
        <f>IFERROR(__xludf.DUMMYFUNCTION("""COMPUTED_VALUE"""),"베이컨")</f>
        <v>베이컨</v>
      </c>
    </row>
    <row r="9142">
      <c r="A9142" s="2" t="str">
        <f>IFERROR(__xludf.DUMMYFUNCTION("""COMPUTED_VALUE"""),"샌디에이고 짜그리스")</f>
        <v>샌디에이고 짜그리스</v>
      </c>
      <c r="B9142" s="2" t="str">
        <f>IFERROR(__xludf.DUMMYFUNCTION("""COMPUTED_VALUE"""),"삼겹살")</f>
        <v>삼겹살</v>
      </c>
    </row>
    <row r="9143">
      <c r="A9143" s="2" t="str">
        <f>IFERROR(__xludf.DUMMYFUNCTION("""COMPUTED_VALUE"""),"샌디에이고 짜그리스")</f>
        <v>샌디에이고 짜그리스</v>
      </c>
      <c r="B9143" s="2" t="str">
        <f>IFERROR(__xludf.DUMMYFUNCTION("""COMPUTED_VALUE"""),"인스턴트 사골곰탕")</f>
        <v>인스턴트 사골곰탕</v>
      </c>
    </row>
    <row r="9144">
      <c r="A9144" s="2" t="str">
        <f>IFERROR(__xludf.DUMMYFUNCTION("""COMPUTED_VALUE"""),"샌디에이고 짜그리스")</f>
        <v>샌디에이고 짜그리스</v>
      </c>
      <c r="B9144" s="2" t="str">
        <f>IFERROR(__xludf.DUMMYFUNCTION("""COMPUTED_VALUE"""),"무")</f>
        <v>무</v>
      </c>
    </row>
    <row r="9145">
      <c r="A9145" s="2" t="str">
        <f>IFERROR(__xludf.DUMMYFUNCTION("""COMPUTED_VALUE"""),"샌디에이고 짜그리스")</f>
        <v>샌디에이고 짜그리스</v>
      </c>
      <c r="B9145" s="2" t="str">
        <f>IFERROR(__xludf.DUMMYFUNCTION("""COMPUTED_VALUE"""),"앤초비")</f>
        <v>앤초비</v>
      </c>
    </row>
    <row r="9146">
      <c r="A9146" s="2" t="str">
        <f>IFERROR(__xludf.DUMMYFUNCTION("""COMPUTED_VALUE"""),"샌디에이고 짜그리스")</f>
        <v>샌디에이고 짜그리스</v>
      </c>
      <c r="B9146" s="2" t="str">
        <f>IFERROR(__xludf.DUMMYFUNCTION("""COMPUTED_VALUE"""),"표고버섯")</f>
        <v>표고버섯</v>
      </c>
    </row>
    <row r="9147">
      <c r="A9147" s="2" t="str">
        <f>IFERROR(__xludf.DUMMYFUNCTION("""COMPUTED_VALUE"""),"샌디에이고 짜그리스")</f>
        <v>샌디에이고 짜그리스</v>
      </c>
      <c r="B9147" s="2" t="str">
        <f>IFERROR(__xludf.DUMMYFUNCTION("""COMPUTED_VALUE"""),"떡국떡")</f>
        <v>떡국떡</v>
      </c>
    </row>
    <row r="9148">
      <c r="A9148" s="2" t="str">
        <f>IFERROR(__xludf.DUMMYFUNCTION("""COMPUTED_VALUE"""),"샌디에이고 짜그리스")</f>
        <v>샌디에이고 짜그리스</v>
      </c>
      <c r="B9148" s="2" t="str">
        <f>IFERROR(__xludf.DUMMYFUNCTION("""COMPUTED_VALUE"""),"굴소스")</f>
        <v>굴소스</v>
      </c>
    </row>
    <row r="9149">
      <c r="A9149" s="2" t="str">
        <f>IFERROR(__xludf.DUMMYFUNCTION("""COMPUTED_VALUE"""),"샌디에이고 짜그리스")</f>
        <v>샌디에이고 짜그리스</v>
      </c>
      <c r="B9149" s="2" t="str">
        <f>IFERROR(__xludf.DUMMYFUNCTION("""COMPUTED_VALUE"""),"버터")</f>
        <v>버터</v>
      </c>
    </row>
    <row r="9150">
      <c r="A9150" s="2" t="str">
        <f>IFERROR(__xludf.DUMMYFUNCTION("""COMPUTED_VALUE"""),"샌디에이고 짜그리스")</f>
        <v>샌디에이고 짜그리스</v>
      </c>
      <c r="B9150" s="2" t="str">
        <f>IFERROR(__xludf.DUMMYFUNCTION("""COMPUTED_VALUE"""),"밀가루")</f>
        <v>밀가루</v>
      </c>
    </row>
    <row r="9151">
      <c r="A9151" s="2" t="str">
        <f>IFERROR(__xludf.DUMMYFUNCTION("""COMPUTED_VALUE"""),"샌디에이고 짜그리스")</f>
        <v>샌디에이고 짜그리스</v>
      </c>
      <c r="B9151" s="2" t="str">
        <f>IFERROR(__xludf.DUMMYFUNCTION("""COMPUTED_VALUE"""),"대파")</f>
        <v>대파</v>
      </c>
    </row>
    <row r="9152">
      <c r="A9152" s="2" t="str">
        <f>IFERROR(__xludf.DUMMYFUNCTION("""COMPUTED_VALUE"""),"샌디에이고 짜그리스")</f>
        <v>샌디에이고 짜그리스</v>
      </c>
      <c r="B9152" s="2" t="str">
        <f>IFERROR(__xludf.DUMMYFUNCTION("""COMPUTED_VALUE"""),"고춧가루")</f>
        <v>고춧가루</v>
      </c>
    </row>
    <row r="9153">
      <c r="A9153" s="2" t="str">
        <f>IFERROR(__xludf.DUMMYFUNCTION("""COMPUTED_VALUE"""),"샌디에이고 짜그리스")</f>
        <v>샌디에이고 짜그리스</v>
      </c>
      <c r="B9153" s="2" t="str">
        <f>IFERROR(__xludf.DUMMYFUNCTION("""COMPUTED_VALUE"""),"고추장")</f>
        <v>고추장</v>
      </c>
    </row>
    <row r="9154">
      <c r="A9154" s="2" t="str">
        <f>IFERROR(__xludf.DUMMYFUNCTION("""COMPUTED_VALUE"""),"샌디에이고 짜그리스")</f>
        <v>샌디에이고 짜그리스</v>
      </c>
      <c r="B9154" s="2" t="str">
        <f>IFERROR(__xludf.DUMMYFUNCTION("""COMPUTED_VALUE"""),"간장")</f>
        <v>간장</v>
      </c>
    </row>
    <row r="9155">
      <c r="A9155" s="2" t="str">
        <f>IFERROR(__xludf.DUMMYFUNCTION("""COMPUTED_VALUE"""),"샌디에이고 짜그리스")</f>
        <v>샌디에이고 짜그리스</v>
      </c>
      <c r="B9155" s="2" t="str">
        <f>IFERROR(__xludf.DUMMYFUNCTION("""COMPUTED_VALUE"""),"식초")</f>
        <v>식초</v>
      </c>
    </row>
    <row r="9156">
      <c r="A9156" s="2" t="str">
        <f>IFERROR(__xludf.DUMMYFUNCTION("""COMPUTED_VALUE"""),"샌디에이고 짜그리스")</f>
        <v>샌디에이고 짜그리스</v>
      </c>
      <c r="B9156" s="2" t="str">
        <f>IFERROR(__xludf.DUMMYFUNCTION("""COMPUTED_VALUE"""),"다진 마늘")</f>
        <v>다진 마늘</v>
      </c>
    </row>
    <row r="9157">
      <c r="A9157" s="2" t="str">
        <f>IFERROR(__xludf.DUMMYFUNCTION("""COMPUTED_VALUE"""),"샌디에이고 짜그리스")</f>
        <v>샌디에이고 짜그리스</v>
      </c>
      <c r="B9157" s="2" t="str">
        <f>IFERROR(__xludf.DUMMYFUNCTION("""COMPUTED_VALUE"""),"후추")</f>
        <v>후추</v>
      </c>
    </row>
    <row r="9158">
      <c r="A9158" s="2" t="str">
        <f>IFERROR(__xludf.DUMMYFUNCTION("""COMPUTED_VALUE"""),"샌디에이고 짜그리스")</f>
        <v>샌디에이고 짜그리스</v>
      </c>
      <c r="B9158" s="2" t="str">
        <f>IFERROR(__xludf.DUMMYFUNCTION("""COMPUTED_VALUE"""),"설탕")</f>
        <v>설탕</v>
      </c>
    </row>
    <row r="9159">
      <c r="A9159" s="2" t="str">
        <f>IFERROR(__xludf.DUMMYFUNCTION("""COMPUTED_VALUE"""),"월드시리즈 간닭!")</f>
        <v>월드시리즈 간닭!</v>
      </c>
      <c r="B9159" s="2" t="str">
        <f>IFERROR(__xludf.DUMMYFUNCTION("""COMPUTED_VALUE"""),"무")</f>
        <v>무</v>
      </c>
    </row>
    <row r="9160">
      <c r="A9160" s="2" t="str">
        <f>IFERROR(__xludf.DUMMYFUNCTION("""COMPUTED_VALUE"""),"월드시리즈 간닭!")</f>
        <v>월드시리즈 간닭!</v>
      </c>
      <c r="B9160" s="2" t="str">
        <f>IFERROR(__xludf.DUMMYFUNCTION("""COMPUTED_VALUE"""),"표고버섯")</f>
        <v>표고버섯</v>
      </c>
    </row>
    <row r="9161">
      <c r="A9161" s="2" t="str">
        <f>IFERROR(__xludf.DUMMYFUNCTION("""COMPUTED_VALUE"""),"월드시리즈 간닭!")</f>
        <v>월드시리즈 간닭!</v>
      </c>
      <c r="B9161" s="2" t="str">
        <f>IFERROR(__xludf.DUMMYFUNCTION("""COMPUTED_VALUE"""),"가래떡")</f>
        <v>가래떡</v>
      </c>
    </row>
    <row r="9162">
      <c r="A9162" s="2" t="str">
        <f>IFERROR(__xludf.DUMMYFUNCTION("""COMPUTED_VALUE"""),"월드시리즈 간닭!")</f>
        <v>월드시리즈 간닭!</v>
      </c>
      <c r="B9162" s="2" t="str">
        <f>IFERROR(__xludf.DUMMYFUNCTION("""COMPUTED_VALUE"""),"인스턴트 사골곰탕")</f>
        <v>인스턴트 사골곰탕</v>
      </c>
    </row>
    <row r="9163">
      <c r="A9163" s="2" t="str">
        <f>IFERROR(__xludf.DUMMYFUNCTION("""COMPUTED_VALUE"""),"월드시리즈 간닭!")</f>
        <v>월드시리즈 간닭!</v>
      </c>
      <c r="B9163" s="2" t="str">
        <f>IFERROR(__xludf.DUMMYFUNCTION("""COMPUTED_VALUE"""),"닭")</f>
        <v>닭</v>
      </c>
    </row>
    <row r="9164">
      <c r="A9164" s="2" t="str">
        <f>IFERROR(__xludf.DUMMYFUNCTION("""COMPUTED_VALUE"""),"월드시리즈 간닭!")</f>
        <v>월드시리즈 간닭!</v>
      </c>
      <c r="B9164" s="2" t="str">
        <f>IFERROR(__xludf.DUMMYFUNCTION("""COMPUTED_VALUE"""),"인스턴트 무뼈닭발")</f>
        <v>인스턴트 무뼈닭발</v>
      </c>
    </row>
    <row r="9165">
      <c r="A9165" s="2" t="str">
        <f>IFERROR(__xludf.DUMMYFUNCTION("""COMPUTED_VALUE"""),"월드시리즈 간닭!")</f>
        <v>월드시리즈 간닭!</v>
      </c>
      <c r="B9165" s="2" t="str">
        <f>IFERROR(__xludf.DUMMYFUNCTION("""COMPUTED_VALUE"""),"고추장아찌")</f>
        <v>고추장아찌</v>
      </c>
    </row>
    <row r="9166">
      <c r="A9166" s="2" t="str">
        <f>IFERROR(__xludf.DUMMYFUNCTION("""COMPUTED_VALUE"""),"월드시리즈 간닭!")</f>
        <v>월드시리즈 간닭!</v>
      </c>
      <c r="B9166" s="2" t="str">
        <f>IFERROR(__xludf.DUMMYFUNCTION("""COMPUTED_VALUE"""),"매실액")</f>
        <v>매실액</v>
      </c>
    </row>
    <row r="9167">
      <c r="A9167" s="2" t="str">
        <f>IFERROR(__xludf.DUMMYFUNCTION("""COMPUTED_VALUE"""),"월드시리즈 간닭!")</f>
        <v>월드시리즈 간닭!</v>
      </c>
      <c r="B9167" s="2" t="str">
        <f>IFERROR(__xludf.DUMMYFUNCTION("""COMPUTED_VALUE"""),"고추장")</f>
        <v>고추장</v>
      </c>
    </row>
    <row r="9168">
      <c r="A9168" s="2" t="str">
        <f>IFERROR(__xludf.DUMMYFUNCTION("""COMPUTED_VALUE"""),"월드시리즈 간닭!")</f>
        <v>월드시리즈 간닭!</v>
      </c>
      <c r="B9168" s="2" t="str">
        <f>IFERROR(__xludf.DUMMYFUNCTION("""COMPUTED_VALUE"""),"된장")</f>
        <v>된장</v>
      </c>
    </row>
    <row r="9169">
      <c r="A9169" s="2" t="str">
        <f>IFERROR(__xludf.DUMMYFUNCTION("""COMPUTED_VALUE"""),"월드시리즈 간닭!")</f>
        <v>월드시리즈 간닭!</v>
      </c>
      <c r="B9169" s="2" t="str">
        <f>IFERROR(__xludf.DUMMYFUNCTION("""COMPUTED_VALUE"""),"들깻가루")</f>
        <v>들깻가루</v>
      </c>
    </row>
    <row r="9170">
      <c r="A9170" s="2" t="str">
        <f>IFERROR(__xludf.DUMMYFUNCTION("""COMPUTED_VALUE"""),"월드시리즈 간닭!")</f>
        <v>월드시리즈 간닭!</v>
      </c>
      <c r="B9170" s="2" t="str">
        <f>IFERROR(__xludf.DUMMYFUNCTION("""COMPUTED_VALUE"""),"대파")</f>
        <v>대파</v>
      </c>
    </row>
    <row r="9171">
      <c r="A9171" s="2" t="str">
        <f>IFERROR(__xludf.DUMMYFUNCTION("""COMPUTED_VALUE"""),"월드시리즈 간닭!")</f>
        <v>월드시리즈 간닭!</v>
      </c>
      <c r="B9171" s="2" t="str">
        <f>IFERROR(__xludf.DUMMYFUNCTION("""COMPUTED_VALUE"""),"청양고추")</f>
        <v>청양고추</v>
      </c>
    </row>
    <row r="9172">
      <c r="A9172" s="2" t="str">
        <f>IFERROR(__xludf.DUMMYFUNCTION("""COMPUTED_VALUE"""),"월드시리즈 간닭!")</f>
        <v>월드시리즈 간닭!</v>
      </c>
      <c r="B9172" s="2" t="str">
        <f>IFERROR(__xludf.DUMMYFUNCTION("""COMPUTED_VALUE"""),"마늘")</f>
        <v>마늘</v>
      </c>
    </row>
    <row r="9173">
      <c r="A9173" s="2" t="str">
        <f>IFERROR(__xludf.DUMMYFUNCTION("""COMPUTED_VALUE"""),"월드시리즈 간닭!")</f>
        <v>월드시리즈 간닭!</v>
      </c>
      <c r="B9173" s="2" t="str">
        <f>IFERROR(__xludf.DUMMYFUNCTION("""COMPUTED_VALUE"""),"양파")</f>
        <v>양파</v>
      </c>
    </row>
    <row r="9174">
      <c r="A9174" s="2" t="str">
        <f>IFERROR(__xludf.DUMMYFUNCTION("""COMPUTED_VALUE"""),"월드시리즈 간닭!")</f>
        <v>월드시리즈 간닭!</v>
      </c>
      <c r="B9174" s="2" t="str">
        <f>IFERROR(__xludf.DUMMYFUNCTION("""COMPUTED_VALUE"""),"달걀")</f>
        <v>달걀</v>
      </c>
    </row>
    <row r="9175">
      <c r="A9175" s="2" t="str">
        <f>IFERROR(__xludf.DUMMYFUNCTION("""COMPUTED_VALUE"""),"월드시리즈 간닭!")</f>
        <v>월드시리즈 간닭!</v>
      </c>
      <c r="B9175" s="2" t="str">
        <f>IFERROR(__xludf.DUMMYFUNCTION("""COMPUTED_VALUE"""),"전분")</f>
        <v>전분</v>
      </c>
    </row>
    <row r="9176">
      <c r="A9176" s="2" t="str">
        <f>IFERROR(__xludf.DUMMYFUNCTION("""COMPUTED_VALUE"""),"월드시리즈 간닭!")</f>
        <v>월드시리즈 간닭!</v>
      </c>
      <c r="B9176" s="2" t="str">
        <f>IFERROR(__xludf.DUMMYFUNCTION("""COMPUTED_VALUE"""),"소금")</f>
        <v>소금</v>
      </c>
    </row>
    <row r="9177">
      <c r="A9177" s="2" t="str">
        <f>IFERROR(__xludf.DUMMYFUNCTION("""COMPUTED_VALUE"""),"월드시리즈 간닭!")</f>
        <v>월드시리즈 간닭!</v>
      </c>
      <c r="B9177" s="2" t="str">
        <f>IFERROR(__xludf.DUMMYFUNCTION("""COMPUTED_VALUE"""),"후추")</f>
        <v>후추</v>
      </c>
    </row>
    <row r="9178">
      <c r="A9178" s="2" t="str">
        <f>IFERROR(__xludf.DUMMYFUNCTION("""COMPUTED_VALUE"""),"월드시리즈 간닭!")</f>
        <v>월드시리즈 간닭!</v>
      </c>
      <c r="B9178" s="2" t="str">
        <f>IFERROR(__xludf.DUMMYFUNCTION("""COMPUTED_VALUE"""),"다진 생강")</f>
        <v>다진 생강</v>
      </c>
    </row>
    <row r="9179">
      <c r="A9179" s="2" t="str">
        <f>IFERROR(__xludf.DUMMYFUNCTION("""COMPUTED_VALUE"""),"월드시리즈 간닭!")</f>
        <v>월드시리즈 간닭!</v>
      </c>
      <c r="B9179" s="2" t="str">
        <f>IFERROR(__xludf.DUMMYFUNCTION("""COMPUTED_VALUE"""),"연겨자")</f>
        <v>연겨자</v>
      </c>
    </row>
    <row r="9180">
      <c r="A9180" s="2" t="str">
        <f>IFERROR(__xludf.DUMMYFUNCTION("""COMPUTED_VALUE"""),"월드시리즈 간닭!")</f>
        <v>월드시리즈 간닭!</v>
      </c>
      <c r="B9180" s="2" t="str">
        <f>IFERROR(__xludf.DUMMYFUNCTION("""COMPUTED_VALUE"""),"맛술")</f>
        <v>맛술</v>
      </c>
    </row>
    <row r="9181">
      <c r="A9181" s="2" t="str">
        <f>IFERROR(__xludf.DUMMYFUNCTION("""COMPUTED_VALUE"""),"홍~치킨!")</f>
        <v>홍~치킨!</v>
      </c>
      <c r="B9181" s="2" t="str">
        <f>IFERROR(__xludf.DUMMYFUNCTION("""COMPUTED_VALUE"""),"닭")</f>
        <v>닭</v>
      </c>
    </row>
    <row r="9182">
      <c r="A9182" s="2" t="str">
        <f>IFERROR(__xludf.DUMMYFUNCTION("""COMPUTED_VALUE"""),"홍~치킨!")</f>
        <v>홍~치킨!</v>
      </c>
      <c r="B9182" s="2" t="str">
        <f>IFERROR(__xludf.DUMMYFUNCTION("""COMPUTED_VALUE"""),"표고버섯")</f>
        <v>표고버섯</v>
      </c>
    </row>
    <row r="9183">
      <c r="A9183" s="2" t="str">
        <f>IFERROR(__xludf.DUMMYFUNCTION("""COMPUTED_VALUE"""),"홍~치킨!")</f>
        <v>홍~치킨!</v>
      </c>
      <c r="B9183" s="2" t="str">
        <f>IFERROR(__xludf.DUMMYFUNCTION("""COMPUTED_VALUE"""),"느타리버섯")</f>
        <v>느타리버섯</v>
      </c>
    </row>
    <row r="9184">
      <c r="A9184" s="2" t="str">
        <f>IFERROR(__xludf.DUMMYFUNCTION("""COMPUTED_VALUE"""),"홍~치킨!")</f>
        <v>홍~치킨!</v>
      </c>
      <c r="B9184" s="2" t="str">
        <f>IFERROR(__xludf.DUMMYFUNCTION("""COMPUTED_VALUE"""),"베이컨")</f>
        <v>베이컨</v>
      </c>
    </row>
    <row r="9185">
      <c r="A9185" s="2" t="str">
        <f>IFERROR(__xludf.DUMMYFUNCTION("""COMPUTED_VALUE"""),"홍~치킨!")</f>
        <v>홍~치킨!</v>
      </c>
      <c r="B9185" s="2" t="str">
        <f>IFERROR(__xludf.DUMMYFUNCTION("""COMPUTED_VALUE"""),"파프리카")</f>
        <v>파프리카</v>
      </c>
    </row>
    <row r="9186">
      <c r="A9186" s="2" t="str">
        <f>IFERROR(__xludf.DUMMYFUNCTION("""COMPUTED_VALUE"""),"홍~치킨!")</f>
        <v>홍~치킨!</v>
      </c>
      <c r="B9186" s="2" t="str">
        <f>IFERROR(__xludf.DUMMYFUNCTION("""COMPUTED_VALUE"""),"견과류")</f>
        <v>견과류</v>
      </c>
    </row>
    <row r="9187">
      <c r="A9187" s="2" t="str">
        <f>IFERROR(__xludf.DUMMYFUNCTION("""COMPUTED_VALUE"""),"홍~치킨!")</f>
        <v>홍~치킨!</v>
      </c>
      <c r="B9187" s="2" t="str">
        <f>IFERROR(__xludf.DUMMYFUNCTION("""COMPUTED_VALUE"""),"건크랜베리")</f>
        <v>건크랜베리</v>
      </c>
    </row>
    <row r="9188">
      <c r="A9188" s="2" t="str">
        <f>IFERROR(__xludf.DUMMYFUNCTION("""COMPUTED_VALUE"""),"홍~치킨!")</f>
        <v>홍~치킨!</v>
      </c>
      <c r="B9188" s="2" t="str">
        <f>IFERROR(__xludf.DUMMYFUNCTION("""COMPUTED_VALUE"""),"토마토소스")</f>
        <v>토마토소스</v>
      </c>
    </row>
    <row r="9189">
      <c r="A9189" s="2" t="str">
        <f>IFERROR(__xludf.DUMMYFUNCTION("""COMPUTED_VALUE"""),"홍~치킨!")</f>
        <v>홍~치킨!</v>
      </c>
      <c r="B9189" s="2" t="str">
        <f>IFERROR(__xludf.DUMMYFUNCTION("""COMPUTED_VALUE"""),"블랙올리브")</f>
        <v>블랙올리브</v>
      </c>
    </row>
    <row r="9190">
      <c r="A9190" s="2" t="str">
        <f>IFERROR(__xludf.DUMMYFUNCTION("""COMPUTED_VALUE"""),"홍~치킨!")</f>
        <v>홍~치킨!</v>
      </c>
      <c r="B9190" s="2" t="str">
        <f>IFERROR(__xludf.DUMMYFUNCTION("""COMPUTED_VALUE"""),"발사믹드레싱양파")</f>
        <v>발사믹드레싱양파</v>
      </c>
    </row>
    <row r="9191">
      <c r="A9191" s="2" t="str">
        <f>IFERROR(__xludf.DUMMYFUNCTION("""COMPUTED_VALUE"""),"홍~치킨!")</f>
        <v>홍~치킨!</v>
      </c>
      <c r="B9191" s="2" t="str">
        <f>IFERROR(__xludf.DUMMYFUNCTION("""COMPUTED_VALUE"""),"설탕")</f>
        <v>설탕</v>
      </c>
    </row>
    <row r="9192">
      <c r="A9192" s="2" t="str">
        <f>IFERROR(__xludf.DUMMYFUNCTION("""COMPUTED_VALUE"""),"홍~치킨!")</f>
        <v>홍~치킨!</v>
      </c>
      <c r="B9192" s="2" t="str">
        <f>IFERROR(__xludf.DUMMYFUNCTION("""COMPUTED_VALUE"""),"레몬")</f>
        <v>레몬</v>
      </c>
    </row>
    <row r="9193">
      <c r="A9193" s="2" t="str">
        <f>IFERROR(__xludf.DUMMYFUNCTION("""COMPUTED_VALUE"""),"홍~치킨!")</f>
        <v>홍~치킨!</v>
      </c>
      <c r="B9193" s="2" t="str">
        <f>IFERROR(__xludf.DUMMYFUNCTION("""COMPUTED_VALUE"""),"올리브오일")</f>
        <v>올리브오일</v>
      </c>
    </row>
    <row r="9194">
      <c r="A9194" s="2" t="str">
        <f>IFERROR(__xludf.DUMMYFUNCTION("""COMPUTED_VALUE"""),"홍~치킨!")</f>
        <v>홍~치킨!</v>
      </c>
      <c r="B9194" s="2" t="str">
        <f>IFERROR(__xludf.DUMMYFUNCTION("""COMPUTED_VALUE"""),"소금")</f>
        <v>소금</v>
      </c>
    </row>
    <row r="9195">
      <c r="A9195" s="2" t="str">
        <f>IFERROR(__xludf.DUMMYFUNCTION("""COMPUTED_VALUE"""),"홍~치킨!")</f>
        <v>홍~치킨!</v>
      </c>
      <c r="B9195" s="2" t="str">
        <f>IFERROR(__xludf.DUMMYFUNCTION("""COMPUTED_VALUE"""),"후추")</f>
        <v>후추</v>
      </c>
    </row>
    <row r="9196">
      <c r="A9196" s="2" t="str">
        <f>IFERROR(__xludf.DUMMYFUNCTION("""COMPUTED_VALUE"""),"홍~치킨!")</f>
        <v>홍~치킨!</v>
      </c>
      <c r="B9196" s="2" t="str">
        <f>IFERROR(__xludf.DUMMYFUNCTION("""COMPUTED_VALUE"""),"버터")</f>
        <v>버터</v>
      </c>
    </row>
    <row r="9197">
      <c r="A9197" s="2" t="str">
        <f>IFERROR(__xludf.DUMMYFUNCTION("""COMPUTED_VALUE"""),"홍~치킨!")</f>
        <v>홍~치킨!</v>
      </c>
      <c r="B9197" s="2" t="str">
        <f>IFERROR(__xludf.DUMMYFUNCTION("""COMPUTED_VALUE"""),"대파")</f>
        <v>대파</v>
      </c>
    </row>
    <row r="9198">
      <c r="A9198" s="2" t="str">
        <f>IFERROR(__xludf.DUMMYFUNCTION("""COMPUTED_VALUE"""),"사바사바♬")</f>
        <v>사바사바♬</v>
      </c>
      <c r="B9198" s="2" t="str">
        <f>IFERROR(__xludf.DUMMYFUNCTION("""COMPUTED_VALUE"""),"무")</f>
        <v>무</v>
      </c>
    </row>
    <row r="9199">
      <c r="A9199" s="2" t="str">
        <f>IFERROR(__xludf.DUMMYFUNCTION("""COMPUTED_VALUE"""),"사바사바♬")</f>
        <v>사바사바♬</v>
      </c>
      <c r="B9199" s="2" t="str">
        <f>IFERROR(__xludf.DUMMYFUNCTION("""COMPUTED_VALUE"""),"표고버섯")</f>
        <v>표고버섯</v>
      </c>
    </row>
    <row r="9200">
      <c r="A9200" s="2" t="str">
        <f>IFERROR(__xludf.DUMMYFUNCTION("""COMPUTED_VALUE"""),"사바사바♬")</f>
        <v>사바사바♬</v>
      </c>
      <c r="B9200" s="2" t="str">
        <f>IFERROR(__xludf.DUMMYFUNCTION("""COMPUTED_VALUE"""),"밤")</f>
        <v>밤</v>
      </c>
    </row>
    <row r="9201">
      <c r="A9201" s="2" t="str">
        <f>IFERROR(__xludf.DUMMYFUNCTION("""COMPUTED_VALUE"""),"사바사바♬")</f>
        <v>사바사바♬</v>
      </c>
      <c r="B9201" s="2" t="str">
        <f>IFERROR(__xludf.DUMMYFUNCTION("""COMPUTED_VALUE"""),"고등어")</f>
        <v>고등어</v>
      </c>
    </row>
    <row r="9202">
      <c r="A9202" s="2" t="str">
        <f>IFERROR(__xludf.DUMMYFUNCTION("""COMPUTED_VALUE"""),"사바사바♬")</f>
        <v>사바사바♬</v>
      </c>
      <c r="B9202" s="2" t="str">
        <f>IFERROR(__xludf.DUMMYFUNCTION("""COMPUTED_VALUE"""),"쪽파")</f>
        <v>쪽파</v>
      </c>
    </row>
    <row r="9203">
      <c r="A9203" s="2" t="str">
        <f>IFERROR(__xludf.DUMMYFUNCTION("""COMPUTED_VALUE"""),"사바사바♬")</f>
        <v>사바사바♬</v>
      </c>
      <c r="B9203" s="2" t="str">
        <f>IFERROR(__xludf.DUMMYFUNCTION("""COMPUTED_VALUE"""),"쌀")</f>
        <v>쌀</v>
      </c>
    </row>
    <row r="9204">
      <c r="A9204" s="2" t="str">
        <f>IFERROR(__xludf.DUMMYFUNCTION("""COMPUTED_VALUE"""),"사바사바♬")</f>
        <v>사바사바♬</v>
      </c>
      <c r="B9204" s="2" t="str">
        <f>IFERROR(__xludf.DUMMYFUNCTION("""COMPUTED_VALUE"""),"간장")</f>
        <v>간장</v>
      </c>
    </row>
    <row r="9205">
      <c r="A9205" s="2" t="str">
        <f>IFERROR(__xludf.DUMMYFUNCTION("""COMPUTED_VALUE"""),"사바사바♬")</f>
        <v>사바사바♬</v>
      </c>
      <c r="B9205" s="2" t="str">
        <f>IFERROR(__xludf.DUMMYFUNCTION("""COMPUTED_VALUE"""),"맛술")</f>
        <v>맛술</v>
      </c>
    </row>
    <row r="9206">
      <c r="A9206" s="2" t="str">
        <f>IFERROR(__xludf.DUMMYFUNCTION("""COMPUTED_VALUE"""),"사바사바♬")</f>
        <v>사바사바♬</v>
      </c>
      <c r="B9206" s="2" t="str">
        <f>IFERROR(__xludf.DUMMYFUNCTION("""COMPUTED_VALUE"""),"소금")</f>
        <v>소금</v>
      </c>
    </row>
    <row r="9207">
      <c r="A9207" s="2" t="str">
        <f>IFERROR(__xludf.DUMMYFUNCTION("""COMPUTED_VALUE"""),"사바사바♬")</f>
        <v>사바사바♬</v>
      </c>
      <c r="B9207" s="2" t="str">
        <f>IFERROR(__xludf.DUMMYFUNCTION("""COMPUTED_VALUE"""),"청주")</f>
        <v>청주</v>
      </c>
    </row>
    <row r="9208">
      <c r="A9208" s="2" t="str">
        <f>IFERROR(__xludf.DUMMYFUNCTION("""COMPUTED_VALUE"""),"사바사바♬")</f>
        <v>사바사바♬</v>
      </c>
      <c r="B9208" s="2" t="str">
        <f>IFERROR(__xludf.DUMMYFUNCTION("""COMPUTED_VALUE"""),"된장")</f>
        <v>된장</v>
      </c>
    </row>
    <row r="9209">
      <c r="A9209" s="2" t="str">
        <f>IFERROR(__xludf.DUMMYFUNCTION("""COMPUTED_VALUE"""),"사바사바♬")</f>
        <v>사바사바♬</v>
      </c>
      <c r="B9209" s="2" t="str">
        <f>IFERROR(__xludf.DUMMYFUNCTION("""COMPUTED_VALUE"""),"청양고추")</f>
        <v>청양고추</v>
      </c>
    </row>
    <row r="9210">
      <c r="A9210" s="2" t="str">
        <f>IFERROR(__xludf.DUMMYFUNCTION("""COMPUTED_VALUE"""),"마무리고등어")</f>
        <v>마무리고등어</v>
      </c>
      <c r="B9210" s="2" t="str">
        <f>IFERROR(__xludf.DUMMYFUNCTION("""COMPUTED_VALUE"""),"고등어")</f>
        <v>고등어</v>
      </c>
    </row>
    <row r="9211">
      <c r="A9211" s="2" t="str">
        <f>IFERROR(__xludf.DUMMYFUNCTION("""COMPUTED_VALUE"""),"마무리고등어")</f>
        <v>마무리고등어</v>
      </c>
      <c r="B9211" s="2" t="str">
        <f>IFERROR(__xludf.DUMMYFUNCTION("""COMPUTED_VALUE"""),"우유")</f>
        <v>우유</v>
      </c>
    </row>
    <row r="9212">
      <c r="A9212" s="2" t="str">
        <f>IFERROR(__xludf.DUMMYFUNCTION("""COMPUTED_VALUE"""),"마무리고등어")</f>
        <v>마무리고등어</v>
      </c>
      <c r="B9212" s="2" t="str">
        <f>IFERROR(__xludf.DUMMYFUNCTION("""COMPUTED_VALUE"""),"표고버섯")</f>
        <v>표고버섯</v>
      </c>
    </row>
    <row r="9213">
      <c r="A9213" s="2" t="str">
        <f>IFERROR(__xludf.DUMMYFUNCTION("""COMPUTED_VALUE"""),"마무리고등어")</f>
        <v>마무리고등어</v>
      </c>
      <c r="B9213" s="2" t="str">
        <f>IFERROR(__xludf.DUMMYFUNCTION("""COMPUTED_VALUE"""),"아보카도")</f>
        <v>아보카도</v>
      </c>
    </row>
    <row r="9214">
      <c r="A9214" s="2" t="str">
        <f>IFERROR(__xludf.DUMMYFUNCTION("""COMPUTED_VALUE"""),"마무리고등어")</f>
        <v>마무리고등어</v>
      </c>
      <c r="B9214" s="2" t="str">
        <f>IFERROR(__xludf.DUMMYFUNCTION("""COMPUTED_VALUE"""),"아스파라거스")</f>
        <v>아스파라거스</v>
      </c>
    </row>
    <row r="9215">
      <c r="A9215" s="2" t="str">
        <f>IFERROR(__xludf.DUMMYFUNCTION("""COMPUTED_VALUE"""),"마무리고등어")</f>
        <v>마무리고등어</v>
      </c>
      <c r="B9215" s="2" t="str">
        <f>IFERROR(__xludf.DUMMYFUNCTION("""COMPUTED_VALUE"""),"마늘종")</f>
        <v>마늘종</v>
      </c>
    </row>
    <row r="9216">
      <c r="A9216" s="2" t="str">
        <f>IFERROR(__xludf.DUMMYFUNCTION("""COMPUTED_VALUE"""),"마무리고등어")</f>
        <v>마무리고등어</v>
      </c>
      <c r="B9216" s="2" t="str">
        <f>IFERROR(__xludf.DUMMYFUNCTION("""COMPUTED_VALUE"""),"육포")</f>
        <v>육포</v>
      </c>
    </row>
    <row r="9217">
      <c r="A9217" s="2" t="str">
        <f>IFERROR(__xludf.DUMMYFUNCTION("""COMPUTED_VALUE"""),"마무리고등어")</f>
        <v>마무리고등어</v>
      </c>
      <c r="B9217" s="2" t="str">
        <f>IFERROR(__xludf.DUMMYFUNCTION("""COMPUTED_VALUE"""),"레몬")</f>
        <v>레몬</v>
      </c>
    </row>
    <row r="9218">
      <c r="A9218" s="2" t="str">
        <f>IFERROR(__xludf.DUMMYFUNCTION("""COMPUTED_VALUE"""),"마무리고등어")</f>
        <v>마무리고등어</v>
      </c>
      <c r="B9218" s="2" t="str">
        <f>IFERROR(__xludf.DUMMYFUNCTION("""COMPUTED_VALUE"""),"양파")</f>
        <v>양파</v>
      </c>
    </row>
    <row r="9219">
      <c r="A9219" s="2" t="str">
        <f>IFERROR(__xludf.DUMMYFUNCTION("""COMPUTED_VALUE"""),"마무리고등어")</f>
        <v>마무리고등어</v>
      </c>
      <c r="B9219" s="2" t="str">
        <f>IFERROR(__xludf.DUMMYFUNCTION("""COMPUTED_VALUE"""),"다진 생강")</f>
        <v>다진 생강</v>
      </c>
    </row>
    <row r="9220">
      <c r="A9220" s="2" t="str">
        <f>IFERROR(__xludf.DUMMYFUNCTION("""COMPUTED_VALUE"""),"마무리고등어")</f>
        <v>마무리고등어</v>
      </c>
      <c r="B9220" s="2" t="str">
        <f>IFERROR(__xludf.DUMMYFUNCTION("""COMPUTED_VALUE"""),"맛술")</f>
        <v>맛술</v>
      </c>
    </row>
    <row r="9221">
      <c r="A9221" s="2" t="str">
        <f>IFERROR(__xludf.DUMMYFUNCTION("""COMPUTED_VALUE"""),"마무리고등어")</f>
        <v>마무리고등어</v>
      </c>
      <c r="B9221" s="2" t="str">
        <f>IFERROR(__xludf.DUMMYFUNCTION("""COMPUTED_VALUE"""),"간장")</f>
        <v>간장</v>
      </c>
    </row>
    <row r="9222">
      <c r="A9222" s="2" t="str">
        <f>IFERROR(__xludf.DUMMYFUNCTION("""COMPUTED_VALUE"""),"마무리고등어")</f>
        <v>마무리고등어</v>
      </c>
      <c r="B9222" s="2" t="str">
        <f>IFERROR(__xludf.DUMMYFUNCTION("""COMPUTED_VALUE"""),"청양고추")</f>
        <v>청양고추</v>
      </c>
    </row>
    <row r="9223">
      <c r="A9223" s="2" t="str">
        <f>IFERROR(__xludf.DUMMYFUNCTION("""COMPUTED_VALUE"""),"마무리고등어")</f>
        <v>마무리고등어</v>
      </c>
      <c r="B9223" s="2" t="str">
        <f>IFERROR(__xludf.DUMMYFUNCTION("""COMPUTED_VALUE"""),"소금")</f>
        <v>소금</v>
      </c>
    </row>
    <row r="9224">
      <c r="A9224" s="2" t="str">
        <f>IFERROR(__xludf.DUMMYFUNCTION("""COMPUTED_VALUE"""),"마무리고등어")</f>
        <v>마무리고등어</v>
      </c>
      <c r="B9224" s="2" t="str">
        <f>IFERROR(__xludf.DUMMYFUNCTION("""COMPUTED_VALUE"""),"설탕")</f>
        <v>설탕</v>
      </c>
    </row>
    <row r="9225">
      <c r="A9225" s="2" t="str">
        <f>IFERROR(__xludf.DUMMYFUNCTION("""COMPUTED_VALUE"""),"마무리고등어")</f>
        <v>마무리고등어</v>
      </c>
      <c r="B9225" s="2" t="str">
        <f>IFERROR(__xludf.DUMMYFUNCTION("""COMPUTED_VALUE"""),"당근")</f>
        <v>당근</v>
      </c>
    </row>
    <row r="9226">
      <c r="A9226" s="2" t="str">
        <f>IFERROR(__xludf.DUMMYFUNCTION("""COMPUTED_VALUE"""),"마무리고등어")</f>
        <v>마무리고등어</v>
      </c>
      <c r="B9226" s="2" t="str">
        <f>IFERROR(__xludf.DUMMYFUNCTION("""COMPUTED_VALUE"""),"버터")</f>
        <v>버터</v>
      </c>
    </row>
    <row r="9227">
      <c r="A9227" s="2" t="str">
        <f>IFERROR(__xludf.DUMMYFUNCTION("""COMPUTED_VALUE"""),"마무리고등어")</f>
        <v>마무리고등어</v>
      </c>
      <c r="B9227" s="2" t="str">
        <f>IFERROR(__xludf.DUMMYFUNCTION("""COMPUTED_VALUE"""),"올리브오일")</f>
        <v>올리브오일</v>
      </c>
    </row>
    <row r="9228">
      <c r="A9228" s="2" t="str">
        <f>IFERROR(__xludf.DUMMYFUNCTION("""COMPUTED_VALUE"""),"퀵! 차돌박이 볶음 말이")</f>
        <v>퀵! 차돌박이 볶음 말이</v>
      </c>
      <c r="B9228" s="2" t="str">
        <f>IFERROR(__xludf.DUMMYFUNCTION("""COMPUTED_VALUE"""),"알배추")</f>
        <v>알배추</v>
      </c>
    </row>
    <row r="9229">
      <c r="A9229" s="2" t="str">
        <f>IFERROR(__xludf.DUMMYFUNCTION("""COMPUTED_VALUE"""),"퀵! 차돌박이 볶음 말이")</f>
        <v>퀵! 차돌박이 볶음 말이</v>
      </c>
      <c r="B9229" s="2" t="str">
        <f>IFERROR(__xludf.DUMMYFUNCTION("""COMPUTED_VALUE"""),"적양파")</f>
        <v>적양파</v>
      </c>
    </row>
    <row r="9230">
      <c r="A9230" s="2" t="str">
        <f>IFERROR(__xludf.DUMMYFUNCTION("""COMPUTED_VALUE"""),"퀵! 차돌박이 볶음 말이")</f>
        <v>퀵! 차돌박이 볶음 말이</v>
      </c>
      <c r="B9230" s="2" t="str">
        <f>IFERROR(__xludf.DUMMYFUNCTION("""COMPUTED_VALUE"""),"청양고춧가루")</f>
        <v>청양고춧가루</v>
      </c>
    </row>
    <row r="9231">
      <c r="A9231" s="2" t="str">
        <f>IFERROR(__xludf.DUMMYFUNCTION("""COMPUTED_VALUE"""),"퀵! 차돌박이 볶음 말이")</f>
        <v>퀵! 차돌박이 볶음 말이</v>
      </c>
      <c r="B9231" s="2" t="str">
        <f>IFERROR(__xludf.DUMMYFUNCTION("""COMPUTED_VALUE"""),"아스파라거스")</f>
        <v>아스파라거스</v>
      </c>
    </row>
    <row r="9232">
      <c r="A9232" s="2" t="str">
        <f>IFERROR(__xludf.DUMMYFUNCTION("""COMPUTED_VALUE"""),"퀵! 차돌박이 볶음 말이")</f>
        <v>퀵! 차돌박이 볶음 말이</v>
      </c>
      <c r="B9232" s="2" t="str">
        <f>IFERROR(__xludf.DUMMYFUNCTION("""COMPUTED_VALUE"""),"불고기양념")</f>
        <v>불고기양념</v>
      </c>
    </row>
    <row r="9233">
      <c r="A9233" s="2" t="str">
        <f>IFERROR(__xludf.DUMMYFUNCTION("""COMPUTED_VALUE"""),"퀵! 차돌박이 볶음 말이")</f>
        <v>퀵! 차돌박이 볶음 말이</v>
      </c>
      <c r="B9233" s="2" t="str">
        <f>IFERROR(__xludf.DUMMYFUNCTION("""COMPUTED_VALUE"""),"굴소스")</f>
        <v>굴소스</v>
      </c>
    </row>
    <row r="9234">
      <c r="A9234" s="2" t="str">
        <f>IFERROR(__xludf.DUMMYFUNCTION("""COMPUTED_VALUE"""),"퀵! 차돌박이 볶음 말이")</f>
        <v>퀵! 차돌박이 볶음 말이</v>
      </c>
      <c r="B9234" s="2" t="str">
        <f>IFERROR(__xludf.DUMMYFUNCTION("""COMPUTED_VALUE"""),"팽이버섯")</f>
        <v>팽이버섯</v>
      </c>
    </row>
    <row r="9235">
      <c r="A9235" s="2" t="str">
        <f>IFERROR(__xludf.DUMMYFUNCTION("""COMPUTED_VALUE"""),"퀵! 차돌박이 볶음 말이")</f>
        <v>퀵! 차돌박이 볶음 말이</v>
      </c>
      <c r="B9235" s="2" t="str">
        <f>IFERROR(__xludf.DUMMYFUNCTION("""COMPUTED_VALUE"""),"쪽파")</f>
        <v>쪽파</v>
      </c>
    </row>
    <row r="9236">
      <c r="A9236" s="2" t="str">
        <f>IFERROR(__xludf.DUMMYFUNCTION("""COMPUTED_VALUE"""),"퀵! 차돌박이 볶음 말이")</f>
        <v>퀵! 차돌박이 볶음 말이</v>
      </c>
      <c r="B9236" s="2" t="str">
        <f>IFERROR(__xludf.DUMMYFUNCTION("""COMPUTED_VALUE"""),"올리브오일")</f>
        <v>올리브오일</v>
      </c>
    </row>
    <row r="9237">
      <c r="A9237" s="2" t="str">
        <f>IFERROR(__xludf.DUMMYFUNCTION("""COMPUTED_VALUE"""),"퀵! 차돌박이 볶음 말이")</f>
        <v>퀵! 차돌박이 볶음 말이</v>
      </c>
      <c r="B9237" s="2" t="str">
        <f>IFERROR(__xludf.DUMMYFUNCTION("""COMPUTED_VALUE"""),"참기름")</f>
        <v>참기름</v>
      </c>
    </row>
    <row r="9238">
      <c r="A9238" s="2" t="str">
        <f>IFERROR(__xludf.DUMMYFUNCTION("""COMPUTED_VALUE"""),"퀵! 차돌박이 볶음 말이")</f>
        <v>퀵! 차돌박이 볶음 말이</v>
      </c>
      <c r="B9238" s="2" t="str">
        <f>IFERROR(__xludf.DUMMYFUNCTION("""COMPUTED_VALUE"""),"홍고추")</f>
        <v>홍고추</v>
      </c>
    </row>
    <row r="9239">
      <c r="A9239" s="2" t="str">
        <f>IFERROR(__xludf.DUMMYFUNCTION("""COMPUTED_VALUE"""),"퀵! 차돌박이 볶음 말이")</f>
        <v>퀵! 차돌박이 볶음 말이</v>
      </c>
      <c r="B9239" s="2" t="str">
        <f>IFERROR(__xludf.DUMMYFUNCTION("""COMPUTED_VALUE"""),"대파")</f>
        <v>대파</v>
      </c>
    </row>
    <row r="9240">
      <c r="A9240" s="2" t="str">
        <f>IFERROR(__xludf.DUMMYFUNCTION("""COMPUTED_VALUE"""),"퀵! 차돌박이 볶음 말이")</f>
        <v>퀵! 차돌박이 볶음 말이</v>
      </c>
      <c r="B9240" s="2" t="str">
        <f>IFERROR(__xludf.DUMMYFUNCTION("""COMPUTED_VALUE"""),"마늘")</f>
        <v>마늘</v>
      </c>
    </row>
    <row r="9241">
      <c r="A9241" s="2" t="str">
        <f>IFERROR(__xludf.DUMMYFUNCTION("""COMPUTED_VALUE"""),"퀵! 차돌박이 볶음 말이")</f>
        <v>퀵! 차돌박이 볶음 말이</v>
      </c>
      <c r="B9241" s="2" t="str">
        <f>IFERROR(__xludf.DUMMYFUNCTION("""COMPUTED_VALUE"""),"소금")</f>
        <v>소금</v>
      </c>
    </row>
    <row r="9242">
      <c r="A9242" s="2" t="str">
        <f>IFERROR(__xludf.DUMMYFUNCTION("""COMPUTED_VALUE"""),"퀵! 차돌박이 볶음 말이")</f>
        <v>퀵! 차돌박이 볶음 말이</v>
      </c>
      <c r="B9242" s="2" t="str">
        <f>IFERROR(__xludf.DUMMYFUNCTION("""COMPUTED_VALUE"""),"즉석밥")</f>
        <v>즉석밥</v>
      </c>
    </row>
    <row r="9243">
      <c r="A9243" s="2" t="str">
        <f>IFERROR(__xludf.DUMMYFUNCTION("""COMPUTED_VALUE"""),"파이널복스")</f>
        <v>파이널복스</v>
      </c>
      <c r="B9243" s="2" t="str">
        <f>IFERROR(__xludf.DUMMYFUNCTION("""COMPUTED_VALUE"""),"알배추")</f>
        <v>알배추</v>
      </c>
    </row>
    <row r="9244">
      <c r="A9244" s="2" t="str">
        <f>IFERROR(__xludf.DUMMYFUNCTION("""COMPUTED_VALUE"""),"파이널복스")</f>
        <v>파이널복스</v>
      </c>
      <c r="B9244" s="2" t="str">
        <f>IFERROR(__xludf.DUMMYFUNCTION("""COMPUTED_VALUE"""),"차돌박이")</f>
        <v>차돌박이</v>
      </c>
    </row>
    <row r="9245">
      <c r="A9245" s="2" t="str">
        <f>IFERROR(__xludf.DUMMYFUNCTION("""COMPUTED_VALUE"""),"파이널복스")</f>
        <v>파이널복스</v>
      </c>
      <c r="B9245" s="2" t="str">
        <f>IFERROR(__xludf.DUMMYFUNCTION("""COMPUTED_VALUE"""),"쪽파")</f>
        <v>쪽파</v>
      </c>
    </row>
    <row r="9246">
      <c r="A9246" s="2" t="str">
        <f>IFERROR(__xludf.DUMMYFUNCTION("""COMPUTED_VALUE"""),"파이널복스")</f>
        <v>파이널복스</v>
      </c>
      <c r="B9246" s="2" t="str">
        <f>IFERROR(__xludf.DUMMYFUNCTION("""COMPUTED_VALUE"""),"청양고춧가루")</f>
        <v>청양고춧가루</v>
      </c>
    </row>
    <row r="9247">
      <c r="A9247" s="2" t="str">
        <f>IFERROR(__xludf.DUMMYFUNCTION("""COMPUTED_VALUE"""),"파이널복스")</f>
        <v>파이널복스</v>
      </c>
      <c r="B9247" s="2" t="str">
        <f>IFERROR(__xludf.DUMMYFUNCTION("""COMPUTED_VALUE"""),"소고기등심")</f>
        <v>소고기등심</v>
      </c>
    </row>
    <row r="9248">
      <c r="A9248" s="2" t="str">
        <f>IFERROR(__xludf.DUMMYFUNCTION("""COMPUTED_VALUE"""),"파이널복스")</f>
        <v>파이널복스</v>
      </c>
      <c r="B9248" s="2" t="str">
        <f>IFERROR(__xludf.DUMMYFUNCTION("""COMPUTED_VALUE"""),"아스파라거스")</f>
        <v>아스파라거스</v>
      </c>
    </row>
    <row r="9249">
      <c r="A9249" s="2" t="str">
        <f>IFERROR(__xludf.DUMMYFUNCTION("""COMPUTED_VALUE"""),"파이널복스")</f>
        <v>파이널복스</v>
      </c>
      <c r="B9249" s="2" t="str">
        <f>IFERROR(__xludf.DUMMYFUNCTION("""COMPUTED_VALUE"""),"마늘종")</f>
        <v>마늘종</v>
      </c>
    </row>
    <row r="9250">
      <c r="A9250" s="2" t="str">
        <f>IFERROR(__xludf.DUMMYFUNCTION("""COMPUTED_VALUE"""),"파이널복스")</f>
        <v>파이널복스</v>
      </c>
      <c r="B9250" s="2" t="str">
        <f>IFERROR(__xludf.DUMMYFUNCTION("""COMPUTED_VALUE"""),"유자청")</f>
        <v>유자청</v>
      </c>
    </row>
    <row r="9251">
      <c r="A9251" s="2" t="str">
        <f>IFERROR(__xludf.DUMMYFUNCTION("""COMPUTED_VALUE"""),"파이널복스")</f>
        <v>파이널복스</v>
      </c>
      <c r="B9251" s="2" t="str">
        <f>IFERROR(__xludf.DUMMYFUNCTION("""COMPUTED_VALUE"""),"아보카도")</f>
        <v>아보카도</v>
      </c>
    </row>
    <row r="9252">
      <c r="A9252" s="2" t="str">
        <f>IFERROR(__xludf.DUMMYFUNCTION("""COMPUTED_VALUE"""),"파이널복스")</f>
        <v>파이널복스</v>
      </c>
      <c r="B9252" s="2" t="str">
        <f>IFERROR(__xludf.DUMMYFUNCTION("""COMPUTED_VALUE"""),"우유")</f>
        <v>우유</v>
      </c>
    </row>
    <row r="9253">
      <c r="A9253" s="2" t="str">
        <f>IFERROR(__xludf.DUMMYFUNCTION("""COMPUTED_VALUE"""),"파이널복스")</f>
        <v>파이널복스</v>
      </c>
      <c r="B9253" s="2" t="str">
        <f>IFERROR(__xludf.DUMMYFUNCTION("""COMPUTED_VALUE"""),"굴소스")</f>
        <v>굴소스</v>
      </c>
    </row>
    <row r="9254">
      <c r="A9254" s="2" t="str">
        <f>IFERROR(__xludf.DUMMYFUNCTION("""COMPUTED_VALUE"""),"파이널복스")</f>
        <v>파이널복스</v>
      </c>
      <c r="B9254" s="2" t="str">
        <f>IFERROR(__xludf.DUMMYFUNCTION("""COMPUTED_VALUE"""),"간장")</f>
        <v>간장</v>
      </c>
    </row>
    <row r="9255">
      <c r="A9255" s="2" t="str">
        <f>IFERROR(__xludf.DUMMYFUNCTION("""COMPUTED_VALUE"""),"파이널복스")</f>
        <v>파이널복스</v>
      </c>
      <c r="B9255" s="2" t="str">
        <f>IFERROR(__xludf.DUMMYFUNCTION("""COMPUTED_VALUE"""),"대파")</f>
        <v>대파</v>
      </c>
    </row>
    <row r="9256">
      <c r="A9256" s="2" t="str">
        <f>IFERROR(__xludf.DUMMYFUNCTION("""COMPUTED_VALUE"""),"파이널복스")</f>
        <v>파이널복스</v>
      </c>
      <c r="B9256" s="2" t="str">
        <f>IFERROR(__xludf.DUMMYFUNCTION("""COMPUTED_VALUE"""),"전분")</f>
        <v>전분</v>
      </c>
    </row>
    <row r="9257">
      <c r="A9257" s="2" t="str">
        <f>IFERROR(__xludf.DUMMYFUNCTION("""COMPUTED_VALUE"""),"파이널복스")</f>
        <v>파이널복스</v>
      </c>
      <c r="B9257" s="2" t="str">
        <f>IFERROR(__xludf.DUMMYFUNCTION("""COMPUTED_VALUE"""),"달걀")</f>
        <v>달걀</v>
      </c>
    </row>
    <row r="9258">
      <c r="A9258" s="2" t="str">
        <f>IFERROR(__xludf.DUMMYFUNCTION("""COMPUTED_VALUE"""),"파이널복스")</f>
        <v>파이널복스</v>
      </c>
      <c r="B9258" s="2" t="str">
        <f>IFERROR(__xludf.DUMMYFUNCTION("""COMPUTED_VALUE"""),"청양고추")</f>
        <v>청양고추</v>
      </c>
    </row>
    <row r="9259">
      <c r="A9259" s="2" t="str">
        <f>IFERROR(__xludf.DUMMYFUNCTION("""COMPUTED_VALUE"""),"파이널복스")</f>
        <v>파이널복스</v>
      </c>
      <c r="B9259" s="2" t="str">
        <f>IFERROR(__xludf.DUMMYFUNCTION("""COMPUTED_VALUE"""),"맛술")</f>
        <v>맛술</v>
      </c>
    </row>
    <row r="9260">
      <c r="A9260" s="2" t="str">
        <f>IFERROR(__xludf.DUMMYFUNCTION("""COMPUTED_VALUE"""),"파이널복스")</f>
        <v>파이널복스</v>
      </c>
      <c r="B9260" s="2" t="str">
        <f>IFERROR(__xludf.DUMMYFUNCTION("""COMPUTED_VALUE"""),"양파")</f>
        <v>양파</v>
      </c>
    </row>
    <row r="9261">
      <c r="A9261" s="2" t="str">
        <f>IFERROR(__xludf.DUMMYFUNCTION("""COMPUTED_VALUE"""),"파이널복스")</f>
        <v>파이널복스</v>
      </c>
      <c r="B9261" s="2" t="str">
        <f>IFERROR(__xludf.DUMMYFUNCTION("""COMPUTED_VALUE"""),"후추")</f>
        <v>후추</v>
      </c>
    </row>
    <row r="9262">
      <c r="A9262" s="2" t="str">
        <f>IFERROR(__xludf.DUMMYFUNCTION("""COMPUTED_VALUE"""),"승수를 올릴 어향가지")</f>
        <v>승수를 올릴 어향가지</v>
      </c>
      <c r="B9262" s="2" t="str">
        <f>IFERROR(__xludf.DUMMYFUNCTION("""COMPUTED_VALUE"""),"가지")</f>
        <v>가지</v>
      </c>
    </row>
    <row r="9263">
      <c r="A9263" s="2" t="str">
        <f>IFERROR(__xludf.DUMMYFUNCTION("""COMPUTED_VALUE"""),"승수를 올릴 어향가지")</f>
        <v>승수를 올릴 어향가지</v>
      </c>
      <c r="B9263" s="2" t="str">
        <f>IFERROR(__xludf.DUMMYFUNCTION("""COMPUTED_VALUE"""),"다진 돼지고기")</f>
        <v>다진 돼지고기</v>
      </c>
    </row>
    <row r="9264">
      <c r="A9264" s="2" t="str">
        <f>IFERROR(__xludf.DUMMYFUNCTION("""COMPUTED_VALUE"""),"승수를 올릴 어향가지")</f>
        <v>승수를 올릴 어향가지</v>
      </c>
      <c r="B9264" s="2" t="str">
        <f>IFERROR(__xludf.DUMMYFUNCTION("""COMPUTED_VALUE"""),"다진 마늘")</f>
        <v>다진 마늘</v>
      </c>
    </row>
    <row r="9265">
      <c r="A9265" s="2" t="str">
        <f>IFERROR(__xludf.DUMMYFUNCTION("""COMPUTED_VALUE"""),"승수를 올릴 어향가지")</f>
        <v>승수를 올릴 어향가지</v>
      </c>
      <c r="B9265" s="2" t="str">
        <f>IFERROR(__xludf.DUMMYFUNCTION("""COMPUTED_VALUE"""),"올리고당")</f>
        <v>올리고당</v>
      </c>
    </row>
    <row r="9266">
      <c r="A9266" s="2" t="str">
        <f>IFERROR(__xludf.DUMMYFUNCTION("""COMPUTED_VALUE"""),"승수를 올릴 어향가지")</f>
        <v>승수를 올릴 어향가지</v>
      </c>
      <c r="B9266" s="2" t="str">
        <f>IFERROR(__xludf.DUMMYFUNCTION("""COMPUTED_VALUE"""),"양송이버섯")</f>
        <v>양송이버섯</v>
      </c>
    </row>
    <row r="9267">
      <c r="A9267" s="2" t="str">
        <f>IFERROR(__xludf.DUMMYFUNCTION("""COMPUTED_VALUE"""),"승수를 올릴 어향가지")</f>
        <v>승수를 올릴 어향가지</v>
      </c>
      <c r="B9267" s="2" t="str">
        <f>IFERROR(__xludf.DUMMYFUNCTION("""COMPUTED_VALUE"""),"파프리카")</f>
        <v>파프리카</v>
      </c>
    </row>
    <row r="9268">
      <c r="A9268" s="2" t="str">
        <f>IFERROR(__xludf.DUMMYFUNCTION("""COMPUTED_VALUE"""),"승수를 올릴 어향가지")</f>
        <v>승수를 올릴 어향가지</v>
      </c>
      <c r="B9268" s="2" t="str">
        <f>IFERROR(__xludf.DUMMYFUNCTION("""COMPUTED_VALUE"""),"동치미")</f>
        <v>동치미</v>
      </c>
    </row>
    <row r="9269">
      <c r="A9269" s="2" t="str">
        <f>IFERROR(__xludf.DUMMYFUNCTION("""COMPUTED_VALUE"""),"승수를 올릴 어향가지")</f>
        <v>승수를 올릴 어향가지</v>
      </c>
      <c r="B9269" s="2" t="str">
        <f>IFERROR(__xludf.DUMMYFUNCTION("""COMPUTED_VALUE"""),"대파")</f>
        <v>대파</v>
      </c>
    </row>
    <row r="9270">
      <c r="A9270" s="2" t="str">
        <f>IFERROR(__xludf.DUMMYFUNCTION("""COMPUTED_VALUE"""),"승수를 올릴 어향가지")</f>
        <v>승수를 올릴 어향가지</v>
      </c>
      <c r="B9270" s="2" t="str">
        <f>IFERROR(__xludf.DUMMYFUNCTION("""COMPUTED_VALUE"""),"청양고추")</f>
        <v>청양고추</v>
      </c>
    </row>
    <row r="9271">
      <c r="A9271" s="2" t="str">
        <f>IFERROR(__xludf.DUMMYFUNCTION("""COMPUTED_VALUE"""),"승수를 올릴 어향가지")</f>
        <v>승수를 올릴 어향가지</v>
      </c>
      <c r="B9271" s="2" t="str">
        <f>IFERROR(__xludf.DUMMYFUNCTION("""COMPUTED_VALUE"""),"다진 생강")</f>
        <v>다진 생강</v>
      </c>
    </row>
    <row r="9272">
      <c r="A9272" s="2" t="str">
        <f>IFERROR(__xludf.DUMMYFUNCTION("""COMPUTED_VALUE"""),"승수를 올릴 어향가지")</f>
        <v>승수를 올릴 어향가지</v>
      </c>
      <c r="B9272" s="2" t="str">
        <f>IFERROR(__xludf.DUMMYFUNCTION("""COMPUTED_VALUE"""),"간장")</f>
        <v>간장</v>
      </c>
    </row>
    <row r="9273">
      <c r="A9273" s="2" t="str">
        <f>IFERROR(__xludf.DUMMYFUNCTION("""COMPUTED_VALUE"""),"승수를 올릴 어향가지")</f>
        <v>승수를 올릴 어향가지</v>
      </c>
      <c r="B9273" s="2" t="str">
        <f>IFERROR(__xludf.DUMMYFUNCTION("""COMPUTED_VALUE"""),"된장")</f>
        <v>된장</v>
      </c>
    </row>
    <row r="9274">
      <c r="A9274" s="2" t="str">
        <f>IFERROR(__xludf.DUMMYFUNCTION("""COMPUTED_VALUE"""),"승수를 올릴 어향가지")</f>
        <v>승수를 올릴 어향가지</v>
      </c>
      <c r="B9274" s="2" t="str">
        <f>IFERROR(__xludf.DUMMYFUNCTION("""COMPUTED_VALUE"""),"고춧가루")</f>
        <v>고춧가루</v>
      </c>
    </row>
    <row r="9275">
      <c r="A9275" s="2" t="str">
        <f>IFERROR(__xludf.DUMMYFUNCTION("""COMPUTED_VALUE"""),"승수를 올릴 어향가지")</f>
        <v>승수를 올릴 어향가지</v>
      </c>
      <c r="B9275" s="2" t="str">
        <f>IFERROR(__xludf.DUMMYFUNCTION("""COMPUTED_VALUE"""),"즉석밥")</f>
        <v>즉석밥</v>
      </c>
    </row>
    <row r="9276">
      <c r="A9276" s="2" t="str">
        <f>IFERROR(__xludf.DUMMYFUNCTION("""COMPUTED_VALUE"""),"승수를 올릴 어향가지")</f>
        <v>승수를 올릴 어향가지</v>
      </c>
      <c r="B9276" s="2" t="str">
        <f>IFERROR(__xludf.DUMMYFUNCTION("""COMPUTED_VALUE"""),"달걀")</f>
        <v>달걀</v>
      </c>
    </row>
    <row r="9277">
      <c r="A9277" s="2" t="str">
        <f>IFERROR(__xludf.DUMMYFUNCTION("""COMPUTED_VALUE"""),"이태공 스테이크")</f>
        <v>이태공 스테이크</v>
      </c>
      <c r="B9277" s="2" t="str">
        <f>IFERROR(__xludf.DUMMYFUNCTION("""COMPUTED_VALUE"""),"참돔")</f>
        <v>참돔</v>
      </c>
    </row>
    <row r="9278">
      <c r="A9278" s="2" t="str">
        <f>IFERROR(__xludf.DUMMYFUNCTION("""COMPUTED_VALUE"""),"이태공 스테이크")</f>
        <v>이태공 스테이크</v>
      </c>
      <c r="B9278" s="2" t="str">
        <f>IFERROR(__xludf.DUMMYFUNCTION("""COMPUTED_VALUE"""),"된장")</f>
        <v>된장</v>
      </c>
    </row>
    <row r="9279">
      <c r="A9279" s="2" t="str">
        <f>IFERROR(__xludf.DUMMYFUNCTION("""COMPUTED_VALUE"""),"이태공 스테이크")</f>
        <v>이태공 스테이크</v>
      </c>
      <c r="B9279" s="2" t="str">
        <f>IFERROR(__xludf.DUMMYFUNCTION("""COMPUTED_VALUE"""),"무")</f>
        <v>무</v>
      </c>
    </row>
    <row r="9280">
      <c r="A9280" s="2" t="str">
        <f>IFERROR(__xludf.DUMMYFUNCTION("""COMPUTED_VALUE"""),"이태공 스테이크")</f>
        <v>이태공 스테이크</v>
      </c>
      <c r="B9280" s="2" t="str">
        <f>IFERROR(__xludf.DUMMYFUNCTION("""COMPUTED_VALUE"""),"핑크솔트")</f>
        <v>핑크솔트</v>
      </c>
    </row>
    <row r="9281">
      <c r="A9281" s="2" t="str">
        <f>IFERROR(__xludf.DUMMYFUNCTION("""COMPUTED_VALUE"""),"이태공 스테이크")</f>
        <v>이태공 스테이크</v>
      </c>
      <c r="B9281" s="2" t="str">
        <f>IFERROR(__xludf.DUMMYFUNCTION("""COMPUTED_VALUE"""),"마늘소금")</f>
        <v>마늘소금</v>
      </c>
    </row>
    <row r="9282">
      <c r="A9282" s="2" t="str">
        <f>IFERROR(__xludf.DUMMYFUNCTION("""COMPUTED_VALUE"""),"이태공 스테이크")</f>
        <v>이태공 스테이크</v>
      </c>
      <c r="B9282" s="2" t="str">
        <f>IFERROR(__xludf.DUMMYFUNCTION("""COMPUTED_VALUE"""),"방어")</f>
        <v>방어</v>
      </c>
    </row>
    <row r="9283">
      <c r="A9283" s="2" t="str">
        <f>IFERROR(__xludf.DUMMYFUNCTION("""COMPUTED_VALUE"""),"이태공 스테이크")</f>
        <v>이태공 스테이크</v>
      </c>
      <c r="B9283" s="2" t="str">
        <f>IFERROR(__xludf.DUMMYFUNCTION("""COMPUTED_VALUE"""),"후추")</f>
        <v>후추</v>
      </c>
    </row>
    <row r="9284">
      <c r="A9284" s="2" t="str">
        <f>IFERROR(__xludf.DUMMYFUNCTION("""COMPUTED_VALUE"""),"이태공 스테이크")</f>
        <v>이태공 스테이크</v>
      </c>
      <c r="B9284" s="2" t="str">
        <f>IFERROR(__xludf.DUMMYFUNCTION("""COMPUTED_VALUE"""),"래디시")</f>
        <v>래디시</v>
      </c>
    </row>
    <row r="9285">
      <c r="A9285" s="2" t="str">
        <f>IFERROR(__xludf.DUMMYFUNCTION("""COMPUTED_VALUE"""),"이태공 스테이크")</f>
        <v>이태공 스테이크</v>
      </c>
      <c r="B9285" s="2" t="str">
        <f>IFERROR(__xludf.DUMMYFUNCTION("""COMPUTED_VALUE"""),"방울양배추")</f>
        <v>방울양배추</v>
      </c>
    </row>
    <row r="9286">
      <c r="A9286" s="2" t="str">
        <f>IFERROR(__xludf.DUMMYFUNCTION("""COMPUTED_VALUE"""),"이태공 스테이크")</f>
        <v>이태공 스테이크</v>
      </c>
      <c r="B9286" s="2" t="str">
        <f>IFERROR(__xludf.DUMMYFUNCTION("""COMPUTED_VALUE"""),"엔다이브")</f>
        <v>엔다이브</v>
      </c>
    </row>
    <row r="9287">
      <c r="A9287" s="2" t="str">
        <f>IFERROR(__xludf.DUMMYFUNCTION("""COMPUTED_VALUE"""),"이태공 스테이크")</f>
        <v>이태공 스테이크</v>
      </c>
      <c r="B9287" s="2" t="str">
        <f>IFERROR(__xludf.DUMMYFUNCTION("""COMPUTED_VALUE"""),"발사믹드레싱")</f>
        <v>발사믹드레싱</v>
      </c>
    </row>
    <row r="9288">
      <c r="A9288" s="2" t="str">
        <f>IFERROR(__xludf.DUMMYFUNCTION("""COMPUTED_VALUE"""),"이태공 스테이크")</f>
        <v>이태공 스테이크</v>
      </c>
      <c r="B9288" s="2" t="str">
        <f>IFERROR(__xludf.DUMMYFUNCTION("""COMPUTED_VALUE"""),"조미간장")</f>
        <v>조미간장</v>
      </c>
    </row>
    <row r="9289">
      <c r="A9289" s="2" t="str">
        <f>IFERROR(__xludf.DUMMYFUNCTION("""COMPUTED_VALUE"""),"이태공 스테이크")</f>
        <v>이태공 스테이크</v>
      </c>
      <c r="B9289" s="2" t="str">
        <f>IFERROR(__xludf.DUMMYFUNCTION("""COMPUTED_VALUE"""),"고추냉이")</f>
        <v>고추냉이</v>
      </c>
    </row>
    <row r="9290">
      <c r="A9290" s="2" t="str">
        <f>IFERROR(__xludf.DUMMYFUNCTION("""COMPUTED_VALUE"""),"이태공 스테이크")</f>
        <v>이태공 스테이크</v>
      </c>
      <c r="B9290" s="2" t="str">
        <f>IFERROR(__xludf.DUMMYFUNCTION("""COMPUTED_VALUE"""),"미나리")</f>
        <v>미나리</v>
      </c>
    </row>
    <row r="9291">
      <c r="A9291" s="2" t="str">
        <f>IFERROR(__xludf.DUMMYFUNCTION("""COMPUTED_VALUE"""),"이태공 스테이크")</f>
        <v>이태공 스테이크</v>
      </c>
      <c r="B9291" s="2" t="str">
        <f>IFERROR(__xludf.DUMMYFUNCTION("""COMPUTED_VALUE"""),"다진 마늘")</f>
        <v>다진 마늘</v>
      </c>
    </row>
    <row r="9292">
      <c r="A9292" s="2" t="str">
        <f>IFERROR(__xludf.DUMMYFUNCTION("""COMPUTED_VALUE"""),"이태공 스테이크")</f>
        <v>이태공 스테이크</v>
      </c>
      <c r="B9292" s="2" t="str">
        <f>IFERROR(__xludf.DUMMYFUNCTION("""COMPUTED_VALUE"""),"양파")</f>
        <v>양파</v>
      </c>
    </row>
    <row r="9293">
      <c r="A9293" s="2" t="str">
        <f>IFERROR(__xludf.DUMMYFUNCTION("""COMPUTED_VALUE"""),"이태공 스테이크")</f>
        <v>이태공 스테이크</v>
      </c>
      <c r="B9293" s="2" t="str">
        <f>IFERROR(__xludf.DUMMYFUNCTION("""COMPUTED_VALUE"""),"대파")</f>
        <v>대파</v>
      </c>
    </row>
    <row r="9294">
      <c r="A9294" s="2" t="str">
        <f>IFERROR(__xludf.DUMMYFUNCTION("""COMPUTED_VALUE"""),"이태공 스테이크")</f>
        <v>이태공 스테이크</v>
      </c>
      <c r="B9294" s="2" t="str">
        <f>IFERROR(__xludf.DUMMYFUNCTION("""COMPUTED_VALUE"""),"홍고추")</f>
        <v>홍고추</v>
      </c>
    </row>
    <row r="9295">
      <c r="A9295" s="2" t="str">
        <f>IFERROR(__xludf.DUMMYFUNCTION("""COMPUTED_VALUE"""),"이태공 스테이크")</f>
        <v>이태공 스테이크</v>
      </c>
      <c r="B9295" s="2" t="str">
        <f>IFERROR(__xludf.DUMMYFUNCTION("""COMPUTED_VALUE"""),"청양고추")</f>
        <v>청양고추</v>
      </c>
    </row>
    <row r="9296">
      <c r="A9296" s="2" t="str">
        <f>IFERROR(__xludf.DUMMYFUNCTION("""COMPUTED_VALUE"""),"이태공 스테이크")</f>
        <v>이태공 스테이크</v>
      </c>
      <c r="B9296" s="2" t="str">
        <f>IFERROR(__xludf.DUMMYFUNCTION("""COMPUTED_VALUE"""),"고춧가루")</f>
        <v>고춧가루</v>
      </c>
    </row>
    <row r="9297">
      <c r="A9297" s="2" t="str">
        <f>IFERROR(__xludf.DUMMYFUNCTION("""COMPUTED_VALUE"""),"이태공 스테이크")</f>
        <v>이태공 스테이크</v>
      </c>
      <c r="B9297" s="2" t="str">
        <f>IFERROR(__xludf.DUMMYFUNCTION("""COMPUTED_VALUE"""),"올리브오일")</f>
        <v>올리브오일</v>
      </c>
    </row>
    <row r="9298">
      <c r="A9298" s="2" t="str">
        <f>IFERROR(__xludf.DUMMYFUNCTION("""COMPUTED_VALUE"""),"이태공 스테이크")</f>
        <v>이태공 스테이크</v>
      </c>
      <c r="B9298" s="2" t="str">
        <f>IFERROR(__xludf.DUMMYFUNCTION("""COMPUTED_VALUE"""),"후추")</f>
        <v>후추</v>
      </c>
    </row>
    <row r="9299">
      <c r="A9299" s="2" t="str">
        <f>IFERROR(__xludf.DUMMYFUNCTION("""COMPUTED_VALUE"""),"이태공 스테이크")</f>
        <v>이태공 스테이크</v>
      </c>
      <c r="B9299" s="2" t="str">
        <f>IFERROR(__xludf.DUMMYFUNCTION("""COMPUTED_VALUE"""),"레몬")</f>
        <v>레몬</v>
      </c>
    </row>
    <row r="9300">
      <c r="A9300" s="2" t="str">
        <f>IFERROR(__xludf.DUMMYFUNCTION("""COMPUTED_VALUE"""),"이태공 스테이크")</f>
        <v>이태공 스테이크</v>
      </c>
      <c r="B9300" s="2" t="str">
        <f>IFERROR(__xludf.DUMMYFUNCTION("""COMPUTED_VALUE"""),"소금")</f>
        <v>소금</v>
      </c>
    </row>
    <row r="9301">
      <c r="A9301" s="2" t="str">
        <f>IFERROR(__xludf.DUMMYFUNCTION("""COMPUTED_VALUE"""),"이태공 스테이크")</f>
        <v>이태공 스테이크</v>
      </c>
      <c r="B9301" s="2" t="str">
        <f>IFERROR(__xludf.DUMMYFUNCTION("""COMPUTED_VALUE"""),"간장")</f>
        <v>간장</v>
      </c>
    </row>
    <row r="9302">
      <c r="A9302" s="2" t="str">
        <f>IFERROR(__xludf.DUMMYFUNCTION("""COMPUTED_VALUE"""),"이태공 스테이크")</f>
        <v>이태공 스테이크</v>
      </c>
      <c r="B9302" s="2" t="str">
        <f>IFERROR(__xludf.DUMMYFUNCTION("""COMPUTED_VALUE"""),"식초")</f>
        <v>식초</v>
      </c>
    </row>
    <row r="9303">
      <c r="A9303" s="2" t="str">
        <f>IFERROR(__xludf.DUMMYFUNCTION("""COMPUTED_VALUE"""),"승수나르도 파스타리오")</f>
        <v>승수나르도 파스타리오</v>
      </c>
      <c r="B9303" s="2" t="str">
        <f>IFERROR(__xludf.DUMMYFUNCTION("""COMPUTED_VALUE"""),"적양파")</f>
        <v>적양파</v>
      </c>
    </row>
    <row r="9304">
      <c r="A9304" s="2" t="str">
        <f>IFERROR(__xludf.DUMMYFUNCTION("""COMPUTED_VALUE"""),"승수나르도 파스타리오")</f>
        <v>승수나르도 파스타리오</v>
      </c>
      <c r="B9304" s="2" t="str">
        <f>IFERROR(__xludf.DUMMYFUNCTION("""COMPUTED_VALUE"""),"삼겹살")</f>
        <v>삼겹살</v>
      </c>
    </row>
    <row r="9305">
      <c r="A9305" s="2" t="str">
        <f>IFERROR(__xludf.DUMMYFUNCTION("""COMPUTED_VALUE"""),"승수나르도 파스타리오")</f>
        <v>승수나르도 파스타리오</v>
      </c>
      <c r="B9305" s="2" t="str">
        <f>IFERROR(__xludf.DUMMYFUNCTION("""COMPUTED_VALUE"""),"베이컨")</f>
        <v>베이컨</v>
      </c>
    </row>
    <row r="9306">
      <c r="A9306" s="2" t="str">
        <f>IFERROR(__xludf.DUMMYFUNCTION("""COMPUTED_VALUE"""),"승수나르도 파스타리오")</f>
        <v>승수나르도 파스타리오</v>
      </c>
      <c r="B9306" s="2" t="str">
        <f>IFERROR(__xludf.DUMMYFUNCTION("""COMPUTED_VALUE"""),"파프리카")</f>
        <v>파프리카</v>
      </c>
    </row>
    <row r="9307">
      <c r="A9307" s="2" t="str">
        <f>IFERROR(__xludf.DUMMYFUNCTION("""COMPUTED_VALUE"""),"승수나르도 파스타리오")</f>
        <v>승수나르도 파스타리오</v>
      </c>
      <c r="B9307" s="2" t="str">
        <f>IFERROR(__xludf.DUMMYFUNCTION("""COMPUTED_VALUE"""),"가지")</f>
        <v>가지</v>
      </c>
    </row>
    <row r="9308">
      <c r="A9308" s="2" t="str">
        <f>IFERROR(__xludf.DUMMYFUNCTION("""COMPUTED_VALUE"""),"승수나르도 파스타리오")</f>
        <v>승수나르도 파스타리오</v>
      </c>
      <c r="B9308" s="2" t="str">
        <f>IFERROR(__xludf.DUMMYFUNCTION("""COMPUTED_VALUE"""),"새송이버섯")</f>
        <v>새송이버섯</v>
      </c>
    </row>
    <row r="9309">
      <c r="A9309" s="2" t="str">
        <f>IFERROR(__xludf.DUMMYFUNCTION("""COMPUTED_VALUE"""),"승수나르도 파스타리오")</f>
        <v>승수나르도 파스타리오</v>
      </c>
      <c r="B9309" s="2" t="str">
        <f>IFERROR(__xludf.DUMMYFUNCTION("""COMPUTED_VALUE"""),"인스턴트 사골곰탕")</f>
        <v>인스턴트 사골곰탕</v>
      </c>
    </row>
    <row r="9310">
      <c r="A9310" s="2" t="str">
        <f>IFERROR(__xludf.DUMMYFUNCTION("""COMPUTED_VALUE"""),"승수나르도 파스타리오")</f>
        <v>승수나르도 파스타리오</v>
      </c>
      <c r="B9310" s="2" t="str">
        <f>IFERROR(__xludf.DUMMYFUNCTION("""COMPUTED_VALUE"""),"토마토소스")</f>
        <v>토마토소스</v>
      </c>
    </row>
    <row r="9311">
      <c r="A9311" s="2" t="str">
        <f>IFERROR(__xludf.DUMMYFUNCTION("""COMPUTED_VALUE"""),"승수나르도 파스타리오")</f>
        <v>승수나르도 파스타리오</v>
      </c>
      <c r="B9311" s="2" t="str">
        <f>IFERROR(__xludf.DUMMYFUNCTION("""COMPUTED_VALUE"""),"게맛살")</f>
        <v>게맛살</v>
      </c>
    </row>
    <row r="9312">
      <c r="A9312" s="2" t="str">
        <f>IFERROR(__xludf.DUMMYFUNCTION("""COMPUTED_VALUE"""),"승수나르도 파스타리오")</f>
        <v>승수나르도 파스타리오</v>
      </c>
      <c r="B9312" s="2" t="str">
        <f>IFERROR(__xludf.DUMMYFUNCTION("""COMPUTED_VALUE"""),"날치알")</f>
        <v>날치알</v>
      </c>
    </row>
    <row r="9313">
      <c r="A9313" s="2" t="str">
        <f>IFERROR(__xludf.DUMMYFUNCTION("""COMPUTED_VALUE"""),"승수나르도 파스타리오")</f>
        <v>승수나르도 파스타리오</v>
      </c>
      <c r="B9313" s="2" t="str">
        <f>IFERROR(__xludf.DUMMYFUNCTION("""COMPUTED_VALUE"""),"모차렐라치즈")</f>
        <v>모차렐라치즈</v>
      </c>
    </row>
    <row r="9314">
      <c r="A9314" s="2" t="str">
        <f>IFERROR(__xludf.DUMMYFUNCTION("""COMPUTED_VALUE"""),"승수나르도 파스타리오")</f>
        <v>승수나르도 파스타리오</v>
      </c>
      <c r="B9314" s="2" t="str">
        <f>IFERROR(__xludf.DUMMYFUNCTION("""COMPUTED_VALUE"""),"파스타면")</f>
        <v>파스타면</v>
      </c>
    </row>
    <row r="9315">
      <c r="A9315" s="2" t="str">
        <f>IFERROR(__xludf.DUMMYFUNCTION("""COMPUTED_VALUE"""),"승수나르도 파스타리오")</f>
        <v>승수나르도 파스타리오</v>
      </c>
      <c r="B9315" s="2" t="str">
        <f>IFERROR(__xludf.DUMMYFUNCTION("""COMPUTED_VALUE"""),"파르메산 치즈가루")</f>
        <v>파르메산 치즈가루</v>
      </c>
    </row>
    <row r="9316">
      <c r="A9316" s="2" t="str">
        <f>IFERROR(__xludf.DUMMYFUNCTION("""COMPUTED_VALUE"""),"승수나르도 파스타리오")</f>
        <v>승수나르도 파스타리오</v>
      </c>
      <c r="B9316" s="2" t="str">
        <f>IFERROR(__xludf.DUMMYFUNCTION("""COMPUTED_VALUE"""),"소금")</f>
        <v>소금</v>
      </c>
    </row>
    <row r="9317">
      <c r="A9317" s="2" t="str">
        <f>IFERROR(__xludf.DUMMYFUNCTION("""COMPUTED_VALUE"""),"승수나르도 파스타리오")</f>
        <v>승수나르도 파스타리오</v>
      </c>
      <c r="B9317" s="2" t="str">
        <f>IFERROR(__xludf.DUMMYFUNCTION("""COMPUTED_VALUE"""),"후추")</f>
        <v>후추</v>
      </c>
    </row>
    <row r="9318">
      <c r="A9318" s="2" t="str">
        <f>IFERROR(__xludf.DUMMYFUNCTION("""COMPUTED_VALUE"""),"승수나르도 파스타리오")</f>
        <v>승수나르도 파스타리오</v>
      </c>
      <c r="B9318" s="2" t="str">
        <f>IFERROR(__xludf.DUMMYFUNCTION("""COMPUTED_VALUE"""),"밀가루")</f>
        <v>밀가루</v>
      </c>
    </row>
    <row r="9319">
      <c r="A9319" s="2" t="str">
        <f>IFERROR(__xludf.DUMMYFUNCTION("""COMPUTED_VALUE"""),"승수나르도 파스타리오")</f>
        <v>승수나르도 파스타리오</v>
      </c>
      <c r="B9319" s="2" t="str">
        <f>IFERROR(__xludf.DUMMYFUNCTION("""COMPUTED_VALUE"""),"마요네즈")</f>
        <v>마요네즈</v>
      </c>
    </row>
    <row r="9320">
      <c r="A9320" s="2" t="str">
        <f>IFERROR(__xludf.DUMMYFUNCTION("""COMPUTED_VALUE"""),"승수나르도 파스타리오")</f>
        <v>승수나르도 파스타리오</v>
      </c>
      <c r="B9320" s="2" t="str">
        <f>IFERROR(__xludf.DUMMYFUNCTION("""COMPUTED_VALUE"""),"올리브오일")</f>
        <v>올리브오일</v>
      </c>
    </row>
    <row r="9321">
      <c r="A9321" s="2" t="str">
        <f>IFERROR(__xludf.DUMMYFUNCTION("""COMPUTED_VALUE"""),"승수나르도 파스타리오")</f>
        <v>승수나르도 파스타리오</v>
      </c>
      <c r="B9321" s="2" t="str">
        <f>IFERROR(__xludf.DUMMYFUNCTION("""COMPUTED_VALUE"""),"소금")</f>
        <v>소금</v>
      </c>
    </row>
    <row r="9322">
      <c r="A9322" s="2" t="str">
        <f>IFERROR(__xludf.DUMMYFUNCTION("""COMPUTED_VALUE"""),"승수나르도 파스타리오")</f>
        <v>승수나르도 파스타리오</v>
      </c>
      <c r="B9322" s="2" t="str">
        <f>IFERROR(__xludf.DUMMYFUNCTION("""COMPUTED_VALUE"""),"식초")</f>
        <v>식초</v>
      </c>
    </row>
    <row r="9323">
      <c r="A9323" s="2" t="str">
        <f>IFERROR(__xludf.DUMMYFUNCTION("""COMPUTED_VALUE"""),"승수나르도 파스타리오")</f>
        <v>승수나르도 파스타리오</v>
      </c>
      <c r="B9323" s="2" t="str">
        <f>IFERROR(__xludf.DUMMYFUNCTION("""COMPUTED_VALUE"""),"간장")</f>
        <v>간장</v>
      </c>
    </row>
    <row r="9324">
      <c r="A9324" s="2" t="str">
        <f>IFERROR(__xludf.DUMMYFUNCTION("""COMPUTED_VALUE"""),"승수나르도 파스타리오")</f>
        <v>승수나르도 파스타리오</v>
      </c>
      <c r="B9324" s="2" t="str">
        <f>IFERROR(__xludf.DUMMYFUNCTION("""COMPUTED_VALUE"""),"맛술")</f>
        <v>맛술</v>
      </c>
    </row>
    <row r="9325">
      <c r="A9325" s="2" t="str">
        <f>IFERROR(__xludf.DUMMYFUNCTION("""COMPUTED_VALUE"""),"승수나르도 파스타리오")</f>
        <v>승수나르도 파스타리오</v>
      </c>
      <c r="B9325" s="2" t="str">
        <f>IFERROR(__xludf.DUMMYFUNCTION("""COMPUTED_VALUE"""),"설탕")</f>
        <v>설탕</v>
      </c>
    </row>
    <row r="9326">
      <c r="A9326" s="2" t="str">
        <f>IFERROR(__xludf.DUMMYFUNCTION("""COMPUTED_VALUE"""),"파스타랑깨")</f>
        <v>파스타랑깨</v>
      </c>
      <c r="B9326" s="2" t="str">
        <f>IFERROR(__xludf.DUMMYFUNCTION("""COMPUTED_VALUE"""),"알배추")</f>
        <v>알배추</v>
      </c>
    </row>
    <row r="9327">
      <c r="A9327" s="2" t="str">
        <f>IFERROR(__xludf.DUMMYFUNCTION("""COMPUTED_VALUE"""),"파스타랑깨")</f>
        <v>파스타랑깨</v>
      </c>
      <c r="B9327" s="2" t="str">
        <f>IFERROR(__xludf.DUMMYFUNCTION("""COMPUTED_VALUE"""),"인스턴트 사골곰탕")</f>
        <v>인스턴트 사골곰탕</v>
      </c>
    </row>
    <row r="9328">
      <c r="A9328" s="2" t="str">
        <f>IFERROR(__xludf.DUMMYFUNCTION("""COMPUTED_VALUE"""),"파스타랑깨")</f>
        <v>파스타랑깨</v>
      </c>
      <c r="B9328" s="2" t="str">
        <f>IFERROR(__xludf.DUMMYFUNCTION("""COMPUTED_VALUE"""),"편육")</f>
        <v>편육</v>
      </c>
    </row>
    <row r="9329">
      <c r="A9329" s="2" t="str">
        <f>IFERROR(__xludf.DUMMYFUNCTION("""COMPUTED_VALUE"""),"파스타랑깨")</f>
        <v>파스타랑깨</v>
      </c>
      <c r="B9329" s="2" t="str">
        <f>IFERROR(__xludf.DUMMYFUNCTION("""COMPUTED_VALUE"""),"토마토소스")</f>
        <v>토마토소스</v>
      </c>
    </row>
    <row r="9330">
      <c r="A9330" s="2" t="str">
        <f>IFERROR(__xludf.DUMMYFUNCTION("""COMPUTED_VALUE"""),"파스타랑깨")</f>
        <v>파스타랑깨</v>
      </c>
      <c r="B9330" s="2" t="str">
        <f>IFERROR(__xludf.DUMMYFUNCTION("""COMPUTED_VALUE"""),"파스타면")</f>
        <v>파스타면</v>
      </c>
    </row>
    <row r="9331">
      <c r="A9331" s="2" t="str">
        <f>IFERROR(__xludf.DUMMYFUNCTION("""COMPUTED_VALUE"""),"파스타랑깨")</f>
        <v>파스타랑깨</v>
      </c>
      <c r="B9331" s="2" t="str">
        <f>IFERROR(__xludf.DUMMYFUNCTION("""COMPUTED_VALUE"""),"굴소스")</f>
        <v>굴소스</v>
      </c>
    </row>
    <row r="9332">
      <c r="A9332" s="2" t="str">
        <f>IFERROR(__xludf.DUMMYFUNCTION("""COMPUTED_VALUE"""),"파스타랑깨")</f>
        <v>파스타랑깨</v>
      </c>
      <c r="B9332" s="2" t="str">
        <f>IFERROR(__xludf.DUMMYFUNCTION("""COMPUTED_VALUE"""),"쪽파")</f>
        <v>쪽파</v>
      </c>
    </row>
    <row r="9333">
      <c r="A9333" s="2" t="str">
        <f>IFERROR(__xludf.DUMMYFUNCTION("""COMPUTED_VALUE"""),"파스타랑깨")</f>
        <v>파스타랑깨</v>
      </c>
      <c r="B9333" s="2" t="str">
        <f>IFERROR(__xludf.DUMMYFUNCTION("""COMPUTED_VALUE"""),"들깻가루")</f>
        <v>들깻가루</v>
      </c>
    </row>
    <row r="9334">
      <c r="A9334" s="2" t="str">
        <f>IFERROR(__xludf.DUMMYFUNCTION("""COMPUTED_VALUE"""),"파스타랑깨")</f>
        <v>파스타랑깨</v>
      </c>
      <c r="B9334" s="2" t="str">
        <f>IFERROR(__xludf.DUMMYFUNCTION("""COMPUTED_VALUE"""),"김")</f>
        <v>김</v>
      </c>
    </row>
    <row r="9335">
      <c r="A9335" s="2" t="str">
        <f>IFERROR(__xludf.DUMMYFUNCTION("""COMPUTED_VALUE"""),"파스타랑깨")</f>
        <v>파스타랑깨</v>
      </c>
      <c r="B9335" s="2" t="str">
        <f>IFERROR(__xludf.DUMMYFUNCTION("""COMPUTED_VALUE"""),"소금")</f>
        <v>소금</v>
      </c>
    </row>
    <row r="9336">
      <c r="A9336" s="2" t="str">
        <f>IFERROR(__xludf.DUMMYFUNCTION("""COMPUTED_VALUE"""),"파스타랑깨")</f>
        <v>파스타랑깨</v>
      </c>
      <c r="B9336" s="2" t="str">
        <f>IFERROR(__xludf.DUMMYFUNCTION("""COMPUTED_VALUE"""),"다진 생강")</f>
        <v>다진 생강</v>
      </c>
    </row>
    <row r="9337">
      <c r="A9337" s="2" t="str">
        <f>IFERROR(__xludf.DUMMYFUNCTION("""COMPUTED_VALUE"""),"파스타랑깨")</f>
        <v>파스타랑깨</v>
      </c>
      <c r="B9337" s="2" t="str">
        <f>IFERROR(__xludf.DUMMYFUNCTION("""COMPUTED_VALUE"""),"마늘")</f>
        <v>마늘</v>
      </c>
    </row>
    <row r="9338">
      <c r="A9338" s="2" t="str">
        <f>IFERROR(__xludf.DUMMYFUNCTION("""COMPUTED_VALUE"""),"파스타랑깨")</f>
        <v>파스타랑깨</v>
      </c>
      <c r="B9338" s="2" t="str">
        <f>IFERROR(__xludf.DUMMYFUNCTION("""COMPUTED_VALUE"""),"간장")</f>
        <v>간장</v>
      </c>
    </row>
    <row r="9339">
      <c r="A9339" s="2" t="str">
        <f>IFERROR(__xludf.DUMMYFUNCTION("""COMPUTED_VALUE"""),"파스타랑깨")</f>
        <v>파스타랑깨</v>
      </c>
      <c r="B9339" s="2" t="str">
        <f>IFERROR(__xludf.DUMMYFUNCTION("""COMPUTED_VALUE"""),"고춧가루")</f>
        <v>고춧가루</v>
      </c>
    </row>
    <row r="9340">
      <c r="A9340" s="2" t="str">
        <f>IFERROR(__xludf.DUMMYFUNCTION("""COMPUTED_VALUE"""),"파스타랑깨")</f>
        <v>파스타랑깨</v>
      </c>
      <c r="B9340" s="2" t="str">
        <f>IFERROR(__xludf.DUMMYFUNCTION("""COMPUTED_VALUE"""),"후추")</f>
        <v>후추</v>
      </c>
    </row>
    <row r="9341">
      <c r="A9341" s="2" t="str">
        <f>IFERROR(__xludf.DUMMYFUNCTION("""COMPUTED_VALUE"""),"벵에돔이시여")</f>
        <v>벵에돔이시여</v>
      </c>
      <c r="B9341" s="2" t="str">
        <f>IFERROR(__xludf.DUMMYFUNCTION("""COMPUTED_VALUE"""),"긴꼬리벵에돔")</f>
        <v>긴꼬리벵에돔</v>
      </c>
    </row>
    <row r="9342">
      <c r="A9342" s="2" t="str">
        <f>IFERROR(__xludf.DUMMYFUNCTION("""COMPUTED_VALUE"""),"벵에돔이시여")</f>
        <v>벵에돔이시여</v>
      </c>
      <c r="B9342" s="2" t="str">
        <f>IFERROR(__xludf.DUMMYFUNCTION("""COMPUTED_VALUE"""),"홍합")</f>
        <v>홍합</v>
      </c>
    </row>
    <row r="9343">
      <c r="A9343" s="2" t="str">
        <f>IFERROR(__xludf.DUMMYFUNCTION("""COMPUTED_VALUE"""),"벵에돔이시여")</f>
        <v>벵에돔이시여</v>
      </c>
      <c r="B9343" s="2" t="str">
        <f>IFERROR(__xludf.DUMMYFUNCTION("""COMPUTED_VALUE"""),"무")</f>
        <v>무</v>
      </c>
    </row>
    <row r="9344">
      <c r="A9344" s="2" t="str">
        <f>IFERROR(__xludf.DUMMYFUNCTION("""COMPUTED_VALUE"""),"벵에돔이시여")</f>
        <v>벵에돔이시여</v>
      </c>
      <c r="B9344" s="2" t="str">
        <f>IFERROR(__xludf.DUMMYFUNCTION("""COMPUTED_VALUE"""),"브로콜리")</f>
        <v>브로콜리</v>
      </c>
    </row>
    <row r="9345">
      <c r="A9345" s="2" t="str">
        <f>IFERROR(__xludf.DUMMYFUNCTION("""COMPUTED_VALUE"""),"벵에돔이시여")</f>
        <v>벵에돔이시여</v>
      </c>
      <c r="B9345" s="2" t="str">
        <f>IFERROR(__xludf.DUMMYFUNCTION("""COMPUTED_VALUE"""),"아스파라거스")</f>
        <v>아스파라거스</v>
      </c>
    </row>
    <row r="9346">
      <c r="A9346" s="2" t="str">
        <f>IFERROR(__xludf.DUMMYFUNCTION("""COMPUTED_VALUE"""),"벵에돔이시여")</f>
        <v>벵에돔이시여</v>
      </c>
      <c r="B9346" s="2" t="str">
        <f>IFERROR(__xludf.DUMMYFUNCTION("""COMPUTED_VALUE"""),"쯔유")</f>
        <v>쯔유</v>
      </c>
    </row>
    <row r="9347">
      <c r="A9347" s="2" t="str">
        <f>IFERROR(__xludf.DUMMYFUNCTION("""COMPUTED_VALUE"""),"벵에돔이시여")</f>
        <v>벵에돔이시여</v>
      </c>
      <c r="B9347" s="2" t="str">
        <f>IFERROR(__xludf.DUMMYFUNCTION("""COMPUTED_VALUE"""),"후추")</f>
        <v>후추</v>
      </c>
    </row>
    <row r="9348">
      <c r="A9348" s="2" t="str">
        <f>IFERROR(__xludf.DUMMYFUNCTION("""COMPUTED_VALUE"""),"벵에돔이시여")</f>
        <v>벵에돔이시여</v>
      </c>
      <c r="B9348" s="2" t="str">
        <f>IFERROR(__xludf.DUMMYFUNCTION("""COMPUTED_VALUE"""),"그린올리브")</f>
        <v>그린올리브</v>
      </c>
    </row>
    <row r="9349">
      <c r="A9349" s="2" t="str">
        <f>IFERROR(__xludf.DUMMYFUNCTION("""COMPUTED_VALUE"""),"벵에돔이시여")</f>
        <v>벵에돔이시여</v>
      </c>
      <c r="B9349" s="2" t="str">
        <f>IFERROR(__xludf.DUMMYFUNCTION("""COMPUTED_VALUE"""),"매실액")</f>
        <v>매실액</v>
      </c>
    </row>
    <row r="9350">
      <c r="A9350" s="2" t="str">
        <f>IFERROR(__xludf.DUMMYFUNCTION("""COMPUTED_VALUE"""),"벵에돔이시여")</f>
        <v>벵에돔이시여</v>
      </c>
      <c r="B9350" s="2" t="str">
        <f>IFERROR(__xludf.DUMMYFUNCTION("""COMPUTED_VALUE"""),"깻잎")</f>
        <v>깻잎</v>
      </c>
    </row>
    <row r="9351">
      <c r="A9351" s="2" t="str">
        <f>IFERROR(__xludf.DUMMYFUNCTION("""COMPUTED_VALUE"""),"벵에돔이시여")</f>
        <v>벵에돔이시여</v>
      </c>
      <c r="B9351" s="2" t="str">
        <f>IFERROR(__xludf.DUMMYFUNCTION("""COMPUTED_VALUE"""),"대파")</f>
        <v>대파</v>
      </c>
    </row>
    <row r="9352">
      <c r="A9352" s="2" t="str">
        <f>IFERROR(__xludf.DUMMYFUNCTION("""COMPUTED_VALUE"""),"벵에돔이시여")</f>
        <v>벵에돔이시여</v>
      </c>
      <c r="B9352" s="2" t="str">
        <f>IFERROR(__xludf.DUMMYFUNCTION("""COMPUTED_VALUE"""),"청양고추")</f>
        <v>청양고추</v>
      </c>
    </row>
    <row r="9353">
      <c r="A9353" s="2" t="str">
        <f>IFERROR(__xludf.DUMMYFUNCTION("""COMPUTED_VALUE"""),"벵에돔이시여")</f>
        <v>벵에돔이시여</v>
      </c>
      <c r="B9353" s="2" t="str">
        <f>IFERROR(__xludf.DUMMYFUNCTION("""COMPUTED_VALUE"""),"고춧가루")</f>
        <v>고춧가루</v>
      </c>
    </row>
    <row r="9354">
      <c r="A9354" s="2" t="str">
        <f>IFERROR(__xludf.DUMMYFUNCTION("""COMPUTED_VALUE"""),"벵에돔이시여")</f>
        <v>벵에돔이시여</v>
      </c>
      <c r="B9354" s="2" t="str">
        <f>IFERROR(__xludf.DUMMYFUNCTION("""COMPUTED_VALUE"""),"마늘")</f>
        <v>마늘</v>
      </c>
    </row>
    <row r="9355">
      <c r="A9355" s="2" t="str">
        <f>IFERROR(__xludf.DUMMYFUNCTION("""COMPUTED_VALUE"""),"벵에돔이시여")</f>
        <v>벵에돔이시여</v>
      </c>
      <c r="B9355" s="2" t="str">
        <f>IFERROR(__xludf.DUMMYFUNCTION("""COMPUTED_VALUE"""),"전분")</f>
        <v>전분</v>
      </c>
    </row>
    <row r="9356">
      <c r="A9356" s="2" t="str">
        <f>IFERROR(__xludf.DUMMYFUNCTION("""COMPUTED_VALUE"""),"벵에돔이시여")</f>
        <v>벵에돔이시여</v>
      </c>
      <c r="B9356" s="2" t="str">
        <f>IFERROR(__xludf.DUMMYFUNCTION("""COMPUTED_VALUE"""),"홍고추")</f>
        <v>홍고추</v>
      </c>
    </row>
    <row r="9357">
      <c r="A9357" s="2" t="str">
        <f>IFERROR(__xludf.DUMMYFUNCTION("""COMPUTED_VALUE"""),"벵에돔이시여")</f>
        <v>벵에돔이시여</v>
      </c>
      <c r="B9357" s="2" t="str">
        <f>IFERROR(__xludf.DUMMYFUNCTION("""COMPUTED_VALUE"""),"고추")</f>
        <v>고추</v>
      </c>
    </row>
    <row r="9358">
      <c r="A9358" s="2" t="str">
        <f>IFERROR(__xludf.DUMMYFUNCTION("""COMPUTED_VALUE"""),"벵에돔이시여")</f>
        <v>벵에돔이시여</v>
      </c>
      <c r="B9358" s="2" t="str">
        <f>IFERROR(__xludf.DUMMYFUNCTION("""COMPUTED_VALUE"""),"식초")</f>
        <v>식초</v>
      </c>
    </row>
    <row r="9359">
      <c r="A9359" s="2" t="str">
        <f>IFERROR(__xludf.DUMMYFUNCTION("""COMPUTED_VALUE"""),"벵에돔이시여")</f>
        <v>벵에돔이시여</v>
      </c>
      <c r="B9359" s="2" t="str">
        <f>IFERROR(__xludf.DUMMYFUNCTION("""COMPUTED_VALUE"""),"간장")</f>
        <v>간장</v>
      </c>
    </row>
    <row r="9360">
      <c r="A9360" s="2" t="str">
        <f>IFERROR(__xludf.DUMMYFUNCTION("""COMPUTED_VALUE"""),"벵에돔이시여")</f>
        <v>벵에돔이시여</v>
      </c>
      <c r="B9360" s="2" t="str">
        <f>IFERROR(__xludf.DUMMYFUNCTION("""COMPUTED_VALUE"""),"맛술")</f>
        <v>맛술</v>
      </c>
    </row>
    <row r="9361">
      <c r="A9361" s="2" t="str">
        <f>IFERROR(__xludf.DUMMYFUNCTION("""COMPUTED_VALUE"""),"레이먼킹돔")</f>
        <v>레이먼킹돔</v>
      </c>
      <c r="B9361" s="2" t="str">
        <f>IFERROR(__xludf.DUMMYFUNCTION("""COMPUTED_VALUE"""),"긴꼬리벵에돔")</f>
        <v>긴꼬리벵에돔</v>
      </c>
    </row>
    <row r="9362">
      <c r="A9362" s="2" t="str">
        <f>IFERROR(__xludf.DUMMYFUNCTION("""COMPUTED_VALUE"""),"레이먼킹돔")</f>
        <v>레이먼킹돔</v>
      </c>
      <c r="B9362" s="2" t="str">
        <f>IFERROR(__xludf.DUMMYFUNCTION("""COMPUTED_VALUE"""),"무")</f>
        <v>무</v>
      </c>
    </row>
    <row r="9363">
      <c r="A9363" s="2" t="str">
        <f>IFERROR(__xludf.DUMMYFUNCTION("""COMPUTED_VALUE"""),"레이먼킹돔")</f>
        <v>레이먼킹돔</v>
      </c>
      <c r="B9363" s="2" t="str">
        <f>IFERROR(__xludf.DUMMYFUNCTION("""COMPUTED_VALUE"""),"쯔유")</f>
        <v>쯔유</v>
      </c>
    </row>
    <row r="9364">
      <c r="A9364" s="2" t="str">
        <f>IFERROR(__xludf.DUMMYFUNCTION("""COMPUTED_VALUE"""),"레이먼킹돔")</f>
        <v>레이먼킹돔</v>
      </c>
      <c r="B9364" s="2" t="str">
        <f>IFERROR(__xludf.DUMMYFUNCTION("""COMPUTED_VALUE"""),"우메보시")</f>
        <v>우메보시</v>
      </c>
    </row>
    <row r="9365">
      <c r="A9365" s="2" t="str">
        <f>IFERROR(__xludf.DUMMYFUNCTION("""COMPUTED_VALUE"""),"레이먼킹돔")</f>
        <v>레이먼킹돔</v>
      </c>
      <c r="B9365" s="2" t="str">
        <f>IFERROR(__xludf.DUMMYFUNCTION("""COMPUTED_VALUE"""),"대파")</f>
        <v>대파</v>
      </c>
    </row>
    <row r="9366">
      <c r="A9366" s="2" t="str">
        <f>IFERROR(__xludf.DUMMYFUNCTION("""COMPUTED_VALUE"""),"레이먼킹돔")</f>
        <v>레이먼킹돔</v>
      </c>
      <c r="B9366" s="2" t="str">
        <f>IFERROR(__xludf.DUMMYFUNCTION("""COMPUTED_VALUE"""),"다진 생강")</f>
        <v>다진 생강</v>
      </c>
    </row>
    <row r="9367">
      <c r="A9367" s="2" t="str">
        <f>IFERROR(__xludf.DUMMYFUNCTION("""COMPUTED_VALUE"""),"레이먼킹돔")</f>
        <v>레이먼킹돔</v>
      </c>
      <c r="B9367" s="2" t="str">
        <f>IFERROR(__xludf.DUMMYFUNCTION("""COMPUTED_VALUE"""),"마늘")</f>
        <v>마늘</v>
      </c>
    </row>
    <row r="9368">
      <c r="A9368" s="2" t="str">
        <f>IFERROR(__xludf.DUMMYFUNCTION("""COMPUTED_VALUE"""),"레이먼킹돔")</f>
        <v>레이먼킹돔</v>
      </c>
      <c r="B9368" s="2" t="str">
        <f>IFERROR(__xludf.DUMMYFUNCTION("""COMPUTED_VALUE"""),"맛술")</f>
        <v>맛술</v>
      </c>
    </row>
    <row r="9369">
      <c r="A9369" s="2" t="str">
        <f>IFERROR(__xludf.DUMMYFUNCTION("""COMPUTED_VALUE"""),"레이먼킹돔")</f>
        <v>레이먼킹돔</v>
      </c>
      <c r="B9369" s="2" t="str">
        <f>IFERROR(__xludf.DUMMYFUNCTION("""COMPUTED_VALUE"""),"청주")</f>
        <v>청주</v>
      </c>
    </row>
    <row r="9370">
      <c r="A9370" s="2" t="str">
        <f>IFERROR(__xludf.DUMMYFUNCTION("""COMPUTED_VALUE"""),"레이먼킹돔")</f>
        <v>레이먼킹돔</v>
      </c>
      <c r="B9370" s="2" t="str">
        <f>IFERROR(__xludf.DUMMYFUNCTION("""COMPUTED_VALUE"""),"레몬")</f>
        <v>레몬</v>
      </c>
    </row>
    <row r="9371">
      <c r="A9371" s="2" t="str">
        <f>IFERROR(__xludf.DUMMYFUNCTION("""COMPUTED_VALUE"""),"레이먼킹돔")</f>
        <v>레이먼킹돔</v>
      </c>
      <c r="B9371" s="2" t="str">
        <f>IFERROR(__xludf.DUMMYFUNCTION("""COMPUTED_VALUE"""),"소금")</f>
        <v>소금</v>
      </c>
    </row>
    <row r="9372">
      <c r="A9372" s="2" t="str">
        <f>IFERROR(__xludf.DUMMYFUNCTION("""COMPUTED_VALUE"""),"레이먼킹돔")</f>
        <v>레이먼킹돔</v>
      </c>
      <c r="B9372" s="2" t="str">
        <f>IFERROR(__xludf.DUMMYFUNCTION("""COMPUTED_VALUE"""),"후추")</f>
        <v>후추</v>
      </c>
    </row>
    <row r="9373">
      <c r="A9373" s="2" t="str">
        <f>IFERROR(__xludf.DUMMYFUNCTION("""COMPUTED_VALUE"""),"레이먼킹돔")</f>
        <v>레이먼킹돔</v>
      </c>
      <c r="B9373" s="2" t="str">
        <f>IFERROR(__xludf.DUMMYFUNCTION("""COMPUTED_VALUE"""),"올리브오일")</f>
        <v>올리브오일</v>
      </c>
    </row>
    <row r="9374">
      <c r="A9374" s="2" t="str">
        <f>IFERROR(__xludf.DUMMYFUNCTION("""COMPUTED_VALUE"""),"레이먼킹돔")</f>
        <v>레이먼킹돔</v>
      </c>
      <c r="B9374" s="2" t="str">
        <f>IFERROR(__xludf.DUMMYFUNCTION("""COMPUTED_VALUE"""),"달걀")</f>
        <v>달걀</v>
      </c>
    </row>
    <row r="9375">
      <c r="A9375" s="2" t="str">
        <f>IFERROR(__xludf.DUMMYFUNCTION("""COMPUTED_VALUE"""),"레이먼킹돔")</f>
        <v>레이먼킹돔</v>
      </c>
      <c r="B9375" s="2" t="str">
        <f>IFERROR(__xludf.DUMMYFUNCTION("""COMPUTED_VALUE"""),"즉석밥")</f>
        <v>즉석밥</v>
      </c>
    </row>
    <row r="9376">
      <c r="A9376" s="2" t="str">
        <f>IFERROR(__xludf.DUMMYFUNCTION("""COMPUTED_VALUE"""),"레이먼킹돔")</f>
        <v>레이먼킹돔</v>
      </c>
      <c r="B9376" s="2" t="str">
        <f>IFERROR(__xludf.DUMMYFUNCTION("""COMPUTED_VALUE"""),"전분")</f>
        <v>전분</v>
      </c>
    </row>
    <row r="9377">
      <c r="A9377" s="2" t="str">
        <f>IFERROR(__xludf.DUMMYFUNCTION("""COMPUTED_VALUE"""),"이건 태곤스타일♬")</f>
        <v>이건 태곤스타일♬</v>
      </c>
      <c r="B9377" s="2" t="str">
        <f>IFERROR(__xludf.DUMMYFUNCTION("""COMPUTED_VALUE"""),"무")</f>
        <v>무</v>
      </c>
    </row>
    <row r="9378">
      <c r="A9378" s="2" t="str">
        <f>IFERROR(__xludf.DUMMYFUNCTION("""COMPUTED_VALUE"""),"이건 태곤스타일♬")</f>
        <v>이건 태곤스타일♬</v>
      </c>
      <c r="B9378" s="2" t="str">
        <f>IFERROR(__xludf.DUMMYFUNCTION("""COMPUTED_VALUE"""),"대패삼겹살")</f>
        <v>대패삼겹살</v>
      </c>
    </row>
    <row r="9379">
      <c r="A9379" s="2" t="str">
        <f>IFERROR(__xludf.DUMMYFUNCTION("""COMPUTED_VALUE"""),"이건 태곤스타일♬")</f>
        <v>이건 태곤스타일♬</v>
      </c>
      <c r="B9379" s="2" t="str">
        <f>IFERROR(__xludf.DUMMYFUNCTION("""COMPUTED_VALUE"""),"식빵")</f>
        <v>식빵</v>
      </c>
    </row>
    <row r="9380">
      <c r="A9380" s="2" t="str">
        <f>IFERROR(__xludf.DUMMYFUNCTION("""COMPUTED_VALUE"""),"이건 태곤스타일♬")</f>
        <v>이건 태곤스타일♬</v>
      </c>
      <c r="B9380" s="2" t="str">
        <f>IFERROR(__xludf.DUMMYFUNCTION("""COMPUTED_VALUE"""),"우유")</f>
        <v>우유</v>
      </c>
    </row>
    <row r="9381">
      <c r="A9381" s="2" t="str">
        <f>IFERROR(__xludf.DUMMYFUNCTION("""COMPUTED_VALUE"""),"이건 태곤스타일♬")</f>
        <v>이건 태곤스타일♬</v>
      </c>
      <c r="B9381" s="2" t="str">
        <f>IFERROR(__xludf.DUMMYFUNCTION("""COMPUTED_VALUE"""),"무늬오징어")</f>
        <v>무늬오징어</v>
      </c>
    </row>
    <row r="9382">
      <c r="A9382" s="2" t="str">
        <f>IFERROR(__xludf.DUMMYFUNCTION("""COMPUTED_VALUE"""),"이건 태곤스타일♬")</f>
        <v>이건 태곤스타일♬</v>
      </c>
      <c r="B9382" s="2" t="str">
        <f>IFERROR(__xludf.DUMMYFUNCTION("""COMPUTED_VALUE"""),"홍합")</f>
        <v>홍합</v>
      </c>
    </row>
    <row r="9383">
      <c r="A9383" s="2" t="str">
        <f>IFERROR(__xludf.DUMMYFUNCTION("""COMPUTED_VALUE"""),"이건 태곤스타일♬")</f>
        <v>이건 태곤스타일♬</v>
      </c>
      <c r="B9383" s="2" t="str">
        <f>IFERROR(__xludf.DUMMYFUNCTION("""COMPUTED_VALUE"""),"애호박")</f>
        <v>애호박</v>
      </c>
    </row>
    <row r="9384">
      <c r="A9384" s="2" t="str">
        <f>IFERROR(__xludf.DUMMYFUNCTION("""COMPUTED_VALUE"""),"이건 태곤스타일♬")</f>
        <v>이건 태곤스타일♬</v>
      </c>
      <c r="B9384" s="2" t="str">
        <f>IFERROR(__xludf.DUMMYFUNCTION("""COMPUTED_VALUE"""),"굴소스")</f>
        <v>굴소스</v>
      </c>
    </row>
    <row r="9385">
      <c r="A9385" s="2" t="str">
        <f>IFERROR(__xludf.DUMMYFUNCTION("""COMPUTED_VALUE"""),"이건 태곤스타일♬")</f>
        <v>이건 태곤스타일♬</v>
      </c>
      <c r="B9385" s="2" t="str">
        <f>IFERROR(__xludf.DUMMYFUNCTION("""COMPUTED_VALUE"""),"새우")</f>
        <v>새우</v>
      </c>
    </row>
    <row r="9386">
      <c r="A9386" s="2" t="str">
        <f>IFERROR(__xludf.DUMMYFUNCTION("""COMPUTED_VALUE"""),"이건 태곤스타일♬")</f>
        <v>이건 태곤스타일♬</v>
      </c>
      <c r="B9386" s="2" t="str">
        <f>IFERROR(__xludf.DUMMYFUNCTION("""COMPUTED_VALUE"""),"밀가루")</f>
        <v>밀가루</v>
      </c>
    </row>
    <row r="9387">
      <c r="A9387" s="2" t="str">
        <f>IFERROR(__xludf.DUMMYFUNCTION("""COMPUTED_VALUE"""),"이건 태곤스타일♬")</f>
        <v>이건 태곤스타일♬</v>
      </c>
      <c r="B9387" s="2" t="str">
        <f>IFERROR(__xludf.DUMMYFUNCTION("""COMPUTED_VALUE"""),"달걀")</f>
        <v>달걀</v>
      </c>
    </row>
    <row r="9388">
      <c r="A9388" s="2" t="str">
        <f>IFERROR(__xludf.DUMMYFUNCTION("""COMPUTED_VALUE"""),"이건 태곤스타일♬")</f>
        <v>이건 태곤스타일♬</v>
      </c>
      <c r="B9388" s="2" t="str">
        <f>IFERROR(__xludf.DUMMYFUNCTION("""COMPUTED_VALUE"""),"양파")</f>
        <v>양파</v>
      </c>
    </row>
    <row r="9389">
      <c r="A9389" s="2" t="str">
        <f>IFERROR(__xludf.DUMMYFUNCTION("""COMPUTED_VALUE"""),"이건 태곤스타일♬")</f>
        <v>이건 태곤스타일♬</v>
      </c>
      <c r="B9389" s="2" t="str">
        <f>IFERROR(__xludf.DUMMYFUNCTION("""COMPUTED_VALUE"""),"마늘")</f>
        <v>마늘</v>
      </c>
    </row>
    <row r="9390">
      <c r="A9390" s="2" t="str">
        <f>IFERROR(__xludf.DUMMYFUNCTION("""COMPUTED_VALUE"""),"이건 태곤스타일♬")</f>
        <v>이건 태곤스타일♬</v>
      </c>
      <c r="B9390" s="2" t="str">
        <f>IFERROR(__xludf.DUMMYFUNCTION("""COMPUTED_VALUE"""),"소금")</f>
        <v>소금</v>
      </c>
    </row>
    <row r="9391">
      <c r="A9391" s="2" t="str">
        <f>IFERROR(__xludf.DUMMYFUNCTION("""COMPUTED_VALUE"""),"이건 태곤스타일♬")</f>
        <v>이건 태곤스타일♬</v>
      </c>
      <c r="B9391" s="2" t="str">
        <f>IFERROR(__xludf.DUMMYFUNCTION("""COMPUTED_VALUE"""),"청주")</f>
        <v>청주</v>
      </c>
    </row>
    <row r="9392">
      <c r="A9392" s="2" t="str">
        <f>IFERROR(__xludf.DUMMYFUNCTION("""COMPUTED_VALUE"""),"이건 태곤스타일♬")</f>
        <v>이건 태곤스타일♬</v>
      </c>
      <c r="B9392" s="2" t="str">
        <f>IFERROR(__xludf.DUMMYFUNCTION("""COMPUTED_VALUE"""),"버터")</f>
        <v>버터</v>
      </c>
    </row>
    <row r="9393">
      <c r="A9393" s="2" t="str">
        <f>IFERROR(__xludf.DUMMYFUNCTION("""COMPUTED_VALUE"""),"이건 태곤스타일♬")</f>
        <v>이건 태곤스타일♬</v>
      </c>
      <c r="B9393" s="2" t="str">
        <f>IFERROR(__xludf.DUMMYFUNCTION("""COMPUTED_VALUE"""),"후추")</f>
        <v>후추</v>
      </c>
    </row>
    <row r="9394">
      <c r="A9394" s="2" t="str">
        <f>IFERROR(__xludf.DUMMYFUNCTION("""COMPUTED_VALUE"""),"무소유")</f>
        <v>무소유</v>
      </c>
      <c r="B9394" s="2" t="str">
        <f>IFERROR(__xludf.DUMMYFUNCTION("""COMPUTED_VALUE"""),"무")</f>
        <v>무</v>
      </c>
    </row>
    <row r="9395">
      <c r="A9395" s="2" t="str">
        <f>IFERROR(__xludf.DUMMYFUNCTION("""COMPUTED_VALUE"""),"무소유")</f>
        <v>무소유</v>
      </c>
      <c r="B9395" s="2" t="str">
        <f>IFERROR(__xludf.DUMMYFUNCTION("""COMPUTED_VALUE"""),"크림소스")</f>
        <v>크림소스</v>
      </c>
    </row>
    <row r="9396">
      <c r="A9396" s="2" t="str">
        <f>IFERROR(__xludf.DUMMYFUNCTION("""COMPUTED_VALUE"""),"무소유")</f>
        <v>무소유</v>
      </c>
      <c r="B9396" s="2" t="str">
        <f>IFERROR(__xludf.DUMMYFUNCTION("""COMPUTED_VALUE"""),"브로콜리")</f>
        <v>브로콜리</v>
      </c>
    </row>
    <row r="9397">
      <c r="A9397" s="2" t="str">
        <f>IFERROR(__xludf.DUMMYFUNCTION("""COMPUTED_VALUE"""),"무소유")</f>
        <v>무소유</v>
      </c>
      <c r="B9397" s="2" t="str">
        <f>IFERROR(__xludf.DUMMYFUNCTION("""COMPUTED_VALUE"""),"애호박")</f>
        <v>애호박</v>
      </c>
    </row>
    <row r="9398">
      <c r="A9398" s="2" t="str">
        <f>IFERROR(__xludf.DUMMYFUNCTION("""COMPUTED_VALUE"""),"무소유")</f>
        <v>무소유</v>
      </c>
      <c r="B9398" s="2" t="str">
        <f>IFERROR(__xludf.DUMMYFUNCTION("""COMPUTED_VALUE"""),"래디시")</f>
        <v>래디시</v>
      </c>
    </row>
    <row r="9399">
      <c r="A9399" s="2" t="str">
        <f>IFERROR(__xludf.DUMMYFUNCTION("""COMPUTED_VALUE"""),"무소유")</f>
        <v>무소유</v>
      </c>
      <c r="B9399" s="2" t="str">
        <f>IFERROR(__xludf.DUMMYFUNCTION("""COMPUTED_VALUE"""),"방울양배추")</f>
        <v>방울양배추</v>
      </c>
    </row>
    <row r="9400">
      <c r="A9400" s="2" t="str">
        <f>IFERROR(__xludf.DUMMYFUNCTION("""COMPUTED_VALUE"""),"무소유")</f>
        <v>무소유</v>
      </c>
      <c r="B9400" s="2" t="str">
        <f>IFERROR(__xludf.DUMMYFUNCTION("""COMPUTED_VALUE"""),"홍합")</f>
        <v>홍합</v>
      </c>
    </row>
    <row r="9401">
      <c r="A9401" s="2" t="str">
        <f>IFERROR(__xludf.DUMMYFUNCTION("""COMPUTED_VALUE"""),"무소유")</f>
        <v>무소유</v>
      </c>
      <c r="B9401" s="2" t="str">
        <f>IFERROR(__xludf.DUMMYFUNCTION("""COMPUTED_VALUE"""),"소갈비살")</f>
        <v>소갈비살</v>
      </c>
    </row>
    <row r="9402">
      <c r="A9402" s="2" t="str">
        <f>IFERROR(__xludf.DUMMYFUNCTION("""COMPUTED_VALUE"""),"무소유")</f>
        <v>무소유</v>
      </c>
      <c r="B9402" s="2" t="str">
        <f>IFERROR(__xludf.DUMMYFUNCTION("""COMPUTED_VALUE"""),"핑크솔트")</f>
        <v>핑크솔트</v>
      </c>
    </row>
    <row r="9403">
      <c r="A9403" s="2" t="str">
        <f>IFERROR(__xludf.DUMMYFUNCTION("""COMPUTED_VALUE"""),"무소유")</f>
        <v>무소유</v>
      </c>
      <c r="B9403" s="2" t="str">
        <f>IFERROR(__xludf.DUMMYFUNCTION("""COMPUTED_VALUE"""),"발사믹드레싱")</f>
        <v>발사믹드레싱</v>
      </c>
    </row>
    <row r="9404">
      <c r="A9404" s="2" t="str">
        <f>IFERROR(__xludf.DUMMYFUNCTION("""COMPUTED_VALUE"""),"무소유")</f>
        <v>무소유</v>
      </c>
      <c r="B9404" s="2" t="str">
        <f>IFERROR(__xludf.DUMMYFUNCTION("""COMPUTED_VALUE"""),"무순")</f>
        <v>무순</v>
      </c>
    </row>
    <row r="9405">
      <c r="A9405" s="2" t="str">
        <f>IFERROR(__xludf.DUMMYFUNCTION("""COMPUTED_VALUE"""),"무소유")</f>
        <v>무소유</v>
      </c>
      <c r="B9405" s="2" t="str">
        <f>IFERROR(__xludf.DUMMYFUNCTION("""COMPUTED_VALUE"""),"양파")</f>
        <v>양파</v>
      </c>
    </row>
    <row r="9406">
      <c r="A9406" s="2" t="str">
        <f>IFERROR(__xludf.DUMMYFUNCTION("""COMPUTED_VALUE"""),"무소유")</f>
        <v>무소유</v>
      </c>
      <c r="B9406" s="2" t="str">
        <f>IFERROR(__xludf.DUMMYFUNCTION("""COMPUTED_VALUE"""),"대파")</f>
        <v>대파</v>
      </c>
    </row>
    <row r="9407">
      <c r="A9407" s="2" t="str">
        <f>IFERROR(__xludf.DUMMYFUNCTION("""COMPUTED_VALUE"""),"무소유")</f>
        <v>무소유</v>
      </c>
      <c r="B9407" s="2" t="str">
        <f>IFERROR(__xludf.DUMMYFUNCTION("""COMPUTED_VALUE"""),"소금")</f>
        <v>소금</v>
      </c>
    </row>
    <row r="9408">
      <c r="A9408" s="2" t="str">
        <f>IFERROR(__xludf.DUMMYFUNCTION("""COMPUTED_VALUE"""),"무소유")</f>
        <v>무소유</v>
      </c>
      <c r="B9408" s="2" t="str">
        <f>IFERROR(__xludf.DUMMYFUNCTION("""COMPUTED_VALUE"""),"후추")</f>
        <v>후추</v>
      </c>
    </row>
    <row r="9409">
      <c r="A9409" s="2" t="str">
        <f>IFERROR(__xludf.DUMMYFUNCTION("""COMPUTED_VALUE"""),"무소유")</f>
        <v>무소유</v>
      </c>
      <c r="B9409" s="2" t="str">
        <f>IFERROR(__xludf.DUMMYFUNCTION("""COMPUTED_VALUE"""),"간장")</f>
        <v>간장</v>
      </c>
    </row>
    <row r="9410">
      <c r="A9410" s="2" t="str">
        <f>IFERROR(__xludf.DUMMYFUNCTION("""COMPUTED_VALUE"""),"무소유")</f>
        <v>무소유</v>
      </c>
      <c r="B9410" s="2" t="str">
        <f>IFERROR(__xludf.DUMMYFUNCTION("""COMPUTED_VALUE"""),"설탕")</f>
        <v>설탕</v>
      </c>
    </row>
    <row r="9411">
      <c r="A9411" s="2" t="str">
        <f>IFERROR(__xludf.DUMMYFUNCTION("""COMPUTED_VALUE"""),"무소유")</f>
        <v>무소유</v>
      </c>
      <c r="B9411" s="2" t="str">
        <f>IFERROR(__xludf.DUMMYFUNCTION("""COMPUTED_VALUE"""),"버터")</f>
        <v>버터</v>
      </c>
    </row>
    <row r="9412">
      <c r="A9412" s="2" t="str">
        <f>IFERROR(__xludf.DUMMYFUNCTION("""COMPUTED_VALUE"""),"홍시 연볶이")</f>
        <v>홍시 연볶이</v>
      </c>
      <c r="B9412" s="2" t="str">
        <f>IFERROR(__xludf.DUMMYFUNCTION("""COMPUTED_VALUE"""),"채식어묵")</f>
        <v>채식어묵</v>
      </c>
    </row>
    <row r="9413">
      <c r="A9413" s="2" t="str">
        <f>IFERROR(__xludf.DUMMYFUNCTION("""COMPUTED_VALUE"""),"홍시 연볶이")</f>
        <v>홍시 연볶이</v>
      </c>
      <c r="B9413" s="2" t="str">
        <f>IFERROR(__xludf.DUMMYFUNCTION("""COMPUTED_VALUE"""),"떡볶이떡")</f>
        <v>떡볶이떡</v>
      </c>
    </row>
    <row r="9414">
      <c r="A9414" s="2" t="str">
        <f>IFERROR(__xludf.DUMMYFUNCTION("""COMPUTED_VALUE"""),"홍시 연볶이")</f>
        <v>홍시 연볶이</v>
      </c>
      <c r="B9414" s="2" t="str">
        <f>IFERROR(__xludf.DUMMYFUNCTION("""COMPUTED_VALUE"""),"아스파라거스")</f>
        <v>아스파라거스</v>
      </c>
    </row>
    <row r="9415">
      <c r="A9415" s="2" t="str">
        <f>IFERROR(__xludf.DUMMYFUNCTION("""COMPUTED_VALUE"""),"홍시 연볶이")</f>
        <v>홍시 연볶이</v>
      </c>
      <c r="B9415" s="2" t="str">
        <f>IFERROR(__xludf.DUMMYFUNCTION("""COMPUTED_VALUE"""),"애호박")</f>
        <v>애호박</v>
      </c>
    </row>
    <row r="9416">
      <c r="A9416" s="2" t="str">
        <f>IFERROR(__xludf.DUMMYFUNCTION("""COMPUTED_VALUE"""),"홍시 연볶이")</f>
        <v>홍시 연볶이</v>
      </c>
      <c r="B9416" s="2" t="str">
        <f>IFERROR(__xludf.DUMMYFUNCTION("""COMPUTED_VALUE"""),"매실청")</f>
        <v>매실청</v>
      </c>
    </row>
    <row r="9417">
      <c r="A9417" s="2" t="str">
        <f>IFERROR(__xludf.DUMMYFUNCTION("""COMPUTED_VALUE"""),"홍시 연볶이")</f>
        <v>홍시 연볶이</v>
      </c>
      <c r="B9417" s="2" t="str">
        <f>IFERROR(__xludf.DUMMYFUNCTION("""COMPUTED_VALUE"""),"표고버섯가루")</f>
        <v>표고버섯가루</v>
      </c>
    </row>
    <row r="9418">
      <c r="A9418" s="2" t="str">
        <f>IFERROR(__xludf.DUMMYFUNCTION("""COMPUTED_VALUE"""),"홍시 연볶이")</f>
        <v>홍시 연볶이</v>
      </c>
      <c r="B9418" s="2" t="str">
        <f>IFERROR(__xludf.DUMMYFUNCTION("""COMPUTED_VALUE"""),"당면")</f>
        <v>당면</v>
      </c>
    </row>
    <row r="9419">
      <c r="A9419" s="2" t="str">
        <f>IFERROR(__xludf.DUMMYFUNCTION("""COMPUTED_VALUE"""),"홍시 연볶이")</f>
        <v>홍시 연볶이</v>
      </c>
      <c r="B9419" s="2" t="str">
        <f>IFERROR(__xludf.DUMMYFUNCTION("""COMPUTED_VALUE"""),"홍시")</f>
        <v>홍시</v>
      </c>
    </row>
    <row r="9420">
      <c r="A9420" s="2" t="str">
        <f>IFERROR(__xludf.DUMMYFUNCTION("""COMPUTED_VALUE"""),"홍시 연볶이")</f>
        <v>홍시 연볶이</v>
      </c>
      <c r="B9420" s="2" t="str">
        <f>IFERROR(__xludf.DUMMYFUNCTION("""COMPUTED_VALUE"""),"양파")</f>
        <v>양파</v>
      </c>
    </row>
    <row r="9421">
      <c r="A9421" s="2" t="str">
        <f>IFERROR(__xludf.DUMMYFUNCTION("""COMPUTED_VALUE"""),"홍시 연볶이")</f>
        <v>홍시 연볶이</v>
      </c>
      <c r="B9421" s="2" t="str">
        <f>IFERROR(__xludf.DUMMYFUNCTION("""COMPUTED_VALUE"""),"마늘")</f>
        <v>마늘</v>
      </c>
    </row>
    <row r="9422">
      <c r="A9422" s="2" t="str">
        <f>IFERROR(__xludf.DUMMYFUNCTION("""COMPUTED_VALUE"""),"홍시 연볶이")</f>
        <v>홍시 연볶이</v>
      </c>
      <c r="B9422" s="2" t="str">
        <f>IFERROR(__xludf.DUMMYFUNCTION("""COMPUTED_VALUE"""),"대파")</f>
        <v>대파</v>
      </c>
    </row>
    <row r="9423">
      <c r="A9423" s="2" t="str">
        <f>IFERROR(__xludf.DUMMYFUNCTION("""COMPUTED_VALUE"""),"홍시 연볶이")</f>
        <v>홍시 연볶이</v>
      </c>
      <c r="B9423" s="2" t="str">
        <f>IFERROR(__xludf.DUMMYFUNCTION("""COMPUTED_VALUE"""),"올리브오일")</f>
        <v>올리브오일</v>
      </c>
    </row>
    <row r="9424">
      <c r="A9424" s="2" t="str">
        <f>IFERROR(__xludf.DUMMYFUNCTION("""COMPUTED_VALUE"""),"홍시 연볶이")</f>
        <v>홍시 연볶이</v>
      </c>
      <c r="B9424" s="2" t="str">
        <f>IFERROR(__xludf.DUMMYFUNCTION("""COMPUTED_VALUE"""),"간장")</f>
        <v>간장</v>
      </c>
    </row>
    <row r="9425">
      <c r="A9425" s="2" t="str">
        <f>IFERROR(__xludf.DUMMYFUNCTION("""COMPUTED_VALUE"""),"홍시 연볶이")</f>
        <v>홍시 연볶이</v>
      </c>
      <c r="B9425" s="2" t="str">
        <f>IFERROR(__xludf.DUMMYFUNCTION("""COMPUTED_VALUE"""),"고추장")</f>
        <v>고추장</v>
      </c>
    </row>
    <row r="9426">
      <c r="A9426" s="2" t="str">
        <f>IFERROR(__xludf.DUMMYFUNCTION("""COMPUTED_VALUE"""),"홍시 연볶이")</f>
        <v>홍시 연볶이</v>
      </c>
      <c r="B9426" s="2" t="str">
        <f>IFERROR(__xludf.DUMMYFUNCTION("""COMPUTED_VALUE"""),"밀가루")</f>
        <v>밀가루</v>
      </c>
    </row>
    <row r="9427">
      <c r="A9427" s="2" t="str">
        <f>IFERROR(__xludf.DUMMYFUNCTION("""COMPUTED_VALUE"""),"홍시 연볶이")</f>
        <v>홍시 연볶이</v>
      </c>
      <c r="B9427" s="2" t="str">
        <f>IFERROR(__xludf.DUMMYFUNCTION("""COMPUTED_VALUE"""),"달걀")</f>
        <v>달걀</v>
      </c>
    </row>
    <row r="9428">
      <c r="A9428" s="2" t="str">
        <f>IFERROR(__xludf.DUMMYFUNCTION("""COMPUTED_VALUE"""),"홍시 연볶이")</f>
        <v>홍시 연볶이</v>
      </c>
      <c r="B9428" s="2" t="str">
        <f>IFERROR(__xludf.DUMMYFUNCTION("""COMPUTED_VALUE"""),"소금")</f>
        <v>소금</v>
      </c>
    </row>
    <row r="9429">
      <c r="A9429" s="2" t="str">
        <f>IFERROR(__xludf.DUMMYFUNCTION("""COMPUTED_VALUE"""),"완벽한 라볶이에 대한 사랑")</f>
        <v>완벽한 라볶이에 대한 사랑</v>
      </c>
      <c r="B9429" s="2" t="str">
        <f>IFERROR(__xludf.DUMMYFUNCTION("""COMPUTED_VALUE"""),"채식라면")</f>
        <v>채식라면</v>
      </c>
    </row>
    <row r="9430">
      <c r="A9430" s="2" t="str">
        <f>IFERROR(__xludf.DUMMYFUNCTION("""COMPUTED_VALUE"""),"완벽한 라볶이에 대한 사랑")</f>
        <v>완벽한 라볶이에 대한 사랑</v>
      </c>
      <c r="B9430" s="2" t="str">
        <f>IFERROR(__xludf.DUMMYFUNCTION("""COMPUTED_VALUE"""),"유부")</f>
        <v>유부</v>
      </c>
    </row>
    <row r="9431">
      <c r="A9431" s="2" t="str">
        <f>IFERROR(__xludf.DUMMYFUNCTION("""COMPUTED_VALUE"""),"완벽한 라볶이에 대한 사랑")</f>
        <v>완벽한 라볶이에 대한 사랑</v>
      </c>
      <c r="B9431" s="2" t="str">
        <f>IFERROR(__xludf.DUMMYFUNCTION("""COMPUTED_VALUE"""),"모차렐라치즈")</f>
        <v>모차렐라치즈</v>
      </c>
    </row>
    <row r="9432">
      <c r="A9432" s="2" t="str">
        <f>IFERROR(__xludf.DUMMYFUNCTION("""COMPUTED_VALUE"""),"완벽한 라볶이에 대한 사랑")</f>
        <v>완벽한 라볶이에 대한 사랑</v>
      </c>
      <c r="B9432" s="2" t="str">
        <f>IFERROR(__xludf.DUMMYFUNCTION("""COMPUTED_VALUE"""),"마")</f>
        <v>마</v>
      </c>
    </row>
    <row r="9433">
      <c r="A9433" s="2" t="str">
        <f>IFERROR(__xludf.DUMMYFUNCTION("""COMPUTED_VALUE"""),"완벽한 라볶이에 대한 사랑")</f>
        <v>완벽한 라볶이에 대한 사랑</v>
      </c>
      <c r="B9433" s="2" t="str">
        <f>IFERROR(__xludf.DUMMYFUNCTION("""COMPUTED_VALUE"""),"애호박")</f>
        <v>애호박</v>
      </c>
    </row>
    <row r="9434">
      <c r="A9434" s="2" t="str">
        <f>IFERROR(__xludf.DUMMYFUNCTION("""COMPUTED_VALUE"""),"완벽한 라볶이에 대한 사랑")</f>
        <v>완벽한 라볶이에 대한 사랑</v>
      </c>
      <c r="B9434" s="2" t="str">
        <f>IFERROR(__xludf.DUMMYFUNCTION("""COMPUTED_VALUE"""),"건표고버섯")</f>
        <v>건표고버섯</v>
      </c>
    </row>
    <row r="9435">
      <c r="A9435" s="2" t="str">
        <f>IFERROR(__xludf.DUMMYFUNCTION("""COMPUTED_VALUE"""),"완벽한 라볶이에 대한 사랑")</f>
        <v>완벽한 라볶이에 대한 사랑</v>
      </c>
      <c r="B9435" s="2" t="str">
        <f>IFERROR(__xludf.DUMMYFUNCTION("""COMPUTED_VALUE"""),"당면")</f>
        <v>당면</v>
      </c>
    </row>
    <row r="9436">
      <c r="A9436" s="2" t="str">
        <f>IFERROR(__xludf.DUMMYFUNCTION("""COMPUTED_VALUE"""),"완벽한 라볶이에 대한 사랑")</f>
        <v>완벽한 라볶이에 대한 사랑</v>
      </c>
      <c r="B9436" s="2" t="str">
        <f>IFERROR(__xludf.DUMMYFUNCTION("""COMPUTED_VALUE"""),"조미김")</f>
        <v>조미김</v>
      </c>
    </row>
    <row r="9437">
      <c r="A9437" s="2" t="str">
        <f>IFERROR(__xludf.DUMMYFUNCTION("""COMPUTED_VALUE"""),"완벽한 라볶이에 대한 사랑")</f>
        <v>완벽한 라볶이에 대한 사랑</v>
      </c>
      <c r="B9437" s="2" t="str">
        <f>IFERROR(__xludf.DUMMYFUNCTION("""COMPUTED_VALUE"""),"양배추")</f>
        <v>양배추</v>
      </c>
    </row>
    <row r="9438">
      <c r="A9438" s="2" t="str">
        <f>IFERROR(__xludf.DUMMYFUNCTION("""COMPUTED_VALUE"""),"완벽한 라볶이에 대한 사랑")</f>
        <v>완벽한 라볶이에 대한 사랑</v>
      </c>
      <c r="B9438" s="2" t="str">
        <f>IFERROR(__xludf.DUMMYFUNCTION("""COMPUTED_VALUE"""),"떡볶이떡")</f>
        <v>떡볶이떡</v>
      </c>
    </row>
    <row r="9439">
      <c r="A9439" s="2" t="str">
        <f>IFERROR(__xludf.DUMMYFUNCTION("""COMPUTED_VALUE"""),"완벽한 라볶이에 대한 사랑")</f>
        <v>완벽한 라볶이에 대한 사랑</v>
      </c>
      <c r="B9439" s="2" t="str">
        <f>IFERROR(__xludf.DUMMYFUNCTION("""COMPUTED_VALUE"""),"양송이버섯")</f>
        <v>양송이버섯</v>
      </c>
    </row>
    <row r="9440">
      <c r="A9440" s="2" t="str">
        <f>IFERROR(__xludf.DUMMYFUNCTION("""COMPUTED_VALUE"""),"완벽한 라볶이에 대한 사랑")</f>
        <v>완벽한 라볶이에 대한 사랑</v>
      </c>
      <c r="B9440" s="2" t="str">
        <f>IFERROR(__xludf.DUMMYFUNCTION("""COMPUTED_VALUE"""),"표고버섯가루")</f>
        <v>표고버섯가루</v>
      </c>
    </row>
    <row r="9441">
      <c r="A9441" s="2" t="str">
        <f>IFERROR(__xludf.DUMMYFUNCTION("""COMPUTED_VALUE"""),"완벽한 라볶이에 대한 사랑")</f>
        <v>완벽한 라볶이에 대한 사랑</v>
      </c>
      <c r="B9441" s="2" t="str">
        <f>IFERROR(__xludf.DUMMYFUNCTION("""COMPUTED_VALUE"""),"전분")</f>
        <v>전분</v>
      </c>
    </row>
    <row r="9442">
      <c r="A9442" s="2" t="str">
        <f>IFERROR(__xludf.DUMMYFUNCTION("""COMPUTED_VALUE"""),"완벽한 라볶이에 대한 사랑")</f>
        <v>완벽한 라볶이에 대한 사랑</v>
      </c>
      <c r="B9442" s="2" t="str">
        <f>IFERROR(__xludf.DUMMYFUNCTION("""COMPUTED_VALUE"""),"밀가루")</f>
        <v>밀가루</v>
      </c>
    </row>
    <row r="9443">
      <c r="A9443" s="2" t="str">
        <f>IFERROR(__xludf.DUMMYFUNCTION("""COMPUTED_VALUE"""),"완벽한 라볶이에 대한 사랑")</f>
        <v>완벽한 라볶이에 대한 사랑</v>
      </c>
      <c r="B9443" s="2" t="str">
        <f>IFERROR(__xludf.DUMMYFUNCTION("""COMPUTED_VALUE"""),"달걀")</f>
        <v>달걀</v>
      </c>
    </row>
    <row r="9444">
      <c r="A9444" s="2" t="str">
        <f>IFERROR(__xludf.DUMMYFUNCTION("""COMPUTED_VALUE"""),"완벽한 라볶이에 대한 사랑")</f>
        <v>완벽한 라볶이에 대한 사랑</v>
      </c>
      <c r="B9444" s="2" t="str">
        <f>IFERROR(__xludf.DUMMYFUNCTION("""COMPUTED_VALUE"""),"설탕")</f>
        <v>설탕</v>
      </c>
    </row>
    <row r="9445">
      <c r="A9445" s="2" t="str">
        <f>IFERROR(__xludf.DUMMYFUNCTION("""COMPUTED_VALUE"""),"완벽한 라볶이에 대한 사랑")</f>
        <v>완벽한 라볶이에 대한 사랑</v>
      </c>
      <c r="B9445" s="2" t="str">
        <f>IFERROR(__xludf.DUMMYFUNCTION("""COMPUTED_VALUE"""),"소금")</f>
        <v>소금</v>
      </c>
    </row>
    <row r="9446">
      <c r="A9446" s="2" t="str">
        <f>IFERROR(__xludf.DUMMYFUNCTION("""COMPUTED_VALUE"""),"완벽한 라볶이에 대한 사랑")</f>
        <v>완벽한 라볶이에 대한 사랑</v>
      </c>
      <c r="B9446" s="2" t="str">
        <f>IFERROR(__xludf.DUMMYFUNCTION("""COMPUTED_VALUE"""),"당근")</f>
        <v>당근</v>
      </c>
    </row>
    <row r="9447">
      <c r="A9447" s="2" t="str">
        <f>IFERROR(__xludf.DUMMYFUNCTION("""COMPUTED_VALUE"""),"완벽한 라볶이에 대한 사랑")</f>
        <v>완벽한 라볶이에 대한 사랑</v>
      </c>
      <c r="B9447" s="2" t="str">
        <f>IFERROR(__xludf.DUMMYFUNCTION("""COMPUTED_VALUE"""),"대파")</f>
        <v>대파</v>
      </c>
    </row>
    <row r="9448">
      <c r="A9448" s="2" t="str">
        <f>IFERROR(__xludf.DUMMYFUNCTION("""COMPUTED_VALUE"""),"완벽한 라볶이에 대한 사랑")</f>
        <v>완벽한 라볶이에 대한 사랑</v>
      </c>
      <c r="B9448" s="2" t="str">
        <f>IFERROR(__xludf.DUMMYFUNCTION("""COMPUTED_VALUE"""),"양파")</f>
        <v>양파</v>
      </c>
    </row>
    <row r="9449">
      <c r="A9449" s="2" t="str">
        <f>IFERROR(__xludf.DUMMYFUNCTION("""COMPUTED_VALUE"""),"완벽한 라볶이에 대한 사랑")</f>
        <v>완벽한 라볶이에 대한 사랑</v>
      </c>
      <c r="B9449" s="2" t="str">
        <f>IFERROR(__xludf.DUMMYFUNCTION("""COMPUTED_VALUE"""),"간장")</f>
        <v>간장</v>
      </c>
    </row>
    <row r="9450">
      <c r="A9450" s="2" t="str">
        <f>IFERROR(__xludf.DUMMYFUNCTION("""COMPUTED_VALUE"""),"완벽한 라볶이에 대한 사랑")</f>
        <v>완벽한 라볶이에 대한 사랑</v>
      </c>
      <c r="B9450" s="2" t="str">
        <f>IFERROR(__xludf.DUMMYFUNCTION("""COMPUTED_VALUE"""),"들기름")</f>
        <v>들기름</v>
      </c>
    </row>
    <row r="9451">
      <c r="A9451" s="2" t="str">
        <f>IFERROR(__xludf.DUMMYFUNCTION("""COMPUTED_VALUE"""),"완벽한 라볶이에 대한 사랑")</f>
        <v>완벽한 라볶이에 대한 사랑</v>
      </c>
      <c r="B9451" s="2" t="str">
        <f>IFERROR(__xludf.DUMMYFUNCTION("""COMPUTED_VALUE"""),"마늘")</f>
        <v>마늘</v>
      </c>
    </row>
    <row r="9452">
      <c r="A9452" s="2" t="str">
        <f>IFERROR(__xludf.DUMMYFUNCTION("""COMPUTED_VALUE"""),"완벽한 라볶이에 대한 사랑")</f>
        <v>완벽한 라볶이에 대한 사랑</v>
      </c>
      <c r="B9452" s="2" t="str">
        <f>IFERROR(__xludf.DUMMYFUNCTION("""COMPUTED_VALUE"""),"맛술")</f>
        <v>맛술</v>
      </c>
    </row>
    <row r="9453">
      <c r="A9453" s="2" t="str">
        <f>IFERROR(__xludf.DUMMYFUNCTION("""COMPUTED_VALUE"""),"완벽한 라볶이에 대한 사랑")</f>
        <v>완벽한 라볶이에 대한 사랑</v>
      </c>
      <c r="B9453" s="2" t="str">
        <f>IFERROR(__xludf.DUMMYFUNCTION("""COMPUTED_VALUE"""),"홍고추")</f>
        <v>홍고추</v>
      </c>
    </row>
    <row r="9454">
      <c r="A9454" s="2" t="str">
        <f>IFERROR(__xludf.DUMMYFUNCTION("""COMPUTED_VALUE"""),"승소 파스타")</f>
        <v>승소 파스타</v>
      </c>
      <c r="B9454" s="2" t="str">
        <f>IFERROR(__xludf.DUMMYFUNCTION("""COMPUTED_VALUE"""),"도토리묵")</f>
        <v>도토리묵</v>
      </c>
    </row>
    <row r="9455">
      <c r="A9455" s="2" t="str">
        <f>IFERROR(__xludf.DUMMYFUNCTION("""COMPUTED_VALUE"""),"승소 파스타")</f>
        <v>승소 파스타</v>
      </c>
      <c r="B9455" s="2" t="str">
        <f>IFERROR(__xludf.DUMMYFUNCTION("""COMPUTED_VALUE"""),"배")</f>
        <v>배</v>
      </c>
    </row>
    <row r="9456">
      <c r="A9456" s="2" t="str">
        <f>IFERROR(__xludf.DUMMYFUNCTION("""COMPUTED_VALUE"""),"승소 파스타")</f>
        <v>승소 파스타</v>
      </c>
      <c r="B9456" s="2" t="str">
        <f>IFERROR(__xludf.DUMMYFUNCTION("""COMPUTED_VALUE"""),"오미자청")</f>
        <v>오미자청</v>
      </c>
    </row>
    <row r="9457">
      <c r="A9457" s="2" t="str">
        <f>IFERROR(__xludf.DUMMYFUNCTION("""COMPUTED_VALUE"""),"승소 파스타")</f>
        <v>승소 파스타</v>
      </c>
      <c r="B9457" s="2" t="str">
        <f>IFERROR(__xludf.DUMMYFUNCTION("""COMPUTED_VALUE"""),"딸기")</f>
        <v>딸기</v>
      </c>
    </row>
    <row r="9458">
      <c r="A9458" s="2" t="str">
        <f>IFERROR(__xludf.DUMMYFUNCTION("""COMPUTED_VALUE"""),"승소 파스타")</f>
        <v>승소 파스타</v>
      </c>
      <c r="B9458" s="2" t="str">
        <f>IFERROR(__xludf.DUMMYFUNCTION("""COMPUTED_VALUE"""),"건표고버섯")</f>
        <v>건표고버섯</v>
      </c>
    </row>
    <row r="9459">
      <c r="A9459" s="2" t="str">
        <f>IFERROR(__xludf.DUMMYFUNCTION("""COMPUTED_VALUE"""),"승소 파스타")</f>
        <v>승소 파스타</v>
      </c>
      <c r="B9459" s="2" t="str">
        <f>IFERROR(__xludf.DUMMYFUNCTION("""COMPUTED_VALUE"""),"아스파라거스")</f>
        <v>아스파라거스</v>
      </c>
    </row>
    <row r="9460">
      <c r="A9460" s="2" t="str">
        <f>IFERROR(__xludf.DUMMYFUNCTION("""COMPUTED_VALUE"""),"승소 파스타")</f>
        <v>승소 파스타</v>
      </c>
      <c r="B9460" s="2" t="str">
        <f>IFERROR(__xludf.DUMMYFUNCTION("""COMPUTED_VALUE"""),"동치미")</f>
        <v>동치미</v>
      </c>
    </row>
    <row r="9461">
      <c r="A9461" s="2" t="str">
        <f>IFERROR(__xludf.DUMMYFUNCTION("""COMPUTED_VALUE"""),"승소 파스타")</f>
        <v>승소 파스타</v>
      </c>
      <c r="B9461" s="2" t="str">
        <f>IFERROR(__xludf.DUMMYFUNCTION("""COMPUTED_VALUE"""),"들기름")</f>
        <v>들기름</v>
      </c>
    </row>
    <row r="9462">
      <c r="A9462" s="2" t="str">
        <f>IFERROR(__xludf.DUMMYFUNCTION("""COMPUTED_VALUE"""),"승소 파스타")</f>
        <v>승소 파스타</v>
      </c>
      <c r="B9462" s="2" t="str">
        <f>IFERROR(__xludf.DUMMYFUNCTION("""COMPUTED_VALUE"""),"연근조림")</f>
        <v>연근조림</v>
      </c>
    </row>
    <row r="9463">
      <c r="A9463" s="2" t="str">
        <f>IFERROR(__xludf.DUMMYFUNCTION("""COMPUTED_VALUE"""),"승소 파스타")</f>
        <v>승소 파스타</v>
      </c>
      <c r="B9463" s="2" t="str">
        <f>IFERROR(__xludf.DUMMYFUNCTION("""COMPUTED_VALUE"""),"흑임자드레싱")</f>
        <v>흑임자드레싱</v>
      </c>
    </row>
    <row r="9464">
      <c r="A9464" s="2" t="str">
        <f>IFERROR(__xludf.DUMMYFUNCTION("""COMPUTED_VALUE"""),"승소 파스타")</f>
        <v>승소 파스타</v>
      </c>
      <c r="B9464" s="2" t="str">
        <f>IFERROR(__xludf.DUMMYFUNCTION("""COMPUTED_VALUE"""),"대추")</f>
        <v>대추</v>
      </c>
    </row>
    <row r="9465">
      <c r="A9465" s="2" t="str">
        <f>IFERROR(__xludf.DUMMYFUNCTION("""COMPUTED_VALUE"""),"승소 파스타")</f>
        <v>승소 파스타</v>
      </c>
      <c r="B9465" s="2" t="str">
        <f>IFERROR(__xludf.DUMMYFUNCTION("""COMPUTED_VALUE"""),"소금")</f>
        <v>소금</v>
      </c>
    </row>
    <row r="9466">
      <c r="A9466" s="2" t="str">
        <f>IFERROR(__xludf.DUMMYFUNCTION("""COMPUTED_VALUE"""),"승소 파스타")</f>
        <v>승소 파스타</v>
      </c>
      <c r="B9466" s="2" t="str">
        <f>IFERROR(__xludf.DUMMYFUNCTION("""COMPUTED_VALUE"""),"올리브오일")</f>
        <v>올리브오일</v>
      </c>
    </row>
    <row r="9467">
      <c r="A9467" s="2" t="str">
        <f>IFERROR(__xludf.DUMMYFUNCTION("""COMPUTED_VALUE"""),"승소 파스타")</f>
        <v>승소 파스타</v>
      </c>
      <c r="B9467" s="2" t="str">
        <f>IFERROR(__xludf.DUMMYFUNCTION("""COMPUTED_VALUE"""),"양파")</f>
        <v>양파</v>
      </c>
    </row>
    <row r="9468">
      <c r="A9468" s="2" t="str">
        <f>IFERROR(__xludf.DUMMYFUNCTION("""COMPUTED_VALUE"""),"승소 파스타")</f>
        <v>승소 파스타</v>
      </c>
      <c r="B9468" s="2" t="str">
        <f>IFERROR(__xludf.DUMMYFUNCTION("""COMPUTED_VALUE"""),"고춧가루")</f>
        <v>고춧가루</v>
      </c>
    </row>
    <row r="9469">
      <c r="A9469" s="2" t="str">
        <f>IFERROR(__xludf.DUMMYFUNCTION("""COMPUTED_VALUE"""),"승소 파스타")</f>
        <v>승소 파스타</v>
      </c>
      <c r="B9469" s="2" t="str">
        <f>IFERROR(__xludf.DUMMYFUNCTION("""COMPUTED_VALUE"""),"간장")</f>
        <v>간장</v>
      </c>
    </row>
    <row r="9470">
      <c r="A9470" s="2" t="str">
        <f>IFERROR(__xludf.DUMMYFUNCTION("""COMPUTED_VALUE"""),"승소 파스타")</f>
        <v>승소 파스타</v>
      </c>
      <c r="B9470" s="2" t="str">
        <f>IFERROR(__xludf.DUMMYFUNCTION("""COMPUTED_VALUE"""),"들기름")</f>
        <v>들기름</v>
      </c>
    </row>
    <row r="9471">
      <c r="A9471" s="2" t="str">
        <f>IFERROR(__xludf.DUMMYFUNCTION("""COMPUTED_VALUE"""),"승소 파스타")</f>
        <v>승소 파스타</v>
      </c>
      <c r="B9471" s="2" t="str">
        <f>IFERROR(__xludf.DUMMYFUNCTION("""COMPUTED_VALUE"""),"식초")</f>
        <v>식초</v>
      </c>
    </row>
    <row r="9472">
      <c r="A9472" s="2" t="str">
        <f>IFERROR(__xludf.DUMMYFUNCTION("""COMPUTED_VALUE"""),"머쉬 치윤디~!")</f>
        <v>머쉬 치윤디~!</v>
      </c>
      <c r="B9472" s="2" t="str">
        <f>IFERROR(__xludf.DUMMYFUNCTION("""COMPUTED_VALUE"""),"아몬드슬라이스")</f>
        <v>아몬드슬라이스</v>
      </c>
    </row>
    <row r="9473">
      <c r="A9473" s="2" t="str">
        <f>IFERROR(__xludf.DUMMYFUNCTION("""COMPUTED_VALUE"""),"머쉬 치윤디~!")</f>
        <v>머쉬 치윤디~!</v>
      </c>
      <c r="B9473" s="2" t="str">
        <f>IFERROR(__xludf.DUMMYFUNCTION("""COMPUTED_VALUE"""),"표고버섯")</f>
        <v>표고버섯</v>
      </c>
    </row>
    <row r="9474">
      <c r="A9474" s="2" t="str">
        <f>IFERROR(__xludf.DUMMYFUNCTION("""COMPUTED_VALUE"""),"머쉬 치윤디~!")</f>
        <v>머쉬 치윤디~!</v>
      </c>
      <c r="B9474" s="2" t="str">
        <f>IFERROR(__xludf.DUMMYFUNCTION("""COMPUTED_VALUE"""),"표고버섯가루")</f>
        <v>표고버섯가루</v>
      </c>
    </row>
    <row r="9475">
      <c r="A9475" s="2" t="str">
        <f>IFERROR(__xludf.DUMMYFUNCTION("""COMPUTED_VALUE"""),"머쉬 치윤디~!")</f>
        <v>머쉬 치윤디~!</v>
      </c>
      <c r="B9475" s="2" t="str">
        <f>IFERROR(__xludf.DUMMYFUNCTION("""COMPUTED_VALUE"""),"양송이버섯")</f>
        <v>양송이버섯</v>
      </c>
    </row>
    <row r="9476">
      <c r="A9476" s="2" t="str">
        <f>IFERROR(__xludf.DUMMYFUNCTION("""COMPUTED_VALUE"""),"머쉬 치윤디~!")</f>
        <v>머쉬 치윤디~!</v>
      </c>
      <c r="B9476" s="2" t="str">
        <f>IFERROR(__xludf.DUMMYFUNCTION("""COMPUTED_VALUE"""),"우유")</f>
        <v>우유</v>
      </c>
    </row>
    <row r="9477">
      <c r="A9477" s="2" t="str">
        <f>IFERROR(__xludf.DUMMYFUNCTION("""COMPUTED_VALUE"""),"머쉬 치윤디~!")</f>
        <v>머쉬 치윤디~!</v>
      </c>
      <c r="B9477" s="2" t="str">
        <f>IFERROR(__xludf.DUMMYFUNCTION("""COMPUTED_VALUE"""),"검은콩두유")</f>
        <v>검은콩두유</v>
      </c>
    </row>
    <row r="9478">
      <c r="A9478" s="2" t="str">
        <f>IFERROR(__xludf.DUMMYFUNCTION("""COMPUTED_VALUE"""),"머쉬 치윤디~!")</f>
        <v>머쉬 치윤디~!</v>
      </c>
      <c r="B9478" s="2" t="str">
        <f>IFERROR(__xludf.DUMMYFUNCTION("""COMPUTED_VALUE"""),"발사믹식초")</f>
        <v>발사믹식초</v>
      </c>
    </row>
    <row r="9479">
      <c r="A9479" s="2" t="str">
        <f>IFERROR(__xludf.DUMMYFUNCTION("""COMPUTED_VALUE"""),"머쉬 치윤디~!")</f>
        <v>머쉬 치윤디~!</v>
      </c>
      <c r="B9479" s="2" t="str">
        <f>IFERROR(__xludf.DUMMYFUNCTION("""COMPUTED_VALUE"""),"연근조림")</f>
        <v>연근조림</v>
      </c>
    </row>
    <row r="9480">
      <c r="A9480" s="2" t="str">
        <f>IFERROR(__xludf.DUMMYFUNCTION("""COMPUTED_VALUE"""),"머쉬 치윤디~!")</f>
        <v>머쉬 치윤디~!</v>
      </c>
      <c r="B9480" s="2" t="str">
        <f>IFERROR(__xludf.DUMMYFUNCTION("""COMPUTED_VALUE"""),"모차렐라치즈")</f>
        <v>모차렐라치즈</v>
      </c>
    </row>
    <row r="9481">
      <c r="A9481" s="2" t="str">
        <f>IFERROR(__xludf.DUMMYFUNCTION("""COMPUTED_VALUE"""),"머쉬 치윤디~!")</f>
        <v>머쉬 치윤디~!</v>
      </c>
      <c r="B9481" s="2" t="str">
        <f>IFERROR(__xludf.DUMMYFUNCTION("""COMPUTED_VALUE"""),"아스파라거스")</f>
        <v>아스파라거스</v>
      </c>
    </row>
    <row r="9482">
      <c r="A9482" s="2" t="str">
        <f>IFERROR(__xludf.DUMMYFUNCTION("""COMPUTED_VALUE"""),"머쉬 치윤디~!")</f>
        <v>머쉬 치윤디~!</v>
      </c>
      <c r="B9482" s="2" t="str">
        <f>IFERROR(__xludf.DUMMYFUNCTION("""COMPUTED_VALUE"""),"마")</f>
        <v>마</v>
      </c>
    </row>
    <row r="9483">
      <c r="A9483" s="2" t="str">
        <f>IFERROR(__xludf.DUMMYFUNCTION("""COMPUTED_VALUE"""),"머쉬 치윤디~!")</f>
        <v>머쉬 치윤디~!</v>
      </c>
      <c r="B9483" s="2" t="str">
        <f>IFERROR(__xludf.DUMMYFUNCTION("""COMPUTED_VALUE"""),"양파")</f>
        <v>양파</v>
      </c>
    </row>
    <row r="9484">
      <c r="A9484" s="2" t="str">
        <f>IFERROR(__xludf.DUMMYFUNCTION("""COMPUTED_VALUE"""),"머쉬 치윤디~!")</f>
        <v>머쉬 치윤디~!</v>
      </c>
      <c r="B9484" s="2" t="str">
        <f>IFERROR(__xludf.DUMMYFUNCTION("""COMPUTED_VALUE"""),"당근")</f>
        <v>당근</v>
      </c>
    </row>
    <row r="9485">
      <c r="A9485" s="2" t="str">
        <f>IFERROR(__xludf.DUMMYFUNCTION("""COMPUTED_VALUE"""),"머쉬 치윤디~!")</f>
        <v>머쉬 치윤디~!</v>
      </c>
      <c r="B9485" s="2" t="str">
        <f>IFERROR(__xludf.DUMMYFUNCTION("""COMPUTED_VALUE"""),"소금")</f>
        <v>소금</v>
      </c>
    </row>
    <row r="9486">
      <c r="A9486" s="2" t="str">
        <f>IFERROR(__xludf.DUMMYFUNCTION("""COMPUTED_VALUE"""),"머쉬 치윤디~!")</f>
        <v>머쉬 치윤디~!</v>
      </c>
      <c r="B9486" s="2" t="str">
        <f>IFERROR(__xludf.DUMMYFUNCTION("""COMPUTED_VALUE"""),"버터")</f>
        <v>버터</v>
      </c>
    </row>
    <row r="9487">
      <c r="A9487" s="2" t="str">
        <f>IFERROR(__xludf.DUMMYFUNCTION("""COMPUTED_VALUE"""),"머쉬 치윤디~!")</f>
        <v>머쉬 치윤디~!</v>
      </c>
      <c r="B9487" s="2" t="str">
        <f>IFERROR(__xludf.DUMMYFUNCTION("""COMPUTED_VALUE"""),"밀가루")</f>
        <v>밀가루</v>
      </c>
    </row>
    <row r="9488">
      <c r="A9488" s="2" t="str">
        <f>IFERROR(__xludf.DUMMYFUNCTION("""COMPUTED_VALUE"""),"머쉬 치윤디~!")</f>
        <v>머쉬 치윤디~!</v>
      </c>
      <c r="B9488" s="2" t="str">
        <f>IFERROR(__xludf.DUMMYFUNCTION("""COMPUTED_VALUE"""),"올리브오일")</f>
        <v>올리브오일</v>
      </c>
    </row>
    <row r="9489">
      <c r="A9489" s="2" t="str">
        <f>IFERROR(__xludf.DUMMYFUNCTION("""COMPUTED_VALUE"""),"머쉬 치윤디~!")</f>
        <v>머쉬 치윤디~!</v>
      </c>
      <c r="B9489" s="2" t="str">
        <f>IFERROR(__xludf.DUMMYFUNCTION("""COMPUTED_VALUE"""),"레몬")</f>
        <v>레몬</v>
      </c>
    </row>
    <row r="9490">
      <c r="A9490" s="2" t="str">
        <f>IFERROR(__xludf.DUMMYFUNCTION("""COMPUTED_VALUE"""),"머쉬 치윤디~!")</f>
        <v>머쉬 치윤디~!</v>
      </c>
      <c r="B9490" s="2" t="str">
        <f>IFERROR(__xludf.DUMMYFUNCTION("""COMPUTED_VALUE"""),"설탕")</f>
        <v>설탕</v>
      </c>
    </row>
    <row r="9491">
      <c r="A9491" s="2" t="str">
        <f>IFERROR(__xludf.DUMMYFUNCTION("""COMPUTED_VALUE"""),"풍카소")</f>
        <v>풍카소</v>
      </c>
      <c r="B9491" s="2" t="str">
        <f>IFERROR(__xludf.DUMMYFUNCTION("""COMPUTED_VALUE"""),"팬케이크가루")</f>
        <v>팬케이크가루</v>
      </c>
    </row>
    <row r="9492">
      <c r="A9492" s="2" t="str">
        <f>IFERROR(__xludf.DUMMYFUNCTION("""COMPUTED_VALUE"""),"풍카소")</f>
        <v>풍카소</v>
      </c>
      <c r="B9492" s="2" t="str">
        <f>IFERROR(__xludf.DUMMYFUNCTION("""COMPUTED_VALUE"""),"우유")</f>
        <v>우유</v>
      </c>
    </row>
    <row r="9493">
      <c r="A9493" s="2" t="str">
        <f>IFERROR(__xludf.DUMMYFUNCTION("""COMPUTED_VALUE"""),"풍카소")</f>
        <v>풍카소</v>
      </c>
      <c r="B9493" s="2" t="str">
        <f>IFERROR(__xludf.DUMMYFUNCTION("""COMPUTED_VALUE"""),"연유")</f>
        <v>연유</v>
      </c>
    </row>
    <row r="9494">
      <c r="A9494" s="2" t="str">
        <f>IFERROR(__xludf.DUMMYFUNCTION("""COMPUTED_VALUE"""),"풍카소")</f>
        <v>풍카소</v>
      </c>
      <c r="B9494" s="2" t="str">
        <f>IFERROR(__xludf.DUMMYFUNCTION("""COMPUTED_VALUE"""),"체리")</f>
        <v>체리</v>
      </c>
    </row>
    <row r="9495">
      <c r="A9495" s="2" t="str">
        <f>IFERROR(__xludf.DUMMYFUNCTION("""COMPUTED_VALUE"""),"풍카소")</f>
        <v>풍카소</v>
      </c>
      <c r="B9495" s="2" t="str">
        <f>IFERROR(__xludf.DUMMYFUNCTION("""COMPUTED_VALUE"""),"설탕")</f>
        <v>설탕</v>
      </c>
    </row>
    <row r="9496">
      <c r="A9496" s="2" t="str">
        <f>IFERROR(__xludf.DUMMYFUNCTION("""COMPUTED_VALUE"""),"풍카소")</f>
        <v>풍카소</v>
      </c>
      <c r="B9496" s="2" t="str">
        <f>IFERROR(__xludf.DUMMYFUNCTION("""COMPUTED_VALUE"""),"달걀")</f>
        <v>달걀</v>
      </c>
    </row>
    <row r="9497">
      <c r="A9497" s="2" t="str">
        <f>IFERROR(__xludf.DUMMYFUNCTION("""COMPUTED_VALUE"""),"풍카소")</f>
        <v>풍카소</v>
      </c>
      <c r="B9497" s="2" t="str">
        <f>IFERROR(__xludf.DUMMYFUNCTION("""COMPUTED_VALUE"""),"화이트와인")</f>
        <v>화이트와인</v>
      </c>
    </row>
    <row r="9498">
      <c r="A9498" s="2" t="str">
        <f>IFERROR(__xludf.DUMMYFUNCTION("""COMPUTED_VALUE"""),"풍카소")</f>
        <v>풍카소</v>
      </c>
      <c r="B9498" s="2" t="str">
        <f>IFERROR(__xludf.DUMMYFUNCTION("""COMPUTED_VALUE"""),"소금")</f>
        <v>소금</v>
      </c>
    </row>
    <row r="9499">
      <c r="A9499" s="2" t="str">
        <f>IFERROR(__xludf.DUMMYFUNCTION("""COMPUTED_VALUE"""),"풍카소")</f>
        <v>풍카소</v>
      </c>
      <c r="B9499" s="2" t="str">
        <f>IFERROR(__xludf.DUMMYFUNCTION("""COMPUTED_VALUE"""),"버터")</f>
        <v>버터</v>
      </c>
    </row>
    <row r="9500">
      <c r="A9500" s="2" t="str">
        <f>IFERROR(__xludf.DUMMYFUNCTION("""COMPUTED_VALUE"""),"브런치의 유혹")</f>
        <v>브런치의 유혹</v>
      </c>
      <c r="B9500" s="2" t="str">
        <f>IFERROR(__xludf.DUMMYFUNCTION("""COMPUTED_VALUE"""),"사과")</f>
        <v>사과</v>
      </c>
    </row>
    <row r="9501">
      <c r="A9501" s="2" t="str">
        <f>IFERROR(__xludf.DUMMYFUNCTION("""COMPUTED_VALUE"""),"브런치의 유혹")</f>
        <v>브런치의 유혹</v>
      </c>
      <c r="B9501" s="2" t="str">
        <f>IFERROR(__xludf.DUMMYFUNCTION("""COMPUTED_VALUE"""),"건크랜베리")</f>
        <v>건크랜베리</v>
      </c>
    </row>
    <row r="9502">
      <c r="A9502" s="2" t="str">
        <f>IFERROR(__xludf.DUMMYFUNCTION("""COMPUTED_VALUE"""),"브런치의 유혹")</f>
        <v>브런치의 유혹</v>
      </c>
      <c r="B9502" s="2" t="str">
        <f>IFERROR(__xludf.DUMMYFUNCTION("""COMPUTED_VALUE"""),"연유")</f>
        <v>연유</v>
      </c>
    </row>
    <row r="9503">
      <c r="A9503" s="2" t="str">
        <f>IFERROR(__xludf.DUMMYFUNCTION("""COMPUTED_VALUE"""),"브런치의 유혹")</f>
        <v>브런치의 유혹</v>
      </c>
      <c r="B9503" s="2" t="str">
        <f>IFERROR(__xludf.DUMMYFUNCTION("""COMPUTED_VALUE"""),"우유")</f>
        <v>우유</v>
      </c>
    </row>
    <row r="9504">
      <c r="A9504" s="2" t="str">
        <f>IFERROR(__xludf.DUMMYFUNCTION("""COMPUTED_VALUE"""),"브런치의 유혹")</f>
        <v>브런치의 유혹</v>
      </c>
      <c r="B9504" s="2" t="str">
        <f>IFERROR(__xludf.DUMMYFUNCTION("""COMPUTED_VALUE"""),"식빵")</f>
        <v>식빵</v>
      </c>
    </row>
    <row r="9505">
      <c r="A9505" s="2" t="str">
        <f>IFERROR(__xludf.DUMMYFUNCTION("""COMPUTED_VALUE"""),"브런치의 유혹")</f>
        <v>브런치의 유혹</v>
      </c>
      <c r="B9505" s="2" t="str">
        <f>IFERROR(__xludf.DUMMYFUNCTION("""COMPUTED_VALUE"""),"양송이버섯")</f>
        <v>양송이버섯</v>
      </c>
    </row>
    <row r="9506">
      <c r="A9506" s="2" t="str">
        <f>IFERROR(__xludf.DUMMYFUNCTION("""COMPUTED_VALUE"""),"브런치의 유혹")</f>
        <v>브런치의 유혹</v>
      </c>
      <c r="B9506" s="2" t="str">
        <f>IFERROR(__xludf.DUMMYFUNCTION("""COMPUTED_VALUE"""),"돈가스소스")</f>
        <v>돈가스소스</v>
      </c>
    </row>
    <row r="9507">
      <c r="A9507" s="2" t="str">
        <f>IFERROR(__xludf.DUMMYFUNCTION("""COMPUTED_VALUE"""),"브런치의 유혹")</f>
        <v>브런치의 유혹</v>
      </c>
      <c r="B9507" s="2" t="str">
        <f>IFERROR(__xludf.DUMMYFUNCTION("""COMPUTED_VALUE"""),"김밥용 햄")</f>
        <v>김밥용 햄</v>
      </c>
    </row>
    <row r="9508">
      <c r="A9508" s="2" t="str">
        <f>IFERROR(__xludf.DUMMYFUNCTION("""COMPUTED_VALUE"""),"브런치의 유혹")</f>
        <v>브런치의 유혹</v>
      </c>
      <c r="B9508" s="2" t="str">
        <f>IFERROR(__xludf.DUMMYFUNCTION("""COMPUTED_VALUE"""),"버터")</f>
        <v>버터</v>
      </c>
    </row>
    <row r="9509">
      <c r="A9509" s="2" t="str">
        <f>IFERROR(__xludf.DUMMYFUNCTION("""COMPUTED_VALUE"""),"브런치의 유혹")</f>
        <v>브런치의 유혹</v>
      </c>
      <c r="B9509" s="2" t="str">
        <f>IFERROR(__xludf.DUMMYFUNCTION("""COMPUTED_VALUE"""),"설탕")</f>
        <v>설탕</v>
      </c>
    </row>
    <row r="9510">
      <c r="A9510" s="2" t="str">
        <f>IFERROR(__xludf.DUMMYFUNCTION("""COMPUTED_VALUE"""),"브런치의 유혹")</f>
        <v>브런치의 유혹</v>
      </c>
      <c r="B9510" s="2" t="str">
        <f>IFERROR(__xludf.DUMMYFUNCTION("""COMPUTED_VALUE"""),"레몬")</f>
        <v>레몬</v>
      </c>
    </row>
    <row r="9511">
      <c r="A9511" s="2" t="str">
        <f>IFERROR(__xludf.DUMMYFUNCTION("""COMPUTED_VALUE"""),"브런치의 유혹")</f>
        <v>브런치의 유혹</v>
      </c>
      <c r="B9511" s="2" t="str">
        <f>IFERROR(__xludf.DUMMYFUNCTION("""COMPUTED_VALUE"""),"달걀")</f>
        <v>달걀</v>
      </c>
    </row>
    <row r="9512">
      <c r="A9512" s="2" t="str">
        <f>IFERROR(__xludf.DUMMYFUNCTION("""COMPUTED_VALUE"""),"브런치의 유혹")</f>
        <v>브런치의 유혹</v>
      </c>
      <c r="B9512" s="2" t="str">
        <f>IFERROR(__xludf.DUMMYFUNCTION("""COMPUTED_VALUE"""),"양파")</f>
        <v>양파</v>
      </c>
    </row>
    <row r="9513">
      <c r="A9513" s="2" t="str">
        <f>IFERROR(__xludf.DUMMYFUNCTION("""COMPUTED_VALUE"""),"브런치의 유혹")</f>
        <v>브런치의 유혹</v>
      </c>
      <c r="B9513" s="2" t="str">
        <f>IFERROR(__xludf.DUMMYFUNCTION("""COMPUTED_VALUE"""),"케첩")</f>
        <v>케첩</v>
      </c>
    </row>
    <row r="9514">
      <c r="A9514" s="2" t="str">
        <f>IFERROR(__xludf.DUMMYFUNCTION("""COMPUTED_VALUE"""),"브런치의 유혹")</f>
        <v>브런치의 유혹</v>
      </c>
      <c r="B9514" s="2" t="str">
        <f>IFERROR(__xludf.DUMMYFUNCTION("""COMPUTED_VALUE"""),"맛술")</f>
        <v>맛술</v>
      </c>
    </row>
    <row r="9515">
      <c r="A9515" s="2" t="str">
        <f>IFERROR(__xludf.DUMMYFUNCTION("""COMPUTED_VALUE"""),"브런치의 유혹")</f>
        <v>브런치의 유혹</v>
      </c>
      <c r="B9515" s="2" t="str">
        <f>IFERROR(__xludf.DUMMYFUNCTION("""COMPUTED_VALUE"""),"당근")</f>
        <v>당근</v>
      </c>
    </row>
    <row r="9516">
      <c r="A9516" s="2" t="str">
        <f>IFERROR(__xludf.DUMMYFUNCTION("""COMPUTED_VALUE"""),"브런치의 유혹")</f>
        <v>브런치의 유혹</v>
      </c>
      <c r="B9516" s="2" t="str">
        <f>IFERROR(__xludf.DUMMYFUNCTION("""COMPUTED_VALUE"""),"소금")</f>
        <v>소금</v>
      </c>
    </row>
    <row r="9517">
      <c r="A9517" s="2" t="str">
        <f>IFERROR(__xludf.DUMMYFUNCTION("""COMPUTED_VALUE"""),"감자로 유혹하자냐")</f>
        <v>감자로 유혹하자냐</v>
      </c>
      <c r="B9517" s="2" t="str">
        <f>IFERROR(__xludf.DUMMYFUNCTION("""COMPUTED_VALUE"""),"감자")</f>
        <v>감자</v>
      </c>
    </row>
    <row r="9518">
      <c r="A9518" s="2" t="str">
        <f>IFERROR(__xludf.DUMMYFUNCTION("""COMPUTED_VALUE"""),"감자로 유혹하자냐")</f>
        <v>감자로 유혹하자냐</v>
      </c>
      <c r="B9518" s="2" t="str">
        <f>IFERROR(__xludf.DUMMYFUNCTION("""COMPUTED_VALUE"""),"오이")</f>
        <v>오이</v>
      </c>
    </row>
    <row r="9519">
      <c r="A9519" s="2" t="str">
        <f>IFERROR(__xludf.DUMMYFUNCTION("""COMPUTED_VALUE"""),"감자로 유혹하자냐")</f>
        <v>감자로 유혹하자냐</v>
      </c>
      <c r="B9519" s="2" t="str">
        <f>IFERROR(__xludf.DUMMYFUNCTION("""COMPUTED_VALUE"""),"핫소스")</f>
        <v>핫소스</v>
      </c>
    </row>
    <row r="9520">
      <c r="A9520" s="2" t="str">
        <f>IFERROR(__xludf.DUMMYFUNCTION("""COMPUTED_VALUE"""),"감자로 유혹하자냐")</f>
        <v>감자로 유혹하자냐</v>
      </c>
      <c r="B9520" s="2" t="str">
        <f>IFERROR(__xludf.DUMMYFUNCTION("""COMPUTED_VALUE"""),"손질 쪽파")</f>
        <v>손질 쪽파</v>
      </c>
    </row>
    <row r="9521">
      <c r="A9521" s="2" t="str">
        <f>IFERROR(__xludf.DUMMYFUNCTION("""COMPUTED_VALUE"""),"감자로 유혹하자냐")</f>
        <v>감자로 유혹하자냐</v>
      </c>
      <c r="B9521" s="2" t="str">
        <f>IFERROR(__xludf.DUMMYFUNCTION("""COMPUTED_VALUE"""),"브라질너트")</f>
        <v>브라질너트</v>
      </c>
    </row>
    <row r="9522">
      <c r="A9522" s="2" t="str">
        <f>IFERROR(__xludf.DUMMYFUNCTION("""COMPUTED_VALUE"""),"감자로 유혹하자냐")</f>
        <v>감자로 유혹하자냐</v>
      </c>
      <c r="B9522" s="2" t="str">
        <f>IFERROR(__xludf.DUMMYFUNCTION("""COMPUTED_VALUE"""),"슬라이스치즈")</f>
        <v>슬라이스치즈</v>
      </c>
    </row>
    <row r="9523">
      <c r="A9523" s="2" t="str">
        <f>IFERROR(__xludf.DUMMYFUNCTION("""COMPUTED_VALUE"""),"감자로 유혹하자냐")</f>
        <v>감자로 유혹하자냐</v>
      </c>
      <c r="B9523" s="2" t="str">
        <f>IFERROR(__xludf.DUMMYFUNCTION("""COMPUTED_VALUE"""),"마늘")</f>
        <v>마늘</v>
      </c>
    </row>
    <row r="9524">
      <c r="A9524" s="2" t="str">
        <f>IFERROR(__xludf.DUMMYFUNCTION("""COMPUTED_VALUE"""),"감자로 유혹하자냐")</f>
        <v>감자로 유혹하자냐</v>
      </c>
      <c r="B9524" s="2" t="str">
        <f>IFERROR(__xludf.DUMMYFUNCTION("""COMPUTED_VALUE"""),"전분")</f>
        <v>전분</v>
      </c>
    </row>
    <row r="9525">
      <c r="A9525" s="2" t="str">
        <f>IFERROR(__xludf.DUMMYFUNCTION("""COMPUTED_VALUE"""),"감자로 유혹하자냐")</f>
        <v>감자로 유혹하자냐</v>
      </c>
      <c r="B9525" s="2" t="str">
        <f>IFERROR(__xludf.DUMMYFUNCTION("""COMPUTED_VALUE"""),"소금")</f>
        <v>소금</v>
      </c>
    </row>
    <row r="9526">
      <c r="A9526" s="2" t="str">
        <f>IFERROR(__xludf.DUMMYFUNCTION("""COMPUTED_VALUE"""),"감자로 유혹하자냐")</f>
        <v>감자로 유혹하자냐</v>
      </c>
      <c r="B9526" s="2" t="str">
        <f>IFERROR(__xludf.DUMMYFUNCTION("""COMPUTED_VALUE"""),"청양고추")</f>
        <v>청양고추</v>
      </c>
    </row>
    <row r="9527">
      <c r="A9527" s="2" t="str">
        <f>IFERROR(__xludf.DUMMYFUNCTION("""COMPUTED_VALUE"""),"감자로 유혹하자냐")</f>
        <v>감자로 유혹하자냐</v>
      </c>
      <c r="B9527" s="2" t="str">
        <f>IFERROR(__xludf.DUMMYFUNCTION("""COMPUTED_VALUE"""),"홍고추")</f>
        <v>홍고추</v>
      </c>
    </row>
    <row r="9528">
      <c r="A9528" s="2" t="str">
        <f>IFERROR(__xludf.DUMMYFUNCTION("""COMPUTED_VALUE"""),"감자로 유혹하자냐")</f>
        <v>감자로 유혹하자냐</v>
      </c>
      <c r="B9528" s="2" t="str">
        <f>IFERROR(__xludf.DUMMYFUNCTION("""COMPUTED_VALUE"""),"양파")</f>
        <v>양파</v>
      </c>
    </row>
    <row r="9529">
      <c r="A9529" s="2" t="str">
        <f>IFERROR(__xludf.DUMMYFUNCTION("""COMPUTED_VALUE"""),"감자로 유혹하자냐")</f>
        <v>감자로 유혹하자냐</v>
      </c>
      <c r="B9529" s="2" t="str">
        <f>IFERROR(__xludf.DUMMYFUNCTION("""COMPUTED_VALUE"""),"레몬")</f>
        <v>레몬</v>
      </c>
    </row>
    <row r="9530">
      <c r="A9530" s="2" t="str">
        <f>IFERROR(__xludf.DUMMYFUNCTION("""COMPUTED_VALUE"""),"감자로 유혹하자냐")</f>
        <v>감자로 유혹하자냐</v>
      </c>
      <c r="B9530" s="2" t="str">
        <f>IFERROR(__xludf.DUMMYFUNCTION("""COMPUTED_VALUE"""),"후추")</f>
        <v>후추</v>
      </c>
    </row>
    <row r="9531">
      <c r="A9531" s="2" t="str">
        <f>IFERROR(__xludf.DUMMYFUNCTION("""COMPUTED_VALUE"""),"감자로 유혹하자냐")</f>
        <v>감자로 유혹하자냐</v>
      </c>
      <c r="B9531" s="2" t="str">
        <f>IFERROR(__xludf.DUMMYFUNCTION("""COMPUTED_VALUE"""),"달걀")</f>
        <v>달걀</v>
      </c>
    </row>
    <row r="9532">
      <c r="A9532" s="2" t="str">
        <f>IFERROR(__xludf.DUMMYFUNCTION("""COMPUTED_VALUE"""),"감자로 유혹하자냐")</f>
        <v>감자로 유혹하자냐</v>
      </c>
      <c r="B9532" s="2" t="str">
        <f>IFERROR(__xludf.DUMMYFUNCTION("""COMPUTED_VALUE"""),"버터")</f>
        <v>버터</v>
      </c>
    </row>
    <row r="9533">
      <c r="A9533" s="2" t="str">
        <f>IFERROR(__xludf.DUMMYFUNCTION("""COMPUTED_VALUE"""),"감자로 유혹하자냐")</f>
        <v>감자로 유혹하자냐</v>
      </c>
      <c r="B9533" s="2" t="str">
        <f>IFERROR(__xludf.DUMMYFUNCTION("""COMPUTED_VALUE"""),"올리브오일")</f>
        <v>올리브오일</v>
      </c>
    </row>
    <row r="9534">
      <c r="A9534" s="2" t="str">
        <f>IFERROR(__xludf.DUMMYFUNCTION("""COMPUTED_VALUE"""),"호감이야")</f>
        <v>호감이야</v>
      </c>
      <c r="B9534" s="2" t="str">
        <f>IFERROR(__xludf.DUMMYFUNCTION("""COMPUTED_VALUE"""),"감자")</f>
        <v>감자</v>
      </c>
    </row>
    <row r="9535">
      <c r="A9535" s="2" t="str">
        <f>IFERROR(__xludf.DUMMYFUNCTION("""COMPUTED_VALUE"""),"호감이야")</f>
        <v>호감이야</v>
      </c>
      <c r="B9535" s="2" t="str">
        <f>IFERROR(__xludf.DUMMYFUNCTION("""COMPUTED_VALUE"""),"애호박")</f>
        <v>애호박</v>
      </c>
    </row>
    <row r="9536">
      <c r="A9536" s="2" t="str">
        <f>IFERROR(__xludf.DUMMYFUNCTION("""COMPUTED_VALUE"""),"호감이야")</f>
        <v>호감이야</v>
      </c>
      <c r="B9536" s="2" t="str">
        <f>IFERROR(__xludf.DUMMYFUNCTION("""COMPUTED_VALUE"""),"칠리소스")</f>
        <v>칠리소스</v>
      </c>
    </row>
    <row r="9537">
      <c r="A9537" s="2" t="str">
        <f>IFERROR(__xludf.DUMMYFUNCTION("""COMPUTED_VALUE"""),"호감이야")</f>
        <v>호감이야</v>
      </c>
      <c r="B9537" s="2" t="str">
        <f>IFERROR(__xludf.DUMMYFUNCTION("""COMPUTED_VALUE"""),"슬라이스치즈")</f>
        <v>슬라이스치즈</v>
      </c>
    </row>
    <row r="9538">
      <c r="A9538" s="2" t="str">
        <f>IFERROR(__xludf.DUMMYFUNCTION("""COMPUTED_VALUE"""),"호감이야")</f>
        <v>호감이야</v>
      </c>
      <c r="B9538" s="2" t="str">
        <f>IFERROR(__xludf.DUMMYFUNCTION("""COMPUTED_VALUE"""),"상추")</f>
        <v>상추</v>
      </c>
    </row>
    <row r="9539">
      <c r="A9539" s="2" t="str">
        <f>IFERROR(__xludf.DUMMYFUNCTION("""COMPUTED_VALUE"""),"호감이야")</f>
        <v>호감이야</v>
      </c>
      <c r="B9539" s="2" t="str">
        <f>IFERROR(__xludf.DUMMYFUNCTION("""COMPUTED_VALUE"""),"오이")</f>
        <v>오이</v>
      </c>
    </row>
    <row r="9540">
      <c r="A9540" s="2" t="str">
        <f>IFERROR(__xludf.DUMMYFUNCTION("""COMPUTED_VALUE"""),"호감이야")</f>
        <v>호감이야</v>
      </c>
      <c r="B9540" s="2" t="str">
        <f>IFERROR(__xludf.DUMMYFUNCTION("""COMPUTED_VALUE"""),"수제 월남쌈소스")</f>
        <v>수제 월남쌈소스</v>
      </c>
    </row>
    <row r="9541">
      <c r="A9541" s="2" t="str">
        <f>IFERROR(__xludf.DUMMYFUNCTION("""COMPUTED_VALUE"""),"호감이야")</f>
        <v>호감이야</v>
      </c>
      <c r="B9541" s="2" t="str">
        <f>IFERROR(__xludf.DUMMYFUNCTION("""COMPUTED_VALUE"""),"소금")</f>
        <v>소금</v>
      </c>
    </row>
    <row r="9542">
      <c r="A9542" s="2" t="str">
        <f>IFERROR(__xludf.DUMMYFUNCTION("""COMPUTED_VALUE"""),"호감이야")</f>
        <v>호감이야</v>
      </c>
      <c r="B9542" s="2" t="str">
        <f>IFERROR(__xludf.DUMMYFUNCTION("""COMPUTED_VALUE"""),"양파")</f>
        <v>양파</v>
      </c>
    </row>
    <row r="9543">
      <c r="A9543" s="2" t="str">
        <f>IFERROR(__xludf.DUMMYFUNCTION("""COMPUTED_VALUE"""),"호감이야")</f>
        <v>호감이야</v>
      </c>
      <c r="B9543" s="2" t="str">
        <f>IFERROR(__xludf.DUMMYFUNCTION("""COMPUTED_VALUE"""),"청양고추")</f>
        <v>청양고추</v>
      </c>
    </row>
    <row r="9544">
      <c r="A9544" s="2" t="str">
        <f>IFERROR(__xludf.DUMMYFUNCTION("""COMPUTED_VALUE"""),"호감이야")</f>
        <v>호감이야</v>
      </c>
      <c r="B9544" s="2" t="str">
        <f>IFERROR(__xludf.DUMMYFUNCTION("""COMPUTED_VALUE"""),"달걀")</f>
        <v>달걀</v>
      </c>
    </row>
    <row r="9545">
      <c r="A9545" s="2" t="str">
        <f>IFERROR(__xludf.DUMMYFUNCTION("""COMPUTED_VALUE"""),"호감이야")</f>
        <v>호감이야</v>
      </c>
      <c r="B9545" s="2" t="str">
        <f>IFERROR(__xludf.DUMMYFUNCTION("""COMPUTED_VALUE"""),"레드와인")</f>
        <v>레드와인</v>
      </c>
    </row>
    <row r="9546">
      <c r="A9546" s="2" t="str">
        <f>IFERROR(__xludf.DUMMYFUNCTION("""COMPUTED_VALUE"""),"호감이야")</f>
        <v>호감이야</v>
      </c>
      <c r="B9546" s="2" t="str">
        <f>IFERROR(__xludf.DUMMYFUNCTION("""COMPUTED_VALUE"""),"후추")</f>
        <v>후추</v>
      </c>
    </row>
    <row r="9547">
      <c r="A9547" s="2" t="str">
        <f>IFERROR(__xludf.DUMMYFUNCTION("""COMPUTED_VALUE"""),"호감이야")</f>
        <v>호감이야</v>
      </c>
      <c r="B9547" s="2" t="str">
        <f>IFERROR(__xludf.DUMMYFUNCTION("""COMPUTED_VALUE"""),"고춧가루")</f>
        <v>고춧가루</v>
      </c>
    </row>
    <row r="9548">
      <c r="A9548" s="2" t="str">
        <f>IFERROR(__xludf.DUMMYFUNCTION("""COMPUTED_VALUE"""),"호감이야")</f>
        <v>호감이야</v>
      </c>
      <c r="B9548" s="2" t="str">
        <f>IFERROR(__xludf.DUMMYFUNCTION("""COMPUTED_VALUE"""),"홍고추")</f>
        <v>홍고추</v>
      </c>
    </row>
    <row r="9549">
      <c r="A9549" s="2" t="str">
        <f>IFERROR(__xludf.DUMMYFUNCTION("""COMPUTED_VALUE"""),"호감이야")</f>
        <v>호감이야</v>
      </c>
      <c r="B9549" s="2" t="str">
        <f>IFERROR(__xludf.DUMMYFUNCTION("""COMPUTED_VALUE"""),"연겨자")</f>
        <v>연겨자</v>
      </c>
    </row>
    <row r="9550">
      <c r="A9550" s="2" t="str">
        <f>IFERROR(__xludf.DUMMYFUNCTION("""COMPUTED_VALUE"""),"호감이야")</f>
        <v>호감이야</v>
      </c>
      <c r="B9550" s="2" t="str">
        <f>IFERROR(__xludf.DUMMYFUNCTION("""COMPUTED_VALUE"""),"올리브오일")</f>
        <v>올리브오일</v>
      </c>
    </row>
    <row r="9551">
      <c r="A9551" s="2" t="str">
        <f>IFERROR(__xludf.DUMMYFUNCTION("""COMPUTED_VALUE"""),"1파 2일")</f>
        <v>1파 2일</v>
      </c>
      <c r="B9551" s="2" t="str">
        <f>IFERROR(__xludf.DUMMYFUNCTION("""COMPUTED_VALUE"""),"삼겹살")</f>
        <v>삼겹살</v>
      </c>
    </row>
    <row r="9552">
      <c r="A9552" s="2" t="str">
        <f>IFERROR(__xludf.DUMMYFUNCTION("""COMPUTED_VALUE"""),"1파 2일")</f>
        <v>1파 2일</v>
      </c>
      <c r="B9552" s="2" t="str">
        <f>IFERROR(__xludf.DUMMYFUNCTION("""COMPUTED_VALUE"""),"커피가루")</f>
        <v>커피가루</v>
      </c>
    </row>
    <row r="9553">
      <c r="A9553" s="2" t="str">
        <f>IFERROR(__xludf.DUMMYFUNCTION("""COMPUTED_VALUE"""),"1파 2일")</f>
        <v>1파 2일</v>
      </c>
      <c r="B9553" s="2" t="str">
        <f>IFERROR(__xludf.DUMMYFUNCTION("""COMPUTED_VALUE"""),"사과")</f>
        <v>사과</v>
      </c>
    </row>
    <row r="9554">
      <c r="A9554" s="2" t="str">
        <f>IFERROR(__xludf.DUMMYFUNCTION("""COMPUTED_VALUE"""),"1파 2일")</f>
        <v>1파 2일</v>
      </c>
      <c r="B9554" s="2" t="str">
        <f>IFERROR(__xludf.DUMMYFUNCTION("""COMPUTED_VALUE"""),"생강즙")</f>
        <v>생강즙</v>
      </c>
    </row>
    <row r="9555">
      <c r="A9555" s="2" t="str">
        <f>IFERROR(__xludf.DUMMYFUNCTION("""COMPUTED_VALUE"""),"1파 2일")</f>
        <v>1파 2일</v>
      </c>
      <c r="B9555" s="2" t="str">
        <f>IFERROR(__xludf.DUMMYFUNCTION("""COMPUTED_VALUE"""),"해선장소스")</f>
        <v>해선장소스</v>
      </c>
    </row>
    <row r="9556">
      <c r="A9556" s="2" t="str">
        <f>IFERROR(__xludf.DUMMYFUNCTION("""COMPUTED_VALUE"""),"1파 2일")</f>
        <v>1파 2일</v>
      </c>
      <c r="B9556" s="2" t="str">
        <f>IFERROR(__xludf.DUMMYFUNCTION("""COMPUTED_VALUE"""),"포도즙")</f>
        <v>포도즙</v>
      </c>
    </row>
    <row r="9557">
      <c r="A9557" s="2" t="str">
        <f>IFERROR(__xludf.DUMMYFUNCTION("""COMPUTED_VALUE"""),"1파 2일")</f>
        <v>1파 2일</v>
      </c>
      <c r="B9557" s="2" t="str">
        <f>IFERROR(__xludf.DUMMYFUNCTION("""COMPUTED_VALUE"""),"들깻가루")</f>
        <v>들깻가루</v>
      </c>
    </row>
    <row r="9558">
      <c r="A9558" s="2" t="str">
        <f>IFERROR(__xludf.DUMMYFUNCTION("""COMPUTED_VALUE"""),"1파 2일")</f>
        <v>1파 2일</v>
      </c>
      <c r="B9558" s="2" t="str">
        <f>IFERROR(__xludf.DUMMYFUNCTION("""COMPUTED_VALUE"""),"대파")</f>
        <v>대파</v>
      </c>
    </row>
    <row r="9559">
      <c r="A9559" s="2" t="str">
        <f>IFERROR(__xludf.DUMMYFUNCTION("""COMPUTED_VALUE"""),"1파 2일")</f>
        <v>1파 2일</v>
      </c>
      <c r="B9559" s="2" t="str">
        <f>IFERROR(__xludf.DUMMYFUNCTION("""COMPUTED_VALUE"""),"맛술")</f>
        <v>맛술</v>
      </c>
    </row>
    <row r="9560">
      <c r="A9560" s="2" t="str">
        <f>IFERROR(__xludf.DUMMYFUNCTION("""COMPUTED_VALUE"""),"1파 2일")</f>
        <v>1파 2일</v>
      </c>
      <c r="B9560" s="2" t="str">
        <f>IFERROR(__xludf.DUMMYFUNCTION("""COMPUTED_VALUE"""),"전분")</f>
        <v>전분</v>
      </c>
    </row>
    <row r="9561">
      <c r="A9561" s="2" t="str">
        <f>IFERROR(__xludf.DUMMYFUNCTION("""COMPUTED_VALUE"""),"1파 2일")</f>
        <v>1파 2일</v>
      </c>
      <c r="B9561" s="2" t="str">
        <f>IFERROR(__xludf.DUMMYFUNCTION("""COMPUTED_VALUE"""),"청양고추")</f>
        <v>청양고추</v>
      </c>
    </row>
    <row r="9562">
      <c r="A9562" s="2" t="str">
        <f>IFERROR(__xludf.DUMMYFUNCTION("""COMPUTED_VALUE"""),"1파 2일")</f>
        <v>1파 2일</v>
      </c>
      <c r="B9562" s="2" t="str">
        <f>IFERROR(__xludf.DUMMYFUNCTION("""COMPUTED_VALUE"""),"마늘")</f>
        <v>마늘</v>
      </c>
    </row>
    <row r="9563">
      <c r="A9563" s="2" t="str">
        <f>IFERROR(__xludf.DUMMYFUNCTION("""COMPUTED_VALUE"""),"1파 2일")</f>
        <v>1파 2일</v>
      </c>
      <c r="B9563" s="2" t="str">
        <f>IFERROR(__xludf.DUMMYFUNCTION("""COMPUTED_VALUE"""),"간장")</f>
        <v>간장</v>
      </c>
    </row>
    <row r="9564">
      <c r="A9564" s="2" t="str">
        <f>IFERROR(__xludf.DUMMYFUNCTION("""COMPUTED_VALUE"""),"1파 2일")</f>
        <v>1파 2일</v>
      </c>
      <c r="B9564" s="2" t="str">
        <f>IFERROR(__xludf.DUMMYFUNCTION("""COMPUTED_VALUE"""),"고춧가루")</f>
        <v>고춧가루</v>
      </c>
    </row>
    <row r="9565">
      <c r="A9565" s="2" t="str">
        <f>IFERROR(__xludf.DUMMYFUNCTION("""COMPUTED_VALUE"""),"1파 2일")</f>
        <v>1파 2일</v>
      </c>
      <c r="B9565" s="2" t="str">
        <f>IFERROR(__xludf.DUMMYFUNCTION("""COMPUTED_VALUE"""),"물엿")</f>
        <v>물엿</v>
      </c>
    </row>
    <row r="9566">
      <c r="A9566" s="2" t="str">
        <f>IFERROR(__xludf.DUMMYFUNCTION("""COMPUTED_VALUE"""),"1파 2일")</f>
        <v>1파 2일</v>
      </c>
      <c r="B9566" s="2" t="str">
        <f>IFERROR(__xludf.DUMMYFUNCTION("""COMPUTED_VALUE"""),"식초")</f>
        <v>식초</v>
      </c>
    </row>
    <row r="9567">
      <c r="A9567" s="2" t="str">
        <f>IFERROR(__xludf.DUMMYFUNCTION("""COMPUTED_VALUE"""),"스테이콘")</f>
        <v>스테이콘</v>
      </c>
      <c r="B9567" s="2" t="str">
        <f>IFERROR(__xludf.DUMMYFUNCTION("""COMPUTED_VALUE"""),"오징어채볶음")</f>
        <v>오징어채볶음</v>
      </c>
    </row>
    <row r="9568">
      <c r="A9568" s="2" t="str">
        <f>IFERROR(__xludf.DUMMYFUNCTION("""COMPUTED_VALUE"""),"스테이콘")</f>
        <v>스테이콘</v>
      </c>
      <c r="B9568" s="2" t="str">
        <f>IFERROR(__xludf.DUMMYFUNCTION("""COMPUTED_VALUE"""),"통조림 골뱅이")</f>
        <v>통조림 골뱅이</v>
      </c>
    </row>
    <row r="9569">
      <c r="A9569" s="2" t="str">
        <f>IFERROR(__xludf.DUMMYFUNCTION("""COMPUTED_VALUE"""),"스테이콘")</f>
        <v>스테이콘</v>
      </c>
      <c r="B9569" s="2" t="str">
        <f>IFERROR(__xludf.DUMMYFUNCTION("""COMPUTED_VALUE"""),"통조림 닭가슴살")</f>
        <v>통조림 닭가슴살</v>
      </c>
    </row>
    <row r="9570">
      <c r="A9570" s="2" t="str">
        <f>IFERROR(__xludf.DUMMYFUNCTION("""COMPUTED_VALUE"""),"스테이콘")</f>
        <v>스테이콘</v>
      </c>
      <c r="B9570" s="2" t="str">
        <f>IFERROR(__xludf.DUMMYFUNCTION("""COMPUTED_VALUE"""),"통조림 참치")</f>
        <v>통조림 참치</v>
      </c>
    </row>
    <row r="9571">
      <c r="A9571" s="2" t="str">
        <f>IFERROR(__xludf.DUMMYFUNCTION("""COMPUTED_VALUE"""),"스테이콘")</f>
        <v>스테이콘</v>
      </c>
      <c r="B9571" s="2" t="str">
        <f>IFERROR(__xludf.DUMMYFUNCTION("""COMPUTED_VALUE"""),"어묵")</f>
        <v>어묵</v>
      </c>
    </row>
    <row r="9572">
      <c r="A9572" s="2" t="str">
        <f>IFERROR(__xludf.DUMMYFUNCTION("""COMPUTED_VALUE"""),"스테이콘")</f>
        <v>스테이콘</v>
      </c>
      <c r="B9572" s="2" t="str">
        <f>IFERROR(__xludf.DUMMYFUNCTION("""COMPUTED_VALUE"""),"어육소시지")</f>
        <v>어육소시지</v>
      </c>
    </row>
    <row r="9573">
      <c r="A9573" s="2" t="str">
        <f>IFERROR(__xludf.DUMMYFUNCTION("""COMPUTED_VALUE"""),"스테이콘")</f>
        <v>스테이콘</v>
      </c>
      <c r="B9573" s="2" t="str">
        <f>IFERROR(__xludf.DUMMYFUNCTION("""COMPUTED_VALUE"""),"인스턴트 오돌뼈볶음")</f>
        <v>인스턴트 오돌뼈볶음</v>
      </c>
    </row>
    <row r="9574">
      <c r="A9574" s="2" t="str">
        <f>IFERROR(__xludf.DUMMYFUNCTION("""COMPUTED_VALUE"""),"스테이콘")</f>
        <v>스테이콘</v>
      </c>
      <c r="B9574" s="2" t="str">
        <f>IFERROR(__xludf.DUMMYFUNCTION("""COMPUTED_VALUE"""),"인스턴트 막창")</f>
        <v>인스턴트 막창</v>
      </c>
    </row>
    <row r="9575">
      <c r="A9575" s="2" t="str">
        <f>IFERROR(__xludf.DUMMYFUNCTION("""COMPUTED_VALUE"""),"스테이콘")</f>
        <v>스테이콘</v>
      </c>
      <c r="B9575" s="2" t="str">
        <f>IFERROR(__xludf.DUMMYFUNCTION("""COMPUTED_VALUE"""),"통조림 햄")</f>
        <v>통조림 햄</v>
      </c>
    </row>
    <row r="9576">
      <c r="A9576" s="2" t="str">
        <f>IFERROR(__xludf.DUMMYFUNCTION("""COMPUTED_VALUE"""),"스테이콘")</f>
        <v>스테이콘</v>
      </c>
      <c r="B9576" s="2" t="str">
        <f>IFERROR(__xludf.DUMMYFUNCTION("""COMPUTED_VALUE"""),"밀가루")</f>
        <v>밀가루</v>
      </c>
    </row>
    <row r="9577">
      <c r="A9577" s="2" t="str">
        <f>IFERROR(__xludf.DUMMYFUNCTION("""COMPUTED_VALUE"""),"스테이콘")</f>
        <v>스테이콘</v>
      </c>
      <c r="B9577" s="2" t="str">
        <f>IFERROR(__xludf.DUMMYFUNCTION("""COMPUTED_VALUE"""),"달걀")</f>
        <v>달걀</v>
      </c>
    </row>
    <row r="9578">
      <c r="A9578" s="2" t="str">
        <f>IFERROR(__xludf.DUMMYFUNCTION("""COMPUTED_VALUE"""),"스테이콘")</f>
        <v>스테이콘</v>
      </c>
      <c r="B9578" s="2" t="str">
        <f>IFERROR(__xludf.DUMMYFUNCTION("""COMPUTED_VALUE"""),"양파")</f>
        <v>양파</v>
      </c>
    </row>
    <row r="9579">
      <c r="A9579" s="2" t="str">
        <f>IFERROR(__xludf.DUMMYFUNCTION("""COMPUTED_VALUE"""),"스테이콘")</f>
        <v>스테이콘</v>
      </c>
      <c r="B9579" s="2" t="str">
        <f>IFERROR(__xludf.DUMMYFUNCTION("""COMPUTED_VALUE"""),"대파")</f>
        <v>대파</v>
      </c>
    </row>
    <row r="9580">
      <c r="A9580" s="2" t="str">
        <f>IFERROR(__xludf.DUMMYFUNCTION("""COMPUTED_VALUE"""),"스테이콘")</f>
        <v>스테이콘</v>
      </c>
      <c r="B9580" s="2" t="str">
        <f>IFERROR(__xludf.DUMMYFUNCTION("""COMPUTED_VALUE"""),"맛술")</f>
        <v>맛술</v>
      </c>
    </row>
    <row r="9581">
      <c r="A9581" s="2" t="str">
        <f>IFERROR(__xludf.DUMMYFUNCTION("""COMPUTED_VALUE"""),"스테이콘")</f>
        <v>스테이콘</v>
      </c>
      <c r="B9581" s="2" t="str">
        <f>IFERROR(__xludf.DUMMYFUNCTION("""COMPUTED_VALUE"""),"간장")</f>
        <v>간장</v>
      </c>
    </row>
    <row r="9582">
      <c r="A9582" s="2" t="str">
        <f>IFERROR(__xludf.DUMMYFUNCTION("""COMPUTED_VALUE"""),"스테이콘")</f>
        <v>스테이콘</v>
      </c>
      <c r="B9582" s="2" t="str">
        <f>IFERROR(__xludf.DUMMYFUNCTION("""COMPUTED_VALUE"""),"청주")</f>
        <v>청주</v>
      </c>
    </row>
    <row r="9583">
      <c r="A9583" s="2" t="str">
        <f>IFERROR(__xludf.DUMMYFUNCTION("""COMPUTED_VALUE"""),"스테이콘")</f>
        <v>스테이콘</v>
      </c>
      <c r="B9583" s="2" t="str">
        <f>IFERROR(__xludf.DUMMYFUNCTION("""COMPUTED_VALUE"""),"레몬")</f>
        <v>레몬</v>
      </c>
    </row>
    <row r="9584">
      <c r="A9584" s="2" t="str">
        <f>IFERROR(__xludf.DUMMYFUNCTION("""COMPUTED_VALUE"""),"스테이콘")</f>
        <v>스테이콘</v>
      </c>
      <c r="B9584" s="2" t="str">
        <f>IFERROR(__xludf.DUMMYFUNCTION("""COMPUTED_VALUE"""),"참기름")</f>
        <v>참기름</v>
      </c>
    </row>
    <row r="9585">
      <c r="A9585" s="2" t="str">
        <f>IFERROR(__xludf.DUMMYFUNCTION("""COMPUTED_VALUE"""),"골뱅이 에스카르고")</f>
        <v>골뱅이 에스카르고</v>
      </c>
      <c r="B9585" s="2" t="str">
        <f>IFERROR(__xludf.DUMMYFUNCTION("""COMPUTED_VALUE"""),"명이나물장아찌 국물")</f>
        <v>명이나물장아찌 국물</v>
      </c>
    </row>
    <row r="9586">
      <c r="A9586" s="2" t="str">
        <f>IFERROR(__xludf.DUMMYFUNCTION("""COMPUTED_VALUE"""),"골뱅이 에스카르고")</f>
        <v>골뱅이 에스카르고</v>
      </c>
      <c r="B9586" s="2" t="str">
        <f>IFERROR(__xludf.DUMMYFUNCTION("""COMPUTED_VALUE"""),"삼겹살")</f>
        <v>삼겹살</v>
      </c>
    </row>
    <row r="9587">
      <c r="A9587" s="2" t="str">
        <f>IFERROR(__xludf.DUMMYFUNCTION("""COMPUTED_VALUE"""),"골뱅이 에스카르고")</f>
        <v>골뱅이 에스카르고</v>
      </c>
      <c r="B9587" s="2" t="str">
        <f>IFERROR(__xludf.DUMMYFUNCTION("""COMPUTED_VALUE"""),"통조림 번데기")</f>
        <v>통조림 번데기</v>
      </c>
    </row>
    <row r="9588">
      <c r="A9588" s="2" t="str">
        <f>IFERROR(__xludf.DUMMYFUNCTION("""COMPUTED_VALUE"""),"골뱅이 에스카르고")</f>
        <v>골뱅이 에스카르고</v>
      </c>
      <c r="B9588" s="2" t="str">
        <f>IFERROR(__xludf.DUMMYFUNCTION("""COMPUTED_VALUE"""),"통조림 골뱅이")</f>
        <v>통조림 골뱅이</v>
      </c>
    </row>
    <row r="9589">
      <c r="A9589" s="2" t="str">
        <f>IFERROR(__xludf.DUMMYFUNCTION("""COMPUTED_VALUE"""),"골뱅이 에스카르고")</f>
        <v>골뱅이 에스카르고</v>
      </c>
      <c r="B9589" s="2" t="str">
        <f>IFERROR(__xludf.DUMMYFUNCTION("""COMPUTED_VALUE"""),"옥수수맛 과자")</f>
        <v>옥수수맛 과자</v>
      </c>
    </row>
    <row r="9590">
      <c r="A9590" s="2" t="str">
        <f>IFERROR(__xludf.DUMMYFUNCTION("""COMPUTED_VALUE"""),"골뱅이 에스카르고")</f>
        <v>골뱅이 에스카르고</v>
      </c>
      <c r="B9590" s="2" t="str">
        <f>IFERROR(__xludf.DUMMYFUNCTION("""COMPUTED_VALUE"""),"새우젓소스")</f>
        <v>새우젓소스</v>
      </c>
    </row>
    <row r="9591">
      <c r="A9591" s="2" t="str">
        <f>IFERROR(__xludf.DUMMYFUNCTION("""COMPUTED_VALUE"""),"골뱅이 에스카르고")</f>
        <v>골뱅이 에스카르고</v>
      </c>
      <c r="B9591" s="2" t="str">
        <f>IFERROR(__xludf.DUMMYFUNCTION("""COMPUTED_VALUE"""),"인스턴트 대게딱지장")</f>
        <v>인스턴트 대게딱지장</v>
      </c>
    </row>
    <row r="9592">
      <c r="A9592" s="2" t="str">
        <f>IFERROR(__xludf.DUMMYFUNCTION("""COMPUTED_VALUE"""),"골뱅이 에스카르고")</f>
        <v>골뱅이 에스카르고</v>
      </c>
      <c r="B9592" s="2" t="str">
        <f>IFERROR(__xludf.DUMMYFUNCTION("""COMPUTED_VALUE"""),"애호박버섯볶음")</f>
        <v>애호박버섯볶음</v>
      </c>
    </row>
    <row r="9593">
      <c r="A9593" s="2" t="str">
        <f>IFERROR(__xludf.DUMMYFUNCTION("""COMPUTED_VALUE"""),"골뱅이 에스카르고")</f>
        <v>골뱅이 에스카르고</v>
      </c>
      <c r="B9593" s="2" t="str">
        <f>IFERROR(__xludf.DUMMYFUNCTION("""COMPUTED_VALUE"""),"밀가루")</f>
        <v>밀가루</v>
      </c>
    </row>
    <row r="9594">
      <c r="A9594" s="2" t="str">
        <f>IFERROR(__xludf.DUMMYFUNCTION("""COMPUTED_VALUE"""),"골뱅이 에스카르고")</f>
        <v>골뱅이 에스카르고</v>
      </c>
      <c r="B9594" s="2" t="str">
        <f>IFERROR(__xludf.DUMMYFUNCTION("""COMPUTED_VALUE"""),"전분")</f>
        <v>전분</v>
      </c>
    </row>
    <row r="9595">
      <c r="A9595" s="2" t="str">
        <f>IFERROR(__xludf.DUMMYFUNCTION("""COMPUTED_VALUE"""),"골뱅이 에스카르고")</f>
        <v>골뱅이 에스카르고</v>
      </c>
      <c r="B9595" s="2" t="str">
        <f>IFERROR(__xludf.DUMMYFUNCTION("""COMPUTED_VALUE"""),"달걀")</f>
        <v>달걀</v>
      </c>
    </row>
    <row r="9596">
      <c r="A9596" s="2" t="str">
        <f>IFERROR(__xludf.DUMMYFUNCTION("""COMPUTED_VALUE"""),"골뱅이 에스카르고")</f>
        <v>골뱅이 에스카르고</v>
      </c>
      <c r="B9596" s="2" t="str">
        <f>IFERROR(__xludf.DUMMYFUNCTION("""COMPUTED_VALUE"""),"다진 마늘")</f>
        <v>다진 마늘</v>
      </c>
    </row>
    <row r="9597">
      <c r="A9597" s="2" t="str">
        <f>IFERROR(__xludf.DUMMYFUNCTION("""COMPUTED_VALUE"""),"골뱅이 에스카르고")</f>
        <v>골뱅이 에스카르고</v>
      </c>
      <c r="B9597" s="2" t="str">
        <f>IFERROR(__xludf.DUMMYFUNCTION("""COMPUTED_VALUE"""),"후추")</f>
        <v>후추</v>
      </c>
    </row>
    <row r="9598">
      <c r="A9598" s="2" t="str">
        <f>IFERROR(__xludf.DUMMYFUNCTION("""COMPUTED_VALUE"""),"골뱅이 에스카르고")</f>
        <v>골뱅이 에스카르고</v>
      </c>
      <c r="B9598" s="2" t="str">
        <f>IFERROR(__xludf.DUMMYFUNCTION("""COMPUTED_VALUE"""),"소금")</f>
        <v>소금</v>
      </c>
    </row>
    <row r="9599">
      <c r="A9599" s="2" t="str">
        <f>IFERROR(__xludf.DUMMYFUNCTION("""COMPUTED_VALUE"""),"골뱅이 에스카르고")</f>
        <v>골뱅이 에스카르고</v>
      </c>
      <c r="B9599" s="2" t="str">
        <f>IFERROR(__xludf.DUMMYFUNCTION("""COMPUTED_VALUE"""),"버터")</f>
        <v>버터</v>
      </c>
    </row>
    <row r="9600">
      <c r="A9600" s="2" t="str">
        <f>IFERROR(__xludf.DUMMYFUNCTION("""COMPUTED_VALUE"""),"골뱅이 에스카르고")</f>
        <v>골뱅이 에스카르고</v>
      </c>
      <c r="B9600" s="2" t="str">
        <f>IFERROR(__xludf.DUMMYFUNCTION("""COMPUTED_VALUE"""),"청양고추")</f>
        <v>청양고추</v>
      </c>
    </row>
    <row r="9601">
      <c r="A9601" s="2" t="str">
        <f>IFERROR(__xludf.DUMMYFUNCTION("""COMPUTED_VALUE"""),"골뱅이 에스카르고")</f>
        <v>골뱅이 에스카르고</v>
      </c>
      <c r="B9601" s="2" t="str">
        <f>IFERROR(__xludf.DUMMYFUNCTION("""COMPUTED_VALUE"""),"홍고추")</f>
        <v>홍고추</v>
      </c>
    </row>
    <row r="9602">
      <c r="A9602" s="2" t="str">
        <f>IFERROR(__xludf.DUMMYFUNCTION("""COMPUTED_VALUE"""),"골뱅이 에스카르고")</f>
        <v>골뱅이 에스카르고</v>
      </c>
      <c r="B9602" s="2" t="str">
        <f>IFERROR(__xludf.DUMMYFUNCTION("""COMPUTED_VALUE"""),"마늘")</f>
        <v>마늘</v>
      </c>
    </row>
    <row r="9603">
      <c r="A9603" s="2" t="str">
        <f>IFERROR(__xludf.DUMMYFUNCTION("""COMPUTED_VALUE"""),"골뱅이 에스카르고")</f>
        <v>골뱅이 에스카르고</v>
      </c>
      <c r="B9603" s="2" t="str">
        <f>IFERROR(__xludf.DUMMYFUNCTION("""COMPUTED_VALUE"""),"식초")</f>
        <v>식초</v>
      </c>
    </row>
    <row r="9604">
      <c r="A9604" s="2" t="str">
        <f>IFERROR(__xludf.DUMMYFUNCTION("""COMPUTED_VALUE"""),"골뱅이 에스카르고")</f>
        <v>골뱅이 에스카르고</v>
      </c>
      <c r="B9604" s="2" t="str">
        <f>IFERROR(__xludf.DUMMYFUNCTION("""COMPUTED_VALUE"""),"양파")</f>
        <v>양파</v>
      </c>
    </row>
    <row r="9605">
      <c r="A9605" s="2" t="str">
        <f>IFERROR(__xludf.DUMMYFUNCTION("""COMPUTED_VALUE"""),"골뱅이 에스카르고")</f>
        <v>골뱅이 에스카르고</v>
      </c>
      <c r="B9605" s="2" t="str">
        <f>IFERROR(__xludf.DUMMYFUNCTION("""COMPUTED_VALUE"""),"대파")</f>
        <v>대파</v>
      </c>
    </row>
    <row r="9606">
      <c r="A9606" s="2" t="str">
        <f>IFERROR(__xludf.DUMMYFUNCTION("""COMPUTED_VALUE"""),"혼술 빠라삐")</f>
        <v>혼술 빠라삐</v>
      </c>
      <c r="B9606" s="2" t="str">
        <f>IFERROR(__xludf.DUMMYFUNCTION("""COMPUTED_VALUE"""),"옥돔")</f>
        <v>옥돔</v>
      </c>
    </row>
    <row r="9607">
      <c r="A9607" s="2" t="str">
        <f>IFERROR(__xludf.DUMMYFUNCTION("""COMPUTED_VALUE"""),"혼술 빠라삐")</f>
        <v>혼술 빠라삐</v>
      </c>
      <c r="B9607" s="2" t="str">
        <f>IFERROR(__xludf.DUMMYFUNCTION("""COMPUTED_VALUE"""),"부침가루")</f>
        <v>부침가루</v>
      </c>
    </row>
    <row r="9608">
      <c r="A9608" s="2" t="str">
        <f>IFERROR(__xludf.DUMMYFUNCTION("""COMPUTED_VALUE"""),"혼술 빠라삐")</f>
        <v>혼술 빠라삐</v>
      </c>
      <c r="B9608" s="2" t="str">
        <f>IFERROR(__xludf.DUMMYFUNCTION("""COMPUTED_VALUE"""),"새우젓소스")</f>
        <v>새우젓소스</v>
      </c>
    </row>
    <row r="9609">
      <c r="A9609" s="2" t="str">
        <f>IFERROR(__xludf.DUMMYFUNCTION("""COMPUTED_VALUE"""),"혼술 빠라삐")</f>
        <v>혼술 빠라삐</v>
      </c>
      <c r="B9609" s="2" t="str">
        <f>IFERROR(__xludf.DUMMYFUNCTION("""COMPUTED_VALUE"""),"채 썬 양배추")</f>
        <v>채 썬 양배추</v>
      </c>
    </row>
    <row r="9610">
      <c r="A9610" s="2" t="str">
        <f>IFERROR(__xludf.DUMMYFUNCTION("""COMPUTED_VALUE"""),"혼술 빠라삐")</f>
        <v>혼술 빠라삐</v>
      </c>
      <c r="B9610" s="2" t="str">
        <f>IFERROR(__xludf.DUMMYFUNCTION("""COMPUTED_VALUE"""),"인스턴트 머리고기")</f>
        <v>인스턴트 머리고기</v>
      </c>
    </row>
    <row r="9611">
      <c r="A9611" s="2" t="str">
        <f>IFERROR(__xludf.DUMMYFUNCTION("""COMPUTED_VALUE"""),"혼술 빠라삐")</f>
        <v>혼술 빠라삐</v>
      </c>
      <c r="B9611" s="2" t="str">
        <f>IFERROR(__xludf.DUMMYFUNCTION("""COMPUTED_VALUE"""),"식용유")</f>
        <v>식용유</v>
      </c>
    </row>
    <row r="9612">
      <c r="A9612" s="2" t="str">
        <f>IFERROR(__xludf.DUMMYFUNCTION("""COMPUTED_VALUE"""),"혼술 빠라삐")</f>
        <v>혼술 빠라삐</v>
      </c>
      <c r="B9612" s="2" t="str">
        <f>IFERROR(__xludf.DUMMYFUNCTION("""COMPUTED_VALUE"""),"대파")</f>
        <v>대파</v>
      </c>
    </row>
    <row r="9613">
      <c r="A9613" s="2" t="str">
        <f>IFERROR(__xludf.DUMMYFUNCTION("""COMPUTED_VALUE"""),"혼술 빠라삐")</f>
        <v>혼술 빠라삐</v>
      </c>
      <c r="B9613" s="2" t="str">
        <f>IFERROR(__xludf.DUMMYFUNCTION("""COMPUTED_VALUE"""),"양파")</f>
        <v>양파</v>
      </c>
    </row>
    <row r="9614">
      <c r="A9614" s="2" t="str">
        <f>IFERROR(__xludf.DUMMYFUNCTION("""COMPUTED_VALUE"""),"혼술 빠라삐")</f>
        <v>혼술 빠라삐</v>
      </c>
      <c r="B9614" s="2" t="str">
        <f>IFERROR(__xludf.DUMMYFUNCTION("""COMPUTED_VALUE"""),"홍고추")</f>
        <v>홍고추</v>
      </c>
    </row>
    <row r="9615">
      <c r="A9615" s="2" t="str">
        <f>IFERROR(__xludf.DUMMYFUNCTION("""COMPUTED_VALUE"""),"혼술 빠라삐")</f>
        <v>혼술 빠라삐</v>
      </c>
      <c r="B9615" s="2" t="str">
        <f>IFERROR(__xludf.DUMMYFUNCTION("""COMPUTED_VALUE"""),"청양고추")</f>
        <v>청양고추</v>
      </c>
    </row>
    <row r="9616">
      <c r="A9616" s="2" t="str">
        <f>IFERROR(__xludf.DUMMYFUNCTION("""COMPUTED_VALUE"""),"혼술 빠라삐")</f>
        <v>혼술 빠라삐</v>
      </c>
      <c r="B9616" s="2" t="str">
        <f>IFERROR(__xludf.DUMMYFUNCTION("""COMPUTED_VALUE"""),"다진 생강")</f>
        <v>다진 생강</v>
      </c>
    </row>
    <row r="9617">
      <c r="A9617" s="2" t="str">
        <f>IFERROR(__xludf.DUMMYFUNCTION("""COMPUTED_VALUE"""),"혼술 빠라삐")</f>
        <v>혼술 빠라삐</v>
      </c>
      <c r="B9617" s="2" t="str">
        <f>IFERROR(__xludf.DUMMYFUNCTION("""COMPUTED_VALUE"""),"설탕")</f>
        <v>설탕</v>
      </c>
    </row>
    <row r="9618">
      <c r="A9618" s="2" t="str">
        <f>IFERROR(__xludf.DUMMYFUNCTION("""COMPUTED_VALUE"""),"혼술 빠라삐")</f>
        <v>혼술 빠라삐</v>
      </c>
      <c r="B9618" s="2" t="str">
        <f>IFERROR(__xludf.DUMMYFUNCTION("""COMPUTED_VALUE"""),"케첩 레몬")</f>
        <v>케첩 레몬</v>
      </c>
    </row>
    <row r="9619">
      <c r="A9619" s="2" t="str">
        <f>IFERROR(__xludf.DUMMYFUNCTION("""COMPUTED_VALUE"""),"혼술 빠라삐")</f>
        <v>혼술 빠라삐</v>
      </c>
      <c r="B9619" s="2" t="str">
        <f>IFERROR(__xludf.DUMMYFUNCTION("""COMPUTED_VALUE"""),"밀가루")</f>
        <v>밀가루</v>
      </c>
    </row>
    <row r="9620">
      <c r="A9620" s="2" t="str">
        <f>IFERROR(__xludf.DUMMYFUNCTION("""COMPUTED_VALUE"""),"혼술 빠라삐")</f>
        <v>혼술 빠라삐</v>
      </c>
      <c r="B9620" s="2" t="str">
        <f>IFERROR(__xludf.DUMMYFUNCTION("""COMPUTED_VALUE"""),"달걀")</f>
        <v>달걀</v>
      </c>
    </row>
    <row r="9621">
      <c r="A9621" s="2" t="str">
        <f>IFERROR(__xludf.DUMMYFUNCTION("""COMPUTED_VALUE"""),"혼술 빠라삐")</f>
        <v>혼술 빠라삐</v>
      </c>
      <c r="B9621" s="2" t="str">
        <f>IFERROR(__xludf.DUMMYFUNCTION("""COMPUTED_VALUE"""),"소금")</f>
        <v>소금</v>
      </c>
    </row>
    <row r="9622">
      <c r="A9622" s="2" t="str">
        <f>IFERROR(__xludf.DUMMYFUNCTION("""COMPUTED_VALUE"""),"혼술 빠라삐")</f>
        <v>혼술 빠라삐</v>
      </c>
      <c r="B9622" s="2" t="str">
        <f>IFERROR(__xludf.DUMMYFUNCTION("""COMPUTED_VALUE"""),"후추")</f>
        <v>후추</v>
      </c>
    </row>
    <row r="9623">
      <c r="A9623" s="2" t="str">
        <f>IFERROR(__xludf.DUMMYFUNCTION("""COMPUTED_VALUE"""),"혼술 빠라삐")</f>
        <v>혼술 빠라삐</v>
      </c>
      <c r="B9623" s="2" t="str">
        <f>IFERROR(__xludf.DUMMYFUNCTION("""COMPUTED_VALUE"""),"참기름")</f>
        <v>참기름</v>
      </c>
    </row>
    <row r="9624">
      <c r="A9624" s="2" t="str">
        <f>IFERROR(__xludf.DUMMYFUNCTION("""COMPUTED_VALUE"""),"혼술 빠라삐")</f>
        <v>혼술 빠라삐</v>
      </c>
      <c r="B9624" s="2" t="str">
        <f>IFERROR(__xludf.DUMMYFUNCTION("""COMPUTED_VALUE"""),"연겨자")</f>
        <v>연겨자</v>
      </c>
    </row>
    <row r="9625">
      <c r="A9625" s="2" t="str">
        <f>IFERROR(__xludf.DUMMYFUNCTION("""COMPUTED_VALUE"""),"레이먼 스테이크")</f>
        <v>레이먼 스테이크</v>
      </c>
      <c r="B9625" s="2" t="str">
        <f>IFERROR(__xludf.DUMMYFUNCTION("""COMPUTED_VALUE"""),"부챗살")</f>
        <v>부챗살</v>
      </c>
    </row>
    <row r="9626">
      <c r="A9626" s="2" t="str">
        <f>IFERROR(__xludf.DUMMYFUNCTION("""COMPUTED_VALUE"""),"레이먼 스테이크")</f>
        <v>레이먼 스테이크</v>
      </c>
      <c r="B9626" s="2" t="str">
        <f>IFERROR(__xludf.DUMMYFUNCTION("""COMPUTED_VALUE"""),"강황가루")</f>
        <v>강황가루</v>
      </c>
    </row>
    <row r="9627">
      <c r="A9627" s="2" t="str">
        <f>IFERROR(__xludf.DUMMYFUNCTION("""COMPUTED_VALUE"""),"레이먼 스테이크")</f>
        <v>레이먼 스테이크</v>
      </c>
      <c r="B9627" s="2" t="str">
        <f>IFERROR(__xludf.DUMMYFUNCTION("""COMPUTED_VALUE"""),"우유")</f>
        <v>우유</v>
      </c>
    </row>
    <row r="9628">
      <c r="A9628" s="2" t="str">
        <f>IFERROR(__xludf.DUMMYFUNCTION("""COMPUTED_VALUE"""),"레이먼 스테이크")</f>
        <v>레이먼 스테이크</v>
      </c>
      <c r="B9628" s="2" t="str">
        <f>IFERROR(__xludf.DUMMYFUNCTION("""COMPUTED_VALUE"""),"방울토마토")</f>
        <v>방울토마토</v>
      </c>
    </row>
    <row r="9629">
      <c r="A9629" s="2" t="str">
        <f>IFERROR(__xludf.DUMMYFUNCTION("""COMPUTED_VALUE"""),"레이먼 스테이크")</f>
        <v>레이먼 스테이크</v>
      </c>
      <c r="B9629" s="2" t="str">
        <f>IFERROR(__xludf.DUMMYFUNCTION("""COMPUTED_VALUE"""),"시금치")</f>
        <v>시금치</v>
      </c>
    </row>
    <row r="9630">
      <c r="A9630" s="2" t="str">
        <f>IFERROR(__xludf.DUMMYFUNCTION("""COMPUTED_VALUE"""),"레이먼 스테이크")</f>
        <v>레이먼 스테이크</v>
      </c>
      <c r="B9630" s="2" t="str">
        <f>IFERROR(__xludf.DUMMYFUNCTION("""COMPUTED_VALUE"""),"아로니아")</f>
        <v>아로니아</v>
      </c>
    </row>
    <row r="9631">
      <c r="A9631" s="2" t="str">
        <f>IFERROR(__xludf.DUMMYFUNCTION("""COMPUTED_VALUE"""),"레이먼 스테이크")</f>
        <v>레이먼 스테이크</v>
      </c>
      <c r="B9631" s="2" t="str">
        <f>IFERROR(__xludf.DUMMYFUNCTION("""COMPUTED_VALUE"""),"호박즙")</f>
        <v>호박즙</v>
      </c>
    </row>
    <row r="9632">
      <c r="A9632" s="2" t="str">
        <f>IFERROR(__xludf.DUMMYFUNCTION("""COMPUTED_VALUE"""),"레이먼 스테이크")</f>
        <v>레이먼 스테이크</v>
      </c>
      <c r="B9632" s="2" t="str">
        <f>IFERROR(__xludf.DUMMYFUNCTION("""COMPUTED_VALUE"""),"발사믹드레싱")</f>
        <v>발사믹드레싱</v>
      </c>
    </row>
    <row r="9633">
      <c r="A9633" s="2" t="str">
        <f>IFERROR(__xludf.DUMMYFUNCTION("""COMPUTED_VALUE"""),"레이먼 스테이크")</f>
        <v>레이먼 스테이크</v>
      </c>
      <c r="B9633" s="2" t="str">
        <f>IFERROR(__xludf.DUMMYFUNCTION("""COMPUTED_VALUE"""),"고추냉이")</f>
        <v>고추냉이</v>
      </c>
    </row>
    <row r="9634">
      <c r="A9634" s="2" t="str">
        <f>IFERROR(__xludf.DUMMYFUNCTION("""COMPUTED_VALUE"""),"레이먼 스테이크")</f>
        <v>레이먼 스테이크</v>
      </c>
      <c r="B9634" s="2" t="str">
        <f>IFERROR(__xludf.DUMMYFUNCTION("""COMPUTED_VALUE"""),"소금")</f>
        <v>소금</v>
      </c>
    </row>
    <row r="9635">
      <c r="A9635" s="2" t="str">
        <f>IFERROR(__xludf.DUMMYFUNCTION("""COMPUTED_VALUE"""),"레이먼 스테이크")</f>
        <v>레이먼 스테이크</v>
      </c>
      <c r="B9635" s="2" t="str">
        <f>IFERROR(__xludf.DUMMYFUNCTION("""COMPUTED_VALUE"""),"후추")</f>
        <v>후추</v>
      </c>
    </row>
    <row r="9636">
      <c r="A9636" s="2" t="str">
        <f>IFERROR(__xludf.DUMMYFUNCTION("""COMPUTED_VALUE"""),"레이먼 스테이크")</f>
        <v>레이먼 스테이크</v>
      </c>
      <c r="B9636" s="2" t="str">
        <f>IFERROR(__xludf.DUMMYFUNCTION("""COMPUTED_VALUE"""),"전분")</f>
        <v>전분</v>
      </c>
    </row>
    <row r="9637">
      <c r="A9637" s="2" t="str">
        <f>IFERROR(__xludf.DUMMYFUNCTION("""COMPUTED_VALUE"""),"레이먼 스테이크")</f>
        <v>레이먼 스테이크</v>
      </c>
      <c r="B9637" s="2" t="str">
        <f>IFERROR(__xludf.DUMMYFUNCTION("""COMPUTED_VALUE"""),"밀가루")</f>
        <v>밀가루</v>
      </c>
    </row>
    <row r="9638">
      <c r="A9638" s="2" t="str">
        <f>IFERROR(__xludf.DUMMYFUNCTION("""COMPUTED_VALUE"""),"레이먼 스테이크")</f>
        <v>레이먼 스테이크</v>
      </c>
      <c r="B9638" s="2" t="str">
        <f>IFERROR(__xludf.DUMMYFUNCTION("""COMPUTED_VALUE"""),"고춧가루")</f>
        <v>고춧가루</v>
      </c>
    </row>
    <row r="9639">
      <c r="A9639" s="2" t="str">
        <f>IFERROR(__xludf.DUMMYFUNCTION("""COMPUTED_VALUE"""),"레이먼 스테이크")</f>
        <v>레이먼 스테이크</v>
      </c>
      <c r="B9639" s="2" t="str">
        <f>IFERROR(__xludf.DUMMYFUNCTION("""COMPUTED_VALUE"""),"달걀")</f>
        <v>달걀</v>
      </c>
    </row>
    <row r="9640">
      <c r="A9640" s="2" t="str">
        <f>IFERROR(__xludf.DUMMYFUNCTION("""COMPUTED_VALUE"""),"레이먼 스테이크")</f>
        <v>레이먼 스테이크</v>
      </c>
      <c r="B9640" s="2" t="str">
        <f>IFERROR(__xludf.DUMMYFUNCTION("""COMPUTED_VALUE"""),"양파")</f>
        <v>양파</v>
      </c>
    </row>
    <row r="9641">
      <c r="A9641" s="2" t="str">
        <f>IFERROR(__xludf.DUMMYFUNCTION("""COMPUTED_VALUE"""),"레이먼 스테이크")</f>
        <v>레이먼 스테이크</v>
      </c>
      <c r="B9641" s="2" t="str">
        <f>IFERROR(__xludf.DUMMYFUNCTION("""COMPUTED_VALUE"""),"청양고추")</f>
        <v>청양고추</v>
      </c>
    </row>
    <row r="9642">
      <c r="A9642" s="2" t="str">
        <f>IFERROR(__xludf.DUMMYFUNCTION("""COMPUTED_VALUE"""),"레이먼 스테이크")</f>
        <v>레이먼 스테이크</v>
      </c>
      <c r="B9642" s="2" t="str">
        <f>IFERROR(__xludf.DUMMYFUNCTION("""COMPUTED_VALUE"""),"버터")</f>
        <v>버터</v>
      </c>
    </row>
    <row r="9643">
      <c r="A9643" s="2" t="str">
        <f>IFERROR(__xludf.DUMMYFUNCTION("""COMPUTED_VALUE"""),"레이먼 스테이크")</f>
        <v>레이먼 스테이크</v>
      </c>
      <c r="B9643" s="2" t="str">
        <f>IFERROR(__xludf.DUMMYFUNCTION("""COMPUTED_VALUE"""),"맛술")</f>
        <v>맛술</v>
      </c>
    </row>
    <row r="9644">
      <c r="A9644" s="2" t="str">
        <f>IFERROR(__xludf.DUMMYFUNCTION("""COMPUTED_VALUE"""),"레이먼 스테이크")</f>
        <v>레이먼 스테이크</v>
      </c>
      <c r="B9644" s="2" t="str">
        <f>IFERROR(__xludf.DUMMYFUNCTION("""COMPUTED_VALUE"""),"마늘")</f>
        <v>마늘</v>
      </c>
    </row>
    <row r="9645">
      <c r="A9645" s="2" t="str">
        <f>IFERROR(__xludf.DUMMYFUNCTION("""COMPUTED_VALUE"""),"안질리나 딤섬")</f>
        <v>안질리나 딤섬</v>
      </c>
      <c r="B9645" s="2" t="str">
        <f>IFERROR(__xludf.DUMMYFUNCTION("""COMPUTED_VALUE"""),"시금치")</f>
        <v>시금치</v>
      </c>
    </row>
    <row r="9646">
      <c r="A9646" s="2" t="str">
        <f>IFERROR(__xludf.DUMMYFUNCTION("""COMPUTED_VALUE"""),"안질리나 딤섬")</f>
        <v>안질리나 딤섬</v>
      </c>
      <c r="B9646" s="2" t="str">
        <f>IFERROR(__xludf.DUMMYFUNCTION("""COMPUTED_VALUE"""),"부챗살")</f>
        <v>부챗살</v>
      </c>
    </row>
    <row r="9647">
      <c r="A9647" s="2" t="str">
        <f>IFERROR(__xludf.DUMMYFUNCTION("""COMPUTED_VALUE"""),"안질리나 딤섬")</f>
        <v>안질리나 딤섬</v>
      </c>
      <c r="B9647" s="2" t="str">
        <f>IFERROR(__xludf.DUMMYFUNCTION("""COMPUTED_VALUE"""),"홍두깨살")</f>
        <v>홍두깨살</v>
      </c>
    </row>
    <row r="9648">
      <c r="A9648" s="2" t="str">
        <f>IFERROR(__xludf.DUMMYFUNCTION("""COMPUTED_VALUE"""),"안질리나 딤섬")</f>
        <v>안질리나 딤섬</v>
      </c>
      <c r="B9648" s="2" t="str">
        <f>IFERROR(__xludf.DUMMYFUNCTION("""COMPUTED_VALUE"""),"부추")</f>
        <v>부추</v>
      </c>
    </row>
    <row r="9649">
      <c r="A9649" s="2" t="str">
        <f>IFERROR(__xludf.DUMMYFUNCTION("""COMPUTED_VALUE"""),"안질리나 딤섬")</f>
        <v>안질리나 딤섬</v>
      </c>
      <c r="B9649" s="2" t="str">
        <f>IFERROR(__xludf.DUMMYFUNCTION("""COMPUTED_VALUE"""),"사과")</f>
        <v>사과</v>
      </c>
    </row>
    <row r="9650">
      <c r="A9650" s="2" t="str">
        <f>IFERROR(__xludf.DUMMYFUNCTION("""COMPUTED_VALUE"""),"안질리나 딤섬")</f>
        <v>안질리나 딤섬</v>
      </c>
      <c r="B9650" s="2" t="str">
        <f>IFERROR(__xludf.DUMMYFUNCTION("""COMPUTED_VALUE"""),"고춧가루")</f>
        <v>고춧가루</v>
      </c>
    </row>
    <row r="9651">
      <c r="A9651" s="2" t="str">
        <f>IFERROR(__xludf.DUMMYFUNCTION("""COMPUTED_VALUE"""),"안질리나 딤섬")</f>
        <v>안질리나 딤섬</v>
      </c>
      <c r="B9651" s="2" t="str">
        <f>IFERROR(__xludf.DUMMYFUNCTION("""COMPUTED_VALUE"""),"대파 흰 부분")</f>
        <v>대파 흰 부분</v>
      </c>
    </row>
    <row r="9652">
      <c r="A9652" s="2" t="str">
        <f>IFERROR(__xludf.DUMMYFUNCTION("""COMPUTED_VALUE"""),"안질리나 딤섬")</f>
        <v>안질리나 딤섬</v>
      </c>
      <c r="B9652" s="2" t="str">
        <f>IFERROR(__xludf.DUMMYFUNCTION("""COMPUTED_VALUE"""),"다진 생강")</f>
        <v>다진 생강</v>
      </c>
    </row>
    <row r="9653">
      <c r="A9653" s="2" t="str">
        <f>IFERROR(__xludf.DUMMYFUNCTION("""COMPUTED_VALUE"""),"안질리나 딤섬")</f>
        <v>안질리나 딤섬</v>
      </c>
      <c r="B9653" s="2" t="str">
        <f>IFERROR(__xludf.DUMMYFUNCTION("""COMPUTED_VALUE"""),"청양고추")</f>
        <v>청양고추</v>
      </c>
    </row>
    <row r="9654">
      <c r="A9654" s="2" t="str">
        <f>IFERROR(__xludf.DUMMYFUNCTION("""COMPUTED_VALUE"""),"안질리나 딤섬")</f>
        <v>안질리나 딤섬</v>
      </c>
      <c r="B9654" s="2" t="str">
        <f>IFERROR(__xludf.DUMMYFUNCTION("""COMPUTED_VALUE"""),"달걀")</f>
        <v>달걀</v>
      </c>
    </row>
    <row r="9655">
      <c r="A9655" s="2" t="str">
        <f>IFERROR(__xludf.DUMMYFUNCTION("""COMPUTED_VALUE"""),"안질리나 딤섬")</f>
        <v>안질리나 딤섬</v>
      </c>
      <c r="B9655" s="2" t="str">
        <f>IFERROR(__xludf.DUMMYFUNCTION("""COMPUTED_VALUE"""),"양파")</f>
        <v>양파</v>
      </c>
    </row>
    <row r="9656">
      <c r="A9656" s="2" t="str">
        <f>IFERROR(__xludf.DUMMYFUNCTION("""COMPUTED_VALUE"""),"안질리나 딤섬")</f>
        <v>안질리나 딤섬</v>
      </c>
      <c r="B9656" s="2" t="str">
        <f>IFERROR(__xludf.DUMMYFUNCTION("""COMPUTED_VALUE"""),"버터")</f>
        <v>버터</v>
      </c>
    </row>
    <row r="9657">
      <c r="A9657" s="2" t="str">
        <f>IFERROR(__xludf.DUMMYFUNCTION("""COMPUTED_VALUE"""),"안질리나 딤섬")</f>
        <v>안질리나 딤섬</v>
      </c>
      <c r="B9657" s="2" t="str">
        <f>IFERROR(__xludf.DUMMYFUNCTION("""COMPUTED_VALUE"""),"밀전분")</f>
        <v>밀전분</v>
      </c>
    </row>
    <row r="9658">
      <c r="A9658" s="2" t="str">
        <f>IFERROR(__xludf.DUMMYFUNCTION("""COMPUTED_VALUE"""),"안질리나 딤섬")</f>
        <v>안질리나 딤섬</v>
      </c>
      <c r="B9658" s="2" t="str">
        <f>IFERROR(__xludf.DUMMYFUNCTION("""COMPUTED_VALUE"""),"전분")</f>
        <v>전분</v>
      </c>
    </row>
    <row r="9659">
      <c r="A9659" s="2" t="str">
        <f>IFERROR(__xludf.DUMMYFUNCTION("""COMPUTED_VALUE"""),"안질리나 딤섬")</f>
        <v>안질리나 딤섬</v>
      </c>
      <c r="B9659" s="2" t="str">
        <f>IFERROR(__xludf.DUMMYFUNCTION("""COMPUTED_VALUE"""),"참기름")</f>
        <v>참기름</v>
      </c>
    </row>
    <row r="9660">
      <c r="A9660" s="2" t="str">
        <f>IFERROR(__xludf.DUMMYFUNCTION("""COMPUTED_VALUE"""),"안질리나 딤섬")</f>
        <v>안질리나 딤섬</v>
      </c>
      <c r="B9660" s="2" t="str">
        <f>IFERROR(__xludf.DUMMYFUNCTION("""COMPUTED_VALUE"""),"식용유")</f>
        <v>식용유</v>
      </c>
    </row>
    <row r="9661">
      <c r="A9661" s="2" t="str">
        <f>IFERROR(__xludf.DUMMYFUNCTION("""COMPUTED_VALUE"""),"안질리나 딤섬")</f>
        <v>안질리나 딤섬</v>
      </c>
      <c r="B9661" s="2" t="str">
        <f>IFERROR(__xludf.DUMMYFUNCTION("""COMPUTED_VALUE"""),"설탕")</f>
        <v>설탕</v>
      </c>
    </row>
    <row r="9662">
      <c r="A9662" s="2" t="str">
        <f>IFERROR(__xludf.DUMMYFUNCTION("""COMPUTED_VALUE"""),"샨티샨티~ 카레 라자냐♬")</f>
        <v>샨티샨티~ 카레 라자냐♬</v>
      </c>
      <c r="B9662" s="2" t="str">
        <f>IFERROR(__xludf.DUMMYFUNCTION("""COMPUTED_VALUE"""),"강황가루")</f>
        <v>강황가루</v>
      </c>
    </row>
    <row r="9663">
      <c r="A9663" s="2" t="str">
        <f>IFERROR(__xludf.DUMMYFUNCTION("""COMPUTED_VALUE"""),"샨티샨티~ 카레 라자냐♬")</f>
        <v>샨티샨티~ 카레 라자냐♬</v>
      </c>
      <c r="B9663" s="2" t="str">
        <f>IFERROR(__xludf.DUMMYFUNCTION("""COMPUTED_VALUE"""),"우둔살")</f>
        <v>우둔살</v>
      </c>
    </row>
    <row r="9664">
      <c r="A9664" s="2" t="str">
        <f>IFERROR(__xludf.DUMMYFUNCTION("""COMPUTED_VALUE"""),"샨티샨티~ 카레 라자냐♬")</f>
        <v>샨티샨티~ 카레 라자냐♬</v>
      </c>
      <c r="B9664" s="2" t="str">
        <f>IFERROR(__xludf.DUMMYFUNCTION("""COMPUTED_VALUE"""),"부챗살")</f>
        <v>부챗살</v>
      </c>
    </row>
    <row r="9665">
      <c r="A9665" s="2" t="str">
        <f>IFERROR(__xludf.DUMMYFUNCTION("""COMPUTED_VALUE"""),"샨티샨티~ 카레 라자냐♬")</f>
        <v>샨티샨티~ 카레 라자냐♬</v>
      </c>
      <c r="B9665" s="2" t="str">
        <f>IFERROR(__xludf.DUMMYFUNCTION("""COMPUTED_VALUE"""),"닭가슴살소시지")</f>
        <v>닭가슴살소시지</v>
      </c>
    </row>
    <row r="9666">
      <c r="A9666" s="2" t="str">
        <f>IFERROR(__xludf.DUMMYFUNCTION("""COMPUTED_VALUE"""),"샨티샨티~ 카레 라자냐♬")</f>
        <v>샨티샨티~ 카레 라자냐♬</v>
      </c>
      <c r="B9666" s="2" t="str">
        <f>IFERROR(__xludf.DUMMYFUNCTION("""COMPUTED_VALUE"""),"카레가루")</f>
        <v>카레가루</v>
      </c>
    </row>
    <row r="9667">
      <c r="A9667" s="2" t="str">
        <f>IFERROR(__xludf.DUMMYFUNCTION("""COMPUTED_VALUE"""),"샨티샨티~ 카레 라자냐♬")</f>
        <v>샨티샨티~ 카레 라자냐♬</v>
      </c>
      <c r="B9667" s="2" t="str">
        <f>IFERROR(__xludf.DUMMYFUNCTION("""COMPUTED_VALUE"""),"방울토마토")</f>
        <v>방울토마토</v>
      </c>
    </row>
    <row r="9668">
      <c r="A9668" s="2" t="str">
        <f>IFERROR(__xludf.DUMMYFUNCTION("""COMPUTED_VALUE"""),"샨티샨티~ 카레 라자냐♬")</f>
        <v>샨티샨티~ 카레 라자냐♬</v>
      </c>
      <c r="B9668" s="2" t="str">
        <f>IFERROR(__xludf.DUMMYFUNCTION("""COMPUTED_VALUE"""),"시금치")</f>
        <v>시금치</v>
      </c>
    </row>
    <row r="9669">
      <c r="A9669" s="2" t="str">
        <f>IFERROR(__xludf.DUMMYFUNCTION("""COMPUTED_VALUE"""),"샨티샨티~ 카레 라자냐♬")</f>
        <v>샨티샨티~ 카레 라자냐♬</v>
      </c>
      <c r="B9669" s="2" t="str">
        <f>IFERROR(__xludf.DUMMYFUNCTION("""COMPUTED_VALUE"""),"우유")</f>
        <v>우유</v>
      </c>
    </row>
    <row r="9670">
      <c r="A9670" s="2" t="str">
        <f>IFERROR(__xludf.DUMMYFUNCTION("""COMPUTED_VALUE"""),"샨티샨티~ 카레 라자냐♬")</f>
        <v>샨티샨티~ 카레 라자냐♬</v>
      </c>
      <c r="B9670" s="2" t="str">
        <f>IFERROR(__xludf.DUMMYFUNCTION("""COMPUTED_VALUE"""),"토마토소스")</f>
        <v>토마토소스</v>
      </c>
    </row>
    <row r="9671">
      <c r="A9671" s="2" t="str">
        <f>IFERROR(__xludf.DUMMYFUNCTION("""COMPUTED_VALUE"""),"샨티샨티~ 카레 라자냐♬")</f>
        <v>샨티샨티~ 카레 라자냐♬</v>
      </c>
      <c r="B9671" s="2" t="str">
        <f>IFERROR(__xludf.DUMMYFUNCTION("""COMPUTED_VALUE"""),"코코넛밀크스무디")</f>
        <v>코코넛밀크스무디</v>
      </c>
    </row>
    <row r="9672">
      <c r="A9672" s="2" t="str">
        <f>IFERROR(__xludf.DUMMYFUNCTION("""COMPUTED_VALUE"""),"샨티샨티~ 카레 라자냐♬")</f>
        <v>샨티샨티~ 카레 라자냐♬</v>
      </c>
      <c r="B9672" s="2" t="str">
        <f>IFERROR(__xludf.DUMMYFUNCTION("""COMPUTED_VALUE"""),"밀가루")</f>
        <v>밀가루</v>
      </c>
    </row>
    <row r="9673">
      <c r="A9673" s="2" t="str">
        <f>IFERROR(__xludf.DUMMYFUNCTION("""COMPUTED_VALUE"""),"샨티샨티~ 카레 라자냐♬")</f>
        <v>샨티샨티~ 카레 라자냐♬</v>
      </c>
      <c r="B9673" s="2" t="str">
        <f>IFERROR(__xludf.DUMMYFUNCTION("""COMPUTED_VALUE"""),"달걀")</f>
        <v>달걀</v>
      </c>
    </row>
    <row r="9674">
      <c r="A9674" s="2" t="str">
        <f>IFERROR(__xludf.DUMMYFUNCTION("""COMPUTED_VALUE"""),"샨티샨티~ 카레 라자냐♬")</f>
        <v>샨티샨티~ 카레 라자냐♬</v>
      </c>
      <c r="B9674" s="2" t="str">
        <f>IFERROR(__xludf.DUMMYFUNCTION("""COMPUTED_VALUE"""),"양파")</f>
        <v>양파</v>
      </c>
    </row>
    <row r="9675">
      <c r="A9675" s="2" t="str">
        <f>IFERROR(__xludf.DUMMYFUNCTION("""COMPUTED_VALUE"""),"샨티샨티~ 카레 라자냐♬")</f>
        <v>샨티샨티~ 카레 라자냐♬</v>
      </c>
      <c r="B9675" s="2" t="str">
        <f>IFERROR(__xludf.DUMMYFUNCTION("""COMPUTED_VALUE"""),"마늘")</f>
        <v>마늘</v>
      </c>
    </row>
    <row r="9676">
      <c r="A9676" s="2" t="str">
        <f>IFERROR(__xludf.DUMMYFUNCTION("""COMPUTED_VALUE"""),"샨티샨티~ 카레 라자냐♬")</f>
        <v>샨티샨티~ 카레 라자냐♬</v>
      </c>
      <c r="B9676" s="2" t="str">
        <f>IFERROR(__xludf.DUMMYFUNCTION("""COMPUTED_VALUE"""),"홍고추")</f>
        <v>홍고추</v>
      </c>
    </row>
    <row r="9677">
      <c r="A9677" s="2" t="str">
        <f>IFERROR(__xludf.DUMMYFUNCTION("""COMPUTED_VALUE"""),"샨티샨티~ 카레 라자냐♬")</f>
        <v>샨티샨티~ 카레 라자냐♬</v>
      </c>
      <c r="B9677" s="2" t="str">
        <f>IFERROR(__xludf.DUMMYFUNCTION("""COMPUTED_VALUE"""),"소금")</f>
        <v>소금</v>
      </c>
    </row>
    <row r="9678">
      <c r="A9678" s="2" t="str">
        <f>IFERROR(__xludf.DUMMYFUNCTION("""COMPUTED_VALUE"""),"샨티샨티~ 카레 라자냐♬")</f>
        <v>샨티샨티~ 카레 라자냐♬</v>
      </c>
      <c r="B9678" s="2" t="str">
        <f>IFERROR(__xludf.DUMMYFUNCTION("""COMPUTED_VALUE"""),"후추")</f>
        <v>후추</v>
      </c>
    </row>
    <row r="9679">
      <c r="A9679" s="2" t="str">
        <f>IFERROR(__xludf.DUMMYFUNCTION("""COMPUTED_VALUE"""),"샨티샨티~ 카레 라자냐♬")</f>
        <v>샨티샨티~ 카레 라자냐♬</v>
      </c>
      <c r="B9679" s="2" t="str">
        <f>IFERROR(__xludf.DUMMYFUNCTION("""COMPUTED_VALUE"""),"버터")</f>
        <v>버터</v>
      </c>
    </row>
    <row r="9680">
      <c r="A9680" s="2" t="str">
        <f>IFERROR(__xludf.DUMMYFUNCTION("""COMPUTED_VALUE"""),"카레맛~ 궁금해 혀니♬")</f>
        <v>카레맛~ 궁금해 혀니♬</v>
      </c>
      <c r="B9680" s="2" t="str">
        <f>IFERROR(__xludf.DUMMYFUNCTION("""COMPUTED_VALUE"""),"연어")</f>
        <v>연어</v>
      </c>
    </row>
    <row r="9681">
      <c r="A9681" s="2" t="str">
        <f>IFERROR(__xludf.DUMMYFUNCTION("""COMPUTED_VALUE"""),"카레맛~ 궁금해 혀니♬")</f>
        <v>카레맛~ 궁금해 혀니♬</v>
      </c>
      <c r="B9681" s="2" t="str">
        <f>IFERROR(__xludf.DUMMYFUNCTION("""COMPUTED_VALUE"""),"카레가루")</f>
        <v>카레가루</v>
      </c>
    </row>
    <row r="9682">
      <c r="A9682" s="2" t="str">
        <f>IFERROR(__xludf.DUMMYFUNCTION("""COMPUTED_VALUE"""),"카레맛~ 궁금해 혀니♬")</f>
        <v>카레맛~ 궁금해 혀니♬</v>
      </c>
      <c r="B9682" s="2" t="str">
        <f>IFERROR(__xludf.DUMMYFUNCTION("""COMPUTED_VALUE"""),"우둔살")</f>
        <v>우둔살</v>
      </c>
    </row>
    <row r="9683">
      <c r="A9683" s="2" t="str">
        <f>IFERROR(__xludf.DUMMYFUNCTION("""COMPUTED_VALUE"""),"카레맛~ 궁금해 혀니♬")</f>
        <v>카레맛~ 궁금해 혀니♬</v>
      </c>
      <c r="B9683" s="2" t="str">
        <f>IFERROR(__xludf.DUMMYFUNCTION("""COMPUTED_VALUE"""),"방울토마토")</f>
        <v>방울토마토</v>
      </c>
    </row>
    <row r="9684">
      <c r="A9684" s="2" t="str">
        <f>IFERROR(__xludf.DUMMYFUNCTION("""COMPUTED_VALUE"""),"카레맛~ 궁금해 혀니♬")</f>
        <v>카레맛~ 궁금해 혀니♬</v>
      </c>
      <c r="B9684" s="2" t="str">
        <f>IFERROR(__xludf.DUMMYFUNCTION("""COMPUTED_VALUE"""),"강황가루")</f>
        <v>강황가루</v>
      </c>
    </row>
    <row r="9685">
      <c r="A9685" s="2" t="str">
        <f>IFERROR(__xludf.DUMMYFUNCTION("""COMPUTED_VALUE"""),"카레맛~ 궁금해 혀니♬")</f>
        <v>카레맛~ 궁금해 혀니♬</v>
      </c>
      <c r="B9685" s="2" t="str">
        <f>IFERROR(__xludf.DUMMYFUNCTION("""COMPUTED_VALUE"""),"부추")</f>
        <v>부추</v>
      </c>
    </row>
    <row r="9686">
      <c r="A9686" s="2" t="str">
        <f>IFERROR(__xludf.DUMMYFUNCTION("""COMPUTED_VALUE"""),"카레맛~ 궁금해 혀니♬")</f>
        <v>카레맛~ 궁금해 혀니♬</v>
      </c>
      <c r="B9686" s="2" t="str">
        <f>IFERROR(__xludf.DUMMYFUNCTION("""COMPUTED_VALUE"""),"토마토소스")</f>
        <v>토마토소스</v>
      </c>
    </row>
    <row r="9687">
      <c r="A9687" s="2" t="str">
        <f>IFERROR(__xludf.DUMMYFUNCTION("""COMPUTED_VALUE"""),"카레맛~ 궁금해 혀니♬")</f>
        <v>카레맛~ 궁금해 혀니♬</v>
      </c>
      <c r="B9687" s="2" t="str">
        <f>IFERROR(__xludf.DUMMYFUNCTION("""COMPUTED_VALUE"""),"소금")</f>
        <v>소금</v>
      </c>
    </row>
    <row r="9688">
      <c r="A9688" s="2" t="str">
        <f>IFERROR(__xludf.DUMMYFUNCTION("""COMPUTED_VALUE"""),"카레맛~ 궁금해 혀니♬")</f>
        <v>카레맛~ 궁금해 혀니♬</v>
      </c>
      <c r="B9688" s="2" t="str">
        <f>IFERROR(__xludf.DUMMYFUNCTION("""COMPUTED_VALUE"""),"후추")</f>
        <v>후추</v>
      </c>
    </row>
    <row r="9689">
      <c r="A9689" s="2" t="str">
        <f>IFERROR(__xludf.DUMMYFUNCTION("""COMPUTED_VALUE"""),"카레맛~ 궁금해 혀니♬")</f>
        <v>카레맛~ 궁금해 혀니♬</v>
      </c>
      <c r="B9689" s="2" t="str">
        <f>IFERROR(__xludf.DUMMYFUNCTION("""COMPUTED_VALUE"""),"밀가루")</f>
        <v>밀가루</v>
      </c>
    </row>
    <row r="9690">
      <c r="A9690" s="2" t="str">
        <f>IFERROR(__xludf.DUMMYFUNCTION("""COMPUTED_VALUE"""),"카레맛~ 궁금해 혀니♬")</f>
        <v>카레맛~ 궁금해 혀니♬</v>
      </c>
      <c r="B9690" s="2" t="str">
        <f>IFERROR(__xludf.DUMMYFUNCTION("""COMPUTED_VALUE"""),"양파")</f>
        <v>양파</v>
      </c>
    </row>
    <row r="9691">
      <c r="A9691" s="2" t="str">
        <f>IFERROR(__xludf.DUMMYFUNCTION("""COMPUTED_VALUE"""),"카레맛~ 궁금해 혀니♬")</f>
        <v>카레맛~ 궁금해 혀니♬</v>
      </c>
      <c r="B9691" s="2" t="str">
        <f>IFERROR(__xludf.DUMMYFUNCTION("""COMPUTED_VALUE"""),"당근")</f>
        <v>당근</v>
      </c>
    </row>
    <row r="9692">
      <c r="A9692" s="2" t="str">
        <f>IFERROR(__xludf.DUMMYFUNCTION("""COMPUTED_VALUE"""),"카레맛~ 궁금해 혀니♬")</f>
        <v>카레맛~ 궁금해 혀니♬</v>
      </c>
      <c r="B9692" s="2" t="str">
        <f>IFERROR(__xludf.DUMMYFUNCTION("""COMPUTED_VALUE"""),"달걀")</f>
        <v>달걀</v>
      </c>
    </row>
    <row r="9693">
      <c r="A9693" s="2" t="str">
        <f>IFERROR(__xludf.DUMMYFUNCTION("""COMPUTED_VALUE"""),"카레맛~ 궁금해 혀니♬")</f>
        <v>카레맛~ 궁금해 혀니♬</v>
      </c>
      <c r="B9693" s="2" t="str">
        <f>IFERROR(__xludf.DUMMYFUNCTION("""COMPUTED_VALUE"""),"버터")</f>
        <v>버터</v>
      </c>
    </row>
    <row r="9694">
      <c r="A9694" s="2" t="str">
        <f>IFERROR(__xludf.DUMMYFUNCTION("""COMPUTED_VALUE"""),"카레맛~ 궁금해 혀니♬")</f>
        <v>카레맛~ 궁금해 혀니♬</v>
      </c>
      <c r="B9694" s="2" t="str">
        <f>IFERROR(__xludf.DUMMYFUNCTION("""COMPUTED_VALUE"""),"설탕")</f>
        <v>설탕</v>
      </c>
    </row>
    <row r="9695">
      <c r="A9695" s="2" t="str">
        <f>IFERROR(__xludf.DUMMYFUNCTION("""COMPUTED_VALUE"""),"카레맛~ 궁금해 혀니♬")</f>
        <v>카레맛~ 궁금해 혀니♬</v>
      </c>
      <c r="B9695" s="2" t="str">
        <f>IFERROR(__xludf.DUMMYFUNCTION("""COMPUTED_VALUE"""),"간장")</f>
        <v>간장</v>
      </c>
    </row>
    <row r="9696">
      <c r="A9696" s="2" t="str">
        <f>IFERROR(__xludf.DUMMYFUNCTION("""COMPUTED_VALUE"""),"카레맛~ 궁금해 혀니♬")</f>
        <v>카레맛~ 궁금해 혀니♬</v>
      </c>
      <c r="B9696" s="2" t="str">
        <f>IFERROR(__xludf.DUMMYFUNCTION("""COMPUTED_VALUE"""),"즉석밥")</f>
        <v>즉석밥</v>
      </c>
    </row>
    <row r="9697">
      <c r="A9697" s="2" t="str">
        <f>IFERROR(__xludf.DUMMYFUNCTION("""COMPUTED_VALUE"""),"카레맛~ 궁금해 혀니♬")</f>
        <v>카레맛~ 궁금해 혀니♬</v>
      </c>
      <c r="B9697" s="2" t="str">
        <f>IFERROR(__xludf.DUMMYFUNCTION("""COMPUTED_VALUE"""),"고춧가루")</f>
        <v>고춧가루</v>
      </c>
    </row>
    <row r="9698">
      <c r="A9698" s="2" t="str">
        <f>IFERROR(__xludf.DUMMYFUNCTION("""COMPUTED_VALUE"""),"카레맛~ 궁금해 혀니♬")</f>
        <v>카레맛~ 궁금해 혀니♬</v>
      </c>
      <c r="B9698" s="2" t="str">
        <f>IFERROR(__xludf.DUMMYFUNCTION("""COMPUTED_VALUE"""),"식초")</f>
        <v>식초</v>
      </c>
    </row>
    <row r="9699">
      <c r="A9699" s="2" t="str">
        <f>IFERROR(__xludf.DUMMYFUNCTION("""COMPUTED_VALUE"""),"카레맛~ 궁금해 혀니♬")</f>
        <v>카레맛~ 궁금해 혀니♬</v>
      </c>
      <c r="B9699" s="2" t="str">
        <f>IFERROR(__xludf.DUMMYFUNCTION("""COMPUTED_VALUE"""),"참기름")</f>
        <v>참기름</v>
      </c>
    </row>
    <row r="9700">
      <c r="A9700" s="2" t="str">
        <f>IFERROR(__xludf.DUMMYFUNCTION("""COMPUTED_VALUE"""),"카레맛~ 궁금해 혀니♬")</f>
        <v>카레맛~ 궁금해 혀니♬</v>
      </c>
      <c r="B9700" s="2" t="str">
        <f>IFERROR(__xludf.DUMMYFUNCTION("""COMPUTED_VALUE"""),"깨")</f>
        <v>깨</v>
      </c>
    </row>
    <row r="9701">
      <c r="A9701" s="2" t="str">
        <f>IFERROR(__xludf.DUMMYFUNCTION("""COMPUTED_VALUE"""),"너마늘 위한 치킨")</f>
        <v>너마늘 위한 치킨</v>
      </c>
      <c r="B9701" s="2" t="str">
        <f>IFERROR(__xludf.DUMMYFUNCTION("""COMPUTED_VALUE"""),"토종닭")</f>
        <v>토종닭</v>
      </c>
    </row>
    <row r="9702">
      <c r="A9702" s="2" t="str">
        <f>IFERROR(__xludf.DUMMYFUNCTION("""COMPUTED_VALUE"""),"너마늘 위한 치킨")</f>
        <v>너마늘 위한 치킨</v>
      </c>
      <c r="B9702" s="2" t="str">
        <f>IFERROR(__xludf.DUMMYFUNCTION("""COMPUTED_VALUE"""),"카레가루")</f>
        <v>카레가루</v>
      </c>
    </row>
    <row r="9703">
      <c r="A9703" s="2" t="str">
        <f>IFERROR(__xludf.DUMMYFUNCTION("""COMPUTED_VALUE"""),"너마늘 위한 치킨")</f>
        <v>너마늘 위한 치킨</v>
      </c>
      <c r="B9703" s="2" t="str">
        <f>IFERROR(__xludf.DUMMYFUNCTION("""COMPUTED_VALUE"""),"조미료")</f>
        <v>조미료</v>
      </c>
    </row>
    <row r="9704">
      <c r="A9704" s="2" t="str">
        <f>IFERROR(__xludf.DUMMYFUNCTION("""COMPUTED_VALUE"""),"너마늘 위한 치킨")</f>
        <v>너마늘 위한 치킨</v>
      </c>
      <c r="B9704" s="2" t="str">
        <f>IFERROR(__xludf.DUMMYFUNCTION("""COMPUTED_VALUE"""),"무")</f>
        <v>무</v>
      </c>
    </row>
    <row r="9705">
      <c r="A9705" s="2" t="str">
        <f>IFERROR(__xludf.DUMMYFUNCTION("""COMPUTED_VALUE"""),"너마늘 위한 치킨")</f>
        <v>너마늘 위한 치킨</v>
      </c>
      <c r="B9705" s="2" t="str">
        <f>IFERROR(__xludf.DUMMYFUNCTION("""COMPUTED_VALUE"""),"다진 마늘")</f>
        <v>다진 마늘</v>
      </c>
    </row>
    <row r="9706">
      <c r="A9706" s="2" t="str">
        <f>IFERROR(__xludf.DUMMYFUNCTION("""COMPUTED_VALUE"""),"너마늘 위한 치킨")</f>
        <v>너마늘 위한 치킨</v>
      </c>
      <c r="B9706" s="2" t="str">
        <f>IFERROR(__xludf.DUMMYFUNCTION("""COMPUTED_VALUE"""),"다진 생강")</f>
        <v>다진 생강</v>
      </c>
    </row>
    <row r="9707">
      <c r="A9707" s="2" t="str">
        <f>IFERROR(__xludf.DUMMYFUNCTION("""COMPUTED_VALUE"""),"너마늘 위한 치킨")</f>
        <v>너마늘 위한 치킨</v>
      </c>
      <c r="B9707" s="2" t="str">
        <f>IFERROR(__xludf.DUMMYFUNCTION("""COMPUTED_VALUE"""),"소금")</f>
        <v>소금</v>
      </c>
    </row>
    <row r="9708">
      <c r="A9708" s="2" t="str">
        <f>IFERROR(__xludf.DUMMYFUNCTION("""COMPUTED_VALUE"""),"너마늘 위한 치킨")</f>
        <v>너마늘 위한 치킨</v>
      </c>
      <c r="B9708" s="2" t="str">
        <f>IFERROR(__xludf.DUMMYFUNCTION("""COMPUTED_VALUE"""),"달걀")</f>
        <v>달걀</v>
      </c>
    </row>
    <row r="9709">
      <c r="A9709" s="2" t="str">
        <f>IFERROR(__xludf.DUMMYFUNCTION("""COMPUTED_VALUE"""),"너마늘 위한 치킨")</f>
        <v>너마늘 위한 치킨</v>
      </c>
      <c r="B9709" s="2" t="str">
        <f>IFERROR(__xludf.DUMMYFUNCTION("""COMPUTED_VALUE"""),"밀가루")</f>
        <v>밀가루</v>
      </c>
    </row>
    <row r="9710">
      <c r="A9710" s="2" t="str">
        <f>IFERROR(__xludf.DUMMYFUNCTION("""COMPUTED_VALUE"""),"너마늘 위한 치킨")</f>
        <v>너마늘 위한 치킨</v>
      </c>
      <c r="B9710" s="2" t="str">
        <f>IFERROR(__xludf.DUMMYFUNCTION("""COMPUTED_VALUE"""),"전분")</f>
        <v>전분</v>
      </c>
    </row>
    <row r="9711">
      <c r="A9711" s="2" t="str">
        <f>IFERROR(__xludf.DUMMYFUNCTION("""COMPUTED_VALUE"""),"너마늘 위한 치킨")</f>
        <v>너마늘 위한 치킨</v>
      </c>
      <c r="B9711" s="2" t="str">
        <f>IFERROR(__xludf.DUMMYFUNCTION("""COMPUTED_VALUE"""),"설탕")</f>
        <v>설탕</v>
      </c>
    </row>
    <row r="9712">
      <c r="A9712" s="2" t="str">
        <f>IFERROR(__xludf.DUMMYFUNCTION("""COMPUTED_VALUE"""),"너마늘 위한 치킨")</f>
        <v>너마늘 위한 치킨</v>
      </c>
      <c r="B9712" s="2" t="str">
        <f>IFERROR(__xludf.DUMMYFUNCTION("""COMPUTED_VALUE"""),"물엿")</f>
        <v>물엿</v>
      </c>
    </row>
    <row r="9713">
      <c r="A9713" s="2" t="str">
        <f>IFERROR(__xludf.DUMMYFUNCTION("""COMPUTED_VALUE"""),"너마늘 위한 치킨")</f>
        <v>너마늘 위한 치킨</v>
      </c>
      <c r="B9713" s="2" t="str">
        <f>IFERROR(__xludf.DUMMYFUNCTION("""COMPUTED_VALUE"""),"식초")</f>
        <v>식초</v>
      </c>
    </row>
    <row r="9714">
      <c r="A9714" s="2" t="str">
        <f>IFERROR(__xludf.DUMMYFUNCTION("""COMPUTED_VALUE"""),"Touch 닭 body~♬")</f>
        <v>Touch 닭 body~♬</v>
      </c>
      <c r="B9714" s="2" t="str">
        <f>IFERROR(__xludf.DUMMYFUNCTION("""COMPUTED_VALUE"""),"토종닭")</f>
        <v>토종닭</v>
      </c>
    </row>
    <row r="9715">
      <c r="A9715" s="2" t="str">
        <f>IFERROR(__xludf.DUMMYFUNCTION("""COMPUTED_VALUE"""),"Touch 닭 body~♬")</f>
        <v>Touch 닭 body~♬</v>
      </c>
      <c r="B9715" s="2" t="str">
        <f>IFERROR(__xludf.DUMMYFUNCTION("""COMPUTED_VALUE"""),"표고버섯 우린 물")</f>
        <v>표고버섯 우린 물</v>
      </c>
    </row>
    <row r="9716">
      <c r="A9716" s="2" t="str">
        <f>IFERROR(__xludf.DUMMYFUNCTION("""COMPUTED_VALUE"""),"Touch 닭 body~♬")</f>
        <v>Touch 닭 body~♬</v>
      </c>
      <c r="B9716" s="2" t="str">
        <f>IFERROR(__xludf.DUMMYFUNCTION("""COMPUTED_VALUE"""),"돼지 배받이살")</f>
        <v>돼지 배받이살</v>
      </c>
    </row>
    <row r="9717">
      <c r="A9717" s="2" t="str">
        <f>IFERROR(__xludf.DUMMYFUNCTION("""COMPUTED_VALUE"""),"Touch 닭 body~♬")</f>
        <v>Touch 닭 body~♬</v>
      </c>
      <c r="B9717" s="2" t="str">
        <f>IFERROR(__xludf.DUMMYFUNCTION("""COMPUTED_VALUE"""),"청란")</f>
        <v>청란</v>
      </c>
    </row>
    <row r="9718">
      <c r="A9718" s="2" t="str">
        <f>IFERROR(__xludf.DUMMYFUNCTION("""COMPUTED_VALUE"""),"Touch 닭 body~♬")</f>
        <v>Touch 닭 body~♬</v>
      </c>
      <c r="B9718" s="2" t="str">
        <f>IFERROR(__xludf.DUMMYFUNCTION("""COMPUTED_VALUE"""),"표고버섯")</f>
        <v>표고버섯</v>
      </c>
    </row>
    <row r="9719">
      <c r="A9719" s="2" t="str">
        <f>IFERROR(__xludf.DUMMYFUNCTION("""COMPUTED_VALUE"""),"Touch 닭 body~♬")</f>
        <v>Touch 닭 body~♬</v>
      </c>
      <c r="B9719" s="2" t="str">
        <f>IFERROR(__xludf.DUMMYFUNCTION("""COMPUTED_VALUE"""),"대파")</f>
        <v>대파</v>
      </c>
    </row>
    <row r="9720">
      <c r="A9720" s="2" t="str">
        <f>IFERROR(__xludf.DUMMYFUNCTION("""COMPUTED_VALUE"""),"Touch 닭 body~♬")</f>
        <v>Touch 닭 body~♬</v>
      </c>
      <c r="B9720" s="2" t="str">
        <f>IFERROR(__xludf.DUMMYFUNCTION("""COMPUTED_VALUE"""),"전분")</f>
        <v>전분</v>
      </c>
    </row>
    <row r="9721">
      <c r="A9721" s="2" t="str">
        <f>IFERROR(__xludf.DUMMYFUNCTION("""COMPUTED_VALUE"""),"Touch 닭 body~♬")</f>
        <v>Touch 닭 body~♬</v>
      </c>
      <c r="B9721" s="2" t="str">
        <f>IFERROR(__xludf.DUMMYFUNCTION("""COMPUTED_VALUE"""),"양파")</f>
        <v>양파</v>
      </c>
    </row>
    <row r="9722">
      <c r="A9722" s="2" t="str">
        <f>IFERROR(__xludf.DUMMYFUNCTION("""COMPUTED_VALUE"""),"Touch 닭 body~♬")</f>
        <v>Touch 닭 body~♬</v>
      </c>
      <c r="B9722" s="2" t="str">
        <f>IFERROR(__xludf.DUMMYFUNCTION("""COMPUTED_VALUE"""),"맛술")</f>
        <v>맛술</v>
      </c>
    </row>
    <row r="9723">
      <c r="A9723" s="2" t="str">
        <f>IFERROR(__xludf.DUMMYFUNCTION("""COMPUTED_VALUE"""),"Touch 닭 body~♬")</f>
        <v>Touch 닭 body~♬</v>
      </c>
      <c r="B9723" s="2" t="str">
        <f>IFERROR(__xludf.DUMMYFUNCTION("""COMPUTED_VALUE"""),"간장")</f>
        <v>간장</v>
      </c>
    </row>
    <row r="9724">
      <c r="A9724" s="2" t="str">
        <f>IFERROR(__xludf.DUMMYFUNCTION("""COMPUTED_VALUE"""),"Touch 닭 body~♬")</f>
        <v>Touch 닭 body~♬</v>
      </c>
      <c r="B9724" s="2" t="str">
        <f>IFERROR(__xludf.DUMMYFUNCTION("""COMPUTED_VALUE"""),"청주")</f>
        <v>청주</v>
      </c>
    </row>
    <row r="9725">
      <c r="A9725" s="2" t="str">
        <f>IFERROR(__xludf.DUMMYFUNCTION("""COMPUTED_VALUE"""),"Touch 닭 body~♬")</f>
        <v>Touch 닭 body~♬</v>
      </c>
      <c r="B9725" s="2" t="str">
        <f>IFERROR(__xludf.DUMMYFUNCTION("""COMPUTED_VALUE"""),"즉석밥")</f>
        <v>즉석밥</v>
      </c>
    </row>
    <row r="9726">
      <c r="A9726" s="2" t="str">
        <f>IFERROR(__xludf.DUMMYFUNCTION("""COMPUTED_VALUE"""),"Touch 닭 body~♬")</f>
        <v>Touch 닭 body~♬</v>
      </c>
      <c r="B9726" s="2" t="str">
        <f>IFERROR(__xludf.DUMMYFUNCTION("""COMPUTED_VALUE"""),"마요네즈")</f>
        <v>마요네즈</v>
      </c>
    </row>
    <row r="9727">
      <c r="A9727" s="2" t="str">
        <f>IFERROR(__xludf.DUMMYFUNCTION("""COMPUTED_VALUE"""),"Touch 닭 body~♬")</f>
        <v>Touch 닭 body~♬</v>
      </c>
      <c r="B9727" s="2" t="str">
        <f>IFERROR(__xludf.DUMMYFUNCTION("""COMPUTED_VALUE"""),"후추")</f>
        <v>후추</v>
      </c>
    </row>
    <row r="9728">
      <c r="A9728" s="2" t="str">
        <f>IFERROR(__xludf.DUMMYFUNCTION("""COMPUTED_VALUE"""),"입맛 잡어")</f>
        <v>입맛 잡어</v>
      </c>
      <c r="B9728" s="2" t="str">
        <f>IFERROR(__xludf.DUMMYFUNCTION("""COMPUTED_VALUE"""),"잡어")</f>
        <v>잡어</v>
      </c>
    </row>
    <row r="9729">
      <c r="A9729" s="2" t="str">
        <f>IFERROR(__xludf.DUMMYFUNCTION("""COMPUTED_VALUE"""),"입맛 잡어")</f>
        <v>입맛 잡어</v>
      </c>
      <c r="B9729" s="2" t="str">
        <f>IFERROR(__xludf.DUMMYFUNCTION("""COMPUTED_VALUE"""),"소주")</f>
        <v>소주</v>
      </c>
    </row>
    <row r="9730">
      <c r="A9730" s="2" t="str">
        <f>IFERROR(__xludf.DUMMYFUNCTION("""COMPUTED_VALUE"""),"입맛 잡어")</f>
        <v>입맛 잡어</v>
      </c>
      <c r="B9730" s="2" t="str">
        <f>IFERROR(__xludf.DUMMYFUNCTION("""COMPUTED_VALUE"""),"돼지 배받이살")</f>
        <v>돼지 배받이살</v>
      </c>
    </row>
    <row r="9731">
      <c r="A9731" s="2" t="str">
        <f>IFERROR(__xludf.DUMMYFUNCTION("""COMPUTED_VALUE"""),"입맛 잡어")</f>
        <v>입맛 잡어</v>
      </c>
      <c r="B9731" s="2" t="str">
        <f>IFERROR(__xludf.DUMMYFUNCTION("""COMPUTED_VALUE"""),"갈치속젓")</f>
        <v>갈치속젓</v>
      </c>
    </row>
    <row r="9732">
      <c r="A9732" s="2" t="str">
        <f>IFERROR(__xludf.DUMMYFUNCTION("""COMPUTED_VALUE"""),"입맛 잡어")</f>
        <v>입맛 잡어</v>
      </c>
      <c r="B9732" s="2" t="str">
        <f>IFERROR(__xludf.DUMMYFUNCTION("""COMPUTED_VALUE"""),"무시래기")</f>
        <v>무시래기</v>
      </c>
    </row>
    <row r="9733">
      <c r="A9733" s="2" t="str">
        <f>IFERROR(__xludf.DUMMYFUNCTION("""COMPUTED_VALUE"""),"입맛 잡어")</f>
        <v>입맛 잡어</v>
      </c>
      <c r="B9733" s="2" t="str">
        <f>IFERROR(__xludf.DUMMYFUNCTION("""COMPUTED_VALUE"""),"무")</f>
        <v>무</v>
      </c>
    </row>
    <row r="9734">
      <c r="A9734" s="2" t="str">
        <f>IFERROR(__xludf.DUMMYFUNCTION("""COMPUTED_VALUE"""),"입맛 잡어")</f>
        <v>입맛 잡어</v>
      </c>
      <c r="B9734" s="2" t="str">
        <f>IFERROR(__xludf.DUMMYFUNCTION("""COMPUTED_VALUE"""),"부시리")</f>
        <v>부시리</v>
      </c>
    </row>
    <row r="9735">
      <c r="A9735" s="2" t="str">
        <f>IFERROR(__xludf.DUMMYFUNCTION("""COMPUTED_VALUE"""),"입맛 잡어")</f>
        <v>입맛 잡어</v>
      </c>
      <c r="B9735" s="2" t="str">
        <f>IFERROR(__xludf.DUMMYFUNCTION("""COMPUTED_VALUE"""),"전복")</f>
        <v>전복</v>
      </c>
    </row>
    <row r="9736">
      <c r="A9736" s="2" t="str">
        <f>IFERROR(__xludf.DUMMYFUNCTION("""COMPUTED_VALUE"""),"입맛 잡어")</f>
        <v>입맛 잡어</v>
      </c>
      <c r="B9736" s="2" t="str">
        <f>IFERROR(__xludf.DUMMYFUNCTION("""COMPUTED_VALUE"""),"무말랭이장아찌")</f>
        <v>무말랭이장아찌</v>
      </c>
    </row>
    <row r="9737">
      <c r="A9737" s="2" t="str">
        <f>IFERROR(__xludf.DUMMYFUNCTION("""COMPUTED_VALUE"""),"입맛 잡어")</f>
        <v>입맛 잡어</v>
      </c>
      <c r="B9737" s="2" t="str">
        <f>IFERROR(__xludf.DUMMYFUNCTION("""COMPUTED_VALUE"""),"깻잎된장무침")</f>
        <v>깻잎된장무침</v>
      </c>
    </row>
    <row r="9738">
      <c r="A9738" s="2" t="str">
        <f>IFERROR(__xludf.DUMMYFUNCTION("""COMPUTED_VALUE"""),"입맛 잡어")</f>
        <v>입맛 잡어</v>
      </c>
      <c r="B9738" s="2" t="str">
        <f>IFERROR(__xludf.DUMMYFUNCTION("""COMPUTED_VALUE"""),"조미료")</f>
        <v>조미료</v>
      </c>
    </row>
    <row r="9739">
      <c r="A9739" s="2" t="str">
        <f>IFERROR(__xludf.DUMMYFUNCTION("""COMPUTED_VALUE"""),"입맛 잡어")</f>
        <v>입맛 잡어</v>
      </c>
      <c r="B9739" s="2" t="str">
        <f>IFERROR(__xludf.DUMMYFUNCTION("""COMPUTED_VALUE"""),"다진 마늘")</f>
        <v>다진 마늘</v>
      </c>
    </row>
    <row r="9740">
      <c r="A9740" s="2" t="str">
        <f>IFERROR(__xludf.DUMMYFUNCTION("""COMPUTED_VALUE"""),"입맛 잡어")</f>
        <v>입맛 잡어</v>
      </c>
      <c r="B9740" s="2" t="str">
        <f>IFERROR(__xludf.DUMMYFUNCTION("""COMPUTED_VALUE"""),"밀가루")</f>
        <v>밀가루</v>
      </c>
    </row>
    <row r="9741">
      <c r="A9741" s="2" t="str">
        <f>IFERROR(__xludf.DUMMYFUNCTION("""COMPUTED_VALUE"""),"입맛 잡어")</f>
        <v>입맛 잡어</v>
      </c>
      <c r="B9741" s="2" t="str">
        <f>IFERROR(__xludf.DUMMYFUNCTION("""COMPUTED_VALUE"""),"참기름")</f>
        <v>참기름</v>
      </c>
    </row>
    <row r="9742">
      <c r="A9742" s="2" t="str">
        <f>IFERROR(__xludf.DUMMYFUNCTION("""COMPUTED_VALUE"""),"입맛 잡어")</f>
        <v>입맛 잡어</v>
      </c>
      <c r="B9742" s="2" t="str">
        <f>IFERROR(__xludf.DUMMYFUNCTION("""COMPUTED_VALUE"""),"고추")</f>
        <v>고추</v>
      </c>
    </row>
    <row r="9743">
      <c r="A9743" s="2" t="str">
        <f>IFERROR(__xludf.DUMMYFUNCTION("""COMPUTED_VALUE"""),"입맛 잡어")</f>
        <v>입맛 잡어</v>
      </c>
      <c r="B9743" s="2" t="str">
        <f>IFERROR(__xludf.DUMMYFUNCTION("""COMPUTED_VALUE"""),"대파")</f>
        <v>대파</v>
      </c>
    </row>
    <row r="9744">
      <c r="A9744" s="2" t="str">
        <f>IFERROR(__xludf.DUMMYFUNCTION("""COMPUTED_VALUE"""),"입맛 잡어")</f>
        <v>입맛 잡어</v>
      </c>
      <c r="B9744" s="2" t="str">
        <f>IFERROR(__xludf.DUMMYFUNCTION("""COMPUTED_VALUE"""),"고추장")</f>
        <v>고추장</v>
      </c>
    </row>
    <row r="9745">
      <c r="A9745" s="2" t="str">
        <f>IFERROR(__xludf.DUMMYFUNCTION("""COMPUTED_VALUE"""),"입맛 잡어")</f>
        <v>입맛 잡어</v>
      </c>
      <c r="B9745" s="2" t="str">
        <f>IFERROR(__xludf.DUMMYFUNCTION("""COMPUTED_VALUE"""),"고춧가루")</f>
        <v>고춧가루</v>
      </c>
    </row>
    <row r="9746">
      <c r="A9746" s="2" t="str">
        <f>IFERROR(__xludf.DUMMYFUNCTION("""COMPUTED_VALUE"""),"입맛 잡어")</f>
        <v>입맛 잡어</v>
      </c>
      <c r="B9746" s="2" t="str">
        <f>IFERROR(__xludf.DUMMYFUNCTION("""COMPUTED_VALUE"""),"식초")</f>
        <v>식초</v>
      </c>
    </row>
    <row r="9747">
      <c r="A9747" s="2" t="str">
        <f>IFERROR(__xludf.DUMMYFUNCTION("""COMPUTED_VALUE"""),"입맛 잡어")</f>
        <v>입맛 잡어</v>
      </c>
      <c r="B9747" s="2" t="str">
        <f>IFERROR(__xludf.DUMMYFUNCTION("""COMPUTED_VALUE"""),"소금")</f>
        <v>소금</v>
      </c>
    </row>
    <row r="9748">
      <c r="A9748" s="2" t="str">
        <f>IFERROR(__xludf.DUMMYFUNCTION("""COMPUTED_VALUE"""),"입맛 잡어")</f>
        <v>입맛 잡어</v>
      </c>
      <c r="B9748" s="2" t="str">
        <f>IFERROR(__xludf.DUMMYFUNCTION("""COMPUTED_VALUE"""),"즉석밥")</f>
        <v>즉석밥</v>
      </c>
    </row>
    <row r="9749">
      <c r="A9749" s="2" t="str">
        <f>IFERROR(__xludf.DUMMYFUNCTION("""COMPUTED_VALUE"""),"입맛 잡어")</f>
        <v>입맛 잡어</v>
      </c>
      <c r="B9749" s="2" t="str">
        <f>IFERROR(__xludf.DUMMYFUNCTION("""COMPUTED_VALUE"""),"깨")</f>
        <v>깨</v>
      </c>
    </row>
    <row r="9750">
      <c r="A9750" s="2" t="str">
        <f>IFERROR(__xludf.DUMMYFUNCTION("""COMPUTED_VALUE"""),"입맛 잡어")</f>
        <v>입맛 잡어</v>
      </c>
      <c r="B9750" s="2" t="str">
        <f>IFERROR(__xludf.DUMMYFUNCTION("""COMPUTED_VALUE"""),"양파")</f>
        <v>양파</v>
      </c>
    </row>
    <row r="9751">
      <c r="A9751" s="2" t="str">
        <f>IFERROR(__xludf.DUMMYFUNCTION("""COMPUTED_VALUE"""),"입맛 잡어")</f>
        <v>입맛 잡어</v>
      </c>
      <c r="B9751" s="2" t="str">
        <f>IFERROR(__xludf.DUMMYFUNCTION("""COMPUTED_VALUE"""),"당근")</f>
        <v>당근</v>
      </c>
    </row>
    <row r="9752">
      <c r="A9752" s="2" t="str">
        <f>IFERROR(__xludf.DUMMYFUNCTION("""COMPUTED_VALUE"""),"입맛 잡어")</f>
        <v>입맛 잡어</v>
      </c>
      <c r="B9752" s="2" t="str">
        <f>IFERROR(__xludf.DUMMYFUNCTION("""COMPUTED_VALUE"""),"청양고추")</f>
        <v>청양고추</v>
      </c>
    </row>
    <row r="9753">
      <c r="A9753" s="2" t="str">
        <f>IFERROR(__xludf.DUMMYFUNCTION("""COMPUTED_VALUE"""),"입맛 잡어")</f>
        <v>입맛 잡어</v>
      </c>
      <c r="B9753" s="2" t="str">
        <f>IFERROR(__xludf.DUMMYFUNCTION("""COMPUTED_VALUE"""),"다진 생강")</f>
        <v>다진 생강</v>
      </c>
    </row>
    <row r="9754">
      <c r="A9754" s="2" t="str">
        <f>IFERROR(__xludf.DUMMYFUNCTION("""COMPUTED_VALUE"""),"입맛 잡어")</f>
        <v>입맛 잡어</v>
      </c>
      <c r="B9754" s="2" t="str">
        <f>IFERROR(__xludf.DUMMYFUNCTION("""COMPUTED_VALUE"""),"설탕")</f>
        <v>설탕</v>
      </c>
    </row>
    <row r="9755">
      <c r="A9755" s="2" t="str">
        <f>IFERROR(__xludf.DUMMYFUNCTION("""COMPUTED_VALUE"""),"돔레이더")</f>
        <v>돔레이더</v>
      </c>
      <c r="B9755" s="2" t="str">
        <f>IFERROR(__xludf.DUMMYFUNCTION("""COMPUTED_VALUE"""),"참돔")</f>
        <v>참돔</v>
      </c>
    </row>
    <row r="9756">
      <c r="A9756" s="2" t="str">
        <f>IFERROR(__xludf.DUMMYFUNCTION("""COMPUTED_VALUE"""),"돔레이더")</f>
        <v>돔레이더</v>
      </c>
      <c r="B9756" s="2" t="str">
        <f>IFERROR(__xludf.DUMMYFUNCTION("""COMPUTED_VALUE"""),"무")</f>
        <v>무</v>
      </c>
    </row>
    <row r="9757">
      <c r="A9757" s="2" t="str">
        <f>IFERROR(__xludf.DUMMYFUNCTION("""COMPUTED_VALUE"""),"돔레이더")</f>
        <v>돔레이더</v>
      </c>
      <c r="B9757" s="2" t="str">
        <f>IFERROR(__xludf.DUMMYFUNCTION("""COMPUTED_VALUE"""),"소주")</f>
        <v>소주</v>
      </c>
    </row>
    <row r="9758">
      <c r="A9758" s="2" t="str">
        <f>IFERROR(__xludf.DUMMYFUNCTION("""COMPUTED_VALUE"""),"돔레이더")</f>
        <v>돔레이더</v>
      </c>
      <c r="B9758" s="2" t="str">
        <f>IFERROR(__xludf.DUMMYFUNCTION("""COMPUTED_VALUE"""),"고추장아찌")</f>
        <v>고추장아찌</v>
      </c>
    </row>
    <row r="9759">
      <c r="A9759" s="2" t="str">
        <f>IFERROR(__xludf.DUMMYFUNCTION("""COMPUTED_VALUE"""),"돔레이더")</f>
        <v>돔레이더</v>
      </c>
      <c r="B9759" s="2" t="str">
        <f>IFERROR(__xludf.DUMMYFUNCTION("""COMPUTED_VALUE"""),"딸기잼")</f>
        <v>딸기잼</v>
      </c>
    </row>
    <row r="9760">
      <c r="A9760" s="2" t="str">
        <f>IFERROR(__xludf.DUMMYFUNCTION("""COMPUTED_VALUE"""),"돔레이더")</f>
        <v>돔레이더</v>
      </c>
      <c r="B9760" s="2" t="str">
        <f>IFERROR(__xludf.DUMMYFUNCTION("""COMPUTED_VALUE"""),"앵두")</f>
        <v>앵두</v>
      </c>
    </row>
    <row r="9761">
      <c r="A9761" s="2" t="str">
        <f>IFERROR(__xludf.DUMMYFUNCTION("""COMPUTED_VALUE"""),"돔레이더")</f>
        <v>돔레이더</v>
      </c>
      <c r="B9761" s="2" t="str">
        <f>IFERROR(__xludf.DUMMYFUNCTION("""COMPUTED_VALUE"""),"잣")</f>
        <v>잣</v>
      </c>
    </row>
    <row r="9762">
      <c r="A9762" s="2" t="str">
        <f>IFERROR(__xludf.DUMMYFUNCTION("""COMPUTED_VALUE"""),"돔레이더")</f>
        <v>돔레이더</v>
      </c>
      <c r="B9762" s="2" t="str">
        <f>IFERROR(__xludf.DUMMYFUNCTION("""COMPUTED_VALUE"""),"전분")</f>
        <v>전분</v>
      </c>
    </row>
    <row r="9763">
      <c r="A9763" s="2" t="str">
        <f>IFERROR(__xludf.DUMMYFUNCTION("""COMPUTED_VALUE"""),"돔레이더")</f>
        <v>돔레이더</v>
      </c>
      <c r="B9763" s="2" t="str">
        <f>IFERROR(__xludf.DUMMYFUNCTION("""COMPUTED_VALUE"""),"대파")</f>
        <v>대파</v>
      </c>
    </row>
    <row r="9764">
      <c r="A9764" s="2" t="str">
        <f>IFERROR(__xludf.DUMMYFUNCTION("""COMPUTED_VALUE"""),"돔레이더")</f>
        <v>돔레이더</v>
      </c>
      <c r="B9764" s="2" t="str">
        <f>IFERROR(__xludf.DUMMYFUNCTION("""COMPUTED_VALUE"""),"당근")</f>
        <v>당근</v>
      </c>
    </row>
    <row r="9765">
      <c r="A9765" s="2" t="str">
        <f>IFERROR(__xludf.DUMMYFUNCTION("""COMPUTED_VALUE"""),"돔레이더")</f>
        <v>돔레이더</v>
      </c>
      <c r="B9765" s="2" t="str">
        <f>IFERROR(__xludf.DUMMYFUNCTION("""COMPUTED_VALUE"""),"다진 생강")</f>
        <v>다진 생강</v>
      </c>
    </row>
    <row r="9766">
      <c r="A9766" s="2" t="str">
        <f>IFERROR(__xludf.DUMMYFUNCTION("""COMPUTED_VALUE"""),"돔레이더")</f>
        <v>돔레이더</v>
      </c>
      <c r="B9766" s="2" t="str">
        <f>IFERROR(__xludf.DUMMYFUNCTION("""COMPUTED_VALUE"""),"후추")</f>
        <v>후추</v>
      </c>
    </row>
    <row r="9767">
      <c r="A9767" s="2" t="str">
        <f>IFERROR(__xludf.DUMMYFUNCTION("""COMPUTED_VALUE"""),"돔레이더")</f>
        <v>돔레이더</v>
      </c>
      <c r="B9767" s="2" t="str">
        <f>IFERROR(__xludf.DUMMYFUNCTION("""COMPUTED_VALUE"""),"케첩")</f>
        <v>케첩</v>
      </c>
    </row>
    <row r="9768">
      <c r="A9768" s="2" t="str">
        <f>IFERROR(__xludf.DUMMYFUNCTION("""COMPUTED_VALUE"""),"돔레이더")</f>
        <v>돔레이더</v>
      </c>
      <c r="B9768" s="2" t="str">
        <f>IFERROR(__xludf.DUMMYFUNCTION("""COMPUTED_VALUE"""),"설탕")</f>
        <v>설탕</v>
      </c>
    </row>
    <row r="9769">
      <c r="A9769" s="2" t="str">
        <f>IFERROR(__xludf.DUMMYFUNCTION("""COMPUTED_VALUE"""),"울금 캐비지")</f>
        <v>울금 캐비지</v>
      </c>
      <c r="B9769" s="2" t="str">
        <f>IFERROR(__xludf.DUMMYFUNCTION("""COMPUTED_VALUE"""),"군고구마")</f>
        <v>군고구마</v>
      </c>
    </row>
    <row r="9770">
      <c r="A9770" s="2" t="str">
        <f>IFERROR(__xludf.DUMMYFUNCTION("""COMPUTED_VALUE"""),"울금 캐비지")</f>
        <v>울금 캐비지</v>
      </c>
      <c r="B9770" s="2" t="str">
        <f>IFERROR(__xludf.DUMMYFUNCTION("""COMPUTED_VALUE"""),"우둔살")</f>
        <v>우둔살</v>
      </c>
    </row>
    <row r="9771">
      <c r="A9771" s="2" t="str">
        <f>IFERROR(__xludf.DUMMYFUNCTION("""COMPUTED_VALUE"""),"울금 캐비지")</f>
        <v>울금 캐비지</v>
      </c>
      <c r="B9771" s="2" t="str">
        <f>IFERROR(__xludf.DUMMYFUNCTION("""COMPUTED_VALUE"""),"건표고버섯")</f>
        <v>건표고버섯</v>
      </c>
    </row>
    <row r="9772">
      <c r="A9772" s="2" t="str">
        <f>IFERROR(__xludf.DUMMYFUNCTION("""COMPUTED_VALUE"""),"울금 캐비지")</f>
        <v>울금 캐비지</v>
      </c>
      <c r="B9772" s="2" t="str">
        <f>IFERROR(__xludf.DUMMYFUNCTION("""COMPUTED_VALUE"""),"삶은 양배추")</f>
        <v>삶은 양배추</v>
      </c>
    </row>
    <row r="9773">
      <c r="A9773" s="2" t="str">
        <f>IFERROR(__xludf.DUMMYFUNCTION("""COMPUTED_VALUE"""),"울금 캐비지")</f>
        <v>울금 캐비지</v>
      </c>
      <c r="B9773" s="2" t="str">
        <f>IFERROR(__xludf.DUMMYFUNCTION("""COMPUTED_VALUE"""),"은행")</f>
        <v>은행</v>
      </c>
    </row>
    <row r="9774">
      <c r="A9774" s="2" t="str">
        <f>IFERROR(__xludf.DUMMYFUNCTION("""COMPUTED_VALUE"""),"울금 캐비지")</f>
        <v>울금 캐비지</v>
      </c>
      <c r="B9774" s="2" t="str">
        <f>IFERROR(__xludf.DUMMYFUNCTION("""COMPUTED_VALUE"""),"두유")</f>
        <v>두유</v>
      </c>
    </row>
    <row r="9775">
      <c r="A9775" s="2" t="str">
        <f>IFERROR(__xludf.DUMMYFUNCTION("""COMPUTED_VALUE"""),"울금 캐비지")</f>
        <v>울금 캐비지</v>
      </c>
      <c r="B9775" s="2" t="str">
        <f>IFERROR(__xludf.DUMMYFUNCTION("""COMPUTED_VALUE"""),"사과즙")</f>
        <v>사과즙</v>
      </c>
    </row>
    <row r="9776">
      <c r="A9776" s="2" t="str">
        <f>IFERROR(__xludf.DUMMYFUNCTION("""COMPUTED_VALUE"""),"울금 캐비지")</f>
        <v>울금 캐비지</v>
      </c>
      <c r="B9776" s="2" t="str">
        <f>IFERROR(__xludf.DUMMYFUNCTION("""COMPUTED_VALUE"""),"울금가루")</f>
        <v>울금가루</v>
      </c>
    </row>
    <row r="9777">
      <c r="A9777" s="2" t="str">
        <f>IFERROR(__xludf.DUMMYFUNCTION("""COMPUTED_VALUE"""),"울금 캐비지")</f>
        <v>울금 캐비지</v>
      </c>
      <c r="B9777" s="2" t="str">
        <f>IFERROR(__xludf.DUMMYFUNCTION("""COMPUTED_VALUE"""),"사과")</f>
        <v>사과</v>
      </c>
    </row>
    <row r="9778">
      <c r="A9778" s="2" t="str">
        <f>IFERROR(__xludf.DUMMYFUNCTION("""COMPUTED_VALUE"""),"울금 캐비지")</f>
        <v>울금 캐비지</v>
      </c>
      <c r="B9778" s="2" t="str">
        <f>IFERROR(__xludf.DUMMYFUNCTION("""COMPUTED_VALUE"""),"채 썬 양배추")</f>
        <v>채 썬 양배추</v>
      </c>
    </row>
    <row r="9779">
      <c r="A9779" s="2" t="str">
        <f>IFERROR(__xludf.DUMMYFUNCTION("""COMPUTED_VALUE"""),"울금 캐비지")</f>
        <v>울금 캐비지</v>
      </c>
      <c r="B9779" s="2" t="str">
        <f>IFERROR(__xludf.DUMMYFUNCTION("""COMPUTED_VALUE"""),"키위식초")</f>
        <v>키위식초</v>
      </c>
    </row>
    <row r="9780">
      <c r="A9780" s="2" t="str">
        <f>IFERROR(__xludf.DUMMYFUNCTION("""COMPUTED_VALUE"""),"울금 캐비지")</f>
        <v>울금 캐비지</v>
      </c>
      <c r="B9780" s="2" t="str">
        <f>IFERROR(__xludf.DUMMYFUNCTION("""COMPUTED_VALUE"""),"마늘")</f>
        <v>마늘</v>
      </c>
    </row>
    <row r="9781">
      <c r="A9781" s="2" t="str">
        <f>IFERROR(__xludf.DUMMYFUNCTION("""COMPUTED_VALUE"""),"울금 캐비지")</f>
        <v>울금 캐비지</v>
      </c>
      <c r="B9781" s="2" t="str">
        <f>IFERROR(__xludf.DUMMYFUNCTION("""COMPUTED_VALUE"""),"간장")</f>
        <v>간장</v>
      </c>
    </row>
    <row r="9782">
      <c r="A9782" s="2" t="str">
        <f>IFERROR(__xludf.DUMMYFUNCTION("""COMPUTED_VALUE"""),"울금 캐비지")</f>
        <v>울금 캐비지</v>
      </c>
      <c r="B9782" s="2" t="str">
        <f>IFERROR(__xludf.DUMMYFUNCTION("""COMPUTED_VALUE"""),"후추")</f>
        <v>후추</v>
      </c>
    </row>
    <row r="9783">
      <c r="A9783" s="2" t="str">
        <f>IFERROR(__xludf.DUMMYFUNCTION("""COMPUTED_VALUE"""),"울금 캐비지")</f>
        <v>울금 캐비지</v>
      </c>
      <c r="B9783" s="2" t="str">
        <f>IFERROR(__xludf.DUMMYFUNCTION("""COMPUTED_VALUE"""),"버터")</f>
        <v>버터</v>
      </c>
    </row>
    <row r="9784">
      <c r="A9784" s="2" t="str">
        <f>IFERROR(__xludf.DUMMYFUNCTION("""COMPUTED_VALUE"""),"울금 캐비지")</f>
        <v>울금 캐비지</v>
      </c>
      <c r="B9784" s="2" t="str">
        <f>IFERROR(__xludf.DUMMYFUNCTION("""COMPUTED_VALUE"""),"양파")</f>
        <v>양파</v>
      </c>
    </row>
    <row r="9785">
      <c r="A9785" s="2" t="str">
        <f>IFERROR(__xludf.DUMMYFUNCTION("""COMPUTED_VALUE"""),"울금 캐비지")</f>
        <v>울금 캐비지</v>
      </c>
      <c r="B9785" s="2" t="str">
        <f>IFERROR(__xludf.DUMMYFUNCTION("""COMPUTED_VALUE"""),"밀가루")</f>
        <v>밀가루</v>
      </c>
    </row>
    <row r="9786">
      <c r="A9786" s="2" t="str">
        <f>IFERROR(__xludf.DUMMYFUNCTION("""COMPUTED_VALUE"""),"울금 캐비지")</f>
        <v>울금 캐비지</v>
      </c>
      <c r="B9786" s="2" t="str">
        <f>IFERROR(__xludf.DUMMYFUNCTION("""COMPUTED_VALUE"""),"당근")</f>
        <v>당근</v>
      </c>
    </row>
    <row r="9787">
      <c r="A9787" s="2" t="str">
        <f>IFERROR(__xludf.DUMMYFUNCTION("""COMPUTED_VALUE"""),"울금 캐비지")</f>
        <v>울금 캐비지</v>
      </c>
      <c r="B9787" s="2" t="str">
        <f>IFERROR(__xludf.DUMMYFUNCTION("""COMPUTED_VALUE"""),"올리브오일")</f>
        <v>올리브오일</v>
      </c>
    </row>
    <row r="9788">
      <c r="A9788" s="2" t="str">
        <f>IFERROR(__xludf.DUMMYFUNCTION("""COMPUTED_VALUE"""),"시나몬 아로니아 비스킷")</f>
        <v>시나몬 아로니아 비스킷</v>
      </c>
      <c r="B9788" s="2" t="str">
        <f>IFERROR(__xludf.DUMMYFUNCTION("""COMPUTED_VALUE"""),"호박즙")</f>
        <v>호박즙</v>
      </c>
    </row>
    <row r="9789">
      <c r="A9789" s="2" t="str">
        <f>IFERROR(__xludf.DUMMYFUNCTION("""COMPUTED_VALUE"""),"시나몬 아로니아 비스킷")</f>
        <v>시나몬 아로니아 비스킷</v>
      </c>
      <c r="B9789" s="2" t="str">
        <f>IFERROR(__xludf.DUMMYFUNCTION("""COMPUTED_VALUE"""),"사과즙")</f>
        <v>사과즙</v>
      </c>
    </row>
    <row r="9790">
      <c r="A9790" s="2" t="str">
        <f>IFERROR(__xludf.DUMMYFUNCTION("""COMPUTED_VALUE"""),"시나몬 아로니아 비스킷")</f>
        <v>시나몬 아로니아 비스킷</v>
      </c>
      <c r="B9790" s="2" t="str">
        <f>IFERROR(__xludf.DUMMYFUNCTION("""COMPUTED_VALUE"""),"사과")</f>
        <v>사과</v>
      </c>
    </row>
    <row r="9791">
      <c r="A9791" s="2" t="str">
        <f>IFERROR(__xludf.DUMMYFUNCTION("""COMPUTED_VALUE"""),"시나몬 아로니아 비스킷")</f>
        <v>시나몬 아로니아 비스킷</v>
      </c>
      <c r="B9791" s="2" t="str">
        <f>IFERROR(__xludf.DUMMYFUNCTION("""COMPUTED_VALUE"""),"대추청")</f>
        <v>대추청</v>
      </c>
    </row>
    <row r="9792">
      <c r="A9792" s="2" t="str">
        <f>IFERROR(__xludf.DUMMYFUNCTION("""COMPUTED_VALUE"""),"시나몬 아로니아 비스킷")</f>
        <v>시나몬 아로니아 비스킷</v>
      </c>
      <c r="B9792" s="2" t="str">
        <f>IFERROR(__xludf.DUMMYFUNCTION("""COMPUTED_VALUE"""),"패션프루트주스")</f>
        <v>패션프루트주스</v>
      </c>
    </row>
    <row r="9793">
      <c r="A9793" s="2" t="str">
        <f>IFERROR(__xludf.DUMMYFUNCTION("""COMPUTED_VALUE"""),"시나몬 아로니아 비스킷")</f>
        <v>시나몬 아로니아 비스킷</v>
      </c>
      <c r="B9793" s="2" t="str">
        <f>IFERROR(__xludf.DUMMYFUNCTION("""COMPUTED_VALUE"""),"현미누룽지")</f>
        <v>현미누룽지</v>
      </c>
    </row>
    <row r="9794">
      <c r="A9794" s="2" t="str">
        <f>IFERROR(__xludf.DUMMYFUNCTION("""COMPUTED_VALUE"""),"시나몬 아로니아 비스킷")</f>
        <v>시나몬 아로니아 비스킷</v>
      </c>
      <c r="B9794" s="2" t="str">
        <f>IFERROR(__xludf.DUMMYFUNCTION("""COMPUTED_VALUE"""),"계피가루")</f>
        <v>계피가루</v>
      </c>
    </row>
    <row r="9795">
      <c r="A9795" s="2" t="str">
        <f>IFERROR(__xludf.DUMMYFUNCTION("""COMPUTED_VALUE"""),"시나몬 아로니아 비스킷")</f>
        <v>시나몬 아로니아 비스킷</v>
      </c>
      <c r="B9795" s="2" t="str">
        <f>IFERROR(__xludf.DUMMYFUNCTION("""COMPUTED_VALUE"""),"아로니아가루")</f>
        <v>아로니아가루</v>
      </c>
    </row>
    <row r="9796">
      <c r="A9796" s="2" t="str">
        <f>IFERROR(__xludf.DUMMYFUNCTION("""COMPUTED_VALUE"""),"시나몬 아로니아 비스킷")</f>
        <v>시나몬 아로니아 비스킷</v>
      </c>
      <c r="B9796" s="2" t="str">
        <f>IFERROR(__xludf.DUMMYFUNCTION("""COMPUTED_VALUE"""),"흑설탕")</f>
        <v>흑설탕</v>
      </c>
    </row>
    <row r="9797">
      <c r="A9797" s="2" t="str">
        <f>IFERROR(__xludf.DUMMYFUNCTION("""COMPUTED_VALUE"""),"시나몬 아로니아 비스킷")</f>
        <v>시나몬 아로니아 비스킷</v>
      </c>
      <c r="B9797" s="2" t="str">
        <f>IFERROR(__xludf.DUMMYFUNCTION("""COMPUTED_VALUE"""),"군고구마")</f>
        <v>군고구마</v>
      </c>
    </row>
    <row r="9798">
      <c r="A9798" s="2" t="str">
        <f>IFERROR(__xludf.DUMMYFUNCTION("""COMPUTED_VALUE"""),"시나몬 아로니아 비스킷")</f>
        <v>시나몬 아로니아 비스킷</v>
      </c>
      <c r="B9798" s="2" t="str">
        <f>IFERROR(__xludf.DUMMYFUNCTION("""COMPUTED_VALUE"""),"레몬")</f>
        <v>레몬</v>
      </c>
    </row>
    <row r="9799">
      <c r="A9799" s="2" t="str">
        <f>IFERROR(__xludf.DUMMYFUNCTION("""COMPUTED_VALUE"""),"시나몬 아로니아 비스킷")</f>
        <v>시나몬 아로니아 비스킷</v>
      </c>
      <c r="B9799" s="2" t="str">
        <f>IFERROR(__xludf.DUMMYFUNCTION("""COMPUTED_VALUE"""),"달걀")</f>
        <v>달걀</v>
      </c>
    </row>
    <row r="9800">
      <c r="A9800" s="2" t="str">
        <f>IFERROR(__xludf.DUMMYFUNCTION("""COMPUTED_VALUE"""),"고기말이~ 히트다 히트!")</f>
        <v>고기말이~ 히트다 히트!</v>
      </c>
      <c r="B9800" s="2" t="str">
        <f>IFERROR(__xludf.DUMMYFUNCTION("""COMPUTED_VALUE"""),"당근")</f>
        <v>당근</v>
      </c>
    </row>
    <row r="9801">
      <c r="A9801" s="2" t="str">
        <f>IFERROR(__xludf.DUMMYFUNCTION("""COMPUTED_VALUE"""),"고기말이~ 히트다 히트!")</f>
        <v>고기말이~ 히트다 히트!</v>
      </c>
      <c r="B9801" s="2" t="str">
        <f>IFERROR(__xludf.DUMMYFUNCTION("""COMPUTED_VALUE"""),"오징어닭가슴살스테이크")</f>
        <v>오징어닭가슴살스테이크</v>
      </c>
    </row>
    <row r="9802">
      <c r="A9802" s="2" t="str">
        <f>IFERROR(__xludf.DUMMYFUNCTION("""COMPUTED_VALUE"""),"고기말이~ 히트다 히트!")</f>
        <v>고기말이~ 히트다 히트!</v>
      </c>
      <c r="B9802" s="2" t="str">
        <f>IFERROR(__xludf.DUMMYFUNCTION("""COMPUTED_VALUE"""),"우둔살")</f>
        <v>우둔살</v>
      </c>
    </row>
    <row r="9803">
      <c r="A9803" s="2" t="str">
        <f>IFERROR(__xludf.DUMMYFUNCTION("""COMPUTED_VALUE"""),"고기말이~ 히트다 히트!")</f>
        <v>고기말이~ 히트다 히트!</v>
      </c>
      <c r="B9803" s="2" t="str">
        <f>IFERROR(__xludf.DUMMYFUNCTION("""COMPUTED_VALUE"""),"군고구마")</f>
        <v>군고구마</v>
      </c>
    </row>
    <row r="9804">
      <c r="A9804" s="2" t="str">
        <f>IFERROR(__xludf.DUMMYFUNCTION("""COMPUTED_VALUE"""),"고기말이~ 히트다 히트!")</f>
        <v>고기말이~ 히트다 히트!</v>
      </c>
      <c r="B9804" s="2" t="str">
        <f>IFERROR(__xludf.DUMMYFUNCTION("""COMPUTED_VALUE"""),"흑설탕")</f>
        <v>흑설탕</v>
      </c>
    </row>
    <row r="9805">
      <c r="A9805" s="2" t="str">
        <f>IFERROR(__xludf.DUMMYFUNCTION("""COMPUTED_VALUE"""),"고기말이~ 히트다 히트!")</f>
        <v>고기말이~ 히트다 히트!</v>
      </c>
      <c r="B9805" s="2" t="str">
        <f>IFERROR(__xludf.DUMMYFUNCTION("""COMPUTED_VALUE"""),"사과")</f>
        <v>사과</v>
      </c>
    </row>
    <row r="9806">
      <c r="A9806" s="2" t="str">
        <f>IFERROR(__xludf.DUMMYFUNCTION("""COMPUTED_VALUE"""),"고기말이~ 히트다 히트!")</f>
        <v>고기말이~ 히트다 히트!</v>
      </c>
      <c r="B9806" s="2" t="str">
        <f>IFERROR(__xludf.DUMMYFUNCTION("""COMPUTED_VALUE"""),"마늘")</f>
        <v>마늘</v>
      </c>
    </row>
    <row r="9807">
      <c r="A9807" s="2" t="str">
        <f>IFERROR(__xludf.DUMMYFUNCTION("""COMPUTED_VALUE"""),"고기말이~ 히트다 히트!")</f>
        <v>고기말이~ 히트다 히트!</v>
      </c>
      <c r="B9807" s="2" t="str">
        <f>IFERROR(__xludf.DUMMYFUNCTION("""COMPUTED_VALUE"""),"소금")</f>
        <v>소금</v>
      </c>
    </row>
    <row r="9808">
      <c r="A9808" s="2" t="str">
        <f>IFERROR(__xludf.DUMMYFUNCTION("""COMPUTED_VALUE"""),"고기말이~ 히트다 히트!")</f>
        <v>고기말이~ 히트다 히트!</v>
      </c>
      <c r="B9808" s="2" t="str">
        <f>IFERROR(__xludf.DUMMYFUNCTION("""COMPUTED_VALUE"""),"홍고추")</f>
        <v>홍고추</v>
      </c>
    </row>
    <row r="9809">
      <c r="A9809" s="2" t="str">
        <f>IFERROR(__xludf.DUMMYFUNCTION("""COMPUTED_VALUE"""),"고기말이~ 히트다 히트!")</f>
        <v>고기말이~ 히트다 히트!</v>
      </c>
      <c r="B9809" s="2" t="str">
        <f>IFERROR(__xludf.DUMMYFUNCTION("""COMPUTED_VALUE"""),"간장")</f>
        <v>간장</v>
      </c>
    </row>
    <row r="9810">
      <c r="A9810" s="2" t="str">
        <f>IFERROR(__xludf.DUMMYFUNCTION("""COMPUTED_VALUE"""),"고기말이~ 히트다 히트!")</f>
        <v>고기말이~ 히트다 히트!</v>
      </c>
      <c r="B9810" s="2" t="str">
        <f>IFERROR(__xludf.DUMMYFUNCTION("""COMPUTED_VALUE"""),"참기름")</f>
        <v>참기름</v>
      </c>
    </row>
    <row r="9811">
      <c r="A9811" s="2" t="str">
        <f>IFERROR(__xludf.DUMMYFUNCTION("""COMPUTED_VALUE"""),"고기말이~ 히트다 히트!")</f>
        <v>고기말이~ 히트다 히트!</v>
      </c>
      <c r="B9811" s="2" t="str">
        <f>IFERROR(__xludf.DUMMYFUNCTION("""COMPUTED_VALUE"""),"깨")</f>
        <v>깨</v>
      </c>
    </row>
    <row r="9812">
      <c r="A9812" s="2" t="str">
        <f>IFERROR(__xludf.DUMMYFUNCTION("""COMPUTED_VALUE"""),"고기말이~ 히트다 히트!")</f>
        <v>고기말이~ 히트다 히트!</v>
      </c>
      <c r="B9812" s="2" t="str">
        <f>IFERROR(__xludf.DUMMYFUNCTION("""COMPUTED_VALUE"""),"당근")</f>
        <v>당근</v>
      </c>
    </row>
    <row r="9813">
      <c r="A9813" s="2" t="str">
        <f>IFERROR(__xludf.DUMMYFUNCTION("""COMPUTED_VALUE"""),"고기말이~ 히트다 히트!")</f>
        <v>고기말이~ 히트다 히트!</v>
      </c>
      <c r="B9813" s="2" t="str">
        <f>IFERROR(__xludf.DUMMYFUNCTION("""COMPUTED_VALUE"""),"후추")</f>
        <v>후추</v>
      </c>
    </row>
    <row r="9814">
      <c r="A9814" s="2" t="str">
        <f>IFERROR(__xludf.DUMMYFUNCTION("""COMPUTED_VALUE"""),"고기말이~ 히트다 히트!")</f>
        <v>고기말이~ 히트다 히트!</v>
      </c>
      <c r="B9814" s="2" t="str">
        <f>IFERROR(__xludf.DUMMYFUNCTION("""COMPUTED_VALUE"""),"식초")</f>
        <v>식초</v>
      </c>
    </row>
    <row r="9815">
      <c r="A9815" s="2" t="str">
        <f>IFERROR(__xludf.DUMMYFUNCTION("""COMPUTED_VALUE"""),"고기말이~ 히트다 히트!")</f>
        <v>고기말이~ 히트다 히트!</v>
      </c>
      <c r="B9815" s="2" t="str">
        <f>IFERROR(__xludf.DUMMYFUNCTION("""COMPUTED_VALUE"""),"올리브오일")</f>
        <v>올리브오일</v>
      </c>
    </row>
    <row r="9816">
      <c r="A9816" s="2" t="str">
        <f>IFERROR(__xludf.DUMMYFUNCTION("""COMPUTED_VALUE"""),"고기말이~ 히트다 히트!")</f>
        <v>고기말이~ 히트다 히트!</v>
      </c>
      <c r="B9816" s="2" t="str">
        <f>IFERROR(__xludf.DUMMYFUNCTION("""COMPUTED_VALUE"""),"다진 생강")</f>
        <v>다진 생강</v>
      </c>
    </row>
    <row r="9817">
      <c r="A9817" s="2" t="str">
        <f>IFERROR(__xludf.DUMMYFUNCTION("""COMPUTED_VALUE"""),"고기말이~ 히트다 히트!")</f>
        <v>고기말이~ 히트다 히트!</v>
      </c>
      <c r="B9817" s="2" t="str">
        <f>IFERROR(__xludf.DUMMYFUNCTION("""COMPUTED_VALUE"""),"레몬즙")</f>
        <v>레몬즙</v>
      </c>
    </row>
    <row r="9818">
      <c r="A9818" s="2" t="str">
        <f>IFERROR(__xludf.DUMMYFUNCTION("""COMPUTED_VALUE"""),"고기말이~ 히트다 히트!")</f>
        <v>고기말이~ 히트다 히트!</v>
      </c>
      <c r="B9818" s="2" t="str">
        <f>IFERROR(__xludf.DUMMYFUNCTION("""COMPUTED_VALUE"""),"대파")</f>
        <v>대파</v>
      </c>
    </row>
    <row r="9819">
      <c r="A9819" s="2" t="str">
        <f>IFERROR(__xludf.DUMMYFUNCTION("""COMPUTED_VALUE"""),"버거킴")</f>
        <v>버거킴</v>
      </c>
      <c r="B9819" s="2" t="str">
        <f>IFERROR(__xludf.DUMMYFUNCTION("""COMPUTED_VALUE"""),"우둔살")</f>
        <v>우둔살</v>
      </c>
    </row>
    <row r="9820">
      <c r="A9820" s="2" t="str">
        <f>IFERROR(__xludf.DUMMYFUNCTION("""COMPUTED_VALUE"""),"버거킴")</f>
        <v>버거킴</v>
      </c>
      <c r="B9820" s="2" t="str">
        <f>IFERROR(__xludf.DUMMYFUNCTION("""COMPUTED_VALUE"""),"오징어닭가슴살스테이크")</f>
        <v>오징어닭가슴살스테이크</v>
      </c>
    </row>
    <row r="9821">
      <c r="A9821" s="2" t="str">
        <f>IFERROR(__xludf.DUMMYFUNCTION("""COMPUTED_VALUE"""),"버거킴")</f>
        <v>버거킴</v>
      </c>
      <c r="B9821" s="2" t="str">
        <f>IFERROR(__xludf.DUMMYFUNCTION("""COMPUTED_VALUE"""),"통밀빵")</f>
        <v>통밀빵</v>
      </c>
    </row>
    <row r="9822">
      <c r="A9822" s="2" t="str">
        <f>IFERROR(__xludf.DUMMYFUNCTION("""COMPUTED_VALUE"""),"버거킴")</f>
        <v>버거킴</v>
      </c>
      <c r="B9822" s="2" t="str">
        <f>IFERROR(__xludf.DUMMYFUNCTION("""COMPUTED_VALUE"""),"군고구마")</f>
        <v>군고구마</v>
      </c>
    </row>
    <row r="9823">
      <c r="A9823" s="2" t="str">
        <f>IFERROR(__xludf.DUMMYFUNCTION("""COMPUTED_VALUE"""),"버거킴")</f>
        <v>버거킴</v>
      </c>
      <c r="B9823" s="2" t="str">
        <f>IFERROR(__xludf.DUMMYFUNCTION("""COMPUTED_VALUE"""),"두유")</f>
        <v>두유</v>
      </c>
    </row>
    <row r="9824">
      <c r="A9824" s="2" t="str">
        <f>IFERROR(__xludf.DUMMYFUNCTION("""COMPUTED_VALUE"""),"버거킴")</f>
        <v>버거킴</v>
      </c>
      <c r="B9824" s="2" t="str">
        <f>IFERROR(__xludf.DUMMYFUNCTION("""COMPUTED_VALUE"""),"채 썬 양배추")</f>
        <v>채 썬 양배추</v>
      </c>
    </row>
    <row r="9825">
      <c r="A9825" s="2" t="str">
        <f>IFERROR(__xludf.DUMMYFUNCTION("""COMPUTED_VALUE"""),"버거킴")</f>
        <v>버거킴</v>
      </c>
      <c r="B9825" s="2" t="str">
        <f>IFERROR(__xludf.DUMMYFUNCTION("""COMPUTED_VALUE"""),"키위식초")</f>
        <v>키위식초</v>
      </c>
    </row>
    <row r="9826">
      <c r="A9826" s="2" t="str">
        <f>IFERROR(__xludf.DUMMYFUNCTION("""COMPUTED_VALUE"""),"버거킴")</f>
        <v>버거킴</v>
      </c>
      <c r="B9826" s="2" t="str">
        <f>IFERROR(__xludf.DUMMYFUNCTION("""COMPUTED_VALUE"""),"사과")</f>
        <v>사과</v>
      </c>
    </row>
    <row r="9827">
      <c r="A9827" s="2" t="str">
        <f>IFERROR(__xludf.DUMMYFUNCTION("""COMPUTED_VALUE"""),"버거킴")</f>
        <v>버거킴</v>
      </c>
      <c r="B9827" s="2" t="str">
        <f>IFERROR(__xludf.DUMMYFUNCTION("""COMPUTED_VALUE"""),"사과즙")</f>
        <v>사과즙</v>
      </c>
    </row>
    <row r="9828">
      <c r="A9828" s="2" t="str">
        <f>IFERROR(__xludf.DUMMYFUNCTION("""COMPUTED_VALUE"""),"버거킴")</f>
        <v>버거킴</v>
      </c>
      <c r="B9828" s="2" t="str">
        <f>IFERROR(__xludf.DUMMYFUNCTION("""COMPUTED_VALUE"""),"배즙")</f>
        <v>배즙</v>
      </c>
    </row>
    <row r="9829">
      <c r="A9829" s="2" t="str">
        <f>IFERROR(__xludf.DUMMYFUNCTION("""COMPUTED_VALUE"""),"버거킴")</f>
        <v>버거킴</v>
      </c>
      <c r="B9829" s="2" t="str">
        <f>IFERROR(__xludf.DUMMYFUNCTION("""COMPUTED_VALUE"""),"오디즙")</f>
        <v>오디즙</v>
      </c>
    </row>
    <row r="9830">
      <c r="A9830" s="2" t="str">
        <f>IFERROR(__xludf.DUMMYFUNCTION("""COMPUTED_VALUE"""),"버거킴")</f>
        <v>버거킴</v>
      </c>
      <c r="B9830" s="2" t="str">
        <f>IFERROR(__xludf.DUMMYFUNCTION("""COMPUTED_VALUE"""),"마늘")</f>
        <v>마늘</v>
      </c>
    </row>
    <row r="9831">
      <c r="A9831" s="2" t="str">
        <f>IFERROR(__xludf.DUMMYFUNCTION("""COMPUTED_VALUE"""),"버거킴")</f>
        <v>버거킴</v>
      </c>
      <c r="B9831" s="2" t="str">
        <f>IFERROR(__xludf.DUMMYFUNCTION("""COMPUTED_VALUE"""),"소금")</f>
        <v>소금</v>
      </c>
    </row>
    <row r="9832">
      <c r="A9832" s="2" t="str">
        <f>IFERROR(__xludf.DUMMYFUNCTION("""COMPUTED_VALUE"""),"버거킴")</f>
        <v>버거킴</v>
      </c>
      <c r="B9832" s="2" t="str">
        <f>IFERROR(__xludf.DUMMYFUNCTION("""COMPUTED_VALUE"""),"전분")</f>
        <v>전분</v>
      </c>
    </row>
    <row r="9833">
      <c r="A9833" s="2" t="str">
        <f>IFERROR(__xludf.DUMMYFUNCTION("""COMPUTED_VALUE"""),"버거킴")</f>
        <v>버거킴</v>
      </c>
      <c r="B9833" s="2" t="str">
        <f>IFERROR(__xludf.DUMMYFUNCTION("""COMPUTED_VALUE"""),"마요네즈")</f>
        <v>마요네즈</v>
      </c>
    </row>
    <row r="9834">
      <c r="A9834" s="2" t="str">
        <f>IFERROR(__xludf.DUMMYFUNCTION("""COMPUTED_VALUE"""),"버거킴")</f>
        <v>버거킴</v>
      </c>
      <c r="B9834" s="2" t="str">
        <f>IFERROR(__xludf.DUMMYFUNCTION("""COMPUTED_VALUE"""),"고추냉이")</f>
        <v>고추냉이</v>
      </c>
    </row>
    <row r="9835">
      <c r="A9835" s="2" t="str">
        <f>IFERROR(__xludf.DUMMYFUNCTION("""COMPUTED_VALUE"""),"버거킴")</f>
        <v>버거킴</v>
      </c>
      <c r="B9835" s="2" t="str">
        <f>IFERROR(__xludf.DUMMYFUNCTION("""COMPUTED_VALUE"""),"청양고추")</f>
        <v>청양고추</v>
      </c>
    </row>
    <row r="9836">
      <c r="A9836" s="2" t="str">
        <f>IFERROR(__xludf.DUMMYFUNCTION("""COMPUTED_VALUE"""),"버거킴")</f>
        <v>버거킴</v>
      </c>
      <c r="B9836" s="2" t="str">
        <f>IFERROR(__xludf.DUMMYFUNCTION("""COMPUTED_VALUE"""),"양파")</f>
        <v>양파</v>
      </c>
    </row>
    <row r="9837">
      <c r="A9837" s="2" t="str">
        <f>IFERROR(__xludf.DUMMYFUNCTION("""COMPUTED_VALUE"""),"버거킴")</f>
        <v>버거킴</v>
      </c>
      <c r="B9837" s="2" t="str">
        <f>IFERROR(__xludf.DUMMYFUNCTION("""COMPUTED_VALUE"""),"케첩")</f>
        <v>케첩</v>
      </c>
    </row>
    <row r="9838">
      <c r="A9838" s="2" t="str">
        <f>IFERROR(__xludf.DUMMYFUNCTION("""COMPUTED_VALUE"""),"어서 와~ 이런 바칼라는 처음이지?")</f>
        <v>어서 와~ 이런 바칼라는 처음이지?</v>
      </c>
      <c r="B9838" s="2" t="str">
        <f>IFERROR(__xludf.DUMMYFUNCTION("""COMPUTED_VALUE"""),"고등어살")</f>
        <v>고등어살</v>
      </c>
    </row>
    <row r="9839">
      <c r="A9839" s="2" t="str">
        <f>IFERROR(__xludf.DUMMYFUNCTION("""COMPUTED_VALUE"""),"어서 와~ 이런 바칼라는 처음이지?")</f>
        <v>어서 와~ 이런 바칼라는 처음이지?</v>
      </c>
      <c r="B9839" s="2" t="str">
        <f>IFERROR(__xludf.DUMMYFUNCTION("""COMPUTED_VALUE"""),"손질가자미")</f>
        <v>손질가자미</v>
      </c>
    </row>
    <row r="9840">
      <c r="A9840" s="2" t="str">
        <f>IFERROR(__xludf.DUMMYFUNCTION("""COMPUTED_VALUE"""),"어서 와~ 이런 바칼라는 처음이지?")</f>
        <v>어서 와~ 이런 바칼라는 처음이지?</v>
      </c>
      <c r="B9840" s="2" t="str">
        <f>IFERROR(__xludf.DUMMYFUNCTION("""COMPUTED_VALUE"""),"다진 소고기")</f>
        <v>다진 소고기</v>
      </c>
    </row>
    <row r="9841">
      <c r="A9841" s="2" t="str">
        <f>IFERROR(__xludf.DUMMYFUNCTION("""COMPUTED_VALUE"""),"어서 와~ 이런 바칼라는 처음이지?")</f>
        <v>어서 와~ 이런 바칼라는 처음이지?</v>
      </c>
      <c r="B9841" s="2" t="str">
        <f>IFERROR(__xludf.DUMMYFUNCTION("""COMPUTED_VALUE"""),"아스파라거스")</f>
        <v>아스파라거스</v>
      </c>
    </row>
    <row r="9842">
      <c r="A9842" s="2" t="str">
        <f>IFERROR(__xludf.DUMMYFUNCTION("""COMPUTED_VALUE"""),"어서 와~ 이런 바칼라는 처음이지?")</f>
        <v>어서 와~ 이런 바칼라는 처음이지?</v>
      </c>
      <c r="B9842" s="2" t="str">
        <f>IFERROR(__xludf.DUMMYFUNCTION("""COMPUTED_VALUE"""),"그린 빈")</f>
        <v>그린 빈</v>
      </c>
    </row>
    <row r="9843">
      <c r="A9843" s="2" t="str">
        <f>IFERROR(__xludf.DUMMYFUNCTION("""COMPUTED_VALUE"""),"어서 와~ 이런 바칼라는 처음이지?")</f>
        <v>어서 와~ 이런 바칼라는 처음이지?</v>
      </c>
      <c r="B9843" s="2" t="str">
        <f>IFERROR(__xludf.DUMMYFUNCTION("""COMPUTED_VALUE"""),"애호박")</f>
        <v>애호박</v>
      </c>
    </row>
    <row r="9844">
      <c r="A9844" s="2" t="str">
        <f>IFERROR(__xludf.DUMMYFUNCTION("""COMPUTED_VALUE"""),"어서 와~ 이런 바칼라는 처음이지?")</f>
        <v>어서 와~ 이런 바칼라는 처음이지?</v>
      </c>
      <c r="B9844" s="2" t="str">
        <f>IFERROR(__xludf.DUMMYFUNCTION("""COMPUTED_VALUE"""),"파프리카")</f>
        <v>파프리카</v>
      </c>
    </row>
    <row r="9845">
      <c r="A9845" s="2" t="str">
        <f>IFERROR(__xludf.DUMMYFUNCTION("""COMPUTED_VALUE"""),"어서 와~ 이런 바칼라는 처음이지?")</f>
        <v>어서 와~ 이런 바칼라는 처음이지?</v>
      </c>
      <c r="B9845" s="2" t="str">
        <f>IFERROR(__xludf.DUMMYFUNCTION("""COMPUTED_VALUE"""),"그라냐노면")</f>
        <v>그라냐노면</v>
      </c>
    </row>
    <row r="9846">
      <c r="A9846" s="2" t="str">
        <f>IFERROR(__xludf.DUMMYFUNCTION("""COMPUTED_VALUE"""),"어서 와~ 이런 바칼라는 처음이지?")</f>
        <v>어서 와~ 이런 바칼라는 처음이지?</v>
      </c>
      <c r="B9846" s="2" t="str">
        <f>IFERROR(__xludf.DUMMYFUNCTION("""COMPUTED_VALUE"""),"냉동 감자튀김")</f>
        <v>냉동 감자튀김</v>
      </c>
    </row>
    <row r="9847">
      <c r="A9847" s="2" t="str">
        <f>IFERROR(__xludf.DUMMYFUNCTION("""COMPUTED_VALUE"""),"어서 와~ 이런 바칼라는 처음이지?")</f>
        <v>어서 와~ 이런 바칼라는 처음이지?</v>
      </c>
      <c r="B9847" s="2" t="str">
        <f>IFERROR(__xludf.DUMMYFUNCTION("""COMPUTED_VALUE"""),"안초비")</f>
        <v>안초비</v>
      </c>
    </row>
    <row r="9848">
      <c r="A9848" s="2" t="str">
        <f>IFERROR(__xludf.DUMMYFUNCTION("""COMPUTED_VALUE"""),"어서 와~ 이런 바칼라는 처음이지?")</f>
        <v>어서 와~ 이런 바칼라는 처음이지?</v>
      </c>
      <c r="B9848" s="2" t="str">
        <f>IFERROR(__xludf.DUMMYFUNCTION("""COMPUTED_VALUE"""),"케이퍼")</f>
        <v>케이퍼</v>
      </c>
    </row>
    <row r="9849">
      <c r="A9849" s="2" t="str">
        <f>IFERROR(__xludf.DUMMYFUNCTION("""COMPUTED_VALUE"""),"어서 와~ 이런 바칼라는 처음이지?")</f>
        <v>어서 와~ 이런 바칼라는 처음이지?</v>
      </c>
      <c r="B9849" s="2" t="str">
        <f>IFERROR(__xludf.DUMMYFUNCTION("""COMPUTED_VALUE"""),"모차렐라 치즈")</f>
        <v>모차렐라 치즈</v>
      </c>
    </row>
    <row r="9850">
      <c r="A9850" s="2" t="str">
        <f>IFERROR(__xludf.DUMMYFUNCTION("""COMPUTED_VALUE"""),"어서 와~ 이런 바칼라는 처음이지?")</f>
        <v>어서 와~ 이런 바칼라는 처음이지?</v>
      </c>
      <c r="B9850" s="2" t="str">
        <f>IFERROR(__xludf.DUMMYFUNCTION("""COMPUTED_VALUE"""),"방울토마토")</f>
        <v>방울토마토</v>
      </c>
    </row>
    <row r="9851">
      <c r="A9851" s="2" t="str">
        <f>IFERROR(__xludf.DUMMYFUNCTION("""COMPUTED_VALUE"""),"어서 와~ 이런 바칼라는 처음이지?")</f>
        <v>어서 와~ 이런 바칼라는 처음이지?</v>
      </c>
      <c r="B9851" s="2" t="str">
        <f>IFERROR(__xludf.DUMMYFUNCTION("""COMPUTED_VALUE"""),"페코리노 치즈")</f>
        <v>페코리노 치즈</v>
      </c>
    </row>
    <row r="9852">
      <c r="A9852" s="2" t="str">
        <f>IFERROR(__xludf.DUMMYFUNCTION("""COMPUTED_VALUE"""),"어서 와~ 이런 바칼라는 처음이지?")</f>
        <v>어서 와~ 이런 바칼라는 처음이지?</v>
      </c>
      <c r="B9852" s="2" t="str">
        <f>IFERROR(__xludf.DUMMYFUNCTION("""COMPUTED_VALUE"""),"생크림")</f>
        <v>생크림</v>
      </c>
    </row>
    <row r="9853">
      <c r="A9853" s="2" t="str">
        <f>IFERROR(__xludf.DUMMYFUNCTION("""COMPUTED_VALUE"""),"어서 와~ 이런 바칼라는 처음이지?")</f>
        <v>어서 와~ 이런 바칼라는 처음이지?</v>
      </c>
      <c r="B9853" s="2" t="str">
        <f>IFERROR(__xludf.DUMMYFUNCTION("""COMPUTED_VALUE"""),"치아바타")</f>
        <v>치아바타</v>
      </c>
    </row>
    <row r="9854">
      <c r="A9854" s="2" t="str">
        <f>IFERROR(__xludf.DUMMYFUNCTION("""COMPUTED_VALUE"""),"어서 와~ 이런 바칼라는 처음이지?")</f>
        <v>어서 와~ 이런 바칼라는 처음이지?</v>
      </c>
      <c r="B9854" s="2" t="str">
        <f>IFERROR(__xludf.DUMMYFUNCTION("""COMPUTED_VALUE"""),"루콜라")</f>
        <v>루콜라</v>
      </c>
    </row>
    <row r="9855">
      <c r="A9855" s="2" t="str">
        <f>IFERROR(__xludf.DUMMYFUNCTION("""COMPUTED_VALUE"""),"어서 와~ 이런 바칼라는 처음이지?")</f>
        <v>어서 와~ 이런 바칼라는 처음이지?</v>
      </c>
      <c r="B9855" s="2" t="str">
        <f>IFERROR(__xludf.DUMMYFUNCTION("""COMPUTED_VALUE"""),"파르미지아노 레지아노 치즈")</f>
        <v>파르미지아노 레지아노 치즈</v>
      </c>
    </row>
    <row r="9856">
      <c r="A9856" s="2" t="str">
        <f>IFERROR(__xludf.DUMMYFUNCTION("""COMPUTED_VALUE"""),"어서 와~ 이런 바칼라는 처음이지?")</f>
        <v>어서 와~ 이런 바칼라는 처음이지?</v>
      </c>
      <c r="B9856" s="2" t="str">
        <f>IFERROR(__xludf.DUMMYFUNCTION("""COMPUTED_VALUE"""),"소금")</f>
        <v>소금</v>
      </c>
    </row>
    <row r="9857">
      <c r="A9857" s="2" t="str">
        <f>IFERROR(__xludf.DUMMYFUNCTION("""COMPUTED_VALUE"""),"어서 와~ 이런 바칼라는 처음이지?")</f>
        <v>어서 와~ 이런 바칼라는 처음이지?</v>
      </c>
      <c r="B9857" s="2" t="str">
        <f>IFERROR(__xludf.DUMMYFUNCTION("""COMPUTED_VALUE"""),"양파")</f>
        <v>양파</v>
      </c>
    </row>
    <row r="9858">
      <c r="A9858" s="2" t="str">
        <f>IFERROR(__xludf.DUMMYFUNCTION("""COMPUTED_VALUE"""),"어서 와~ 이런 바칼라는 처음이지?")</f>
        <v>어서 와~ 이런 바칼라는 처음이지?</v>
      </c>
      <c r="B9858" s="2" t="str">
        <f>IFERROR(__xludf.DUMMYFUNCTION("""COMPUTED_VALUE"""),"레몬즙")</f>
        <v>레몬즙</v>
      </c>
    </row>
    <row r="9859">
      <c r="A9859" s="2" t="str">
        <f>IFERROR(__xludf.DUMMYFUNCTION("""COMPUTED_VALUE"""),"어서 와~ 이런 바칼라는 처음이지?")</f>
        <v>어서 와~ 이런 바칼라는 처음이지?</v>
      </c>
      <c r="B9859" s="2" t="str">
        <f>IFERROR(__xludf.DUMMYFUNCTION("""COMPUTED_VALUE"""),"당근")</f>
        <v>당근</v>
      </c>
    </row>
    <row r="9860">
      <c r="A9860" s="2" t="str">
        <f>IFERROR(__xludf.DUMMYFUNCTION("""COMPUTED_VALUE"""),"어서 와~ 이런 바칼라는 처음이지?")</f>
        <v>어서 와~ 이런 바칼라는 처음이지?</v>
      </c>
      <c r="B9860" s="2" t="str">
        <f>IFERROR(__xludf.DUMMYFUNCTION("""COMPUTED_VALUE"""),"마늘")</f>
        <v>마늘</v>
      </c>
    </row>
    <row r="9861">
      <c r="A9861" s="2" t="str">
        <f>IFERROR(__xludf.DUMMYFUNCTION("""COMPUTED_VALUE"""),"어서 와~ 이런 바칼라는 처음이지?")</f>
        <v>어서 와~ 이런 바칼라는 처음이지?</v>
      </c>
      <c r="B9861" s="2" t="str">
        <f>IFERROR(__xludf.DUMMYFUNCTION("""COMPUTED_VALUE"""),"후추")</f>
        <v>후추</v>
      </c>
    </row>
    <row r="9862">
      <c r="A9862" s="2" t="str">
        <f>IFERROR(__xludf.DUMMYFUNCTION("""COMPUTED_VALUE"""),"어서 와~ 이런 바칼라는 처음이지?")</f>
        <v>어서 와~ 이런 바칼라는 처음이지?</v>
      </c>
      <c r="B9862" s="2" t="str">
        <f>IFERROR(__xludf.DUMMYFUNCTION("""COMPUTED_VALUE"""),"올리브오일")</f>
        <v>올리브오일</v>
      </c>
    </row>
    <row r="9863">
      <c r="A9863" s="2" t="str">
        <f>IFERROR(__xludf.DUMMYFUNCTION("""COMPUTED_VALUE"""),"어서 와~ 이런 바칼라는 처음이지?")</f>
        <v>어서 와~ 이런 바칼라는 처음이지?</v>
      </c>
      <c r="B9863" s="2" t="str">
        <f>IFERROR(__xludf.DUMMYFUNCTION("""COMPUTED_VALUE"""),"화이트와인")</f>
        <v>화이트와인</v>
      </c>
    </row>
    <row r="9864">
      <c r="A9864" s="2" t="str">
        <f>IFERROR(__xludf.DUMMYFUNCTION("""COMPUTED_VALUE"""),"알파고")</f>
        <v>알파고</v>
      </c>
      <c r="B9864" s="2" t="str">
        <f>IFERROR(__xludf.DUMMYFUNCTION("""COMPUTED_VALUE"""),"소고기 안심")</f>
        <v>소고기 안심</v>
      </c>
    </row>
    <row r="9865">
      <c r="A9865" s="2" t="str">
        <f>IFERROR(__xludf.DUMMYFUNCTION("""COMPUTED_VALUE"""),"알파고")</f>
        <v>알파고</v>
      </c>
      <c r="B9865" s="2" t="str">
        <f>IFERROR(__xludf.DUMMYFUNCTION("""COMPUTED_VALUE"""),"이탈리아소금")</f>
        <v>이탈리아소금</v>
      </c>
    </row>
    <row r="9866">
      <c r="A9866" s="2" t="str">
        <f>IFERROR(__xludf.DUMMYFUNCTION("""COMPUTED_VALUE"""),"알파고")</f>
        <v>알파고</v>
      </c>
      <c r="B9866" s="2" t="str">
        <f>IFERROR(__xludf.DUMMYFUNCTION("""COMPUTED_VALUE"""),"트러플오일")</f>
        <v>트러플오일</v>
      </c>
    </row>
    <row r="9867">
      <c r="A9867" s="2" t="str">
        <f>IFERROR(__xludf.DUMMYFUNCTION("""COMPUTED_VALUE"""),"알파고")</f>
        <v>알파고</v>
      </c>
      <c r="B9867" s="2" t="str">
        <f>IFERROR(__xludf.DUMMYFUNCTION("""COMPUTED_VALUE"""),"각종 허브")</f>
        <v>각종 허브</v>
      </c>
    </row>
    <row r="9868">
      <c r="A9868" s="2" t="str">
        <f>IFERROR(__xludf.DUMMYFUNCTION("""COMPUTED_VALUE"""),"알파고")</f>
        <v>알파고</v>
      </c>
      <c r="B9868" s="2" t="str">
        <f>IFERROR(__xludf.DUMMYFUNCTION("""COMPUTED_VALUE"""),"건 포르치니버섯")</f>
        <v>건 포르치니버섯</v>
      </c>
    </row>
    <row r="9869">
      <c r="A9869" s="2" t="str">
        <f>IFERROR(__xludf.DUMMYFUNCTION("""COMPUTED_VALUE"""),"알파고")</f>
        <v>알파고</v>
      </c>
      <c r="B9869" s="2" t="str">
        <f>IFERROR(__xludf.DUMMYFUNCTION("""COMPUTED_VALUE"""),"팩 레드와인")</f>
        <v>팩 레드와인</v>
      </c>
    </row>
    <row r="9870">
      <c r="A9870" s="2" t="str">
        <f>IFERROR(__xludf.DUMMYFUNCTION("""COMPUTED_VALUE"""),"알파고")</f>
        <v>알파고</v>
      </c>
      <c r="B9870" s="2" t="str">
        <f>IFERROR(__xludf.DUMMYFUNCTION("""COMPUTED_VALUE"""),"트러플 탈리아텔레면")</f>
        <v>트러플 탈리아텔레면</v>
      </c>
    </row>
    <row r="9871">
      <c r="A9871" s="2" t="str">
        <f>IFERROR(__xludf.DUMMYFUNCTION("""COMPUTED_VALUE"""),"알파고")</f>
        <v>알파고</v>
      </c>
      <c r="B9871" s="2" t="str">
        <f>IFERROR(__xludf.DUMMYFUNCTION("""COMPUTED_VALUE"""),"버터")</f>
        <v>버터</v>
      </c>
    </row>
    <row r="9872">
      <c r="A9872" s="2" t="str">
        <f>IFERROR(__xludf.DUMMYFUNCTION("""COMPUTED_VALUE"""),"알파고")</f>
        <v>알파고</v>
      </c>
      <c r="B9872" s="2" t="str">
        <f>IFERROR(__xludf.DUMMYFUNCTION("""COMPUTED_VALUE"""),"생크림")</f>
        <v>생크림</v>
      </c>
    </row>
    <row r="9873">
      <c r="A9873" s="2" t="str">
        <f>IFERROR(__xludf.DUMMYFUNCTION("""COMPUTED_VALUE"""),"알파고")</f>
        <v>알파고</v>
      </c>
      <c r="B9873" s="2" t="str">
        <f>IFERROR(__xludf.DUMMYFUNCTION("""COMPUTED_VALUE"""),"아시아고 치즈")</f>
        <v>아시아고 치즈</v>
      </c>
    </row>
    <row r="9874">
      <c r="A9874" s="2" t="str">
        <f>IFERROR(__xludf.DUMMYFUNCTION("""COMPUTED_VALUE"""),"알파고")</f>
        <v>알파고</v>
      </c>
      <c r="B9874" s="2" t="str">
        <f>IFERROR(__xludf.DUMMYFUNCTION("""COMPUTED_VALUE"""),"페코리노 치즈")</f>
        <v>페코리노 치즈</v>
      </c>
    </row>
    <row r="9875">
      <c r="A9875" s="2" t="str">
        <f>IFERROR(__xludf.DUMMYFUNCTION("""COMPUTED_VALUE"""),"알파고")</f>
        <v>알파고</v>
      </c>
      <c r="B9875" s="2" t="str">
        <f>IFERROR(__xludf.DUMMYFUNCTION("""COMPUTED_VALUE"""),"아스파라거스")</f>
        <v>아스파라거스</v>
      </c>
    </row>
    <row r="9876">
      <c r="A9876" s="2" t="str">
        <f>IFERROR(__xludf.DUMMYFUNCTION("""COMPUTED_VALUE"""),"알파고")</f>
        <v>알파고</v>
      </c>
      <c r="B9876" s="2" t="str">
        <f>IFERROR(__xludf.DUMMYFUNCTION("""COMPUTED_VALUE"""),"양파")</f>
        <v>양파</v>
      </c>
    </row>
    <row r="9877">
      <c r="A9877" s="2" t="str">
        <f>IFERROR(__xludf.DUMMYFUNCTION("""COMPUTED_VALUE"""),"알파고")</f>
        <v>알파고</v>
      </c>
      <c r="B9877" s="2" t="str">
        <f>IFERROR(__xludf.DUMMYFUNCTION("""COMPUTED_VALUE"""),"후추")</f>
        <v>후추</v>
      </c>
    </row>
    <row r="9878">
      <c r="A9878" s="2" t="str">
        <f>IFERROR(__xludf.DUMMYFUNCTION("""COMPUTED_VALUE"""),"알파고")</f>
        <v>알파고</v>
      </c>
      <c r="B9878" s="2" t="str">
        <f>IFERROR(__xludf.DUMMYFUNCTION("""COMPUTED_VALUE"""),"소금")</f>
        <v>소금</v>
      </c>
    </row>
    <row r="9879">
      <c r="A9879" s="2" t="str">
        <f>IFERROR(__xludf.DUMMYFUNCTION("""COMPUTED_VALUE"""),"알짜배기 두부")</f>
        <v>알짜배기 두부</v>
      </c>
      <c r="B9879" s="2" t="str">
        <f>IFERROR(__xludf.DUMMYFUNCTION("""COMPUTED_VALUE"""),"두부")</f>
        <v>두부</v>
      </c>
    </row>
    <row r="9880">
      <c r="A9880" s="2" t="str">
        <f>IFERROR(__xludf.DUMMYFUNCTION("""COMPUTED_VALUE"""),"알짜배기 두부")</f>
        <v>알짜배기 두부</v>
      </c>
      <c r="B9880" s="2" t="str">
        <f>IFERROR(__xludf.DUMMYFUNCTION("""COMPUTED_VALUE"""),"애호박")</f>
        <v>애호박</v>
      </c>
    </row>
    <row r="9881">
      <c r="A9881" s="2" t="str">
        <f>IFERROR(__xludf.DUMMYFUNCTION("""COMPUTED_VALUE"""),"알짜배기 두부")</f>
        <v>알짜배기 두부</v>
      </c>
      <c r="B9881" s="2" t="str">
        <f>IFERROR(__xludf.DUMMYFUNCTION("""COMPUTED_VALUE"""),"알배추")</f>
        <v>알배추</v>
      </c>
    </row>
    <row r="9882">
      <c r="A9882" s="2" t="str">
        <f>IFERROR(__xludf.DUMMYFUNCTION("""COMPUTED_VALUE"""),"알짜배기 두부")</f>
        <v>알짜배기 두부</v>
      </c>
      <c r="B9882" s="2" t="str">
        <f>IFERROR(__xludf.DUMMYFUNCTION("""COMPUTED_VALUE"""),"그린 빈")</f>
        <v>그린 빈</v>
      </c>
    </row>
    <row r="9883">
      <c r="A9883" s="2" t="str">
        <f>IFERROR(__xludf.DUMMYFUNCTION("""COMPUTED_VALUE"""),"알짜배기 두부")</f>
        <v>알짜배기 두부</v>
      </c>
      <c r="B9883" s="2" t="str">
        <f>IFERROR(__xludf.DUMMYFUNCTION("""COMPUTED_VALUE"""),"다진 소고기")</f>
        <v>다진 소고기</v>
      </c>
    </row>
    <row r="9884">
      <c r="A9884" s="2" t="str">
        <f>IFERROR(__xludf.DUMMYFUNCTION("""COMPUTED_VALUE"""),"알짜배기 두부")</f>
        <v>알짜배기 두부</v>
      </c>
      <c r="B9884" s="2" t="str">
        <f>IFERROR(__xludf.DUMMYFUNCTION("""COMPUTED_VALUE"""),"아스파라거스")</f>
        <v>아스파라거스</v>
      </c>
    </row>
    <row r="9885">
      <c r="A9885" s="2" t="str">
        <f>IFERROR(__xludf.DUMMYFUNCTION("""COMPUTED_VALUE"""),"알짜배기 두부")</f>
        <v>알짜배기 두부</v>
      </c>
      <c r="B9885" s="2" t="str">
        <f>IFERROR(__xludf.DUMMYFUNCTION("""COMPUTED_VALUE"""),"파스타면")</f>
        <v>파스타면</v>
      </c>
    </row>
    <row r="9886">
      <c r="A9886" s="2" t="str">
        <f>IFERROR(__xludf.DUMMYFUNCTION("""COMPUTED_VALUE"""),"알짜배기 두부")</f>
        <v>알짜배기 두부</v>
      </c>
      <c r="B9886" s="2" t="str">
        <f>IFERROR(__xludf.DUMMYFUNCTION("""COMPUTED_VALUE"""),"스리라차소스")</f>
        <v>스리라차소스</v>
      </c>
    </row>
    <row r="9887">
      <c r="A9887" s="2" t="str">
        <f>IFERROR(__xludf.DUMMYFUNCTION("""COMPUTED_VALUE"""),"알짜배기 두부")</f>
        <v>알짜배기 두부</v>
      </c>
      <c r="B9887" s="2" t="str">
        <f>IFERROR(__xludf.DUMMYFUNCTION("""COMPUTED_VALUE"""),"스위트칠리소스")</f>
        <v>스위트칠리소스</v>
      </c>
    </row>
    <row r="9888">
      <c r="A9888" s="2" t="str">
        <f>IFERROR(__xludf.DUMMYFUNCTION("""COMPUTED_VALUE"""),"알짜배기 두부")</f>
        <v>알짜배기 두부</v>
      </c>
      <c r="B9888" s="2" t="str">
        <f>IFERROR(__xludf.DUMMYFUNCTION("""COMPUTED_VALUE"""),"굴소스")</f>
        <v>굴소스</v>
      </c>
    </row>
    <row r="9889">
      <c r="A9889" s="2" t="str">
        <f>IFERROR(__xludf.DUMMYFUNCTION("""COMPUTED_VALUE"""),"알짜배기 두부")</f>
        <v>알짜배기 두부</v>
      </c>
      <c r="B9889" s="2" t="str">
        <f>IFERROR(__xludf.DUMMYFUNCTION("""COMPUTED_VALUE"""),"자숙새우")</f>
        <v>자숙새우</v>
      </c>
    </row>
    <row r="9890">
      <c r="A9890" s="2" t="str">
        <f>IFERROR(__xludf.DUMMYFUNCTION("""COMPUTED_VALUE"""),"알짜배기 두부")</f>
        <v>알짜배기 두부</v>
      </c>
      <c r="B9890" s="2" t="str">
        <f>IFERROR(__xludf.DUMMYFUNCTION("""COMPUTED_VALUE"""),"양파")</f>
        <v>양파</v>
      </c>
    </row>
    <row r="9891">
      <c r="A9891" s="2" t="str">
        <f>IFERROR(__xludf.DUMMYFUNCTION("""COMPUTED_VALUE"""),"알짜배기 두부")</f>
        <v>알짜배기 두부</v>
      </c>
      <c r="B9891" s="2" t="str">
        <f>IFERROR(__xludf.DUMMYFUNCTION("""COMPUTED_VALUE"""),"대파")</f>
        <v>대파</v>
      </c>
    </row>
    <row r="9892">
      <c r="A9892" s="2" t="str">
        <f>IFERROR(__xludf.DUMMYFUNCTION("""COMPUTED_VALUE"""),"알짜배기 두부")</f>
        <v>알짜배기 두부</v>
      </c>
      <c r="B9892" s="2" t="str">
        <f>IFERROR(__xludf.DUMMYFUNCTION("""COMPUTED_VALUE"""),"고춧가루")</f>
        <v>고춧가루</v>
      </c>
    </row>
    <row r="9893">
      <c r="A9893" s="2" t="str">
        <f>IFERROR(__xludf.DUMMYFUNCTION("""COMPUTED_VALUE"""),"알짜배기 두부")</f>
        <v>알짜배기 두부</v>
      </c>
      <c r="B9893" s="2" t="str">
        <f>IFERROR(__xludf.DUMMYFUNCTION("""COMPUTED_VALUE"""),"마늘")</f>
        <v>마늘</v>
      </c>
    </row>
    <row r="9894">
      <c r="A9894" s="2" t="str">
        <f>IFERROR(__xludf.DUMMYFUNCTION("""COMPUTED_VALUE"""),"알짜배기 두부")</f>
        <v>알짜배기 두부</v>
      </c>
      <c r="B9894" s="2" t="str">
        <f>IFERROR(__xludf.DUMMYFUNCTION("""COMPUTED_VALUE"""),"간장")</f>
        <v>간장</v>
      </c>
    </row>
    <row r="9895">
      <c r="A9895" s="2" t="str">
        <f>IFERROR(__xludf.DUMMYFUNCTION("""COMPUTED_VALUE"""),"알짜배기 두부")</f>
        <v>알짜배기 두부</v>
      </c>
      <c r="B9895" s="2" t="str">
        <f>IFERROR(__xludf.DUMMYFUNCTION("""COMPUTED_VALUE"""),"식초")</f>
        <v>식초</v>
      </c>
    </row>
    <row r="9896">
      <c r="A9896" s="2" t="str">
        <f>IFERROR(__xludf.DUMMYFUNCTION("""COMPUTED_VALUE"""),"두부 맛있또")</f>
        <v>두부 맛있또</v>
      </c>
      <c r="B9896" s="2" t="str">
        <f>IFERROR(__xludf.DUMMYFUNCTION("""COMPUTED_VALUE"""),"두부")</f>
        <v>두부</v>
      </c>
    </row>
    <row r="9897">
      <c r="A9897" s="2" t="str">
        <f>IFERROR(__xludf.DUMMYFUNCTION("""COMPUTED_VALUE"""),"두부 맛있또")</f>
        <v>두부 맛있또</v>
      </c>
      <c r="B9897" s="2" t="str">
        <f>IFERROR(__xludf.DUMMYFUNCTION("""COMPUTED_VALUE"""),"자숙새우")</f>
        <v>자숙새우</v>
      </c>
    </row>
    <row r="9898">
      <c r="A9898" s="2" t="str">
        <f>IFERROR(__xludf.DUMMYFUNCTION("""COMPUTED_VALUE"""),"두부 맛있또")</f>
        <v>두부 맛있또</v>
      </c>
      <c r="B9898" s="2" t="str">
        <f>IFERROR(__xludf.DUMMYFUNCTION("""COMPUTED_VALUE"""),"완두콩")</f>
        <v>완두콩</v>
      </c>
    </row>
    <row r="9899">
      <c r="A9899" s="2" t="str">
        <f>IFERROR(__xludf.DUMMYFUNCTION("""COMPUTED_VALUE"""),"두부 맛있또")</f>
        <v>두부 맛있또</v>
      </c>
      <c r="B9899" s="2" t="str">
        <f>IFERROR(__xludf.DUMMYFUNCTION("""COMPUTED_VALUE"""),"파프리카")</f>
        <v>파프리카</v>
      </c>
    </row>
    <row r="9900">
      <c r="A9900" s="2" t="str">
        <f>IFERROR(__xludf.DUMMYFUNCTION("""COMPUTED_VALUE"""),"두부 맛있또")</f>
        <v>두부 맛있또</v>
      </c>
      <c r="B9900" s="2" t="str">
        <f>IFERROR(__xludf.DUMMYFUNCTION("""COMPUTED_VALUE"""),"애호박")</f>
        <v>애호박</v>
      </c>
    </row>
    <row r="9901">
      <c r="A9901" s="2" t="str">
        <f>IFERROR(__xludf.DUMMYFUNCTION("""COMPUTED_VALUE"""),"두부 맛있또")</f>
        <v>두부 맛있또</v>
      </c>
      <c r="B9901" s="2" t="str">
        <f>IFERROR(__xludf.DUMMYFUNCTION("""COMPUTED_VALUE"""),"양송이버섯")</f>
        <v>양송이버섯</v>
      </c>
    </row>
    <row r="9902">
      <c r="A9902" s="2" t="str">
        <f>IFERROR(__xludf.DUMMYFUNCTION("""COMPUTED_VALUE"""),"두부 맛있또")</f>
        <v>두부 맛있또</v>
      </c>
      <c r="B9902" s="2" t="str">
        <f>IFERROR(__xludf.DUMMYFUNCTION("""COMPUTED_VALUE"""),"들기름&amp;참기름")</f>
        <v>들기름&amp;참기름</v>
      </c>
    </row>
    <row r="9903">
      <c r="A9903" s="2" t="str">
        <f>IFERROR(__xludf.DUMMYFUNCTION("""COMPUTED_VALUE"""),"두부 맛있또")</f>
        <v>두부 맛있또</v>
      </c>
      <c r="B9903" s="2" t="str">
        <f>IFERROR(__xludf.DUMMYFUNCTION("""COMPUTED_VALUE"""),"수제된장")</f>
        <v>수제된장</v>
      </c>
    </row>
    <row r="9904">
      <c r="A9904" s="2" t="str">
        <f>IFERROR(__xludf.DUMMYFUNCTION("""COMPUTED_VALUE"""),"두부 맛있또")</f>
        <v>두부 맛있또</v>
      </c>
      <c r="B9904" s="2" t="str">
        <f>IFERROR(__xludf.DUMMYFUNCTION("""COMPUTED_VALUE"""),"루콜라")</f>
        <v>루콜라</v>
      </c>
    </row>
    <row r="9905">
      <c r="A9905" s="2" t="str">
        <f>IFERROR(__xludf.DUMMYFUNCTION("""COMPUTED_VALUE"""),"두부 맛있또")</f>
        <v>두부 맛있또</v>
      </c>
      <c r="B9905" s="2" t="str">
        <f>IFERROR(__xludf.DUMMYFUNCTION("""COMPUTED_VALUE"""),"연두부")</f>
        <v>연두부</v>
      </c>
    </row>
    <row r="9906">
      <c r="A9906" s="2" t="str">
        <f>IFERROR(__xludf.DUMMYFUNCTION("""COMPUTED_VALUE"""),"두부 맛있또")</f>
        <v>두부 맛있또</v>
      </c>
      <c r="B9906" s="2" t="str">
        <f>IFERROR(__xludf.DUMMYFUNCTION("""COMPUTED_VALUE"""),"생크림")</f>
        <v>생크림</v>
      </c>
    </row>
    <row r="9907">
      <c r="A9907" s="2" t="str">
        <f>IFERROR(__xludf.DUMMYFUNCTION("""COMPUTED_VALUE"""),"두부 맛있또")</f>
        <v>두부 맛있또</v>
      </c>
      <c r="B9907" s="2" t="str">
        <f>IFERROR(__xludf.DUMMYFUNCTION("""COMPUTED_VALUE"""),"냉동 고구마")</f>
        <v>냉동 고구마</v>
      </c>
    </row>
    <row r="9908">
      <c r="A9908" s="2" t="str">
        <f>IFERROR(__xludf.DUMMYFUNCTION("""COMPUTED_VALUE"""),"두부 맛있또")</f>
        <v>두부 맛있또</v>
      </c>
      <c r="B9908" s="2" t="str">
        <f>IFERROR(__xludf.DUMMYFUNCTION("""COMPUTED_VALUE"""),"들깻가루")</f>
        <v>들깻가루</v>
      </c>
    </row>
    <row r="9909">
      <c r="A9909" s="2" t="str">
        <f>IFERROR(__xludf.DUMMYFUNCTION("""COMPUTED_VALUE"""),"두부 맛있또")</f>
        <v>두부 맛있또</v>
      </c>
      <c r="B9909" s="2" t="str">
        <f>IFERROR(__xludf.DUMMYFUNCTION("""COMPUTED_VALUE"""),"판도로")</f>
        <v>판도로</v>
      </c>
    </row>
    <row r="9910">
      <c r="A9910" s="2" t="str">
        <f>IFERROR(__xludf.DUMMYFUNCTION("""COMPUTED_VALUE"""),"두부 맛있또")</f>
        <v>두부 맛있또</v>
      </c>
      <c r="B9910" s="2" t="str">
        <f>IFERROR(__xludf.DUMMYFUNCTION("""COMPUTED_VALUE"""),"전분")</f>
        <v>전분</v>
      </c>
    </row>
    <row r="9911">
      <c r="A9911" s="2" t="str">
        <f>IFERROR(__xludf.DUMMYFUNCTION("""COMPUTED_VALUE"""),"두부 맛있또")</f>
        <v>두부 맛있또</v>
      </c>
      <c r="B9911" s="2" t="str">
        <f>IFERROR(__xludf.DUMMYFUNCTION("""COMPUTED_VALUE"""),"달걀")</f>
        <v>달걀</v>
      </c>
    </row>
    <row r="9912">
      <c r="A9912" s="2" t="str">
        <f>IFERROR(__xludf.DUMMYFUNCTION("""COMPUTED_VALUE"""),"두부 맛있또")</f>
        <v>두부 맛있또</v>
      </c>
      <c r="B9912" s="2" t="str">
        <f>IFERROR(__xludf.DUMMYFUNCTION("""COMPUTED_VALUE"""),"양파")</f>
        <v>양파</v>
      </c>
    </row>
    <row r="9913">
      <c r="A9913" s="2" t="str">
        <f>IFERROR(__xludf.DUMMYFUNCTION("""COMPUTED_VALUE"""),"두부 맛있또")</f>
        <v>두부 맛있또</v>
      </c>
      <c r="B9913" s="2" t="str">
        <f>IFERROR(__xludf.DUMMYFUNCTION("""COMPUTED_VALUE"""),"설탕")</f>
        <v>설탕</v>
      </c>
    </row>
    <row r="9914">
      <c r="A9914" s="2" t="str">
        <f>IFERROR(__xludf.DUMMYFUNCTION("""COMPUTED_VALUE"""),"생오취리")</f>
        <v>생오취리</v>
      </c>
      <c r="B9914" s="2" t="str">
        <f>IFERROR(__xludf.DUMMYFUNCTION("""COMPUTED_VALUE"""),"소고기 등심")</f>
        <v>소고기 등심</v>
      </c>
    </row>
    <row r="9915">
      <c r="A9915" s="2" t="str">
        <f>IFERROR(__xludf.DUMMYFUNCTION("""COMPUTED_VALUE"""),"생오취리")</f>
        <v>생오취리</v>
      </c>
      <c r="B9915" s="2" t="str">
        <f>IFERROR(__xludf.DUMMYFUNCTION("""COMPUTED_VALUE"""),"홀그레인 머스터드")</f>
        <v>홀그레인 머스터드</v>
      </c>
    </row>
    <row r="9916">
      <c r="A9916" s="2" t="str">
        <f>IFERROR(__xludf.DUMMYFUNCTION("""COMPUTED_VALUE"""),"생오취리")</f>
        <v>생오취리</v>
      </c>
      <c r="B9916" s="2" t="str">
        <f>IFERROR(__xludf.DUMMYFUNCTION("""COMPUTED_VALUE"""),"베이컨")</f>
        <v>베이컨</v>
      </c>
    </row>
    <row r="9917">
      <c r="A9917" s="2" t="str">
        <f>IFERROR(__xludf.DUMMYFUNCTION("""COMPUTED_VALUE"""),"생오취리")</f>
        <v>생오취리</v>
      </c>
      <c r="B9917" s="2" t="str">
        <f>IFERROR(__xludf.DUMMYFUNCTION("""COMPUTED_VALUE"""),"귀리")</f>
        <v>귀리</v>
      </c>
    </row>
    <row r="9918">
      <c r="A9918" s="2" t="str">
        <f>IFERROR(__xludf.DUMMYFUNCTION("""COMPUTED_VALUE"""),"생오취리")</f>
        <v>생오취리</v>
      </c>
      <c r="B9918" s="2" t="str">
        <f>IFERROR(__xludf.DUMMYFUNCTION("""COMPUTED_VALUE"""),"가나 땅콩")</f>
        <v>가나 땅콩</v>
      </c>
    </row>
    <row r="9919">
      <c r="A9919" s="2" t="str">
        <f>IFERROR(__xludf.DUMMYFUNCTION("""COMPUTED_VALUE"""),"생오취리")</f>
        <v>생오취리</v>
      </c>
      <c r="B9919" s="2" t="str">
        <f>IFERROR(__xludf.DUMMYFUNCTION("""COMPUTED_VALUE"""),"파르메산 치즈가루")</f>
        <v>파르메산 치즈가루</v>
      </c>
    </row>
    <row r="9920">
      <c r="A9920" s="2" t="str">
        <f>IFERROR(__xludf.DUMMYFUNCTION("""COMPUTED_VALUE"""),"생오취리")</f>
        <v>생오취리</v>
      </c>
      <c r="B9920" s="2" t="str">
        <f>IFERROR(__xludf.DUMMYFUNCTION("""COMPUTED_VALUE"""),"토마토")</f>
        <v>토마토</v>
      </c>
    </row>
    <row r="9921">
      <c r="A9921" s="2" t="str">
        <f>IFERROR(__xludf.DUMMYFUNCTION("""COMPUTED_VALUE"""),"생오취리")</f>
        <v>생오취리</v>
      </c>
      <c r="B9921" s="2" t="str">
        <f>IFERROR(__xludf.DUMMYFUNCTION("""COMPUTED_VALUE"""),"상추")</f>
        <v>상추</v>
      </c>
    </row>
    <row r="9922">
      <c r="A9922" s="2" t="str">
        <f>IFERROR(__xludf.DUMMYFUNCTION("""COMPUTED_VALUE"""),"생오취리")</f>
        <v>생오취리</v>
      </c>
      <c r="B9922" s="2" t="str">
        <f>IFERROR(__xludf.DUMMYFUNCTION("""COMPUTED_VALUE"""),"파프리카")</f>
        <v>파프리카</v>
      </c>
    </row>
    <row r="9923">
      <c r="A9923" s="2" t="str">
        <f>IFERROR(__xludf.DUMMYFUNCTION("""COMPUTED_VALUE"""),"생오취리")</f>
        <v>생오취리</v>
      </c>
      <c r="B9923" s="2" t="str">
        <f>IFERROR(__xludf.DUMMYFUNCTION("""COMPUTED_VALUE"""),"파슬리")</f>
        <v>파슬리</v>
      </c>
    </row>
    <row r="9924">
      <c r="A9924" s="2" t="str">
        <f>IFERROR(__xludf.DUMMYFUNCTION("""COMPUTED_VALUE"""),"생오취리")</f>
        <v>생오취리</v>
      </c>
      <c r="B9924" s="2" t="str">
        <f>IFERROR(__xludf.DUMMYFUNCTION("""COMPUTED_VALUE"""),"후추")</f>
        <v>후추</v>
      </c>
    </row>
    <row r="9925">
      <c r="A9925" s="2" t="str">
        <f>IFERROR(__xludf.DUMMYFUNCTION("""COMPUTED_VALUE"""),"생오취리")</f>
        <v>생오취리</v>
      </c>
      <c r="B9925" s="2" t="str">
        <f>IFERROR(__xludf.DUMMYFUNCTION("""COMPUTED_VALUE"""),"올리브 오일")</f>
        <v>올리브 오일</v>
      </c>
    </row>
    <row r="9926">
      <c r="A9926" s="2" t="str">
        <f>IFERROR(__xludf.DUMMYFUNCTION("""COMPUTED_VALUE"""),"생오취리")</f>
        <v>생오취리</v>
      </c>
      <c r="B9926" s="2" t="str">
        <f>IFERROR(__xludf.DUMMYFUNCTION("""COMPUTED_VALUE"""),"식초")</f>
        <v>식초</v>
      </c>
    </row>
    <row r="9927">
      <c r="A9927" s="2" t="str">
        <f>IFERROR(__xludf.DUMMYFUNCTION("""COMPUTED_VALUE"""),"생오취리")</f>
        <v>생오취리</v>
      </c>
      <c r="B9927" s="2" t="str">
        <f>IFERROR(__xludf.DUMMYFUNCTION("""COMPUTED_VALUE"""),"소금")</f>
        <v>소금</v>
      </c>
    </row>
    <row r="9928">
      <c r="A9928" s="2" t="str">
        <f>IFERROR(__xludf.DUMMYFUNCTION("""COMPUTED_VALUE"""),"생오취리")</f>
        <v>생오취리</v>
      </c>
      <c r="B9928" s="2" t="str">
        <f>IFERROR(__xludf.DUMMYFUNCTION("""COMPUTED_VALUE"""),"양파")</f>
        <v>양파</v>
      </c>
    </row>
    <row r="9929">
      <c r="A9929" s="2" t="str">
        <f>IFERROR(__xludf.DUMMYFUNCTION("""COMPUTED_VALUE"""),"생오취리")</f>
        <v>생오취리</v>
      </c>
      <c r="B9929" s="2" t="str">
        <f>IFERROR(__xludf.DUMMYFUNCTION("""COMPUTED_VALUE"""),"마늘")</f>
        <v>마늘</v>
      </c>
    </row>
    <row r="9930">
      <c r="A9930" s="2" t="str">
        <f>IFERROR(__xludf.DUMMYFUNCTION("""COMPUTED_VALUE"""),"맛있는 소고기렌당")</f>
        <v>맛있는 소고기렌당</v>
      </c>
      <c r="B9930" s="2" t="str">
        <f>IFERROR(__xludf.DUMMYFUNCTION("""COMPUTED_VALUE"""),"소고기 등심")</f>
        <v>소고기 등심</v>
      </c>
    </row>
    <row r="9931">
      <c r="A9931" s="2" t="str">
        <f>IFERROR(__xludf.DUMMYFUNCTION("""COMPUTED_VALUE"""),"맛있는 소고기렌당")</f>
        <v>맛있는 소고기렌당</v>
      </c>
      <c r="B9931" s="2" t="str">
        <f>IFERROR(__xludf.DUMMYFUNCTION("""COMPUTED_VALUE"""),"강황가루")</f>
        <v>강황가루</v>
      </c>
    </row>
    <row r="9932">
      <c r="A9932" s="2" t="str">
        <f>IFERROR(__xludf.DUMMYFUNCTION("""COMPUTED_VALUE"""),"맛있는 소고기렌당")</f>
        <v>맛있는 소고기렌당</v>
      </c>
      <c r="B9932" s="2" t="str">
        <f>IFERROR(__xludf.DUMMYFUNCTION("""COMPUTED_VALUE"""),"계피가루")</f>
        <v>계피가루</v>
      </c>
    </row>
    <row r="9933">
      <c r="A9933" s="2" t="str">
        <f>IFERROR(__xludf.DUMMYFUNCTION("""COMPUTED_VALUE"""),"맛있는 소고기렌당")</f>
        <v>맛있는 소고기렌당</v>
      </c>
      <c r="B9933" s="2" t="str">
        <f>IFERROR(__xludf.DUMMYFUNCTION("""COMPUTED_VALUE"""),"코코넛밀크")</f>
        <v>코코넛밀크</v>
      </c>
    </row>
    <row r="9934">
      <c r="A9934" s="2" t="str">
        <f>IFERROR(__xludf.DUMMYFUNCTION("""COMPUTED_VALUE"""),"맛있는 소고기렌당")</f>
        <v>맛있는 소고기렌당</v>
      </c>
      <c r="B9934" s="2" t="str">
        <f>IFERROR(__xludf.DUMMYFUNCTION("""COMPUTED_VALUE"""),"레몬")</f>
        <v>레몬</v>
      </c>
    </row>
    <row r="9935">
      <c r="A9935" s="2" t="str">
        <f>IFERROR(__xludf.DUMMYFUNCTION("""COMPUTED_VALUE"""),"맛있는 소고기렌당")</f>
        <v>맛있는 소고기렌당</v>
      </c>
      <c r="B9935" s="2" t="str">
        <f>IFERROR(__xludf.DUMMYFUNCTION("""COMPUTED_VALUE"""),"브로콜리")</f>
        <v>브로콜리</v>
      </c>
    </row>
    <row r="9936">
      <c r="A9936" s="2" t="str">
        <f>IFERROR(__xludf.DUMMYFUNCTION("""COMPUTED_VALUE"""),"맛있는 소고기렌당")</f>
        <v>맛있는 소고기렌당</v>
      </c>
      <c r="B9936" s="2" t="str">
        <f>IFERROR(__xludf.DUMMYFUNCTION("""COMPUTED_VALUE"""),"가나 새우가루")</f>
        <v>가나 새우가루</v>
      </c>
    </row>
    <row r="9937">
      <c r="A9937" s="2" t="str">
        <f>IFERROR(__xludf.DUMMYFUNCTION("""COMPUTED_VALUE"""),"맛있는 소고기렌당")</f>
        <v>맛있는 소고기렌당</v>
      </c>
      <c r="B9937" s="2" t="str">
        <f>IFERROR(__xludf.DUMMYFUNCTION("""COMPUTED_VALUE"""),"시토")</f>
        <v>시토</v>
      </c>
    </row>
    <row r="9938">
      <c r="A9938" s="2" t="str">
        <f>IFERROR(__xludf.DUMMYFUNCTION("""COMPUTED_VALUE"""),"맛있는 소고기렌당")</f>
        <v>맛있는 소고기렌당</v>
      </c>
      <c r="B9938" s="2" t="str">
        <f>IFERROR(__xludf.DUMMYFUNCTION("""COMPUTED_VALUE"""),"양파")</f>
        <v>양파</v>
      </c>
    </row>
    <row r="9939">
      <c r="A9939" s="2" t="str">
        <f>IFERROR(__xludf.DUMMYFUNCTION("""COMPUTED_VALUE"""),"맛있는 소고기렌당")</f>
        <v>맛있는 소고기렌당</v>
      </c>
      <c r="B9939" s="2" t="str">
        <f>IFERROR(__xludf.DUMMYFUNCTION("""COMPUTED_VALUE"""),"고춧가루")</f>
        <v>고춧가루</v>
      </c>
    </row>
    <row r="9940">
      <c r="A9940" s="2" t="str">
        <f>IFERROR(__xludf.DUMMYFUNCTION("""COMPUTED_VALUE"""),"맛있는 소고기렌당")</f>
        <v>맛있는 소고기렌당</v>
      </c>
      <c r="B9940" s="2" t="str">
        <f>IFERROR(__xludf.DUMMYFUNCTION("""COMPUTED_VALUE"""),"다진 생강")</f>
        <v>다진 생강</v>
      </c>
    </row>
    <row r="9941">
      <c r="A9941" s="2" t="str">
        <f>IFERROR(__xludf.DUMMYFUNCTION("""COMPUTED_VALUE"""),"맛있는 소고기렌당")</f>
        <v>맛있는 소고기렌당</v>
      </c>
      <c r="B9941" s="2" t="str">
        <f>IFERROR(__xludf.DUMMYFUNCTION("""COMPUTED_VALUE"""),"소금")</f>
        <v>소금</v>
      </c>
    </row>
    <row r="9942">
      <c r="A9942" s="2" t="str">
        <f>IFERROR(__xludf.DUMMYFUNCTION("""COMPUTED_VALUE"""),"맛있는 소고기렌당")</f>
        <v>맛있는 소고기렌당</v>
      </c>
      <c r="B9942" s="2" t="str">
        <f>IFERROR(__xludf.DUMMYFUNCTION("""COMPUTED_VALUE"""),"다진 마늘")</f>
        <v>다진 마늘</v>
      </c>
    </row>
    <row r="9943">
      <c r="A9943" s="2" t="str">
        <f>IFERROR(__xludf.DUMMYFUNCTION("""COMPUTED_VALUE"""),"맛있는 소고기렌당")</f>
        <v>맛있는 소고기렌당</v>
      </c>
      <c r="B9943" s="2" t="str">
        <f>IFERROR(__xludf.DUMMYFUNCTION("""COMPUTED_VALUE"""),"청양고추")</f>
        <v>청양고추</v>
      </c>
    </row>
    <row r="9944">
      <c r="A9944" s="2" t="str">
        <f>IFERROR(__xludf.DUMMYFUNCTION("""COMPUTED_VALUE"""),"맛있는 소고기렌당")</f>
        <v>맛있는 소고기렌당</v>
      </c>
      <c r="B9944" s="2" t="str">
        <f>IFERROR(__xludf.DUMMYFUNCTION("""COMPUTED_VALUE"""),"올리브오일")</f>
        <v>올리브오일</v>
      </c>
    </row>
    <row r="9945">
      <c r="A9945" s="2" t="str">
        <f>IFERROR(__xludf.DUMMYFUNCTION("""COMPUTED_VALUE"""),"맛있는 소고기렌당")</f>
        <v>맛있는 소고기렌당</v>
      </c>
      <c r="B9945" s="2" t="str">
        <f>IFERROR(__xludf.DUMMYFUNCTION("""COMPUTED_VALUE"""),"홍고추")</f>
        <v>홍고추</v>
      </c>
    </row>
    <row r="9946">
      <c r="A9946" s="2" t="str">
        <f>IFERROR(__xludf.DUMMYFUNCTION("""COMPUTED_VALUE"""),"가나 가즈아~")</f>
        <v>가나 가즈아~</v>
      </c>
      <c r="B9946" s="2" t="str">
        <f>IFERROR(__xludf.DUMMYFUNCTION("""COMPUTED_VALUE"""),"닭다리")</f>
        <v>닭다리</v>
      </c>
    </row>
    <row r="9947">
      <c r="A9947" s="2" t="str">
        <f>IFERROR(__xludf.DUMMYFUNCTION("""COMPUTED_VALUE"""),"가나 가즈아~")</f>
        <v>가나 가즈아~</v>
      </c>
      <c r="B9947" s="2" t="str">
        <f>IFERROR(__xludf.DUMMYFUNCTION("""COMPUTED_VALUE"""),"가나 새우가루")</f>
        <v>가나 새우가루</v>
      </c>
    </row>
    <row r="9948">
      <c r="A9948" s="2" t="str">
        <f>IFERROR(__xludf.DUMMYFUNCTION("""COMPUTED_VALUE"""),"가나 가즈아~")</f>
        <v>가나 가즈아~</v>
      </c>
      <c r="B9948" s="2" t="str">
        <f>IFERROR(__xludf.DUMMYFUNCTION("""COMPUTED_VALUE"""),"레드팜 오일")</f>
        <v>레드팜 오일</v>
      </c>
    </row>
    <row r="9949">
      <c r="A9949" s="2" t="str">
        <f>IFERROR(__xludf.DUMMYFUNCTION("""COMPUTED_VALUE"""),"가나 가즈아~")</f>
        <v>가나 가즈아~</v>
      </c>
      <c r="B9949" s="2" t="str">
        <f>IFERROR(__xludf.DUMMYFUNCTION("""COMPUTED_VALUE"""),"토마토 페이스트")</f>
        <v>토마토 페이스트</v>
      </c>
    </row>
    <row r="9950">
      <c r="A9950" s="2" t="str">
        <f>IFERROR(__xludf.DUMMYFUNCTION("""COMPUTED_VALUE"""),"가나 가즈아~")</f>
        <v>가나 가즈아~</v>
      </c>
      <c r="B9950" s="2" t="str">
        <f>IFERROR(__xludf.DUMMYFUNCTION("""COMPUTED_VALUE"""),"치킨스톡")</f>
        <v>치킨스톡</v>
      </c>
    </row>
    <row r="9951">
      <c r="A9951" s="2" t="str">
        <f>IFERROR(__xludf.DUMMYFUNCTION("""COMPUTED_VALUE"""),"가나 가즈아~")</f>
        <v>가나 가즈아~</v>
      </c>
      <c r="B9951" s="2" t="str">
        <f>IFERROR(__xludf.DUMMYFUNCTION("""COMPUTED_VALUE"""),"게맛살")</f>
        <v>게맛살</v>
      </c>
    </row>
    <row r="9952">
      <c r="A9952" s="2" t="str">
        <f>IFERROR(__xludf.DUMMYFUNCTION("""COMPUTED_VALUE"""),"가나 가즈아~")</f>
        <v>가나 가즈아~</v>
      </c>
      <c r="B9952" s="2" t="str">
        <f>IFERROR(__xludf.DUMMYFUNCTION("""COMPUTED_VALUE"""),"푸푸가루")</f>
        <v>푸푸가루</v>
      </c>
    </row>
    <row r="9953">
      <c r="A9953" s="2" t="str">
        <f>IFERROR(__xludf.DUMMYFUNCTION("""COMPUTED_VALUE"""),"가나 가즈아~")</f>
        <v>가나 가즈아~</v>
      </c>
      <c r="B9953" s="2" t="str">
        <f>IFERROR(__xludf.DUMMYFUNCTION("""COMPUTED_VALUE"""),"코코넛밀크")</f>
        <v>코코넛밀크</v>
      </c>
    </row>
    <row r="9954">
      <c r="A9954" s="2" t="str">
        <f>IFERROR(__xludf.DUMMYFUNCTION("""COMPUTED_VALUE"""),"가나 가즈아~")</f>
        <v>가나 가즈아~</v>
      </c>
      <c r="B9954" s="2" t="str">
        <f>IFERROR(__xludf.DUMMYFUNCTION("""COMPUTED_VALUE"""),"양파")</f>
        <v>양파</v>
      </c>
    </row>
    <row r="9955">
      <c r="A9955" s="2" t="str">
        <f>IFERROR(__xludf.DUMMYFUNCTION("""COMPUTED_VALUE"""),"가나 가즈아~")</f>
        <v>가나 가즈아~</v>
      </c>
      <c r="B9955" s="2" t="str">
        <f>IFERROR(__xludf.DUMMYFUNCTION("""COMPUTED_VALUE"""),"다진 생강")</f>
        <v>다진 생강</v>
      </c>
    </row>
    <row r="9956">
      <c r="A9956" s="2" t="str">
        <f>IFERROR(__xludf.DUMMYFUNCTION("""COMPUTED_VALUE"""),"가나 가즈아~")</f>
        <v>가나 가즈아~</v>
      </c>
      <c r="B9956" s="2" t="str">
        <f>IFERROR(__xludf.DUMMYFUNCTION("""COMPUTED_VALUE"""),"달걀")</f>
        <v>달걀</v>
      </c>
    </row>
    <row r="9957">
      <c r="A9957" s="2" t="str">
        <f>IFERROR(__xludf.DUMMYFUNCTION("""COMPUTED_VALUE"""),"가나 가즈아~")</f>
        <v>가나 가즈아~</v>
      </c>
      <c r="B9957" s="2" t="str">
        <f>IFERROR(__xludf.DUMMYFUNCTION("""COMPUTED_VALUE"""),"전분")</f>
        <v>전분</v>
      </c>
    </row>
    <row r="9958">
      <c r="A9958" s="2" t="str">
        <f>IFERROR(__xludf.DUMMYFUNCTION("""COMPUTED_VALUE"""),"가나 가즈아~")</f>
        <v>가나 가즈아~</v>
      </c>
      <c r="B9958" s="2" t="str">
        <f>IFERROR(__xludf.DUMMYFUNCTION("""COMPUTED_VALUE"""),"소금")</f>
        <v>소금</v>
      </c>
    </row>
    <row r="9959">
      <c r="A9959" s="2" t="str">
        <f>IFERROR(__xludf.DUMMYFUNCTION("""COMPUTED_VALUE"""),"가나 가즈아~")</f>
        <v>가나 가즈아~</v>
      </c>
      <c r="B9959" s="2" t="str">
        <f>IFERROR(__xludf.DUMMYFUNCTION("""COMPUTED_VALUE"""),"후추")</f>
        <v>후추</v>
      </c>
    </row>
    <row r="9960">
      <c r="A9960" s="2" t="str">
        <f>IFERROR(__xludf.DUMMYFUNCTION("""COMPUTED_VALUE"""),"나이스! 라이스~")</f>
        <v>나이스! 라이스~</v>
      </c>
      <c r="B9960" s="2" t="str">
        <f>IFERROR(__xludf.DUMMYFUNCTION("""COMPUTED_VALUE"""),"인스턴트 사골곰탕")</f>
        <v>인스턴트 사골곰탕</v>
      </c>
    </row>
    <row r="9961">
      <c r="A9961" s="2" t="str">
        <f>IFERROR(__xludf.DUMMYFUNCTION("""COMPUTED_VALUE"""),"나이스! 라이스~")</f>
        <v>나이스! 라이스~</v>
      </c>
      <c r="B9961" s="2" t="str">
        <f>IFERROR(__xludf.DUMMYFUNCTION("""COMPUTED_VALUE"""),"쌀")</f>
        <v>쌀</v>
      </c>
    </row>
    <row r="9962">
      <c r="A9962" s="2" t="str">
        <f>IFERROR(__xludf.DUMMYFUNCTION("""COMPUTED_VALUE"""),"나이스! 라이스~")</f>
        <v>나이스! 라이스~</v>
      </c>
      <c r="B9962" s="2" t="str">
        <f>IFERROR(__xludf.DUMMYFUNCTION("""COMPUTED_VALUE"""),"토마토 페이스트")</f>
        <v>토마토 페이스트</v>
      </c>
    </row>
    <row r="9963">
      <c r="A9963" s="2" t="str">
        <f>IFERROR(__xludf.DUMMYFUNCTION("""COMPUTED_VALUE"""),"나이스! 라이스~")</f>
        <v>나이스! 라이스~</v>
      </c>
      <c r="B9963" s="2" t="str">
        <f>IFERROR(__xludf.DUMMYFUNCTION("""COMPUTED_VALUE"""),"버터스프레이")</f>
        <v>버터스프레이</v>
      </c>
    </row>
    <row r="9964">
      <c r="A9964" s="2" t="str">
        <f>IFERROR(__xludf.DUMMYFUNCTION("""COMPUTED_VALUE"""),"나이스! 라이스~")</f>
        <v>나이스! 라이스~</v>
      </c>
      <c r="B9964" s="2" t="str">
        <f>IFERROR(__xludf.DUMMYFUNCTION("""COMPUTED_VALUE"""),"레드팜 오일")</f>
        <v>레드팜 오일</v>
      </c>
    </row>
    <row r="9965">
      <c r="A9965" s="2" t="str">
        <f>IFERROR(__xludf.DUMMYFUNCTION("""COMPUTED_VALUE"""),"나이스! 라이스~")</f>
        <v>나이스! 라이스~</v>
      </c>
      <c r="B9965" s="2" t="str">
        <f>IFERROR(__xludf.DUMMYFUNCTION("""COMPUTED_VALUE"""),"파프리카")</f>
        <v>파프리카</v>
      </c>
    </row>
    <row r="9966">
      <c r="A9966" s="2" t="str">
        <f>IFERROR(__xludf.DUMMYFUNCTION("""COMPUTED_VALUE"""),"나이스! 라이스~")</f>
        <v>나이스! 라이스~</v>
      </c>
      <c r="B9966" s="2" t="str">
        <f>IFERROR(__xludf.DUMMYFUNCTION("""COMPUTED_VALUE"""),"토마토")</f>
        <v>토마토</v>
      </c>
    </row>
    <row r="9967">
      <c r="A9967" s="2" t="str">
        <f>IFERROR(__xludf.DUMMYFUNCTION("""COMPUTED_VALUE"""),"나이스! 라이스~")</f>
        <v>나이스! 라이스~</v>
      </c>
      <c r="B9967" s="2" t="str">
        <f>IFERROR(__xludf.DUMMYFUNCTION("""COMPUTED_VALUE"""),"소고기 등심")</f>
        <v>소고기 등심</v>
      </c>
    </row>
    <row r="9968">
      <c r="A9968" s="2" t="str">
        <f>IFERROR(__xludf.DUMMYFUNCTION("""COMPUTED_VALUE"""),"나이스! 라이스~")</f>
        <v>나이스! 라이스~</v>
      </c>
      <c r="B9968" s="2" t="str">
        <f>IFERROR(__xludf.DUMMYFUNCTION("""COMPUTED_VALUE"""),"스테이크시즈닝")</f>
        <v>스테이크시즈닝</v>
      </c>
    </row>
    <row r="9969">
      <c r="A9969" s="2" t="str">
        <f>IFERROR(__xludf.DUMMYFUNCTION("""COMPUTED_VALUE"""),"나이스! 라이스~")</f>
        <v>나이스! 라이스~</v>
      </c>
      <c r="B9969" s="2" t="str">
        <f>IFERROR(__xludf.DUMMYFUNCTION("""COMPUTED_VALUE"""),"강황가루")</f>
        <v>강황가루</v>
      </c>
    </row>
    <row r="9970">
      <c r="A9970" s="2" t="str">
        <f>IFERROR(__xludf.DUMMYFUNCTION("""COMPUTED_VALUE"""),"나이스! 라이스~")</f>
        <v>나이스! 라이스~</v>
      </c>
      <c r="B9970" s="2" t="str">
        <f>IFERROR(__xludf.DUMMYFUNCTION("""COMPUTED_VALUE"""),"가나 새우가루")</f>
        <v>가나 새우가루</v>
      </c>
    </row>
    <row r="9971">
      <c r="A9971" s="2" t="str">
        <f>IFERROR(__xludf.DUMMYFUNCTION("""COMPUTED_VALUE"""),"나이스! 라이스~")</f>
        <v>나이스! 라이스~</v>
      </c>
      <c r="B9971" s="2" t="str">
        <f>IFERROR(__xludf.DUMMYFUNCTION("""COMPUTED_VALUE"""),"팜너트 통조림")</f>
        <v>팜너트 통조림</v>
      </c>
    </row>
    <row r="9972">
      <c r="A9972" s="2" t="str">
        <f>IFERROR(__xludf.DUMMYFUNCTION("""COMPUTED_VALUE"""),"나이스! 라이스~")</f>
        <v>나이스! 라이스~</v>
      </c>
      <c r="B9972" s="2" t="str">
        <f>IFERROR(__xludf.DUMMYFUNCTION("""COMPUTED_VALUE"""),"시토 소스")</f>
        <v>시토 소스</v>
      </c>
    </row>
    <row r="9973">
      <c r="A9973" s="2" t="str">
        <f>IFERROR(__xludf.DUMMYFUNCTION("""COMPUTED_VALUE"""),"나이스! 라이스~")</f>
        <v>나이스! 라이스~</v>
      </c>
      <c r="B9973" s="2" t="str">
        <f>IFERROR(__xludf.DUMMYFUNCTION("""COMPUTED_VALUE"""),"양파")</f>
        <v>양파</v>
      </c>
    </row>
    <row r="9974">
      <c r="A9974" s="2" t="str">
        <f>IFERROR(__xludf.DUMMYFUNCTION("""COMPUTED_VALUE"""),"나이스! 라이스~")</f>
        <v>나이스! 라이스~</v>
      </c>
      <c r="B9974" s="2" t="str">
        <f>IFERROR(__xludf.DUMMYFUNCTION("""COMPUTED_VALUE"""),"청양고추")</f>
        <v>청양고추</v>
      </c>
    </row>
    <row r="9975">
      <c r="A9975" s="2" t="str">
        <f>IFERROR(__xludf.DUMMYFUNCTION("""COMPUTED_VALUE"""),"나이스! 라이스~")</f>
        <v>나이스! 라이스~</v>
      </c>
      <c r="B9975" s="2" t="str">
        <f>IFERROR(__xludf.DUMMYFUNCTION("""COMPUTED_VALUE"""),"통마늘")</f>
        <v>통마늘</v>
      </c>
    </row>
    <row r="9976">
      <c r="A9976" s="2" t="str">
        <f>IFERROR(__xludf.DUMMYFUNCTION("""COMPUTED_VALUE"""),"나이스! 라이스~")</f>
        <v>나이스! 라이스~</v>
      </c>
      <c r="B9976" s="2" t="str">
        <f>IFERROR(__xludf.DUMMYFUNCTION("""COMPUTED_VALUE"""),"다진 생강")</f>
        <v>다진 생강</v>
      </c>
    </row>
    <row r="9977">
      <c r="A9977" s="2" t="str">
        <f>IFERROR(__xludf.DUMMYFUNCTION("""COMPUTED_VALUE"""),"죽빙")</f>
        <v>죽빙</v>
      </c>
      <c r="B9977" s="2" t="str">
        <f>IFERROR(__xludf.DUMMYFUNCTION("""COMPUTED_VALUE"""),"누룽지")</f>
        <v>누룽지</v>
      </c>
    </row>
    <row r="9978">
      <c r="A9978" s="2" t="str">
        <f>IFERROR(__xludf.DUMMYFUNCTION("""COMPUTED_VALUE"""),"죽빙")</f>
        <v>죽빙</v>
      </c>
      <c r="B9978" s="2" t="str">
        <f>IFERROR(__xludf.DUMMYFUNCTION("""COMPUTED_VALUE"""),"오징어")</f>
        <v>오징어</v>
      </c>
    </row>
    <row r="9979">
      <c r="A9979" s="2" t="str">
        <f>IFERROR(__xludf.DUMMYFUNCTION("""COMPUTED_VALUE"""),"죽빙")</f>
        <v>죽빙</v>
      </c>
      <c r="B9979" s="2" t="str">
        <f>IFERROR(__xludf.DUMMYFUNCTION("""COMPUTED_VALUE"""),"애호박")</f>
        <v>애호박</v>
      </c>
    </row>
    <row r="9980">
      <c r="A9980" s="2" t="str">
        <f>IFERROR(__xludf.DUMMYFUNCTION("""COMPUTED_VALUE"""),"죽빙")</f>
        <v>죽빙</v>
      </c>
      <c r="B9980" s="2" t="str">
        <f>IFERROR(__xludf.DUMMYFUNCTION("""COMPUTED_VALUE"""),"쑥떡")</f>
        <v>쑥떡</v>
      </c>
    </row>
    <row r="9981">
      <c r="A9981" s="2" t="str">
        <f>IFERROR(__xludf.DUMMYFUNCTION("""COMPUTED_VALUE"""),"죽빙")</f>
        <v>죽빙</v>
      </c>
      <c r="B9981" s="2" t="str">
        <f>IFERROR(__xludf.DUMMYFUNCTION("""COMPUTED_VALUE"""),"멍게젓")</f>
        <v>멍게젓</v>
      </c>
    </row>
    <row r="9982">
      <c r="A9982" s="2" t="str">
        <f>IFERROR(__xludf.DUMMYFUNCTION("""COMPUTED_VALUE"""),"죽빙")</f>
        <v>죽빙</v>
      </c>
      <c r="B9982" s="2" t="str">
        <f>IFERROR(__xludf.DUMMYFUNCTION("""COMPUTED_VALUE"""),"청포도")</f>
        <v>청포도</v>
      </c>
    </row>
    <row r="9983">
      <c r="A9983" s="2" t="str">
        <f>IFERROR(__xludf.DUMMYFUNCTION("""COMPUTED_VALUE"""),"죽빙")</f>
        <v>죽빙</v>
      </c>
      <c r="B9983" s="2" t="str">
        <f>IFERROR(__xludf.DUMMYFUNCTION("""COMPUTED_VALUE"""),"꿀")</f>
        <v>꿀</v>
      </c>
    </row>
    <row r="9984">
      <c r="A9984" s="2" t="str">
        <f>IFERROR(__xludf.DUMMYFUNCTION("""COMPUTED_VALUE"""),"죽빙")</f>
        <v>죽빙</v>
      </c>
      <c r="B9984" s="2" t="str">
        <f>IFERROR(__xludf.DUMMYFUNCTION("""COMPUTED_VALUE"""),"수수부꾸미")</f>
        <v>수수부꾸미</v>
      </c>
    </row>
    <row r="9985">
      <c r="A9985" s="2" t="str">
        <f>IFERROR(__xludf.DUMMYFUNCTION("""COMPUTED_VALUE"""),"죽빙")</f>
        <v>죽빙</v>
      </c>
      <c r="B9985" s="2" t="str">
        <f>IFERROR(__xludf.DUMMYFUNCTION("""COMPUTED_VALUE"""),"딸기")</f>
        <v>딸기</v>
      </c>
    </row>
    <row r="9986">
      <c r="A9986" s="2" t="str">
        <f>IFERROR(__xludf.DUMMYFUNCTION("""COMPUTED_VALUE"""),"죽빙")</f>
        <v>죽빙</v>
      </c>
      <c r="B9986" s="2" t="str">
        <f>IFERROR(__xludf.DUMMYFUNCTION("""COMPUTED_VALUE"""),"블루베리")</f>
        <v>블루베리</v>
      </c>
    </row>
    <row r="9987">
      <c r="A9987" s="2" t="str">
        <f>IFERROR(__xludf.DUMMYFUNCTION("""COMPUTED_VALUE"""),"죽빙")</f>
        <v>죽빙</v>
      </c>
      <c r="B9987" s="2" t="str">
        <f>IFERROR(__xludf.DUMMYFUNCTION("""COMPUTED_VALUE"""),"마늘")</f>
        <v>마늘</v>
      </c>
    </row>
    <row r="9988">
      <c r="A9988" s="2" t="str">
        <f>IFERROR(__xludf.DUMMYFUNCTION("""COMPUTED_VALUE"""),"죽빙")</f>
        <v>죽빙</v>
      </c>
      <c r="B9988" s="2" t="str">
        <f>IFERROR(__xludf.DUMMYFUNCTION("""COMPUTED_VALUE"""),"맛술")</f>
        <v>맛술</v>
      </c>
    </row>
    <row r="9989">
      <c r="A9989" s="2" t="str">
        <f>IFERROR(__xludf.DUMMYFUNCTION("""COMPUTED_VALUE"""),"죽빙")</f>
        <v>죽빙</v>
      </c>
      <c r="B9989" s="2" t="str">
        <f>IFERROR(__xludf.DUMMYFUNCTION("""COMPUTED_VALUE"""),"소금")</f>
        <v>소금</v>
      </c>
    </row>
    <row r="9990">
      <c r="A9990" s="2" t="str">
        <f>IFERROR(__xludf.DUMMYFUNCTION("""COMPUTED_VALUE"""),"죽빙")</f>
        <v>죽빙</v>
      </c>
      <c r="B9990" s="2" t="str">
        <f>IFERROR(__xludf.DUMMYFUNCTION("""COMPUTED_VALUE"""),"청양고추")</f>
        <v>청양고추</v>
      </c>
    </row>
    <row r="9991">
      <c r="A9991" s="2" t="str">
        <f>IFERROR(__xludf.DUMMYFUNCTION("""COMPUTED_VALUE"""),"죽빙")</f>
        <v>죽빙</v>
      </c>
      <c r="B9991" s="2" t="str">
        <f>IFERROR(__xludf.DUMMYFUNCTION("""COMPUTED_VALUE"""),"깨")</f>
        <v>깨</v>
      </c>
    </row>
    <row r="9992">
      <c r="A9992" s="2" t="str">
        <f>IFERROR(__xludf.DUMMYFUNCTION("""COMPUTED_VALUE"""),"죽빙")</f>
        <v>죽빙</v>
      </c>
      <c r="B9992" s="2" t="str">
        <f>IFERROR(__xludf.DUMMYFUNCTION("""COMPUTED_VALUE"""),"참기름")</f>
        <v>참기름</v>
      </c>
    </row>
    <row r="9993">
      <c r="A9993" s="2" t="str">
        <f>IFERROR(__xludf.DUMMYFUNCTION("""COMPUTED_VALUE"""),"죽빙")</f>
        <v>죽빙</v>
      </c>
      <c r="B9993" s="2" t="str">
        <f>IFERROR(__xludf.DUMMYFUNCTION("""COMPUTED_VALUE"""),"대파")</f>
        <v>대파</v>
      </c>
    </row>
    <row r="9994">
      <c r="A9994" s="2" t="str">
        <f>IFERROR(__xludf.DUMMYFUNCTION("""COMPUTED_VALUE"""),"죽빙")</f>
        <v>죽빙</v>
      </c>
      <c r="B9994" s="2" t="str">
        <f>IFERROR(__xludf.DUMMYFUNCTION("""COMPUTED_VALUE"""),"레몬")</f>
        <v>레몬</v>
      </c>
    </row>
    <row r="9995">
      <c r="A9995" s="2" t="str">
        <f>IFERROR(__xludf.DUMMYFUNCTION("""COMPUTED_VALUE"""),"수비드 레이서")</f>
        <v>수비드 레이서</v>
      </c>
      <c r="B9995" s="2" t="str">
        <f>IFERROR(__xludf.DUMMYFUNCTION("""COMPUTED_VALUE"""),"연어")</f>
        <v>연어</v>
      </c>
    </row>
    <row r="9996">
      <c r="A9996" s="2" t="str">
        <f>IFERROR(__xludf.DUMMYFUNCTION("""COMPUTED_VALUE"""),"수비드 레이서")</f>
        <v>수비드 레이서</v>
      </c>
      <c r="B9996" s="2" t="str">
        <f>IFERROR(__xludf.DUMMYFUNCTION("""COMPUTED_VALUE"""),"애호박")</f>
        <v>애호박</v>
      </c>
    </row>
    <row r="9997">
      <c r="A9997" s="2" t="str">
        <f>IFERROR(__xludf.DUMMYFUNCTION("""COMPUTED_VALUE"""),"수비드 레이서")</f>
        <v>수비드 레이서</v>
      </c>
      <c r="B9997" s="2" t="str">
        <f>IFERROR(__xludf.DUMMYFUNCTION("""COMPUTED_VALUE"""),"갈치")</f>
        <v>갈치</v>
      </c>
    </row>
    <row r="9998">
      <c r="A9998" s="2" t="str">
        <f>IFERROR(__xludf.DUMMYFUNCTION("""COMPUTED_VALUE"""),"수비드 레이서")</f>
        <v>수비드 레이서</v>
      </c>
      <c r="B9998" s="2" t="str">
        <f>IFERROR(__xludf.DUMMYFUNCTION("""COMPUTED_VALUE"""),"누룽지")</f>
        <v>누룽지</v>
      </c>
    </row>
    <row r="9999">
      <c r="A9999" s="2" t="str">
        <f>IFERROR(__xludf.DUMMYFUNCTION("""COMPUTED_VALUE"""),"수비드 레이서")</f>
        <v>수비드 레이서</v>
      </c>
      <c r="B9999" s="2" t="str">
        <f>IFERROR(__xludf.DUMMYFUNCTION("""COMPUTED_VALUE"""),"아보카도")</f>
        <v>아보카도</v>
      </c>
    </row>
    <row r="10000">
      <c r="A10000" s="2" t="str">
        <f>IFERROR(__xludf.DUMMYFUNCTION("""COMPUTED_VALUE"""),"수비드 레이서")</f>
        <v>수비드 레이서</v>
      </c>
      <c r="B10000" s="2" t="str">
        <f>IFERROR(__xludf.DUMMYFUNCTION("""COMPUTED_VALUE"""),"모과청")</f>
        <v>모과청</v>
      </c>
    </row>
    <row r="10001">
      <c r="A10001" s="2" t="str">
        <f>IFERROR(__xludf.DUMMYFUNCTION("""COMPUTED_VALUE"""),"수비드 레이서")</f>
        <v>수비드 레이서</v>
      </c>
      <c r="B10001" s="2" t="str">
        <f>IFERROR(__xludf.DUMMYFUNCTION("""COMPUTED_VALUE"""),"청포도")</f>
        <v>청포도</v>
      </c>
    </row>
    <row r="10002">
      <c r="A10002" s="2" t="str">
        <f>IFERROR(__xludf.DUMMYFUNCTION("""COMPUTED_VALUE"""),"수비드 레이서")</f>
        <v>수비드 레이서</v>
      </c>
      <c r="B10002" s="2" t="str">
        <f>IFERROR(__xludf.DUMMYFUNCTION("""COMPUTED_VALUE"""),"딸기")</f>
        <v>딸기</v>
      </c>
    </row>
    <row r="10003">
      <c r="A10003" s="2" t="str">
        <f>IFERROR(__xludf.DUMMYFUNCTION("""COMPUTED_VALUE"""),"수비드 레이서")</f>
        <v>수비드 레이서</v>
      </c>
      <c r="B10003" s="2" t="str">
        <f>IFERROR(__xludf.DUMMYFUNCTION("""COMPUTED_VALUE"""),"올리브오일")</f>
        <v>올리브오일</v>
      </c>
    </row>
    <row r="10004">
      <c r="A10004" s="2" t="str">
        <f>IFERROR(__xludf.DUMMYFUNCTION("""COMPUTED_VALUE"""),"수비드 레이서")</f>
        <v>수비드 레이서</v>
      </c>
      <c r="B10004" s="2" t="str">
        <f>IFERROR(__xludf.DUMMYFUNCTION("""COMPUTED_VALUE"""),"소금")</f>
        <v>소금</v>
      </c>
    </row>
    <row r="10005">
      <c r="A10005" s="2" t="str">
        <f>IFERROR(__xludf.DUMMYFUNCTION("""COMPUTED_VALUE"""),"수비드 레이서")</f>
        <v>수비드 레이서</v>
      </c>
      <c r="B10005" s="2" t="str">
        <f>IFERROR(__xludf.DUMMYFUNCTION("""COMPUTED_VALUE"""),"대파")</f>
        <v>대파</v>
      </c>
    </row>
    <row r="10006">
      <c r="A10006" s="2" t="str">
        <f>IFERROR(__xludf.DUMMYFUNCTION("""COMPUTED_VALUE"""),"수비드 레이서")</f>
        <v>수비드 레이서</v>
      </c>
      <c r="B10006" s="2" t="str">
        <f>IFERROR(__xludf.DUMMYFUNCTION("""COMPUTED_VALUE"""),"달걀")</f>
        <v>달걀</v>
      </c>
    </row>
    <row r="10007">
      <c r="A10007" s="2" t="str">
        <f>IFERROR(__xludf.DUMMYFUNCTION("""COMPUTED_VALUE"""),"수비드 레이서")</f>
        <v>수비드 레이서</v>
      </c>
      <c r="B10007" s="2" t="str">
        <f>IFERROR(__xludf.DUMMYFUNCTION("""COMPUTED_VALUE"""),"통후추")</f>
        <v>통후추</v>
      </c>
    </row>
    <row r="10008">
      <c r="A10008" s="2" t="str">
        <f>IFERROR(__xludf.DUMMYFUNCTION("""COMPUTED_VALUE"""),"수비드 레이서")</f>
        <v>수비드 레이서</v>
      </c>
      <c r="B10008" s="2" t="str">
        <f>IFERROR(__xludf.DUMMYFUNCTION("""COMPUTED_VALUE"""),"레몬즙")</f>
        <v>레몬즙</v>
      </c>
    </row>
    <row r="10009">
      <c r="A10009" s="2" t="str">
        <f>IFERROR(__xludf.DUMMYFUNCTION("""COMPUTED_VALUE"""),"수비드 레이서")</f>
        <v>수비드 레이서</v>
      </c>
      <c r="B10009" s="2" t="str">
        <f>IFERROR(__xludf.DUMMYFUNCTION("""COMPUTED_VALUE"""),"화이트와인")</f>
        <v>화이트와인</v>
      </c>
    </row>
    <row r="10010">
      <c r="A10010" s="2" t="str">
        <f>IFERROR(__xludf.DUMMYFUNCTION("""COMPUTED_VALUE"""),"수비드 레이서")</f>
        <v>수비드 레이서</v>
      </c>
      <c r="B10010" s="2" t="str">
        <f>IFERROR(__xludf.DUMMYFUNCTION("""COMPUTED_VALUE"""),"연겨자")</f>
        <v>연겨자</v>
      </c>
    </row>
    <row r="10011">
      <c r="A10011" s="2" t="str">
        <f>IFERROR(__xludf.DUMMYFUNCTION("""COMPUTED_VALUE"""),"베리베리 맛있게")</f>
        <v>베리베리 맛있게</v>
      </c>
      <c r="B10011" s="2" t="str">
        <f>IFERROR(__xludf.DUMMYFUNCTION("""COMPUTED_VALUE"""),"꽃게")</f>
        <v>꽃게</v>
      </c>
    </row>
    <row r="10012">
      <c r="A10012" s="2" t="str">
        <f>IFERROR(__xludf.DUMMYFUNCTION("""COMPUTED_VALUE"""),"베리베리 맛있게")</f>
        <v>베리베리 맛있게</v>
      </c>
      <c r="B10012" s="2" t="str">
        <f>IFERROR(__xludf.DUMMYFUNCTION("""COMPUTED_VALUE"""),"귤차 티백")</f>
        <v>귤차 티백</v>
      </c>
    </row>
    <row r="10013">
      <c r="A10013" s="2" t="str">
        <f>IFERROR(__xludf.DUMMYFUNCTION("""COMPUTED_VALUE"""),"베리베리 맛있게")</f>
        <v>베리베리 맛있게</v>
      </c>
      <c r="B10013" s="2" t="str">
        <f>IFERROR(__xludf.DUMMYFUNCTION("""COMPUTED_VALUE"""),"페퍼민트차 티백")</f>
        <v>페퍼민트차 티백</v>
      </c>
    </row>
    <row r="10014">
      <c r="A10014" s="2" t="str">
        <f>IFERROR(__xludf.DUMMYFUNCTION("""COMPUTED_VALUE"""),"베리베리 맛있게")</f>
        <v>베리베리 맛있게</v>
      </c>
      <c r="B10014" s="2" t="str">
        <f>IFERROR(__xludf.DUMMYFUNCTION("""COMPUTED_VALUE"""),"오징어")</f>
        <v>오징어</v>
      </c>
    </row>
    <row r="10015">
      <c r="A10015" s="2" t="str">
        <f>IFERROR(__xludf.DUMMYFUNCTION("""COMPUTED_VALUE"""),"베리베리 맛있게")</f>
        <v>베리베리 맛있게</v>
      </c>
      <c r="B10015" s="2" t="str">
        <f>IFERROR(__xludf.DUMMYFUNCTION("""COMPUTED_VALUE"""),"누룽지")</f>
        <v>누룽지</v>
      </c>
    </row>
    <row r="10016">
      <c r="A10016" s="2" t="str">
        <f>IFERROR(__xludf.DUMMYFUNCTION("""COMPUTED_VALUE"""),"베리베리 맛있게")</f>
        <v>베리베리 맛있게</v>
      </c>
      <c r="B10016" s="2" t="str">
        <f>IFERROR(__xludf.DUMMYFUNCTION("""COMPUTED_VALUE"""),"딸기")</f>
        <v>딸기</v>
      </c>
    </row>
    <row r="10017">
      <c r="A10017" s="2" t="str">
        <f>IFERROR(__xludf.DUMMYFUNCTION("""COMPUTED_VALUE"""),"베리베리 맛있게")</f>
        <v>베리베리 맛있게</v>
      </c>
      <c r="B10017" s="2" t="str">
        <f>IFERROR(__xludf.DUMMYFUNCTION("""COMPUTED_VALUE"""),"블루베리")</f>
        <v>블루베리</v>
      </c>
    </row>
    <row r="10018">
      <c r="A10018" s="2" t="str">
        <f>IFERROR(__xludf.DUMMYFUNCTION("""COMPUTED_VALUE"""),"베리베리 맛있게")</f>
        <v>베리베리 맛있게</v>
      </c>
      <c r="B10018" s="2" t="str">
        <f>IFERROR(__xludf.DUMMYFUNCTION("""COMPUTED_VALUE"""),"모과청")</f>
        <v>모과청</v>
      </c>
    </row>
    <row r="10019">
      <c r="A10019" s="2" t="str">
        <f>IFERROR(__xludf.DUMMYFUNCTION("""COMPUTED_VALUE"""),"베리베리 맛있게")</f>
        <v>베리베리 맛있게</v>
      </c>
      <c r="B10019" s="2" t="str">
        <f>IFERROR(__xludf.DUMMYFUNCTION("""COMPUTED_VALUE"""),"아보카도")</f>
        <v>아보카도</v>
      </c>
    </row>
    <row r="10020">
      <c r="A10020" s="2" t="str">
        <f>IFERROR(__xludf.DUMMYFUNCTION("""COMPUTED_VALUE"""),"베리베리 맛있게")</f>
        <v>베리베리 맛있게</v>
      </c>
      <c r="B10020" s="2" t="str">
        <f>IFERROR(__xludf.DUMMYFUNCTION("""COMPUTED_VALUE"""),"체리")</f>
        <v>체리</v>
      </c>
    </row>
    <row r="10021">
      <c r="A10021" s="2" t="str">
        <f>IFERROR(__xludf.DUMMYFUNCTION("""COMPUTED_VALUE"""),"베리베리 맛있게")</f>
        <v>베리베리 맛있게</v>
      </c>
      <c r="B10021" s="2" t="str">
        <f>IFERROR(__xludf.DUMMYFUNCTION("""COMPUTED_VALUE"""),"청포도")</f>
        <v>청포도</v>
      </c>
    </row>
    <row r="10022">
      <c r="A10022" s="2" t="str">
        <f>IFERROR(__xludf.DUMMYFUNCTION("""COMPUTED_VALUE"""),"베리베리 맛있게")</f>
        <v>베리베리 맛있게</v>
      </c>
      <c r="B10022" s="2" t="str">
        <f>IFERROR(__xludf.DUMMYFUNCTION("""COMPUTED_VALUE"""),"화이트와인")</f>
        <v>화이트와인</v>
      </c>
    </row>
    <row r="10023">
      <c r="A10023" s="2" t="str">
        <f>IFERROR(__xludf.DUMMYFUNCTION("""COMPUTED_VALUE"""),"베리베리 맛있게")</f>
        <v>베리베리 맛있게</v>
      </c>
      <c r="B10023" s="2" t="str">
        <f>IFERROR(__xludf.DUMMYFUNCTION("""COMPUTED_VALUE"""),"식용유")</f>
        <v>식용유</v>
      </c>
    </row>
    <row r="10024">
      <c r="A10024" s="2" t="str">
        <f>IFERROR(__xludf.DUMMYFUNCTION("""COMPUTED_VALUE"""),"베리베리 맛있게")</f>
        <v>베리베리 맛있게</v>
      </c>
      <c r="B10024" s="2" t="str">
        <f>IFERROR(__xludf.DUMMYFUNCTION("""COMPUTED_VALUE"""),"밀가루")</f>
        <v>밀가루</v>
      </c>
    </row>
    <row r="10025">
      <c r="A10025" s="2" t="str">
        <f>IFERROR(__xludf.DUMMYFUNCTION("""COMPUTED_VALUE"""),"베리베리 맛있게")</f>
        <v>베리베리 맛있게</v>
      </c>
      <c r="B10025" s="2" t="str">
        <f>IFERROR(__xludf.DUMMYFUNCTION("""COMPUTED_VALUE"""),"양파")</f>
        <v>양파</v>
      </c>
    </row>
    <row r="10026">
      <c r="A10026" s="2" t="str">
        <f>IFERROR(__xludf.DUMMYFUNCTION("""COMPUTED_VALUE"""),"베리베리 맛있게")</f>
        <v>베리베리 맛있게</v>
      </c>
      <c r="B10026" s="2" t="str">
        <f>IFERROR(__xludf.DUMMYFUNCTION("""COMPUTED_VALUE"""),"레몬즙")</f>
        <v>레몬즙</v>
      </c>
    </row>
    <row r="10027">
      <c r="A10027" s="2" t="str">
        <f>IFERROR(__xludf.DUMMYFUNCTION("""COMPUTED_VALUE"""),"베리베리 맛있게")</f>
        <v>베리베리 맛있게</v>
      </c>
      <c r="B10027" s="2" t="str">
        <f>IFERROR(__xludf.DUMMYFUNCTION("""COMPUTED_VALUE"""),"마요네즈")</f>
        <v>마요네즈</v>
      </c>
    </row>
    <row r="10028">
      <c r="A10028" s="2" t="str">
        <f>IFERROR(__xludf.DUMMYFUNCTION("""COMPUTED_VALUE"""),"베리베리 맛있게")</f>
        <v>베리베리 맛있게</v>
      </c>
      <c r="B10028" s="2" t="str">
        <f>IFERROR(__xludf.DUMMYFUNCTION("""COMPUTED_VALUE"""),"소금")</f>
        <v>소금</v>
      </c>
    </row>
    <row r="10029">
      <c r="A10029" s="2" t="str">
        <f>IFERROR(__xludf.DUMMYFUNCTION("""COMPUTED_VALUE"""),"베리베리 맛있게")</f>
        <v>베리베리 맛있게</v>
      </c>
      <c r="B10029" s="2" t="str">
        <f>IFERROR(__xludf.DUMMYFUNCTION("""COMPUTED_VALUE"""),"연겨자")</f>
        <v>연겨자</v>
      </c>
    </row>
    <row r="10030">
      <c r="A10030" s="2" t="str">
        <f>IFERROR(__xludf.DUMMYFUNCTION("""COMPUTED_VALUE"""),"골든 크랩")</f>
        <v>골든 크랩</v>
      </c>
      <c r="B10030" s="2" t="str">
        <f>IFERROR(__xludf.DUMMYFUNCTION("""COMPUTED_VALUE"""),"모과청")</f>
        <v>모과청</v>
      </c>
    </row>
    <row r="10031">
      <c r="A10031" s="2" t="str">
        <f>IFERROR(__xludf.DUMMYFUNCTION("""COMPUTED_VALUE"""),"골든 크랩")</f>
        <v>골든 크랩</v>
      </c>
      <c r="B10031" s="2" t="str">
        <f>IFERROR(__xludf.DUMMYFUNCTION("""COMPUTED_VALUE"""),"꽃게")</f>
        <v>꽃게</v>
      </c>
    </row>
    <row r="10032">
      <c r="A10032" s="2" t="str">
        <f>IFERROR(__xludf.DUMMYFUNCTION("""COMPUTED_VALUE"""),"골든 크랩")</f>
        <v>골든 크랩</v>
      </c>
      <c r="B10032" s="2" t="str">
        <f>IFERROR(__xludf.DUMMYFUNCTION("""COMPUTED_VALUE"""),"오징어")</f>
        <v>오징어</v>
      </c>
    </row>
    <row r="10033">
      <c r="A10033" s="2" t="str">
        <f>IFERROR(__xludf.DUMMYFUNCTION("""COMPUTED_VALUE"""),"골든 크랩")</f>
        <v>골든 크랩</v>
      </c>
      <c r="B10033" s="2" t="str">
        <f>IFERROR(__xludf.DUMMYFUNCTION("""COMPUTED_VALUE"""),"누룽지")</f>
        <v>누룽지</v>
      </c>
    </row>
    <row r="10034">
      <c r="A10034" s="2" t="str">
        <f>IFERROR(__xludf.DUMMYFUNCTION("""COMPUTED_VALUE"""),"골든 크랩")</f>
        <v>골든 크랩</v>
      </c>
      <c r="B10034" s="2" t="str">
        <f>IFERROR(__xludf.DUMMYFUNCTION("""COMPUTED_VALUE"""),"통조림 참치")</f>
        <v>통조림 참치</v>
      </c>
    </row>
    <row r="10035">
      <c r="A10035" s="2" t="str">
        <f>IFERROR(__xludf.DUMMYFUNCTION("""COMPUTED_VALUE"""),"골든 크랩")</f>
        <v>골든 크랩</v>
      </c>
      <c r="B10035" s="2" t="str">
        <f>IFERROR(__xludf.DUMMYFUNCTION("""COMPUTED_VALUE"""),"멍게젓")</f>
        <v>멍게젓</v>
      </c>
    </row>
    <row r="10036">
      <c r="A10036" s="2" t="str">
        <f>IFERROR(__xludf.DUMMYFUNCTION("""COMPUTED_VALUE"""),"골든 크랩")</f>
        <v>골든 크랩</v>
      </c>
      <c r="B10036" s="2" t="str">
        <f>IFERROR(__xludf.DUMMYFUNCTION("""COMPUTED_VALUE"""),"감말랭이")</f>
        <v>감말랭이</v>
      </c>
    </row>
    <row r="10037">
      <c r="A10037" s="2" t="str">
        <f>IFERROR(__xludf.DUMMYFUNCTION("""COMPUTED_VALUE"""),"골든 크랩")</f>
        <v>골든 크랩</v>
      </c>
      <c r="B10037" s="2" t="str">
        <f>IFERROR(__xludf.DUMMYFUNCTION("""COMPUTED_VALUE"""),"양상추")</f>
        <v>양상추</v>
      </c>
    </row>
    <row r="10038">
      <c r="A10038" s="2" t="str">
        <f>IFERROR(__xludf.DUMMYFUNCTION("""COMPUTED_VALUE"""),"골든 크랩")</f>
        <v>골든 크랩</v>
      </c>
      <c r="B10038" s="2" t="str">
        <f>IFERROR(__xludf.DUMMYFUNCTION("""COMPUTED_VALUE"""),"단감")</f>
        <v>단감</v>
      </c>
    </row>
    <row r="10039">
      <c r="A10039" s="2" t="str">
        <f>IFERROR(__xludf.DUMMYFUNCTION("""COMPUTED_VALUE"""),"골든 크랩")</f>
        <v>골든 크랩</v>
      </c>
      <c r="B10039" s="2" t="str">
        <f>IFERROR(__xludf.DUMMYFUNCTION("""COMPUTED_VALUE"""),"체리")</f>
        <v>체리</v>
      </c>
    </row>
    <row r="10040">
      <c r="A10040" s="2" t="str">
        <f>IFERROR(__xludf.DUMMYFUNCTION("""COMPUTED_VALUE"""),"골든 크랩")</f>
        <v>골든 크랩</v>
      </c>
      <c r="B10040" s="2" t="str">
        <f>IFERROR(__xludf.DUMMYFUNCTION("""COMPUTED_VALUE"""),"페퍼민트차 티백")</f>
        <v>페퍼민트차 티백</v>
      </c>
    </row>
    <row r="10041">
      <c r="A10041" s="2" t="str">
        <f>IFERROR(__xludf.DUMMYFUNCTION("""COMPUTED_VALUE"""),"골든 크랩")</f>
        <v>골든 크랩</v>
      </c>
      <c r="B10041" s="2" t="str">
        <f>IFERROR(__xludf.DUMMYFUNCTION("""COMPUTED_VALUE"""),"양파")</f>
        <v>양파</v>
      </c>
    </row>
    <row r="10042">
      <c r="A10042" s="2" t="str">
        <f>IFERROR(__xludf.DUMMYFUNCTION("""COMPUTED_VALUE"""),"골든 크랩")</f>
        <v>골든 크랩</v>
      </c>
      <c r="B10042" s="2" t="str">
        <f>IFERROR(__xludf.DUMMYFUNCTION("""COMPUTED_VALUE"""),"간장")</f>
        <v>간장</v>
      </c>
    </row>
    <row r="10043">
      <c r="A10043" s="2" t="str">
        <f>IFERROR(__xludf.DUMMYFUNCTION("""COMPUTED_VALUE"""),"골든 크랩")</f>
        <v>골든 크랩</v>
      </c>
      <c r="B10043" s="2" t="str">
        <f>IFERROR(__xludf.DUMMYFUNCTION("""COMPUTED_VALUE"""),"전분")</f>
        <v>전분</v>
      </c>
    </row>
    <row r="10044">
      <c r="A10044" s="2" t="str">
        <f>IFERROR(__xludf.DUMMYFUNCTION("""COMPUTED_VALUE"""),"골든 크랩")</f>
        <v>골든 크랩</v>
      </c>
      <c r="B10044" s="2" t="str">
        <f>IFERROR(__xludf.DUMMYFUNCTION("""COMPUTED_VALUE"""),"달걀")</f>
        <v>달걀</v>
      </c>
    </row>
    <row r="10045">
      <c r="A10045" s="2" t="str">
        <f>IFERROR(__xludf.DUMMYFUNCTION("""COMPUTED_VALUE"""),"골든 크랩")</f>
        <v>골든 크랩</v>
      </c>
      <c r="B10045" s="2" t="str">
        <f>IFERROR(__xludf.DUMMYFUNCTION("""COMPUTED_VALUE"""),"레몬즙")</f>
        <v>레몬즙</v>
      </c>
    </row>
    <row r="10046">
      <c r="A10046" s="2" t="str">
        <f>IFERROR(__xludf.DUMMYFUNCTION("""COMPUTED_VALUE"""),"골든 크랩")</f>
        <v>골든 크랩</v>
      </c>
      <c r="B10046" s="2" t="str">
        <f>IFERROR(__xludf.DUMMYFUNCTION("""COMPUTED_VALUE"""),"설탕")</f>
        <v>설탕</v>
      </c>
    </row>
    <row r="10047">
      <c r="A10047" s="2" t="str">
        <f>IFERROR(__xludf.DUMMYFUNCTION("""COMPUTED_VALUE"""),"골든 크랩")</f>
        <v>골든 크랩</v>
      </c>
      <c r="B10047" s="2" t="str">
        <f>IFERROR(__xludf.DUMMYFUNCTION("""COMPUTED_VALUE"""),"식초")</f>
        <v>식초</v>
      </c>
    </row>
    <row r="10048">
      <c r="A10048" s="2" t="str">
        <f>IFERROR(__xludf.DUMMYFUNCTION("""COMPUTED_VALUE"""),"샘표 한상")</f>
        <v>샘표 한상</v>
      </c>
      <c r="B10048" s="2" t="str">
        <f>IFERROR(__xludf.DUMMYFUNCTION("""COMPUTED_VALUE"""),"국거리용 소고기")</f>
        <v>국거리용 소고기</v>
      </c>
    </row>
    <row r="10049">
      <c r="A10049" s="2" t="str">
        <f>IFERROR(__xludf.DUMMYFUNCTION("""COMPUTED_VALUE"""),"샘표 한상")</f>
        <v>샘표 한상</v>
      </c>
      <c r="B10049" s="2" t="str">
        <f>IFERROR(__xludf.DUMMYFUNCTION("""COMPUTED_VALUE"""),"무")</f>
        <v>무</v>
      </c>
    </row>
    <row r="10050">
      <c r="A10050" s="2" t="str">
        <f>IFERROR(__xludf.DUMMYFUNCTION("""COMPUTED_VALUE"""),"샘표 한상")</f>
        <v>샘표 한상</v>
      </c>
      <c r="B10050" s="2" t="str">
        <f>IFERROR(__xludf.DUMMYFUNCTION("""COMPUTED_VALUE"""),"어묵")</f>
        <v>어묵</v>
      </c>
    </row>
    <row r="10051">
      <c r="A10051" s="2" t="str">
        <f>IFERROR(__xludf.DUMMYFUNCTION("""COMPUTED_VALUE"""),"샘표 한상")</f>
        <v>샘표 한상</v>
      </c>
      <c r="B10051" s="2" t="str">
        <f>IFERROR(__xludf.DUMMYFUNCTION("""COMPUTED_VALUE"""),"삼겹살")</f>
        <v>삼겹살</v>
      </c>
    </row>
    <row r="10052">
      <c r="A10052" s="2" t="str">
        <f>IFERROR(__xludf.DUMMYFUNCTION("""COMPUTED_VALUE"""),"샘표 한상")</f>
        <v>샘표 한상</v>
      </c>
      <c r="B10052" s="2" t="str">
        <f>IFERROR(__xludf.DUMMYFUNCTION("""COMPUTED_VALUE"""),"매실액")</f>
        <v>매실액</v>
      </c>
    </row>
    <row r="10053">
      <c r="A10053" s="2" t="str">
        <f>IFERROR(__xludf.DUMMYFUNCTION("""COMPUTED_VALUE"""),"샘표 한상")</f>
        <v>샘표 한상</v>
      </c>
      <c r="B10053" s="2" t="str">
        <f>IFERROR(__xludf.DUMMYFUNCTION("""COMPUTED_VALUE"""),"멸치")</f>
        <v>멸치</v>
      </c>
    </row>
    <row r="10054">
      <c r="A10054" s="2" t="str">
        <f>IFERROR(__xludf.DUMMYFUNCTION("""COMPUTED_VALUE"""),"샘표 한상")</f>
        <v>샘표 한상</v>
      </c>
      <c r="B10054" s="2" t="str">
        <f>IFERROR(__xludf.DUMMYFUNCTION("""COMPUTED_VALUE"""),"가지")</f>
        <v>가지</v>
      </c>
    </row>
    <row r="10055">
      <c r="A10055" s="2" t="str">
        <f>IFERROR(__xludf.DUMMYFUNCTION("""COMPUTED_VALUE"""),"샘표 한상")</f>
        <v>샘표 한상</v>
      </c>
      <c r="B10055" s="2" t="str">
        <f>IFERROR(__xludf.DUMMYFUNCTION("""COMPUTED_VALUE"""),"간 우둔살")</f>
        <v>간 우둔살</v>
      </c>
    </row>
    <row r="10056">
      <c r="A10056" s="2" t="str">
        <f>IFERROR(__xludf.DUMMYFUNCTION("""COMPUTED_VALUE"""),"샘표 한상")</f>
        <v>샘표 한상</v>
      </c>
      <c r="B10056" s="2" t="str">
        <f>IFERROR(__xludf.DUMMYFUNCTION("""COMPUTED_VALUE"""),"매생이")</f>
        <v>매생이</v>
      </c>
    </row>
    <row r="10057">
      <c r="A10057" s="2" t="str">
        <f>IFERROR(__xludf.DUMMYFUNCTION("""COMPUTED_VALUE"""),"샘표 한상")</f>
        <v>샘표 한상</v>
      </c>
      <c r="B10057" s="2" t="str">
        <f>IFERROR(__xludf.DUMMYFUNCTION("""COMPUTED_VALUE"""),"김")</f>
        <v>김</v>
      </c>
    </row>
    <row r="10058">
      <c r="A10058" s="2" t="str">
        <f>IFERROR(__xludf.DUMMYFUNCTION("""COMPUTED_VALUE"""),"샘표 한상")</f>
        <v>샘표 한상</v>
      </c>
      <c r="B10058" s="2" t="str">
        <f>IFERROR(__xludf.DUMMYFUNCTION("""COMPUTED_VALUE"""),"올리브오일")</f>
        <v>올리브오일</v>
      </c>
    </row>
    <row r="10059">
      <c r="A10059" s="2" t="str">
        <f>IFERROR(__xludf.DUMMYFUNCTION("""COMPUTED_VALUE"""),"샘표 한상")</f>
        <v>샘표 한상</v>
      </c>
      <c r="B10059" s="2" t="str">
        <f>IFERROR(__xludf.DUMMYFUNCTION("""COMPUTED_VALUE"""),"통마늘")</f>
        <v>통마늘</v>
      </c>
    </row>
    <row r="10060">
      <c r="A10060" s="2" t="str">
        <f>IFERROR(__xludf.DUMMYFUNCTION("""COMPUTED_VALUE"""),"샘표 한상")</f>
        <v>샘표 한상</v>
      </c>
      <c r="B10060" s="2" t="str">
        <f>IFERROR(__xludf.DUMMYFUNCTION("""COMPUTED_VALUE"""),"소금")</f>
        <v>소금</v>
      </c>
    </row>
    <row r="10061">
      <c r="A10061" s="2" t="str">
        <f>IFERROR(__xludf.DUMMYFUNCTION("""COMPUTED_VALUE"""),"샘표 한상")</f>
        <v>샘표 한상</v>
      </c>
      <c r="B10061" s="2" t="str">
        <f>IFERROR(__xludf.DUMMYFUNCTION("""COMPUTED_VALUE"""),"양파")</f>
        <v>양파</v>
      </c>
    </row>
    <row r="10062">
      <c r="A10062" s="2" t="str">
        <f>IFERROR(__xludf.DUMMYFUNCTION("""COMPUTED_VALUE"""),"샘표 한상")</f>
        <v>샘표 한상</v>
      </c>
      <c r="B10062" s="2" t="str">
        <f>IFERROR(__xludf.DUMMYFUNCTION("""COMPUTED_VALUE"""),"당근")</f>
        <v>당근</v>
      </c>
    </row>
    <row r="10063">
      <c r="A10063" s="2" t="str">
        <f>IFERROR(__xludf.DUMMYFUNCTION("""COMPUTED_VALUE"""),"샘표 한상")</f>
        <v>샘표 한상</v>
      </c>
      <c r="B10063" s="2" t="str">
        <f>IFERROR(__xludf.DUMMYFUNCTION("""COMPUTED_VALUE"""),"청양고추")</f>
        <v>청양고추</v>
      </c>
    </row>
    <row r="10064">
      <c r="A10064" s="2" t="str">
        <f>IFERROR(__xludf.DUMMYFUNCTION("""COMPUTED_VALUE"""),"샘표 한상")</f>
        <v>샘표 한상</v>
      </c>
      <c r="B10064" s="2" t="str">
        <f>IFERROR(__xludf.DUMMYFUNCTION("""COMPUTED_VALUE"""),"간장")</f>
        <v>간장</v>
      </c>
    </row>
    <row r="10065">
      <c r="A10065" s="2" t="str">
        <f>IFERROR(__xludf.DUMMYFUNCTION("""COMPUTED_VALUE"""),"샘표 한상")</f>
        <v>샘표 한상</v>
      </c>
      <c r="B10065" s="2" t="str">
        <f>IFERROR(__xludf.DUMMYFUNCTION("""COMPUTED_VALUE"""),"설탕")</f>
        <v>설탕</v>
      </c>
    </row>
    <row r="10066">
      <c r="A10066" s="2" t="str">
        <f>IFERROR(__xludf.DUMMYFUNCTION("""COMPUTED_VALUE"""),"샘표 한상")</f>
        <v>샘표 한상</v>
      </c>
      <c r="B10066" s="2" t="str">
        <f>IFERROR(__xludf.DUMMYFUNCTION("""COMPUTED_VALUE"""),"참기름")</f>
        <v>참기름</v>
      </c>
    </row>
    <row r="10067">
      <c r="A10067" s="2" t="str">
        <f>IFERROR(__xludf.DUMMYFUNCTION("""COMPUTED_VALUE"""),"샘표 한상")</f>
        <v>샘표 한상</v>
      </c>
      <c r="B10067" s="2" t="str">
        <f>IFERROR(__xludf.DUMMYFUNCTION("""COMPUTED_VALUE"""),"고춧가루")</f>
        <v>고춧가루</v>
      </c>
    </row>
    <row r="10068">
      <c r="A10068" s="2" t="str">
        <f>IFERROR(__xludf.DUMMYFUNCTION("""COMPUTED_VALUE"""),"샘표 한상")</f>
        <v>샘표 한상</v>
      </c>
      <c r="B10068" s="2" t="str">
        <f>IFERROR(__xludf.DUMMYFUNCTION("""COMPUTED_VALUE"""),"고추장")</f>
        <v>고추장</v>
      </c>
    </row>
    <row r="10069">
      <c r="A10069" s="2" t="str">
        <f>IFERROR(__xludf.DUMMYFUNCTION("""COMPUTED_VALUE"""),"샘표 한상")</f>
        <v>샘표 한상</v>
      </c>
      <c r="B10069" s="2" t="str">
        <f>IFERROR(__xludf.DUMMYFUNCTION("""COMPUTED_VALUE"""),"후추")</f>
        <v>후추</v>
      </c>
    </row>
    <row r="10070">
      <c r="A10070" s="2" t="str">
        <f>IFERROR(__xludf.DUMMYFUNCTION("""COMPUTED_VALUE"""),"샘표 한상")</f>
        <v>샘표 한상</v>
      </c>
      <c r="B10070" s="2" t="str">
        <f>IFERROR(__xludf.DUMMYFUNCTION("""COMPUTED_VALUE"""),"다진 생강")</f>
        <v>다진 생강</v>
      </c>
    </row>
    <row r="10071">
      <c r="A10071" s="2" t="str">
        <f>IFERROR(__xludf.DUMMYFUNCTION("""COMPUTED_VALUE"""),"샘표 한상")</f>
        <v>샘표 한상</v>
      </c>
      <c r="B10071" s="2" t="str">
        <f>IFERROR(__xludf.DUMMYFUNCTION("""COMPUTED_VALUE"""),"물엿")</f>
        <v>물엿</v>
      </c>
    </row>
    <row r="10072">
      <c r="A10072" s="2" t="str">
        <f>IFERROR(__xludf.DUMMYFUNCTION("""COMPUTED_VALUE"""),"샘표 한상")</f>
        <v>샘표 한상</v>
      </c>
      <c r="B10072" s="2" t="str">
        <f>IFERROR(__xludf.DUMMYFUNCTION("""COMPUTED_VALUE"""),"대파")</f>
        <v>대파</v>
      </c>
    </row>
    <row r="10073">
      <c r="A10073" s="2" t="str">
        <f>IFERROR(__xludf.DUMMYFUNCTION("""COMPUTED_VALUE"""),"샘표 한상")</f>
        <v>샘표 한상</v>
      </c>
      <c r="B10073" s="2" t="str">
        <f>IFERROR(__xludf.DUMMYFUNCTION("""COMPUTED_VALUE"""),"홍고추")</f>
        <v>홍고추</v>
      </c>
    </row>
    <row r="10074">
      <c r="A10074" s="2" t="str">
        <f>IFERROR(__xludf.DUMMYFUNCTION("""COMPUTED_VALUE"""),"샘표 한상")</f>
        <v>샘표 한상</v>
      </c>
      <c r="B10074" s="2" t="str">
        <f>IFERROR(__xludf.DUMMYFUNCTION("""COMPUTED_VALUE"""),"밀가루")</f>
        <v>밀가루</v>
      </c>
    </row>
    <row r="10075">
      <c r="A10075" s="2" t="str">
        <f>IFERROR(__xludf.DUMMYFUNCTION("""COMPUTED_VALUE"""),"샘표 한상")</f>
        <v>샘표 한상</v>
      </c>
      <c r="B10075" s="2" t="str">
        <f>IFERROR(__xludf.DUMMYFUNCTION("""COMPUTED_VALUE"""),"맛술")</f>
        <v>맛술</v>
      </c>
    </row>
    <row r="10076">
      <c r="A10076" s="2" t="str">
        <f>IFERROR(__xludf.DUMMYFUNCTION("""COMPUTED_VALUE"""),"샘표 한상")</f>
        <v>샘표 한상</v>
      </c>
      <c r="B10076" s="2" t="str">
        <f>IFERROR(__xludf.DUMMYFUNCTION("""COMPUTED_VALUE"""),"즉석밥")</f>
        <v>즉석밥</v>
      </c>
    </row>
    <row r="10077">
      <c r="A10077" s="2" t="str">
        <f>IFERROR(__xludf.DUMMYFUNCTION("""COMPUTED_VALUE"""),"맘스텔라")</f>
        <v>맘스텔라</v>
      </c>
      <c r="B10077" s="2" t="str">
        <f>IFERROR(__xludf.DUMMYFUNCTION("""COMPUTED_VALUE"""),"가지")</f>
        <v>가지</v>
      </c>
    </row>
    <row r="10078">
      <c r="A10078" s="2" t="str">
        <f>IFERROR(__xludf.DUMMYFUNCTION("""COMPUTED_VALUE"""),"맘스텔라")</f>
        <v>맘스텔라</v>
      </c>
      <c r="B10078" s="2" t="str">
        <f>IFERROR(__xludf.DUMMYFUNCTION("""COMPUTED_VALUE"""),"무")</f>
        <v>무</v>
      </c>
    </row>
    <row r="10079">
      <c r="A10079" s="2" t="str">
        <f>IFERROR(__xludf.DUMMYFUNCTION("""COMPUTED_VALUE"""),"맘스텔라")</f>
        <v>맘스텔라</v>
      </c>
      <c r="B10079" s="2" t="str">
        <f>IFERROR(__xludf.DUMMYFUNCTION("""COMPUTED_VALUE"""),"조기")</f>
        <v>조기</v>
      </c>
    </row>
    <row r="10080">
      <c r="A10080" s="2" t="str">
        <f>IFERROR(__xludf.DUMMYFUNCTION("""COMPUTED_VALUE"""),"맘스텔라")</f>
        <v>맘스텔라</v>
      </c>
      <c r="B10080" s="2" t="str">
        <f>IFERROR(__xludf.DUMMYFUNCTION("""COMPUTED_VALUE"""),"해물다시팩")</f>
        <v>해물다시팩</v>
      </c>
    </row>
    <row r="10081">
      <c r="A10081" s="2" t="str">
        <f>IFERROR(__xludf.DUMMYFUNCTION("""COMPUTED_VALUE"""),"맘스텔라")</f>
        <v>맘스텔라</v>
      </c>
      <c r="B10081" s="2" t="str">
        <f>IFERROR(__xludf.DUMMYFUNCTION("""COMPUTED_VALUE"""),"우유")</f>
        <v>우유</v>
      </c>
    </row>
    <row r="10082">
      <c r="A10082" s="2" t="str">
        <f>IFERROR(__xludf.DUMMYFUNCTION("""COMPUTED_VALUE"""),"맘스텔라")</f>
        <v>맘스텔라</v>
      </c>
      <c r="B10082" s="2" t="str">
        <f>IFERROR(__xludf.DUMMYFUNCTION("""COMPUTED_VALUE"""),"참치액")</f>
        <v>참치액</v>
      </c>
    </row>
    <row r="10083">
      <c r="A10083" s="2" t="str">
        <f>IFERROR(__xludf.DUMMYFUNCTION("""COMPUTED_VALUE"""),"맘스텔라")</f>
        <v>맘스텔라</v>
      </c>
      <c r="B10083" s="2" t="str">
        <f>IFERROR(__xludf.DUMMYFUNCTION("""COMPUTED_VALUE"""),"양파")</f>
        <v>양파</v>
      </c>
    </row>
    <row r="10084">
      <c r="A10084" s="2" t="str">
        <f>IFERROR(__xludf.DUMMYFUNCTION("""COMPUTED_VALUE"""),"맘스텔라")</f>
        <v>맘스텔라</v>
      </c>
      <c r="B10084" s="2" t="str">
        <f>IFERROR(__xludf.DUMMYFUNCTION("""COMPUTED_VALUE"""),"청양고추")</f>
        <v>청양고추</v>
      </c>
    </row>
    <row r="10085">
      <c r="A10085" s="2" t="str">
        <f>IFERROR(__xludf.DUMMYFUNCTION("""COMPUTED_VALUE"""),"맘스텔라")</f>
        <v>맘스텔라</v>
      </c>
      <c r="B10085" s="2" t="str">
        <f>IFERROR(__xludf.DUMMYFUNCTION("""COMPUTED_VALUE"""),"대파")</f>
        <v>대파</v>
      </c>
    </row>
    <row r="10086">
      <c r="A10086" s="2" t="str">
        <f>IFERROR(__xludf.DUMMYFUNCTION("""COMPUTED_VALUE"""),"맘스텔라")</f>
        <v>맘스텔라</v>
      </c>
      <c r="B10086" s="2" t="str">
        <f>IFERROR(__xludf.DUMMYFUNCTION("""COMPUTED_VALUE"""),"고춧가루")</f>
        <v>고춧가루</v>
      </c>
    </row>
    <row r="10087">
      <c r="A10087" s="2" t="str">
        <f>IFERROR(__xludf.DUMMYFUNCTION("""COMPUTED_VALUE"""),"맘스텔라")</f>
        <v>맘스텔라</v>
      </c>
      <c r="B10087" s="2" t="str">
        <f>IFERROR(__xludf.DUMMYFUNCTION("""COMPUTED_VALUE"""),"간장")</f>
        <v>간장</v>
      </c>
    </row>
    <row r="10088">
      <c r="A10088" s="2" t="str">
        <f>IFERROR(__xludf.DUMMYFUNCTION("""COMPUTED_VALUE"""),"맘스텔라")</f>
        <v>맘스텔라</v>
      </c>
      <c r="B10088" s="2" t="str">
        <f>IFERROR(__xludf.DUMMYFUNCTION("""COMPUTED_VALUE"""),"다진 마늘")</f>
        <v>다진 마늘</v>
      </c>
    </row>
    <row r="10089">
      <c r="A10089" s="2" t="str">
        <f>IFERROR(__xludf.DUMMYFUNCTION("""COMPUTED_VALUE"""),"맘스텔라")</f>
        <v>맘스텔라</v>
      </c>
      <c r="B10089" s="2" t="str">
        <f>IFERROR(__xludf.DUMMYFUNCTION("""COMPUTED_VALUE"""),"청주")</f>
        <v>청주</v>
      </c>
    </row>
    <row r="10090">
      <c r="A10090" s="2" t="str">
        <f>IFERROR(__xludf.DUMMYFUNCTION("""COMPUTED_VALUE"""),"맘스텔라")</f>
        <v>맘스텔라</v>
      </c>
      <c r="B10090" s="2" t="str">
        <f>IFERROR(__xludf.DUMMYFUNCTION("""COMPUTED_VALUE"""),"소금")</f>
        <v>소금</v>
      </c>
    </row>
    <row r="10091">
      <c r="A10091" s="2" t="str">
        <f>IFERROR(__xludf.DUMMYFUNCTION("""COMPUTED_VALUE"""),"맘스텔라")</f>
        <v>맘스텔라</v>
      </c>
      <c r="B10091" s="2" t="str">
        <f>IFERROR(__xludf.DUMMYFUNCTION("""COMPUTED_VALUE"""),"버터")</f>
        <v>버터</v>
      </c>
    </row>
    <row r="10092">
      <c r="A10092" s="2" t="str">
        <f>IFERROR(__xludf.DUMMYFUNCTION("""COMPUTED_VALUE"""),"맘스텔라")</f>
        <v>맘스텔라</v>
      </c>
      <c r="B10092" s="2" t="str">
        <f>IFERROR(__xludf.DUMMYFUNCTION("""COMPUTED_VALUE"""),"설탕")</f>
        <v>설탕</v>
      </c>
    </row>
    <row r="10093">
      <c r="A10093" s="2" t="str">
        <f>IFERROR(__xludf.DUMMYFUNCTION("""COMPUTED_VALUE"""),"맘스텔라")</f>
        <v>맘스텔라</v>
      </c>
      <c r="B10093" s="2" t="str">
        <f>IFERROR(__xludf.DUMMYFUNCTION("""COMPUTED_VALUE"""),"달걀")</f>
        <v>달걀</v>
      </c>
    </row>
    <row r="10094">
      <c r="A10094" s="2" t="str">
        <f>IFERROR(__xludf.DUMMYFUNCTION("""COMPUTED_VALUE"""),"맘스텔라")</f>
        <v>맘스텔라</v>
      </c>
      <c r="B10094" s="2" t="str">
        <f>IFERROR(__xludf.DUMMYFUNCTION("""COMPUTED_VALUE"""),"밀가루")</f>
        <v>밀가루</v>
      </c>
    </row>
    <row r="10095">
      <c r="A10095" s="2" t="str">
        <f>IFERROR(__xludf.DUMMYFUNCTION("""COMPUTED_VALUE"""),"맘스텔라")</f>
        <v>맘스텔라</v>
      </c>
      <c r="B10095" s="2" t="str">
        <f>IFERROR(__xludf.DUMMYFUNCTION("""COMPUTED_VALUE"""),"홍고추")</f>
        <v>홍고추</v>
      </c>
    </row>
    <row r="10096">
      <c r="A10096" s="2" t="str">
        <f>IFERROR(__xludf.DUMMYFUNCTION("""COMPUTED_VALUE"""),"맘스텔라")</f>
        <v>맘스텔라</v>
      </c>
      <c r="B10096" s="2" t="str">
        <f>IFERROR(__xludf.DUMMYFUNCTION("""COMPUTED_VALUE"""),"깨")</f>
        <v>깨</v>
      </c>
    </row>
    <row r="10097">
      <c r="A10097" s="2" t="str">
        <f>IFERROR(__xludf.DUMMYFUNCTION("""COMPUTED_VALUE"""),"맘스텔라")</f>
        <v>맘스텔라</v>
      </c>
      <c r="B10097" s="2" t="str">
        <f>IFERROR(__xludf.DUMMYFUNCTION("""COMPUTED_VALUE"""),"즉석밥")</f>
        <v>즉석밥</v>
      </c>
    </row>
    <row r="10098">
      <c r="A10098" s="2" t="str">
        <f>IFERROR(__xludf.DUMMYFUNCTION("""COMPUTED_VALUE"""),"허니버터치")</f>
        <v>허니버터치</v>
      </c>
      <c r="B10098" s="2" t="str">
        <f>IFERROR(__xludf.DUMMYFUNCTION("""COMPUTED_VALUE"""),"멸치")</f>
        <v>멸치</v>
      </c>
    </row>
    <row r="10099">
      <c r="A10099" s="2" t="str">
        <f>IFERROR(__xludf.DUMMYFUNCTION("""COMPUTED_VALUE"""),"허니버터치")</f>
        <v>허니버터치</v>
      </c>
      <c r="B10099" s="2" t="str">
        <f>IFERROR(__xludf.DUMMYFUNCTION("""COMPUTED_VALUE"""),"다시마")</f>
        <v>다시마</v>
      </c>
    </row>
    <row r="10100">
      <c r="A10100" s="2" t="str">
        <f>IFERROR(__xludf.DUMMYFUNCTION("""COMPUTED_VALUE"""),"허니버터치")</f>
        <v>허니버터치</v>
      </c>
      <c r="B10100" s="2" t="str">
        <f>IFERROR(__xludf.DUMMYFUNCTION("""COMPUTED_VALUE"""),"무")</f>
        <v>무</v>
      </c>
    </row>
    <row r="10101">
      <c r="A10101" s="2" t="str">
        <f>IFERROR(__xludf.DUMMYFUNCTION("""COMPUTED_VALUE"""),"허니버터치")</f>
        <v>허니버터치</v>
      </c>
      <c r="B10101" s="2" t="str">
        <f>IFERROR(__xludf.DUMMYFUNCTION("""COMPUTED_VALUE"""),"국물용 멸치")</f>
        <v>국물용 멸치</v>
      </c>
    </row>
    <row r="10102">
      <c r="A10102" s="2" t="str">
        <f>IFERROR(__xludf.DUMMYFUNCTION("""COMPUTED_VALUE"""),"허니버터치")</f>
        <v>허니버터치</v>
      </c>
      <c r="B10102" s="2" t="str">
        <f>IFERROR(__xludf.DUMMYFUNCTION("""COMPUTED_VALUE"""),"꿀")</f>
        <v>꿀</v>
      </c>
    </row>
    <row r="10103">
      <c r="A10103" s="2" t="str">
        <f>IFERROR(__xludf.DUMMYFUNCTION("""COMPUTED_VALUE"""),"허니버터치")</f>
        <v>허니버터치</v>
      </c>
      <c r="B10103" s="2" t="str">
        <f>IFERROR(__xludf.DUMMYFUNCTION("""COMPUTED_VALUE"""),"표고버섯")</f>
        <v>표고버섯</v>
      </c>
    </row>
    <row r="10104">
      <c r="A10104" s="2" t="str">
        <f>IFERROR(__xludf.DUMMYFUNCTION("""COMPUTED_VALUE"""),"허니버터치")</f>
        <v>허니버터치</v>
      </c>
      <c r="B10104" s="2" t="str">
        <f>IFERROR(__xludf.DUMMYFUNCTION("""COMPUTED_VALUE"""),"참치액")</f>
        <v>참치액</v>
      </c>
    </row>
    <row r="10105">
      <c r="A10105" s="2" t="str">
        <f>IFERROR(__xludf.DUMMYFUNCTION("""COMPUTED_VALUE"""),"허니버터치")</f>
        <v>허니버터치</v>
      </c>
      <c r="B10105" s="2" t="str">
        <f>IFERROR(__xludf.DUMMYFUNCTION("""COMPUTED_VALUE"""),"파스타면")</f>
        <v>파스타면</v>
      </c>
    </row>
    <row r="10106">
      <c r="A10106" s="2" t="str">
        <f>IFERROR(__xludf.DUMMYFUNCTION("""COMPUTED_VALUE"""),"허니버터치")</f>
        <v>허니버터치</v>
      </c>
      <c r="B10106" s="2" t="str">
        <f>IFERROR(__xludf.DUMMYFUNCTION("""COMPUTED_VALUE"""),"느타리버섯")</f>
        <v>느타리버섯</v>
      </c>
    </row>
    <row r="10107">
      <c r="A10107" s="2" t="str">
        <f>IFERROR(__xludf.DUMMYFUNCTION("""COMPUTED_VALUE"""),"허니버터치")</f>
        <v>허니버터치</v>
      </c>
      <c r="B10107" s="2" t="str">
        <f>IFERROR(__xludf.DUMMYFUNCTION("""COMPUTED_VALUE"""),"어린잎채소")</f>
        <v>어린잎채소</v>
      </c>
    </row>
    <row r="10108">
      <c r="A10108" s="2" t="str">
        <f>IFERROR(__xludf.DUMMYFUNCTION("""COMPUTED_VALUE"""),"허니버터치")</f>
        <v>허니버터치</v>
      </c>
      <c r="B10108" s="2" t="str">
        <f>IFERROR(__xludf.DUMMYFUNCTION("""COMPUTED_VALUE"""),"버터")</f>
        <v>버터</v>
      </c>
    </row>
    <row r="10109">
      <c r="A10109" s="2" t="str">
        <f>IFERROR(__xludf.DUMMYFUNCTION("""COMPUTED_VALUE"""),"허니버터치")</f>
        <v>허니버터치</v>
      </c>
      <c r="B10109" s="2" t="str">
        <f>IFERROR(__xludf.DUMMYFUNCTION("""COMPUTED_VALUE"""),"다진 마늘")</f>
        <v>다진 마늘</v>
      </c>
    </row>
    <row r="10110">
      <c r="A10110" s="2" t="str">
        <f>IFERROR(__xludf.DUMMYFUNCTION("""COMPUTED_VALUE"""),"허니버터치")</f>
        <v>허니버터치</v>
      </c>
      <c r="B10110" s="2" t="str">
        <f>IFERROR(__xludf.DUMMYFUNCTION("""COMPUTED_VALUE"""),"화이트와인")</f>
        <v>화이트와인</v>
      </c>
    </row>
    <row r="10111">
      <c r="A10111" s="2" t="str">
        <f>IFERROR(__xludf.DUMMYFUNCTION("""COMPUTED_VALUE"""),"허니버터치")</f>
        <v>허니버터치</v>
      </c>
      <c r="B10111" s="2" t="str">
        <f>IFERROR(__xludf.DUMMYFUNCTION("""COMPUTED_VALUE"""),"소금")</f>
        <v>소금</v>
      </c>
    </row>
    <row r="10112">
      <c r="A10112" s="2" t="str">
        <f>IFERROR(__xludf.DUMMYFUNCTION("""COMPUTED_VALUE"""),"허니버터치")</f>
        <v>허니버터치</v>
      </c>
      <c r="B10112" s="2" t="str">
        <f>IFERROR(__xludf.DUMMYFUNCTION("""COMPUTED_VALUE"""),"마늘")</f>
        <v>마늘</v>
      </c>
    </row>
    <row r="10113">
      <c r="A10113" s="2" t="str">
        <f>IFERROR(__xludf.DUMMYFUNCTION("""COMPUTED_VALUE"""),"허니버터치")</f>
        <v>허니버터치</v>
      </c>
      <c r="B10113" s="2" t="str">
        <f>IFERROR(__xludf.DUMMYFUNCTION("""COMPUTED_VALUE"""),"들기름")</f>
        <v>들기름</v>
      </c>
    </row>
    <row r="10114">
      <c r="A10114" s="2" t="str">
        <f>IFERROR(__xludf.DUMMYFUNCTION("""COMPUTED_VALUE"""),"허니버터치")</f>
        <v>허니버터치</v>
      </c>
      <c r="B10114" s="2" t="str">
        <f>IFERROR(__xludf.DUMMYFUNCTION("""COMPUTED_VALUE"""),"간장")</f>
        <v>간장</v>
      </c>
    </row>
    <row r="10115">
      <c r="A10115" s="2" t="str">
        <f>IFERROR(__xludf.DUMMYFUNCTION("""COMPUTED_VALUE"""),"허니버터치")</f>
        <v>허니버터치</v>
      </c>
      <c r="B10115" s="2" t="str">
        <f>IFERROR(__xludf.DUMMYFUNCTION("""COMPUTED_VALUE"""),"청양고추")</f>
        <v>청양고추</v>
      </c>
    </row>
    <row r="10116">
      <c r="A10116" s="2" t="str">
        <f>IFERROR(__xludf.DUMMYFUNCTION("""COMPUTED_VALUE"""),"허니버터치")</f>
        <v>허니버터치</v>
      </c>
      <c r="B10116" s="2" t="str">
        <f>IFERROR(__xludf.DUMMYFUNCTION("""COMPUTED_VALUE"""),"후추")</f>
        <v>후추</v>
      </c>
    </row>
    <row r="10117">
      <c r="A10117" s="2" t="str">
        <f>IFERROR(__xludf.DUMMYFUNCTION("""COMPUTED_VALUE"""),"차이나는 비빔면")</f>
        <v>차이나는 비빔면</v>
      </c>
      <c r="B10117" s="2" t="str">
        <f>IFERROR(__xludf.DUMMYFUNCTION("""COMPUTED_VALUE"""),"새송이버섯")</f>
        <v>새송이버섯</v>
      </c>
    </row>
    <row r="10118">
      <c r="A10118" s="2" t="str">
        <f>IFERROR(__xludf.DUMMYFUNCTION("""COMPUTED_VALUE"""),"차이나는 비빔면")</f>
        <v>차이나는 비빔면</v>
      </c>
      <c r="B10118" s="2" t="str">
        <f>IFERROR(__xludf.DUMMYFUNCTION("""COMPUTED_VALUE"""),"파스타면")</f>
        <v>파스타면</v>
      </c>
    </row>
    <row r="10119">
      <c r="A10119" s="2" t="str">
        <f>IFERROR(__xludf.DUMMYFUNCTION("""COMPUTED_VALUE"""),"차이나는 비빔면")</f>
        <v>차이나는 비빔면</v>
      </c>
      <c r="B10119" s="2" t="str">
        <f>IFERROR(__xludf.DUMMYFUNCTION("""COMPUTED_VALUE"""),"양배추물")</f>
        <v>양배추물</v>
      </c>
    </row>
    <row r="10120">
      <c r="A10120" s="2" t="str">
        <f>IFERROR(__xludf.DUMMYFUNCTION("""COMPUTED_VALUE"""),"차이나는 비빔면")</f>
        <v>차이나는 비빔면</v>
      </c>
      <c r="B10120" s="2" t="str">
        <f>IFERROR(__xludf.DUMMYFUNCTION("""COMPUTED_VALUE"""),"새우젓")</f>
        <v>새우젓</v>
      </c>
    </row>
    <row r="10121">
      <c r="A10121" s="2" t="str">
        <f>IFERROR(__xludf.DUMMYFUNCTION("""COMPUTED_VALUE"""),"차이나는 비빔면")</f>
        <v>차이나는 비빔면</v>
      </c>
      <c r="B10121" s="2" t="str">
        <f>IFERROR(__xludf.DUMMYFUNCTION("""COMPUTED_VALUE"""),"통조림옥수수")</f>
        <v>통조림옥수수</v>
      </c>
    </row>
    <row r="10122">
      <c r="A10122" s="2" t="str">
        <f>IFERROR(__xludf.DUMMYFUNCTION("""COMPUTED_VALUE"""),"차이나는 비빔면")</f>
        <v>차이나는 비빔면</v>
      </c>
      <c r="B10122" s="2" t="str">
        <f>IFERROR(__xludf.DUMMYFUNCTION("""COMPUTED_VALUE"""),"잔멸치")</f>
        <v>잔멸치</v>
      </c>
    </row>
    <row r="10123">
      <c r="A10123" s="2" t="str">
        <f>IFERROR(__xludf.DUMMYFUNCTION("""COMPUTED_VALUE"""),"차이나는 비빔면")</f>
        <v>차이나는 비빔면</v>
      </c>
      <c r="B10123" s="2" t="str">
        <f>IFERROR(__xludf.DUMMYFUNCTION("""COMPUTED_VALUE"""),"어묵")</f>
        <v>어묵</v>
      </c>
    </row>
    <row r="10124">
      <c r="A10124" s="2" t="str">
        <f>IFERROR(__xludf.DUMMYFUNCTION("""COMPUTED_VALUE"""),"차이나는 비빔면")</f>
        <v>차이나는 비빔면</v>
      </c>
      <c r="B10124" s="2" t="str">
        <f>IFERROR(__xludf.DUMMYFUNCTION("""COMPUTED_VALUE"""),"마늘장아찌")</f>
        <v>마늘장아찌</v>
      </c>
    </row>
    <row r="10125">
      <c r="A10125" s="2" t="str">
        <f>IFERROR(__xludf.DUMMYFUNCTION("""COMPUTED_VALUE"""),"차이나는 비빔면")</f>
        <v>차이나는 비빔면</v>
      </c>
      <c r="B10125" s="2" t="str">
        <f>IFERROR(__xludf.DUMMYFUNCTION("""COMPUTED_VALUE"""),"양상추")</f>
        <v>양상추</v>
      </c>
    </row>
    <row r="10126">
      <c r="A10126" s="2" t="str">
        <f>IFERROR(__xludf.DUMMYFUNCTION("""COMPUTED_VALUE"""),"차이나는 비빔면")</f>
        <v>차이나는 비빔면</v>
      </c>
      <c r="B10126" s="2" t="str">
        <f>IFERROR(__xludf.DUMMYFUNCTION("""COMPUTED_VALUE"""),"소금")</f>
        <v>소금</v>
      </c>
    </row>
    <row r="10127">
      <c r="A10127" s="2" t="str">
        <f>IFERROR(__xludf.DUMMYFUNCTION("""COMPUTED_VALUE"""),"차이나는 비빔면")</f>
        <v>차이나는 비빔면</v>
      </c>
      <c r="B10127" s="2" t="str">
        <f>IFERROR(__xludf.DUMMYFUNCTION("""COMPUTED_VALUE"""),"대파")</f>
        <v>대파</v>
      </c>
    </row>
    <row r="10128">
      <c r="A10128" s="2" t="str">
        <f>IFERROR(__xludf.DUMMYFUNCTION("""COMPUTED_VALUE"""),"차이나는 비빔면")</f>
        <v>차이나는 비빔면</v>
      </c>
      <c r="B10128" s="2" t="str">
        <f>IFERROR(__xludf.DUMMYFUNCTION("""COMPUTED_VALUE"""),"다진 생강")</f>
        <v>다진 생강</v>
      </c>
    </row>
    <row r="10129">
      <c r="A10129" s="2" t="str">
        <f>IFERROR(__xludf.DUMMYFUNCTION("""COMPUTED_VALUE"""),"차이나는 비빔면")</f>
        <v>차이나는 비빔면</v>
      </c>
      <c r="B10129" s="2" t="str">
        <f>IFERROR(__xludf.DUMMYFUNCTION("""COMPUTED_VALUE"""),"전분")</f>
        <v>전분</v>
      </c>
    </row>
    <row r="10130">
      <c r="A10130" s="2" t="str">
        <f>IFERROR(__xludf.DUMMYFUNCTION("""COMPUTED_VALUE"""),"차이나는 비빔면")</f>
        <v>차이나는 비빔면</v>
      </c>
      <c r="B10130" s="2" t="str">
        <f>IFERROR(__xludf.DUMMYFUNCTION("""COMPUTED_VALUE"""),"청양고추")</f>
        <v>청양고추</v>
      </c>
    </row>
    <row r="10131">
      <c r="A10131" s="2" t="str">
        <f>IFERROR(__xludf.DUMMYFUNCTION("""COMPUTED_VALUE"""),"차이나는 비빔면")</f>
        <v>차이나는 비빔면</v>
      </c>
      <c r="B10131" s="2" t="str">
        <f>IFERROR(__xludf.DUMMYFUNCTION("""COMPUTED_VALUE"""),"후추")</f>
        <v>후추</v>
      </c>
    </row>
    <row r="10132">
      <c r="A10132" s="2" t="str">
        <f>IFERROR(__xludf.DUMMYFUNCTION("""COMPUTED_VALUE"""),"차이나는 비빔면")</f>
        <v>차이나는 비빔면</v>
      </c>
      <c r="B10132" s="2" t="str">
        <f>IFERROR(__xludf.DUMMYFUNCTION("""COMPUTED_VALUE"""),"설탕")</f>
        <v>설탕</v>
      </c>
    </row>
    <row r="10133">
      <c r="A10133" s="2" t="str">
        <f>IFERROR(__xludf.DUMMYFUNCTION("""COMPUTED_VALUE"""),"참치 언더파~")</f>
        <v>참치 언더파~</v>
      </c>
      <c r="B10133" s="2" t="str">
        <f>IFERROR(__xludf.DUMMYFUNCTION("""COMPUTED_VALUE"""),"소갈비")</f>
        <v>소갈비</v>
      </c>
    </row>
    <row r="10134">
      <c r="A10134" s="2" t="str">
        <f>IFERROR(__xludf.DUMMYFUNCTION("""COMPUTED_VALUE"""),"참치 언더파~")</f>
        <v>참치 언더파~</v>
      </c>
      <c r="B10134" s="2" t="str">
        <f>IFERROR(__xludf.DUMMYFUNCTION("""COMPUTED_VALUE"""),"살라미")</f>
        <v>살라미</v>
      </c>
    </row>
    <row r="10135">
      <c r="A10135" s="2" t="str">
        <f>IFERROR(__xludf.DUMMYFUNCTION("""COMPUTED_VALUE"""),"참치 언더파~")</f>
        <v>참치 언더파~</v>
      </c>
      <c r="B10135" s="2" t="str">
        <f>IFERROR(__xludf.DUMMYFUNCTION("""COMPUTED_VALUE"""),"인스턴트 사골곰탕")</f>
        <v>인스턴트 사골곰탕</v>
      </c>
    </row>
    <row r="10136">
      <c r="A10136" s="2" t="str">
        <f>IFERROR(__xludf.DUMMYFUNCTION("""COMPUTED_VALUE"""),"참치 언더파~")</f>
        <v>참치 언더파~</v>
      </c>
      <c r="B10136" s="2" t="str">
        <f>IFERROR(__xludf.DUMMYFUNCTION("""COMPUTED_VALUE"""),"참치")</f>
        <v>참치</v>
      </c>
    </row>
    <row r="10137">
      <c r="A10137" s="2" t="str">
        <f>IFERROR(__xludf.DUMMYFUNCTION("""COMPUTED_VALUE"""),"참치 언더파~")</f>
        <v>참치 언더파~</v>
      </c>
      <c r="B10137" s="2" t="str">
        <f>IFERROR(__xludf.DUMMYFUNCTION("""COMPUTED_VALUE"""),"쪽파")</f>
        <v>쪽파</v>
      </c>
    </row>
    <row r="10138">
      <c r="A10138" s="2" t="str">
        <f>IFERROR(__xludf.DUMMYFUNCTION("""COMPUTED_VALUE"""),"참치 언더파~")</f>
        <v>참치 언더파~</v>
      </c>
      <c r="B10138" s="2" t="str">
        <f>IFERROR(__xludf.DUMMYFUNCTION("""COMPUTED_VALUE"""),"바비큐소스")</f>
        <v>바비큐소스</v>
      </c>
    </row>
    <row r="10139">
      <c r="A10139" s="2" t="str">
        <f>IFERROR(__xludf.DUMMYFUNCTION("""COMPUTED_VALUE"""),"참치 언더파~")</f>
        <v>참치 언더파~</v>
      </c>
      <c r="B10139" s="2" t="str">
        <f>IFERROR(__xludf.DUMMYFUNCTION("""COMPUTED_VALUE"""),"파르메산치즈")</f>
        <v>파르메산치즈</v>
      </c>
    </row>
    <row r="10140">
      <c r="A10140" s="2" t="str">
        <f>IFERROR(__xludf.DUMMYFUNCTION("""COMPUTED_VALUE"""),"참치 언더파~")</f>
        <v>참치 언더파~</v>
      </c>
      <c r="B10140" s="2" t="str">
        <f>IFERROR(__xludf.DUMMYFUNCTION("""COMPUTED_VALUE"""),"리코타치즈")</f>
        <v>리코타치즈</v>
      </c>
    </row>
    <row r="10141">
      <c r="A10141" s="2" t="str">
        <f>IFERROR(__xludf.DUMMYFUNCTION("""COMPUTED_VALUE"""),"참치 언더파~")</f>
        <v>참치 언더파~</v>
      </c>
      <c r="B10141" s="2" t="str">
        <f>IFERROR(__xludf.DUMMYFUNCTION("""COMPUTED_VALUE"""),"모차렐라 치즈")</f>
        <v>모차렐라 치즈</v>
      </c>
    </row>
    <row r="10142">
      <c r="A10142" s="2" t="str">
        <f>IFERROR(__xludf.DUMMYFUNCTION("""COMPUTED_VALUE"""),"참치 언더파~")</f>
        <v>참치 언더파~</v>
      </c>
      <c r="B10142" s="2" t="str">
        <f>IFERROR(__xludf.DUMMYFUNCTION("""COMPUTED_VALUE"""),"통밀빵")</f>
        <v>통밀빵</v>
      </c>
    </row>
    <row r="10143">
      <c r="A10143" s="2" t="str">
        <f>IFERROR(__xludf.DUMMYFUNCTION("""COMPUTED_VALUE"""),"참치 언더파~")</f>
        <v>참치 언더파~</v>
      </c>
      <c r="B10143" s="2" t="str">
        <f>IFERROR(__xludf.DUMMYFUNCTION("""COMPUTED_VALUE"""),"플레인 요거트")</f>
        <v>플레인 요거트</v>
      </c>
    </row>
    <row r="10144">
      <c r="A10144" s="2" t="str">
        <f>IFERROR(__xludf.DUMMYFUNCTION("""COMPUTED_VALUE"""),"참치 언더파~")</f>
        <v>참치 언더파~</v>
      </c>
      <c r="B10144" s="2" t="str">
        <f>IFERROR(__xludf.DUMMYFUNCTION("""COMPUTED_VALUE"""),"홀스래디시")</f>
        <v>홀스래디시</v>
      </c>
    </row>
    <row r="10145">
      <c r="A10145" s="2" t="str">
        <f>IFERROR(__xludf.DUMMYFUNCTION("""COMPUTED_VALUE"""),"참치 언더파~")</f>
        <v>참치 언더파~</v>
      </c>
      <c r="B10145" s="2" t="str">
        <f>IFERROR(__xludf.DUMMYFUNCTION("""COMPUTED_VALUE"""),"라임")</f>
        <v>라임</v>
      </c>
    </row>
    <row r="10146">
      <c r="A10146" s="2" t="str">
        <f>IFERROR(__xludf.DUMMYFUNCTION("""COMPUTED_VALUE"""),"참치 언더파~")</f>
        <v>참치 언더파~</v>
      </c>
      <c r="B10146" s="2" t="str">
        <f>IFERROR(__xludf.DUMMYFUNCTION("""COMPUTED_VALUE"""),"베트남고추")</f>
        <v>베트남고추</v>
      </c>
    </row>
    <row r="10147">
      <c r="A10147" s="2" t="str">
        <f>IFERROR(__xludf.DUMMYFUNCTION("""COMPUTED_VALUE"""),"참치 언더파~")</f>
        <v>참치 언더파~</v>
      </c>
      <c r="B10147" s="2" t="str">
        <f>IFERROR(__xludf.DUMMYFUNCTION("""COMPUTED_VALUE"""),"아보카도")</f>
        <v>아보카도</v>
      </c>
    </row>
    <row r="10148">
      <c r="A10148" s="2" t="str">
        <f>IFERROR(__xludf.DUMMYFUNCTION("""COMPUTED_VALUE"""),"참치 언더파~")</f>
        <v>참치 언더파~</v>
      </c>
      <c r="B10148" s="2" t="str">
        <f>IFERROR(__xludf.DUMMYFUNCTION("""COMPUTED_VALUE"""),"발사믹식초")</f>
        <v>발사믹식초</v>
      </c>
    </row>
    <row r="10149">
      <c r="A10149" s="2" t="str">
        <f>IFERROR(__xludf.DUMMYFUNCTION("""COMPUTED_VALUE"""),"참치 언더파~")</f>
        <v>참치 언더파~</v>
      </c>
      <c r="B10149" s="2" t="str">
        <f>IFERROR(__xludf.DUMMYFUNCTION("""COMPUTED_VALUE"""),"애플민트")</f>
        <v>애플민트</v>
      </c>
    </row>
    <row r="10150">
      <c r="A10150" s="2" t="str">
        <f>IFERROR(__xludf.DUMMYFUNCTION("""COMPUTED_VALUE"""),"참치 언더파~")</f>
        <v>참치 언더파~</v>
      </c>
      <c r="B10150" s="2" t="str">
        <f>IFERROR(__xludf.DUMMYFUNCTION("""COMPUTED_VALUE"""),"마늘")</f>
        <v>마늘</v>
      </c>
    </row>
    <row r="10151">
      <c r="A10151" s="2" t="str">
        <f>IFERROR(__xludf.DUMMYFUNCTION("""COMPUTED_VALUE"""),"참치 언더파~")</f>
        <v>참치 언더파~</v>
      </c>
      <c r="B10151" s="2" t="str">
        <f>IFERROR(__xludf.DUMMYFUNCTION("""COMPUTED_VALUE"""),"즉석밥")</f>
        <v>즉석밥</v>
      </c>
    </row>
    <row r="10152">
      <c r="A10152" s="2" t="str">
        <f>IFERROR(__xludf.DUMMYFUNCTION("""COMPUTED_VALUE"""),"참치 언더파~")</f>
        <v>참치 언더파~</v>
      </c>
      <c r="B10152" s="2" t="str">
        <f>IFERROR(__xludf.DUMMYFUNCTION("""COMPUTED_VALUE"""),"올리브오일")</f>
        <v>올리브오일</v>
      </c>
    </row>
    <row r="10153">
      <c r="A10153" s="2" t="str">
        <f>IFERROR(__xludf.DUMMYFUNCTION("""COMPUTED_VALUE"""),"참치 언더파~")</f>
        <v>참치 언더파~</v>
      </c>
      <c r="B10153" s="2" t="str">
        <f>IFERROR(__xludf.DUMMYFUNCTION("""COMPUTED_VALUE"""),"양파")</f>
        <v>양파</v>
      </c>
    </row>
    <row r="10154">
      <c r="A10154" s="2" t="str">
        <f>IFERROR(__xludf.DUMMYFUNCTION("""COMPUTED_VALUE"""),"참치 언더파~")</f>
        <v>참치 언더파~</v>
      </c>
      <c r="B10154" s="2" t="str">
        <f>IFERROR(__xludf.DUMMYFUNCTION("""COMPUTED_VALUE"""),"후추")</f>
        <v>후추</v>
      </c>
    </row>
    <row r="10155">
      <c r="A10155" s="2" t="str">
        <f>IFERROR(__xludf.DUMMYFUNCTION("""COMPUTED_VALUE"""),"참치 언더파~")</f>
        <v>참치 언더파~</v>
      </c>
      <c r="B10155" s="2" t="str">
        <f>IFERROR(__xludf.DUMMYFUNCTION("""COMPUTED_VALUE"""),"소금")</f>
        <v>소금</v>
      </c>
    </row>
    <row r="10156">
      <c r="A10156" s="2" t="str">
        <f>IFERROR(__xludf.DUMMYFUNCTION("""COMPUTED_VALUE"""),"참치 언더파~")</f>
        <v>참치 언더파~</v>
      </c>
      <c r="B10156" s="2" t="str">
        <f>IFERROR(__xludf.DUMMYFUNCTION("""COMPUTED_VALUE"""),"레몬")</f>
        <v>레몬</v>
      </c>
    </row>
    <row r="10157">
      <c r="A10157" s="2" t="str">
        <f>IFERROR(__xludf.DUMMYFUNCTION("""COMPUTED_VALUE"""),"스피드 스퀴드")</f>
        <v>스피드 스퀴드</v>
      </c>
      <c r="B10157" s="2" t="str">
        <f>IFERROR(__xludf.DUMMYFUNCTION("""COMPUTED_VALUE"""),"통밀빵")</f>
        <v>통밀빵</v>
      </c>
    </row>
    <row r="10158">
      <c r="A10158" s="2" t="str">
        <f>IFERROR(__xludf.DUMMYFUNCTION("""COMPUTED_VALUE"""),"스피드 스퀴드")</f>
        <v>스피드 스퀴드</v>
      </c>
      <c r="B10158" s="2" t="str">
        <f>IFERROR(__xludf.DUMMYFUNCTION("""COMPUTED_VALUE"""),"오징어")</f>
        <v>오징어</v>
      </c>
    </row>
    <row r="10159">
      <c r="A10159" s="2" t="str">
        <f>IFERROR(__xludf.DUMMYFUNCTION("""COMPUTED_VALUE"""),"스피드 스퀴드")</f>
        <v>스피드 스퀴드</v>
      </c>
      <c r="B10159" s="2" t="str">
        <f>IFERROR(__xludf.DUMMYFUNCTION("""COMPUTED_VALUE"""),"쪽파")</f>
        <v>쪽파</v>
      </c>
    </row>
    <row r="10160">
      <c r="A10160" s="2" t="str">
        <f>IFERROR(__xludf.DUMMYFUNCTION("""COMPUTED_VALUE"""),"스피드 스퀴드")</f>
        <v>스피드 스퀴드</v>
      </c>
      <c r="B10160" s="2" t="str">
        <f>IFERROR(__xludf.DUMMYFUNCTION("""COMPUTED_VALUE"""),"리코타치즈")</f>
        <v>리코타치즈</v>
      </c>
    </row>
    <row r="10161">
      <c r="A10161" s="2" t="str">
        <f>IFERROR(__xludf.DUMMYFUNCTION("""COMPUTED_VALUE"""),"스피드 스퀴드")</f>
        <v>스피드 스퀴드</v>
      </c>
      <c r="B10161" s="2" t="str">
        <f>IFERROR(__xludf.DUMMYFUNCTION("""COMPUTED_VALUE"""),"애플민트")</f>
        <v>애플민트</v>
      </c>
    </row>
    <row r="10162">
      <c r="A10162" s="2" t="str">
        <f>IFERROR(__xludf.DUMMYFUNCTION("""COMPUTED_VALUE"""),"스피드 스퀴드")</f>
        <v>스피드 스퀴드</v>
      </c>
      <c r="B10162" s="2" t="str">
        <f>IFERROR(__xludf.DUMMYFUNCTION("""COMPUTED_VALUE"""),"파르메산치즈")</f>
        <v>파르메산치즈</v>
      </c>
    </row>
    <row r="10163">
      <c r="A10163" s="2" t="str">
        <f>IFERROR(__xludf.DUMMYFUNCTION("""COMPUTED_VALUE"""),"스피드 스퀴드")</f>
        <v>스피드 스퀴드</v>
      </c>
      <c r="B10163" s="2" t="str">
        <f>IFERROR(__xludf.DUMMYFUNCTION("""COMPUTED_VALUE"""),"적양파")</f>
        <v>적양파</v>
      </c>
    </row>
    <row r="10164">
      <c r="A10164" s="2" t="str">
        <f>IFERROR(__xludf.DUMMYFUNCTION("""COMPUTED_VALUE"""),"스피드 스퀴드")</f>
        <v>스피드 스퀴드</v>
      </c>
      <c r="B10164" s="2" t="str">
        <f>IFERROR(__xludf.DUMMYFUNCTION("""COMPUTED_VALUE"""),"아보카도")</f>
        <v>아보카도</v>
      </c>
    </row>
    <row r="10165">
      <c r="A10165" s="2" t="str">
        <f>IFERROR(__xludf.DUMMYFUNCTION("""COMPUTED_VALUE"""),"스피드 스퀴드")</f>
        <v>스피드 스퀴드</v>
      </c>
      <c r="B10165" s="2" t="str">
        <f>IFERROR(__xludf.DUMMYFUNCTION("""COMPUTED_VALUE"""),"라임")</f>
        <v>라임</v>
      </c>
    </row>
    <row r="10166">
      <c r="A10166" s="2" t="str">
        <f>IFERROR(__xludf.DUMMYFUNCTION("""COMPUTED_VALUE"""),"스피드 스퀴드")</f>
        <v>스피드 스퀴드</v>
      </c>
      <c r="B10166" s="2" t="str">
        <f>IFERROR(__xludf.DUMMYFUNCTION("""COMPUTED_VALUE"""),"마늘")</f>
        <v>마늘</v>
      </c>
    </row>
    <row r="10167">
      <c r="A10167" s="2" t="str">
        <f>IFERROR(__xludf.DUMMYFUNCTION("""COMPUTED_VALUE"""),"스피드 스퀴드")</f>
        <v>스피드 스퀴드</v>
      </c>
      <c r="B10167" s="2" t="str">
        <f>IFERROR(__xludf.DUMMYFUNCTION("""COMPUTED_VALUE"""),"올리브오일")</f>
        <v>올리브오일</v>
      </c>
    </row>
    <row r="10168">
      <c r="A10168" s="2" t="str">
        <f>IFERROR(__xludf.DUMMYFUNCTION("""COMPUTED_VALUE"""),"스피드 스퀴드")</f>
        <v>스피드 스퀴드</v>
      </c>
      <c r="B10168" s="2" t="str">
        <f>IFERROR(__xludf.DUMMYFUNCTION("""COMPUTED_VALUE"""),"소금")</f>
        <v>소금</v>
      </c>
    </row>
    <row r="10169">
      <c r="A10169" s="2" t="str">
        <f>IFERROR(__xludf.DUMMYFUNCTION("""COMPUTED_VALUE"""),"스피드 스퀴드")</f>
        <v>스피드 스퀴드</v>
      </c>
      <c r="B10169" s="2" t="str">
        <f>IFERROR(__xludf.DUMMYFUNCTION("""COMPUTED_VALUE"""),"후추")</f>
        <v>후추</v>
      </c>
    </row>
    <row r="10170">
      <c r="A10170" s="2" t="str">
        <f>IFERROR(__xludf.DUMMYFUNCTION("""COMPUTED_VALUE"""),"스피드 스퀴드")</f>
        <v>스피드 스퀴드</v>
      </c>
      <c r="B10170" s="2" t="str">
        <f>IFERROR(__xludf.DUMMYFUNCTION("""COMPUTED_VALUE"""),"레몬")</f>
        <v>레몬</v>
      </c>
    </row>
    <row r="10171">
      <c r="A10171" s="2" t="str">
        <f>IFERROR(__xludf.DUMMYFUNCTION("""COMPUTED_VALUE"""),"스피드 스퀴드")</f>
        <v>스피드 스퀴드</v>
      </c>
      <c r="B10171" s="2" t="str">
        <f>IFERROR(__xludf.DUMMYFUNCTION("""COMPUTED_VALUE"""),"레드와인")</f>
        <v>레드와인</v>
      </c>
    </row>
    <row r="10172">
      <c r="A10172" s="2" t="str">
        <f>IFERROR(__xludf.DUMMYFUNCTION("""COMPUTED_VALUE"""),"스피드 스퀴드")</f>
        <v>스피드 스퀴드</v>
      </c>
      <c r="B10172" s="2" t="str">
        <f>IFERROR(__xludf.DUMMYFUNCTION("""COMPUTED_VALUE"""),"식초")</f>
        <v>식초</v>
      </c>
    </row>
    <row r="10173">
      <c r="A10173" s="2" t="str">
        <f>IFERROR(__xludf.DUMMYFUNCTION("""COMPUTED_VALUE"""),"스피드 스퀴드")</f>
        <v>스피드 스퀴드</v>
      </c>
      <c r="B10173" s="2" t="str">
        <f>IFERROR(__xludf.DUMMYFUNCTION("""COMPUTED_VALUE"""),"설탕")</f>
        <v>설탕</v>
      </c>
    </row>
    <row r="10174">
      <c r="A10174" s="2" t="str">
        <f>IFERROR(__xludf.DUMMYFUNCTION("""COMPUTED_VALUE"""),"월드클래스 삼합")</f>
        <v>월드클래스 삼합</v>
      </c>
      <c r="B10174" s="2" t="str">
        <f>IFERROR(__xludf.DUMMYFUNCTION("""COMPUTED_VALUE"""),"소갈비")</f>
        <v>소갈비</v>
      </c>
    </row>
    <row r="10175">
      <c r="A10175" s="2" t="str">
        <f>IFERROR(__xludf.DUMMYFUNCTION("""COMPUTED_VALUE"""),"월드클래스 삼합")</f>
        <v>월드클래스 삼합</v>
      </c>
      <c r="B10175" s="2" t="str">
        <f>IFERROR(__xludf.DUMMYFUNCTION("""COMPUTED_VALUE"""),"블랙트러플소금")</f>
        <v>블랙트러플소금</v>
      </c>
    </row>
    <row r="10176">
      <c r="A10176" s="2" t="str">
        <f>IFERROR(__xludf.DUMMYFUNCTION("""COMPUTED_VALUE"""),"월드클래스 삼합")</f>
        <v>월드클래스 삼합</v>
      </c>
      <c r="B10176" s="2" t="str">
        <f>IFERROR(__xludf.DUMMYFUNCTION("""COMPUTED_VALUE"""),"통밀빵")</f>
        <v>통밀빵</v>
      </c>
    </row>
    <row r="10177">
      <c r="A10177" s="2" t="str">
        <f>IFERROR(__xludf.DUMMYFUNCTION("""COMPUTED_VALUE"""),"월드클래스 삼합")</f>
        <v>월드클래스 삼합</v>
      </c>
      <c r="B10177" s="2" t="str">
        <f>IFERROR(__xludf.DUMMYFUNCTION("""COMPUTED_VALUE"""),"선드라이드 토마토")</f>
        <v>선드라이드 토마토</v>
      </c>
    </row>
    <row r="10178">
      <c r="A10178" s="2" t="str">
        <f>IFERROR(__xludf.DUMMYFUNCTION("""COMPUTED_VALUE"""),"월드클래스 삼합")</f>
        <v>월드클래스 삼합</v>
      </c>
      <c r="B10178" s="2" t="str">
        <f>IFERROR(__xludf.DUMMYFUNCTION("""COMPUTED_VALUE"""),"파르메산 치즈")</f>
        <v>파르메산 치즈</v>
      </c>
    </row>
    <row r="10179">
      <c r="A10179" s="2" t="str">
        <f>IFERROR(__xludf.DUMMYFUNCTION("""COMPUTED_VALUE"""),"월드클래스 삼합")</f>
        <v>월드클래스 삼합</v>
      </c>
      <c r="B10179" s="2" t="str">
        <f>IFERROR(__xludf.DUMMYFUNCTION("""COMPUTED_VALUE"""),"씻은 김치")</f>
        <v>씻은 김치</v>
      </c>
    </row>
    <row r="10180">
      <c r="A10180" s="2" t="str">
        <f>IFERROR(__xludf.DUMMYFUNCTION("""COMPUTED_VALUE"""),"월드클래스 삼합")</f>
        <v>월드클래스 삼합</v>
      </c>
      <c r="B10180" s="2" t="str">
        <f>IFERROR(__xludf.DUMMYFUNCTION("""COMPUTED_VALUE"""),"스리라차소스")</f>
        <v>스리라차소스</v>
      </c>
    </row>
    <row r="10181">
      <c r="A10181" s="2" t="str">
        <f>IFERROR(__xludf.DUMMYFUNCTION("""COMPUTED_VALUE"""),"월드클래스 삼합")</f>
        <v>월드클래스 삼합</v>
      </c>
      <c r="B10181" s="2" t="str">
        <f>IFERROR(__xludf.DUMMYFUNCTION("""COMPUTED_VALUE"""),"애플민트")</f>
        <v>애플민트</v>
      </c>
    </row>
    <row r="10182">
      <c r="A10182" s="2" t="str">
        <f>IFERROR(__xludf.DUMMYFUNCTION("""COMPUTED_VALUE"""),"월드클래스 삼합")</f>
        <v>월드클래스 삼합</v>
      </c>
      <c r="B10182" s="2" t="str">
        <f>IFERROR(__xludf.DUMMYFUNCTION("""COMPUTED_VALUE"""),"고량주")</f>
        <v>고량주</v>
      </c>
    </row>
    <row r="10183">
      <c r="A10183" s="2" t="str">
        <f>IFERROR(__xludf.DUMMYFUNCTION("""COMPUTED_VALUE"""),"월드클래스 삼합")</f>
        <v>월드클래스 삼합</v>
      </c>
      <c r="B10183" s="2" t="str">
        <f>IFERROR(__xludf.DUMMYFUNCTION("""COMPUTED_VALUE"""),"통조림 옥수수")</f>
        <v>통조림 옥수수</v>
      </c>
    </row>
    <row r="10184">
      <c r="A10184" s="2" t="str">
        <f>IFERROR(__xludf.DUMMYFUNCTION("""COMPUTED_VALUE"""),"월드클래스 삼합")</f>
        <v>월드클래스 삼합</v>
      </c>
      <c r="B10184" s="2" t="str">
        <f>IFERROR(__xludf.DUMMYFUNCTION("""COMPUTED_VALUE"""),"적양파")</f>
        <v>적양파</v>
      </c>
    </row>
    <row r="10185">
      <c r="A10185" s="2" t="str">
        <f>IFERROR(__xludf.DUMMYFUNCTION("""COMPUTED_VALUE"""),"월드클래스 삼합")</f>
        <v>월드클래스 삼합</v>
      </c>
      <c r="B10185" s="2" t="str">
        <f>IFERROR(__xludf.DUMMYFUNCTION("""COMPUTED_VALUE"""),"아보카도")</f>
        <v>아보카도</v>
      </c>
    </row>
    <row r="10186">
      <c r="A10186" s="2" t="str">
        <f>IFERROR(__xludf.DUMMYFUNCTION("""COMPUTED_VALUE"""),"월드클래스 삼합")</f>
        <v>월드클래스 삼합</v>
      </c>
      <c r="B10186" s="2" t="str">
        <f>IFERROR(__xludf.DUMMYFUNCTION("""COMPUTED_VALUE"""),"크림치즈")</f>
        <v>크림치즈</v>
      </c>
    </row>
    <row r="10187">
      <c r="A10187" s="2" t="str">
        <f>IFERROR(__xludf.DUMMYFUNCTION("""COMPUTED_VALUE"""),"월드클래스 삼합")</f>
        <v>월드클래스 삼합</v>
      </c>
      <c r="B10187" s="2" t="str">
        <f>IFERROR(__xludf.DUMMYFUNCTION("""COMPUTED_VALUE"""),"블랙트러플오일")</f>
        <v>블랙트러플오일</v>
      </c>
    </row>
    <row r="10188">
      <c r="A10188" s="2" t="str">
        <f>IFERROR(__xludf.DUMMYFUNCTION("""COMPUTED_VALUE"""),"월드클래스 삼합")</f>
        <v>월드클래스 삼합</v>
      </c>
      <c r="B10188" s="2" t="str">
        <f>IFERROR(__xludf.DUMMYFUNCTION("""COMPUTED_VALUE"""),"블랙트러플페이스트")</f>
        <v>블랙트러플페이스트</v>
      </c>
    </row>
    <row r="10189">
      <c r="A10189" s="2" t="str">
        <f>IFERROR(__xludf.DUMMYFUNCTION("""COMPUTED_VALUE"""),"월드클래스 삼합")</f>
        <v>월드클래스 삼합</v>
      </c>
      <c r="B10189" s="2" t="str">
        <f>IFERROR(__xludf.DUMMYFUNCTION("""COMPUTED_VALUE"""),"블랙트러플")</f>
        <v>블랙트러플</v>
      </c>
    </row>
    <row r="10190">
      <c r="A10190" s="2" t="str">
        <f>IFERROR(__xludf.DUMMYFUNCTION("""COMPUTED_VALUE"""),"월드클래스 삼합")</f>
        <v>월드클래스 삼합</v>
      </c>
      <c r="B10190" s="2" t="str">
        <f>IFERROR(__xludf.DUMMYFUNCTION("""COMPUTED_VALUE"""),"고추냉이크림")</f>
        <v>고추냉이크림</v>
      </c>
    </row>
    <row r="10191">
      <c r="A10191" s="2" t="str">
        <f>IFERROR(__xludf.DUMMYFUNCTION("""COMPUTED_VALUE"""),"월드클래스 삼합")</f>
        <v>월드클래스 삼합</v>
      </c>
      <c r="B10191" s="2" t="str">
        <f>IFERROR(__xludf.DUMMYFUNCTION("""COMPUTED_VALUE"""),"관자")</f>
        <v>관자</v>
      </c>
    </row>
    <row r="10192">
      <c r="A10192" s="2" t="str">
        <f>IFERROR(__xludf.DUMMYFUNCTION("""COMPUTED_VALUE"""),"월드클래스 삼합")</f>
        <v>월드클래스 삼합</v>
      </c>
      <c r="B10192" s="2" t="str">
        <f>IFERROR(__xludf.DUMMYFUNCTION("""COMPUTED_VALUE"""),"대파")</f>
        <v>대파</v>
      </c>
    </row>
    <row r="10193">
      <c r="A10193" s="2" t="str">
        <f>IFERROR(__xludf.DUMMYFUNCTION("""COMPUTED_VALUE"""),"월드클래스 삼합")</f>
        <v>월드클래스 삼합</v>
      </c>
      <c r="B10193" s="2" t="str">
        <f>IFERROR(__xludf.DUMMYFUNCTION("""COMPUTED_VALUE"""),"레몬")</f>
        <v>레몬</v>
      </c>
    </row>
    <row r="10194">
      <c r="A10194" s="2" t="str">
        <f>IFERROR(__xludf.DUMMYFUNCTION("""COMPUTED_VALUE"""),"월드클래스 삼합")</f>
        <v>월드클래스 삼합</v>
      </c>
      <c r="B10194" s="2" t="str">
        <f>IFERROR(__xludf.DUMMYFUNCTION("""COMPUTED_VALUE"""),"소금")</f>
        <v>소금</v>
      </c>
    </row>
    <row r="10195">
      <c r="A10195" s="2" t="str">
        <f>IFERROR(__xludf.DUMMYFUNCTION("""COMPUTED_VALUE"""),"월드클래스 삼합")</f>
        <v>월드클래스 삼합</v>
      </c>
      <c r="B10195" s="2" t="str">
        <f>IFERROR(__xludf.DUMMYFUNCTION("""COMPUTED_VALUE"""),"버터")</f>
        <v>버터</v>
      </c>
    </row>
    <row r="10196">
      <c r="A10196" s="2" t="str">
        <f>IFERROR(__xludf.DUMMYFUNCTION("""COMPUTED_VALUE"""),"세리볼 나이스샷")</f>
        <v>세리볼 나이스샷</v>
      </c>
      <c r="B10196" s="2" t="str">
        <f>IFERROR(__xludf.DUMMYFUNCTION("""COMPUTED_VALUE"""),"다시마")</f>
        <v>다시마</v>
      </c>
    </row>
    <row r="10197">
      <c r="A10197" s="2" t="str">
        <f>IFERROR(__xludf.DUMMYFUNCTION("""COMPUTED_VALUE"""),"세리볼 나이스샷")</f>
        <v>세리볼 나이스샷</v>
      </c>
      <c r="B10197" s="2" t="str">
        <f>IFERROR(__xludf.DUMMYFUNCTION("""COMPUTED_VALUE"""),"무")</f>
        <v>무</v>
      </c>
    </row>
    <row r="10198">
      <c r="A10198" s="2" t="str">
        <f>IFERROR(__xludf.DUMMYFUNCTION("""COMPUTED_VALUE"""),"세리볼 나이스샷")</f>
        <v>세리볼 나이스샷</v>
      </c>
      <c r="B10198" s="2" t="str">
        <f>IFERROR(__xludf.DUMMYFUNCTION("""COMPUTED_VALUE"""),"쪽파")</f>
        <v>쪽파</v>
      </c>
    </row>
    <row r="10199">
      <c r="A10199" s="2" t="str">
        <f>IFERROR(__xludf.DUMMYFUNCTION("""COMPUTED_VALUE"""),"세리볼 나이스샷")</f>
        <v>세리볼 나이스샷</v>
      </c>
      <c r="B10199" s="2" t="str">
        <f>IFERROR(__xludf.DUMMYFUNCTION("""COMPUTED_VALUE"""),"선드라이드 토마토")</f>
        <v>선드라이드 토마토</v>
      </c>
    </row>
    <row r="10200">
      <c r="A10200" s="2" t="str">
        <f>IFERROR(__xludf.DUMMYFUNCTION("""COMPUTED_VALUE"""),"세리볼 나이스샷")</f>
        <v>세리볼 나이스샷</v>
      </c>
      <c r="B10200" s="2" t="str">
        <f>IFERROR(__xludf.DUMMYFUNCTION("""COMPUTED_VALUE"""),"통조림 게살")</f>
        <v>통조림 게살</v>
      </c>
    </row>
    <row r="10201">
      <c r="A10201" s="2" t="str">
        <f>IFERROR(__xludf.DUMMYFUNCTION("""COMPUTED_VALUE"""),"세리볼 나이스샷")</f>
        <v>세리볼 나이스샷</v>
      </c>
      <c r="B10201" s="2" t="str">
        <f>IFERROR(__xludf.DUMMYFUNCTION("""COMPUTED_VALUE"""),"배추김치")</f>
        <v>배추김치</v>
      </c>
    </row>
    <row r="10202">
      <c r="A10202" s="2" t="str">
        <f>IFERROR(__xludf.DUMMYFUNCTION("""COMPUTED_VALUE"""),"세리볼 나이스샷")</f>
        <v>세리볼 나이스샷</v>
      </c>
      <c r="B10202" s="2" t="str">
        <f>IFERROR(__xludf.DUMMYFUNCTION("""COMPUTED_VALUE"""),"아보카도")</f>
        <v>아보카도</v>
      </c>
    </row>
    <row r="10203">
      <c r="A10203" s="2" t="str">
        <f>IFERROR(__xludf.DUMMYFUNCTION("""COMPUTED_VALUE"""),"세리볼 나이스샷")</f>
        <v>세리볼 나이스샷</v>
      </c>
      <c r="B10203" s="2" t="str">
        <f>IFERROR(__xludf.DUMMYFUNCTION("""COMPUTED_VALUE"""),"안창살")</f>
        <v>안창살</v>
      </c>
    </row>
    <row r="10204">
      <c r="A10204" s="2" t="str">
        <f>IFERROR(__xludf.DUMMYFUNCTION("""COMPUTED_VALUE"""),"세리볼 나이스샷")</f>
        <v>세리볼 나이스샷</v>
      </c>
      <c r="B10204" s="2" t="str">
        <f>IFERROR(__xludf.DUMMYFUNCTION("""COMPUTED_VALUE"""),"맛술")</f>
        <v>맛술</v>
      </c>
    </row>
    <row r="10205">
      <c r="A10205" s="2" t="str">
        <f>IFERROR(__xludf.DUMMYFUNCTION("""COMPUTED_VALUE"""),"세리볼 나이스샷")</f>
        <v>세리볼 나이스샷</v>
      </c>
      <c r="B10205" s="2" t="str">
        <f>IFERROR(__xludf.DUMMYFUNCTION("""COMPUTED_VALUE"""),"소금")</f>
        <v>소금</v>
      </c>
    </row>
    <row r="10206">
      <c r="A10206" s="2" t="str">
        <f>IFERROR(__xludf.DUMMYFUNCTION("""COMPUTED_VALUE"""),"세리볼 나이스샷")</f>
        <v>세리볼 나이스샷</v>
      </c>
      <c r="B10206" s="2" t="str">
        <f>IFERROR(__xludf.DUMMYFUNCTION("""COMPUTED_VALUE"""),"설탕")</f>
        <v>설탕</v>
      </c>
    </row>
    <row r="10207">
      <c r="A10207" s="2" t="str">
        <f>IFERROR(__xludf.DUMMYFUNCTION("""COMPUTED_VALUE"""),"세리볼 나이스샷")</f>
        <v>세리볼 나이스샷</v>
      </c>
      <c r="B10207" s="2" t="str">
        <f>IFERROR(__xludf.DUMMYFUNCTION("""COMPUTED_VALUE"""),"식용유")</f>
        <v>식용유</v>
      </c>
    </row>
    <row r="10208">
      <c r="A10208" s="2" t="str">
        <f>IFERROR(__xludf.DUMMYFUNCTION("""COMPUTED_VALUE"""),"세리볼 나이스샷")</f>
        <v>세리볼 나이스샷</v>
      </c>
      <c r="B10208" s="2" t="str">
        <f>IFERROR(__xludf.DUMMYFUNCTION("""COMPUTED_VALUE"""),"참기름")</f>
        <v>참기름</v>
      </c>
    </row>
    <row r="10209">
      <c r="A10209" s="2" t="str">
        <f>IFERROR(__xludf.DUMMYFUNCTION("""COMPUTED_VALUE"""),"세리볼 나이스샷")</f>
        <v>세리볼 나이스샷</v>
      </c>
      <c r="B10209" s="2" t="str">
        <f>IFERROR(__xludf.DUMMYFUNCTION("""COMPUTED_VALUE"""),"양파")</f>
        <v>양파</v>
      </c>
    </row>
    <row r="10210">
      <c r="A10210" s="2" t="str">
        <f>IFERROR(__xludf.DUMMYFUNCTION("""COMPUTED_VALUE"""),"세리볼 나이스샷")</f>
        <v>세리볼 나이스샷</v>
      </c>
      <c r="B10210" s="2" t="str">
        <f>IFERROR(__xludf.DUMMYFUNCTION("""COMPUTED_VALUE"""),"대파")</f>
        <v>대파</v>
      </c>
    </row>
    <row r="10211">
      <c r="A10211" s="2" t="str">
        <f>IFERROR(__xludf.DUMMYFUNCTION("""COMPUTED_VALUE"""),"세리볼 나이스샷")</f>
        <v>세리볼 나이스샷</v>
      </c>
      <c r="B10211" s="2" t="str">
        <f>IFERROR(__xludf.DUMMYFUNCTION("""COMPUTED_VALUE"""),"레몬")</f>
        <v>레몬</v>
      </c>
    </row>
    <row r="10212">
      <c r="A10212" s="2" t="str">
        <f>IFERROR(__xludf.DUMMYFUNCTION("""COMPUTED_VALUE"""),"연복풍 완자")</f>
        <v>연복풍 완자</v>
      </c>
      <c r="B10212" s="2" t="str">
        <f>IFERROR(__xludf.DUMMYFUNCTION("""COMPUTED_VALUE"""),"해물다시팩")</f>
        <v>해물다시팩</v>
      </c>
    </row>
    <row r="10213">
      <c r="A10213" s="2" t="str">
        <f>IFERROR(__xludf.DUMMYFUNCTION("""COMPUTED_VALUE"""),"연복풍 완자")</f>
        <v>연복풍 완자</v>
      </c>
      <c r="B10213" s="2" t="str">
        <f>IFERROR(__xludf.DUMMYFUNCTION("""COMPUTED_VALUE"""),"무")</f>
        <v>무</v>
      </c>
    </row>
    <row r="10214">
      <c r="A10214" s="2" t="str">
        <f>IFERROR(__xludf.DUMMYFUNCTION("""COMPUTED_VALUE"""),"연복풍 완자")</f>
        <v>연복풍 완자</v>
      </c>
      <c r="B10214" s="2" t="str">
        <f>IFERROR(__xludf.DUMMYFUNCTION("""COMPUTED_VALUE"""),"그린 빈")</f>
        <v>그린 빈</v>
      </c>
    </row>
    <row r="10215">
      <c r="A10215" s="2" t="str">
        <f>IFERROR(__xludf.DUMMYFUNCTION("""COMPUTED_VALUE"""),"연복풍 완자")</f>
        <v>연복풍 완자</v>
      </c>
      <c r="B10215" s="2" t="str">
        <f>IFERROR(__xludf.DUMMYFUNCTION("""COMPUTED_VALUE"""),"브로콜리")</f>
        <v>브로콜리</v>
      </c>
    </row>
    <row r="10216">
      <c r="A10216" s="2" t="str">
        <f>IFERROR(__xludf.DUMMYFUNCTION("""COMPUTED_VALUE"""),"연복풍 완자")</f>
        <v>연복풍 완자</v>
      </c>
      <c r="B10216" s="2" t="str">
        <f>IFERROR(__xludf.DUMMYFUNCTION("""COMPUTED_VALUE"""),"양송이버섯")</f>
        <v>양송이버섯</v>
      </c>
    </row>
    <row r="10217">
      <c r="A10217" s="2" t="str">
        <f>IFERROR(__xludf.DUMMYFUNCTION("""COMPUTED_VALUE"""),"연복풍 완자")</f>
        <v>연복풍 완자</v>
      </c>
      <c r="B10217" s="2" t="str">
        <f>IFERROR(__xludf.DUMMYFUNCTION("""COMPUTED_VALUE"""),"새송이버섯")</f>
        <v>새송이버섯</v>
      </c>
    </row>
    <row r="10218">
      <c r="A10218" s="2" t="str">
        <f>IFERROR(__xludf.DUMMYFUNCTION("""COMPUTED_VALUE"""),"연복풍 완자")</f>
        <v>연복풍 완자</v>
      </c>
      <c r="B10218" s="2" t="str">
        <f>IFERROR(__xludf.DUMMYFUNCTION("""COMPUTED_VALUE"""),"가지")</f>
        <v>가지</v>
      </c>
    </row>
    <row r="10219">
      <c r="A10219" s="2" t="str">
        <f>IFERROR(__xludf.DUMMYFUNCTION("""COMPUTED_VALUE"""),"연복풍 완자")</f>
        <v>연복풍 완자</v>
      </c>
      <c r="B10219" s="2" t="str">
        <f>IFERROR(__xludf.DUMMYFUNCTION("""COMPUTED_VALUE"""),"소고기 안심")</f>
        <v>소고기 안심</v>
      </c>
    </row>
    <row r="10220">
      <c r="A10220" s="2" t="str">
        <f>IFERROR(__xludf.DUMMYFUNCTION("""COMPUTED_VALUE"""),"연복풍 완자")</f>
        <v>연복풍 완자</v>
      </c>
      <c r="B10220" s="2" t="str">
        <f>IFERROR(__xludf.DUMMYFUNCTION("""COMPUTED_VALUE"""),"돼지고기 어깨살")</f>
        <v>돼지고기 어깨살</v>
      </c>
    </row>
    <row r="10221">
      <c r="A10221" s="2" t="str">
        <f>IFERROR(__xludf.DUMMYFUNCTION("""COMPUTED_VALUE"""),"연복풍 완자")</f>
        <v>연복풍 완자</v>
      </c>
      <c r="B10221" s="2" t="str">
        <f>IFERROR(__xludf.DUMMYFUNCTION("""COMPUTED_VALUE"""),"간 닭고기")</f>
        <v>간 닭고기</v>
      </c>
    </row>
    <row r="10222">
      <c r="A10222" s="2" t="str">
        <f>IFERROR(__xludf.DUMMYFUNCTION("""COMPUTED_VALUE"""),"연복풍 완자")</f>
        <v>연복풍 완자</v>
      </c>
      <c r="B10222" s="2" t="str">
        <f>IFERROR(__xludf.DUMMYFUNCTION("""COMPUTED_VALUE"""),"닭허벅지살")</f>
        <v>닭허벅지살</v>
      </c>
    </row>
    <row r="10223">
      <c r="A10223" s="2" t="str">
        <f>IFERROR(__xludf.DUMMYFUNCTION("""COMPUTED_VALUE"""),"연복풍 완자")</f>
        <v>연복풍 완자</v>
      </c>
      <c r="B10223" s="2" t="str">
        <f>IFERROR(__xludf.DUMMYFUNCTION("""COMPUTED_VALUE"""),"대구맛후리카케")</f>
        <v>대구맛후리카케</v>
      </c>
    </row>
    <row r="10224">
      <c r="A10224" s="2" t="str">
        <f>IFERROR(__xludf.DUMMYFUNCTION("""COMPUTED_VALUE"""),"연복풍 완자")</f>
        <v>연복풍 완자</v>
      </c>
      <c r="B10224" s="2" t="str">
        <f>IFERROR(__xludf.DUMMYFUNCTION("""COMPUTED_VALUE"""),"라유")</f>
        <v>라유</v>
      </c>
    </row>
    <row r="10225">
      <c r="A10225" s="2" t="str">
        <f>IFERROR(__xludf.DUMMYFUNCTION("""COMPUTED_VALUE"""),"연복풍 완자")</f>
        <v>연복풍 완자</v>
      </c>
      <c r="B10225" s="2" t="str">
        <f>IFERROR(__xludf.DUMMYFUNCTION("""COMPUTED_VALUE"""),"야키니쿠소스")</f>
        <v>야키니쿠소스</v>
      </c>
    </row>
    <row r="10226">
      <c r="A10226" s="2" t="str">
        <f>IFERROR(__xludf.DUMMYFUNCTION("""COMPUTED_VALUE"""),"연복풍 완자")</f>
        <v>연복풍 완자</v>
      </c>
      <c r="B10226" s="2" t="str">
        <f>IFERROR(__xludf.DUMMYFUNCTION("""COMPUTED_VALUE"""),"말린 새우")</f>
        <v>말린 새우</v>
      </c>
    </row>
    <row r="10227">
      <c r="A10227" s="2" t="str">
        <f>IFERROR(__xludf.DUMMYFUNCTION("""COMPUTED_VALUE"""),"연복풍 완자")</f>
        <v>연복풍 완자</v>
      </c>
      <c r="B10227" s="2" t="str">
        <f>IFERROR(__xludf.DUMMYFUNCTION("""COMPUTED_VALUE"""),"미소된장")</f>
        <v>미소된장</v>
      </c>
    </row>
    <row r="10228">
      <c r="A10228" s="2" t="str">
        <f>IFERROR(__xludf.DUMMYFUNCTION("""COMPUTED_VALUE"""),"연복풍 완자")</f>
        <v>연복풍 완자</v>
      </c>
      <c r="B10228" s="2" t="str">
        <f>IFERROR(__xludf.DUMMYFUNCTION("""COMPUTED_VALUE"""),"명란젓")</f>
        <v>명란젓</v>
      </c>
    </row>
    <row r="10229">
      <c r="A10229" s="2" t="str">
        <f>IFERROR(__xludf.DUMMYFUNCTION("""COMPUTED_VALUE"""),"연복풍 완자")</f>
        <v>연복풍 완자</v>
      </c>
      <c r="B10229" s="2" t="str">
        <f>IFERROR(__xludf.DUMMYFUNCTION("""COMPUTED_VALUE"""),"표고버섯")</f>
        <v>표고버섯</v>
      </c>
    </row>
    <row r="10230">
      <c r="A10230" s="2" t="str">
        <f>IFERROR(__xludf.DUMMYFUNCTION("""COMPUTED_VALUE"""),"연복풍 완자")</f>
        <v>연복풍 완자</v>
      </c>
      <c r="B10230" s="2" t="str">
        <f>IFERROR(__xludf.DUMMYFUNCTION("""COMPUTED_VALUE"""),"가리비다시마소스")</f>
        <v>가리비다시마소스</v>
      </c>
    </row>
    <row r="10231">
      <c r="A10231" s="2" t="str">
        <f>IFERROR(__xludf.DUMMYFUNCTION("""COMPUTED_VALUE"""),"연복풍 완자")</f>
        <v>연복풍 완자</v>
      </c>
      <c r="B10231" s="2" t="str">
        <f>IFERROR(__xludf.DUMMYFUNCTION("""COMPUTED_VALUE"""),"우동면")</f>
        <v>우동면</v>
      </c>
    </row>
    <row r="10232">
      <c r="A10232" s="2" t="str">
        <f>IFERROR(__xludf.DUMMYFUNCTION("""COMPUTED_VALUE"""),"연복풍 완자")</f>
        <v>연복풍 완자</v>
      </c>
      <c r="B10232" s="2" t="str">
        <f>IFERROR(__xludf.DUMMYFUNCTION("""COMPUTED_VALUE"""),"대게다리살")</f>
        <v>대게다리살</v>
      </c>
    </row>
    <row r="10233">
      <c r="A10233" s="2" t="str">
        <f>IFERROR(__xludf.DUMMYFUNCTION("""COMPUTED_VALUE"""),"연복풍 완자")</f>
        <v>연복풍 완자</v>
      </c>
      <c r="B10233" s="2" t="str">
        <f>IFERROR(__xludf.DUMMYFUNCTION("""COMPUTED_VALUE"""),"시금치")</f>
        <v>시금치</v>
      </c>
    </row>
    <row r="10234">
      <c r="A10234" s="2" t="str">
        <f>IFERROR(__xludf.DUMMYFUNCTION("""COMPUTED_VALUE"""),"추바라시")</f>
        <v>추바라시</v>
      </c>
      <c r="B10234" s="2" t="str">
        <f>IFERROR(__xludf.DUMMYFUNCTION("""COMPUTED_VALUE"""),"식빵")</f>
        <v>식빵</v>
      </c>
    </row>
    <row r="10235">
      <c r="A10235" s="2" t="str">
        <f>IFERROR(__xludf.DUMMYFUNCTION("""COMPUTED_VALUE"""),"추바라시")</f>
        <v>추바라시</v>
      </c>
      <c r="B10235" s="2" t="str">
        <f>IFERROR(__xludf.DUMMYFUNCTION("""COMPUTED_VALUE"""),"해물다시팩")</f>
        <v>해물다시팩</v>
      </c>
    </row>
    <row r="10236">
      <c r="A10236" s="2" t="str">
        <f>IFERROR(__xludf.DUMMYFUNCTION("""COMPUTED_VALUE"""),"추바라시")</f>
        <v>추바라시</v>
      </c>
      <c r="B10236" s="2" t="str">
        <f>IFERROR(__xludf.DUMMYFUNCTION("""COMPUTED_VALUE"""),"양송이버섯")</f>
        <v>양송이버섯</v>
      </c>
    </row>
    <row r="10237">
      <c r="A10237" s="2" t="str">
        <f>IFERROR(__xludf.DUMMYFUNCTION("""COMPUTED_VALUE"""),"추바라시")</f>
        <v>추바라시</v>
      </c>
      <c r="B10237" s="2" t="str">
        <f>IFERROR(__xludf.DUMMYFUNCTION("""COMPUTED_VALUE"""),"브로콜리")</f>
        <v>브로콜리</v>
      </c>
    </row>
    <row r="10238">
      <c r="A10238" s="2" t="str">
        <f>IFERROR(__xludf.DUMMYFUNCTION("""COMPUTED_VALUE"""),"추바라시")</f>
        <v>추바라시</v>
      </c>
      <c r="B10238" s="2" t="str">
        <f>IFERROR(__xludf.DUMMYFUNCTION("""COMPUTED_VALUE"""),"오렌지")</f>
        <v>오렌지</v>
      </c>
    </row>
    <row r="10239">
      <c r="A10239" s="2" t="str">
        <f>IFERROR(__xludf.DUMMYFUNCTION("""COMPUTED_VALUE"""),"추바라시")</f>
        <v>추바라시</v>
      </c>
      <c r="B10239" s="2" t="str">
        <f>IFERROR(__xludf.DUMMYFUNCTION("""COMPUTED_VALUE"""),"소고기 안심")</f>
        <v>소고기 안심</v>
      </c>
    </row>
    <row r="10240">
      <c r="A10240" s="2" t="str">
        <f>IFERROR(__xludf.DUMMYFUNCTION("""COMPUTED_VALUE"""),"추바라시")</f>
        <v>추바라시</v>
      </c>
      <c r="B10240" s="2" t="str">
        <f>IFERROR(__xludf.DUMMYFUNCTION("""COMPUTED_VALUE"""),"달걀")</f>
        <v>달걀</v>
      </c>
    </row>
    <row r="10241">
      <c r="A10241" s="2" t="str">
        <f>IFERROR(__xludf.DUMMYFUNCTION("""COMPUTED_VALUE"""),"추바라시")</f>
        <v>추바라시</v>
      </c>
      <c r="B10241" s="2" t="str">
        <f>IFERROR(__xludf.DUMMYFUNCTION("""COMPUTED_VALUE"""),"우유")</f>
        <v>우유</v>
      </c>
    </row>
    <row r="10242">
      <c r="A10242" s="2" t="str">
        <f>IFERROR(__xludf.DUMMYFUNCTION("""COMPUTED_VALUE"""),"추바라시")</f>
        <v>추바라시</v>
      </c>
      <c r="B10242" s="2" t="str">
        <f>IFERROR(__xludf.DUMMYFUNCTION("""COMPUTED_VALUE"""),"블루치즈")</f>
        <v>블루치즈</v>
      </c>
    </row>
    <row r="10243">
      <c r="A10243" s="2" t="str">
        <f>IFERROR(__xludf.DUMMYFUNCTION("""COMPUTED_VALUE"""),"추바라시")</f>
        <v>추바라시</v>
      </c>
      <c r="B10243" s="2" t="str">
        <f>IFERROR(__xludf.DUMMYFUNCTION("""COMPUTED_VALUE"""),"파르미지아노 치즈")</f>
        <v>파르미지아노 치즈</v>
      </c>
    </row>
    <row r="10244">
      <c r="A10244" s="2" t="str">
        <f>IFERROR(__xludf.DUMMYFUNCTION("""COMPUTED_VALUE"""),"추바라시")</f>
        <v>추바라시</v>
      </c>
      <c r="B10244" s="2" t="str">
        <f>IFERROR(__xludf.DUMMYFUNCTION("""COMPUTED_VALUE"""),"간 닭고기")</f>
        <v>간 닭고기</v>
      </c>
    </row>
    <row r="10245">
      <c r="A10245" s="2" t="str">
        <f>IFERROR(__xludf.DUMMYFUNCTION("""COMPUTED_VALUE"""),"추바라시")</f>
        <v>추바라시</v>
      </c>
      <c r="B10245" s="2" t="str">
        <f>IFERROR(__xludf.DUMMYFUNCTION("""COMPUTED_VALUE"""),"방울토마토")</f>
        <v>방울토마토</v>
      </c>
    </row>
    <row r="10246">
      <c r="A10246" s="2" t="str">
        <f>IFERROR(__xludf.DUMMYFUNCTION("""COMPUTED_VALUE"""),"추바라시")</f>
        <v>추바라시</v>
      </c>
      <c r="B10246" s="2" t="str">
        <f>IFERROR(__xludf.DUMMYFUNCTION("""COMPUTED_VALUE"""),"어니언프라이")</f>
        <v>어니언프라이</v>
      </c>
    </row>
    <row r="10247">
      <c r="A10247" s="2" t="str">
        <f>IFERROR(__xludf.DUMMYFUNCTION("""COMPUTED_VALUE"""),"추바라시")</f>
        <v>추바라시</v>
      </c>
      <c r="B10247" s="2" t="str">
        <f>IFERROR(__xludf.DUMMYFUNCTION("""COMPUTED_VALUE"""),"멘쯔유")</f>
        <v>멘쯔유</v>
      </c>
    </row>
    <row r="10248">
      <c r="A10248" s="2" t="str">
        <f>IFERROR(__xludf.DUMMYFUNCTION("""COMPUTED_VALUE"""),"추바라시")</f>
        <v>추바라시</v>
      </c>
      <c r="B10248" s="2" t="str">
        <f>IFERROR(__xludf.DUMMYFUNCTION("""COMPUTED_VALUE"""),"우동 쯔유")</f>
        <v>우동 쯔유</v>
      </c>
    </row>
    <row r="10249">
      <c r="A10249" s="2" t="str">
        <f>IFERROR(__xludf.DUMMYFUNCTION("""COMPUTED_VALUE"""),"추바라시")</f>
        <v>추바라시</v>
      </c>
      <c r="B10249" s="2" t="str">
        <f>IFERROR(__xludf.DUMMYFUNCTION("""COMPUTED_VALUE"""),"마늘간장소스")</f>
        <v>마늘간장소스</v>
      </c>
    </row>
    <row r="10250">
      <c r="A10250" s="2" t="str">
        <f>IFERROR(__xludf.DUMMYFUNCTION("""COMPUTED_VALUE"""),"추바라시")</f>
        <v>추바라시</v>
      </c>
      <c r="B10250" s="2" t="str">
        <f>IFERROR(__xludf.DUMMYFUNCTION("""COMPUTED_VALUE"""),"아보카도")</f>
        <v>아보카도</v>
      </c>
    </row>
    <row r="10251">
      <c r="A10251" s="2" t="str">
        <f>IFERROR(__xludf.DUMMYFUNCTION("""COMPUTED_VALUE"""),"추바라시")</f>
        <v>추바라시</v>
      </c>
      <c r="B10251" s="2" t="str">
        <f>IFERROR(__xludf.DUMMYFUNCTION("""COMPUTED_VALUE"""),"금가루")</f>
        <v>금가루</v>
      </c>
    </row>
    <row r="10252">
      <c r="A10252" s="2" t="str">
        <f>IFERROR(__xludf.DUMMYFUNCTION("""COMPUTED_VALUE"""),"추추테일러")</f>
        <v>추추테일러</v>
      </c>
      <c r="B10252" s="2" t="str">
        <f>IFERROR(__xludf.DUMMYFUNCTION("""COMPUTED_VALUE"""),"스키야키소스")</f>
        <v>스키야키소스</v>
      </c>
    </row>
    <row r="10253">
      <c r="A10253" s="2" t="str">
        <f>IFERROR(__xludf.DUMMYFUNCTION("""COMPUTED_VALUE"""),"추추테일러")</f>
        <v>추추테일러</v>
      </c>
      <c r="B10253" s="2" t="str">
        <f>IFERROR(__xludf.DUMMYFUNCTION("""COMPUTED_VALUE"""),"고기소스")</f>
        <v>고기소스</v>
      </c>
    </row>
    <row r="10254">
      <c r="A10254" s="2" t="str">
        <f>IFERROR(__xludf.DUMMYFUNCTION("""COMPUTED_VALUE"""),"추추테일러")</f>
        <v>추추테일러</v>
      </c>
      <c r="B10254" s="2" t="str">
        <f>IFERROR(__xludf.DUMMYFUNCTION("""COMPUTED_VALUE"""),"인삼")</f>
        <v>인삼</v>
      </c>
    </row>
    <row r="10255">
      <c r="A10255" s="2" t="str">
        <f>IFERROR(__xludf.DUMMYFUNCTION("""COMPUTED_VALUE"""),"추추테일러")</f>
        <v>추추테일러</v>
      </c>
      <c r="B10255" s="2" t="str">
        <f>IFERROR(__xludf.DUMMYFUNCTION("""COMPUTED_VALUE"""),"대추")</f>
        <v>대추</v>
      </c>
    </row>
    <row r="10256">
      <c r="A10256" s="2" t="str">
        <f>IFERROR(__xludf.DUMMYFUNCTION("""COMPUTED_VALUE"""),"추추테일러")</f>
        <v>추추테일러</v>
      </c>
      <c r="B10256" s="2" t="str">
        <f>IFERROR(__xludf.DUMMYFUNCTION("""COMPUTED_VALUE"""),"무")</f>
        <v>무</v>
      </c>
    </row>
    <row r="10257">
      <c r="A10257" s="2" t="str">
        <f>IFERROR(__xludf.DUMMYFUNCTION("""COMPUTED_VALUE"""),"추추테일러")</f>
        <v>추추테일러</v>
      </c>
      <c r="B10257" s="2" t="str">
        <f>IFERROR(__xludf.DUMMYFUNCTION("""COMPUTED_VALUE"""),"소고기 안심")</f>
        <v>소고기 안심</v>
      </c>
    </row>
    <row r="10258">
      <c r="A10258" s="2" t="str">
        <f>IFERROR(__xludf.DUMMYFUNCTION("""COMPUTED_VALUE"""),"추추테일러")</f>
        <v>추추테일러</v>
      </c>
      <c r="B10258" s="2" t="str">
        <f>IFERROR(__xludf.DUMMYFUNCTION("""COMPUTED_VALUE"""),"데친 고사리")</f>
        <v>데친 고사리</v>
      </c>
    </row>
    <row r="10259">
      <c r="A10259" s="2" t="str">
        <f>IFERROR(__xludf.DUMMYFUNCTION("""COMPUTED_VALUE"""),"추추테일러")</f>
        <v>추추테일러</v>
      </c>
      <c r="B10259" s="2" t="str">
        <f>IFERROR(__xludf.DUMMYFUNCTION("""COMPUTED_VALUE"""),"들깻가루")</f>
        <v>들깻가루</v>
      </c>
    </row>
    <row r="10260">
      <c r="A10260" s="2" t="str">
        <f>IFERROR(__xludf.DUMMYFUNCTION("""COMPUTED_VALUE"""),"추추테일러")</f>
        <v>추추테일러</v>
      </c>
      <c r="B10260" s="2" t="str">
        <f>IFERROR(__xludf.DUMMYFUNCTION("""COMPUTED_VALUE"""),"양배추")</f>
        <v>양배추</v>
      </c>
    </row>
    <row r="10261">
      <c r="A10261" s="2" t="str">
        <f>IFERROR(__xludf.DUMMYFUNCTION("""COMPUTED_VALUE"""),"추추테일러")</f>
        <v>추추테일러</v>
      </c>
      <c r="B10261" s="2" t="str">
        <f>IFERROR(__xludf.DUMMYFUNCTION("""COMPUTED_VALUE"""),"브로콜리니")</f>
        <v>브로콜리니</v>
      </c>
    </row>
    <row r="10262">
      <c r="A10262" s="2" t="str">
        <f>IFERROR(__xludf.DUMMYFUNCTION("""COMPUTED_VALUE"""),"추추테일러")</f>
        <v>추추테일러</v>
      </c>
      <c r="B10262" s="2" t="str">
        <f>IFERROR(__xludf.DUMMYFUNCTION("""COMPUTED_VALUE"""),"시금치")</f>
        <v>시금치</v>
      </c>
    </row>
    <row r="10263">
      <c r="A10263" s="2" t="str">
        <f>IFERROR(__xludf.DUMMYFUNCTION("""COMPUTED_VALUE"""),"추추테일러")</f>
        <v>추추테일러</v>
      </c>
      <c r="B10263" s="2" t="str">
        <f>IFERROR(__xludf.DUMMYFUNCTION("""COMPUTED_VALUE"""),"팽이버섯")</f>
        <v>팽이버섯</v>
      </c>
    </row>
    <row r="10264">
      <c r="A10264" s="2" t="str">
        <f>IFERROR(__xludf.DUMMYFUNCTION("""COMPUTED_VALUE"""),"추추테일러")</f>
        <v>추추테일러</v>
      </c>
      <c r="B10264" s="2" t="str">
        <f>IFERROR(__xludf.DUMMYFUNCTION("""COMPUTED_VALUE"""),"가리비다시마소스")</f>
        <v>가리비다시마소스</v>
      </c>
    </row>
    <row r="10265">
      <c r="A10265" s="2" t="str">
        <f>IFERROR(__xludf.DUMMYFUNCTION("""COMPUTED_VALUE"""),"추추테일러")</f>
        <v>추추테일러</v>
      </c>
      <c r="B10265" s="2" t="str">
        <f>IFERROR(__xludf.DUMMYFUNCTION("""COMPUTED_VALUE"""),"후머스")</f>
        <v>후머스</v>
      </c>
    </row>
    <row r="10266">
      <c r="A10266" s="2" t="str">
        <f>IFERROR(__xludf.DUMMYFUNCTION("""COMPUTED_VALUE"""),"추추테일러")</f>
        <v>추추테일러</v>
      </c>
      <c r="B10266" s="2" t="str">
        <f>IFERROR(__xludf.DUMMYFUNCTION("""COMPUTED_VALUE"""),"콘수프")</f>
        <v>콘수프</v>
      </c>
    </row>
    <row r="10267">
      <c r="A10267" s="2" t="str">
        <f>IFERROR(__xludf.DUMMYFUNCTION("""COMPUTED_VALUE"""),"추추테일러")</f>
        <v>추추테일러</v>
      </c>
      <c r="B10267" s="2" t="str">
        <f>IFERROR(__xludf.DUMMYFUNCTION("""COMPUTED_VALUE"""),"당근드레싱")</f>
        <v>당근드레싱</v>
      </c>
    </row>
    <row r="10268">
      <c r="A10268" s="2" t="str">
        <f>IFERROR(__xludf.DUMMYFUNCTION("""COMPUTED_VALUE"""),"추추테일러")</f>
        <v>추추테일러</v>
      </c>
      <c r="B10268" s="2" t="str">
        <f>IFERROR(__xludf.DUMMYFUNCTION("""COMPUTED_VALUE"""),"금가루")</f>
        <v>금가루</v>
      </c>
    </row>
    <row r="10269">
      <c r="A10269" s="2" t="str">
        <f>IFERROR(__xludf.DUMMYFUNCTION("""COMPUTED_VALUE"""),"K.F.C.(Korean Fried Chicken)")</f>
        <v>K.F.C.(Korean Fried Chicken)</v>
      </c>
      <c r="B10269" s="2" t="str">
        <f>IFERROR(__xludf.DUMMYFUNCTION("""COMPUTED_VALUE"""),"달걀")</f>
        <v>달걀</v>
      </c>
    </row>
    <row r="10270">
      <c r="A10270" s="2" t="str">
        <f>IFERROR(__xludf.DUMMYFUNCTION("""COMPUTED_VALUE"""),"K.F.C.(Korean Fried Chicken)")</f>
        <v>K.F.C.(Korean Fried Chicken)</v>
      </c>
      <c r="B10270" s="2" t="str">
        <f>IFERROR(__xludf.DUMMYFUNCTION("""COMPUTED_VALUE"""),"닭허벅지살")</f>
        <v>닭허벅지살</v>
      </c>
    </row>
    <row r="10271">
      <c r="A10271" s="2" t="str">
        <f>IFERROR(__xludf.DUMMYFUNCTION("""COMPUTED_VALUE"""),"K.F.C.(Korean Fried Chicken)")</f>
        <v>K.F.C.(Korean Fried Chicken)</v>
      </c>
      <c r="B10271" s="2" t="str">
        <f>IFERROR(__xludf.DUMMYFUNCTION("""COMPUTED_VALUE"""),"레드와인식초")</f>
        <v>레드와인식초</v>
      </c>
    </row>
    <row r="10272">
      <c r="A10272" s="2" t="str">
        <f>IFERROR(__xludf.DUMMYFUNCTION("""COMPUTED_VALUE"""),"K.F.C.(Korean Fried Chicken)")</f>
        <v>K.F.C.(Korean Fried Chicken)</v>
      </c>
      <c r="B10272" s="2" t="str">
        <f>IFERROR(__xludf.DUMMYFUNCTION("""COMPUTED_VALUE"""),"스리라차소스")</f>
        <v>스리라차소스</v>
      </c>
    </row>
    <row r="10273">
      <c r="A10273" s="2" t="str">
        <f>IFERROR(__xludf.DUMMYFUNCTION("""COMPUTED_VALUE"""),"K.F.C.(Korean Fried Chicken)")</f>
        <v>K.F.C.(Korean Fried Chicken)</v>
      </c>
      <c r="B10273" s="2" t="str">
        <f>IFERROR(__xludf.DUMMYFUNCTION("""COMPUTED_VALUE"""),"무")</f>
        <v>무</v>
      </c>
    </row>
    <row r="10274">
      <c r="A10274" s="2" t="str">
        <f>IFERROR(__xludf.DUMMYFUNCTION("""COMPUTED_VALUE"""),"K.F.C.(Korean Fried Chicken)")</f>
        <v>K.F.C.(Korean Fried Chicken)</v>
      </c>
      <c r="B10274" s="2" t="str">
        <f>IFERROR(__xludf.DUMMYFUNCTION("""COMPUTED_VALUE"""),"팬케이크가루")</f>
        <v>팬케이크가루</v>
      </c>
    </row>
    <row r="10275">
      <c r="A10275" s="2" t="str">
        <f>IFERROR(__xludf.DUMMYFUNCTION("""COMPUTED_VALUE"""),"K.F.C.(Korean Fried Chicken)")</f>
        <v>K.F.C.(Korean Fried Chicken)</v>
      </c>
      <c r="B10275" s="2" t="str">
        <f>IFERROR(__xludf.DUMMYFUNCTION("""COMPUTED_VALUE"""),"우유")</f>
        <v>우유</v>
      </c>
    </row>
    <row r="10276">
      <c r="A10276" s="2" t="str">
        <f>IFERROR(__xludf.DUMMYFUNCTION("""COMPUTED_VALUE"""),"K.F.C.(Korean Fried Chicken)")</f>
        <v>K.F.C.(Korean Fried Chicken)</v>
      </c>
      <c r="B10276" s="2" t="str">
        <f>IFERROR(__xludf.DUMMYFUNCTION("""COMPUTED_VALUE"""),"고추맛후리카케")</f>
        <v>고추맛후리카케</v>
      </c>
    </row>
    <row r="10277">
      <c r="A10277" s="2" t="str">
        <f>IFERROR(__xludf.DUMMYFUNCTION("""COMPUTED_VALUE"""),"K.F.C.(Korean Fried Chicken)")</f>
        <v>K.F.C.(Korean Fried Chicken)</v>
      </c>
      <c r="B10277" s="2" t="str">
        <f>IFERROR(__xludf.DUMMYFUNCTION("""COMPUTED_VALUE"""),"시치미")</f>
        <v>시치미</v>
      </c>
    </row>
    <row r="10278">
      <c r="A10278" s="2" t="str">
        <f>IFERROR(__xludf.DUMMYFUNCTION("""COMPUTED_VALUE"""),"K.F.C.(Korean Fried Chicken)")</f>
        <v>K.F.C.(Korean Fried Chicken)</v>
      </c>
      <c r="B10278" s="2" t="str">
        <f>IFERROR(__xludf.DUMMYFUNCTION("""COMPUTED_VALUE"""),"유자향시치미")</f>
        <v>유자향시치미</v>
      </c>
    </row>
    <row r="10279">
      <c r="A10279" s="2" t="str">
        <f>IFERROR(__xludf.DUMMYFUNCTION("""COMPUTED_VALUE"""),"K.F.C.(Korean Fried Chicken)")</f>
        <v>K.F.C.(Korean Fried Chicken)</v>
      </c>
      <c r="B10279" s="2" t="str">
        <f>IFERROR(__xludf.DUMMYFUNCTION("""COMPUTED_VALUE"""),"아보카도")</f>
        <v>아보카도</v>
      </c>
    </row>
    <row r="10280">
      <c r="A10280" s="2" t="str">
        <f>IFERROR(__xludf.DUMMYFUNCTION("""COMPUTED_VALUE"""),"K.F.C.(Korean Fried Chicken)")</f>
        <v>K.F.C.(Korean Fried Chicken)</v>
      </c>
      <c r="B10280" s="2" t="str">
        <f>IFERROR(__xludf.DUMMYFUNCTION("""COMPUTED_VALUE"""),"빵가루")</f>
        <v>빵가루</v>
      </c>
    </row>
    <row r="10281">
      <c r="A10281" s="2" t="str">
        <f>IFERROR(__xludf.DUMMYFUNCTION("""COMPUTED_VALUE"""),"투가스")</f>
        <v>투가스</v>
      </c>
      <c r="B10281" s="2" t="str">
        <f>IFERROR(__xludf.DUMMYFUNCTION("""COMPUTED_VALUE"""),"금태")</f>
        <v>금태</v>
      </c>
    </row>
    <row r="10282">
      <c r="A10282" s="2" t="str">
        <f>IFERROR(__xludf.DUMMYFUNCTION("""COMPUTED_VALUE"""),"투가스")</f>
        <v>투가스</v>
      </c>
      <c r="B10282" s="2" t="str">
        <f>IFERROR(__xludf.DUMMYFUNCTION("""COMPUTED_VALUE"""),"데친 시금치")</f>
        <v>데친 시금치</v>
      </c>
    </row>
    <row r="10283">
      <c r="A10283" s="2" t="str">
        <f>IFERROR(__xludf.DUMMYFUNCTION("""COMPUTED_VALUE"""),"투가스")</f>
        <v>투가스</v>
      </c>
      <c r="B10283" s="2" t="str">
        <f>IFERROR(__xludf.DUMMYFUNCTION("""COMPUTED_VALUE"""),"완두콩")</f>
        <v>완두콩</v>
      </c>
    </row>
    <row r="10284">
      <c r="A10284" s="2" t="str">
        <f>IFERROR(__xludf.DUMMYFUNCTION("""COMPUTED_VALUE"""),"투가스")</f>
        <v>투가스</v>
      </c>
      <c r="B10284" s="2" t="str">
        <f>IFERROR(__xludf.DUMMYFUNCTION("""COMPUTED_VALUE"""),"인스턴트 설렁탕")</f>
        <v>인스턴트 설렁탕</v>
      </c>
    </row>
    <row r="10285">
      <c r="A10285" s="2" t="str">
        <f>IFERROR(__xludf.DUMMYFUNCTION("""COMPUTED_VALUE"""),"투가스")</f>
        <v>투가스</v>
      </c>
      <c r="B10285" s="2" t="str">
        <f>IFERROR(__xludf.DUMMYFUNCTION("""COMPUTED_VALUE"""),"소고기 안심")</f>
        <v>소고기 안심</v>
      </c>
    </row>
    <row r="10286">
      <c r="A10286" s="2" t="str">
        <f>IFERROR(__xludf.DUMMYFUNCTION("""COMPUTED_VALUE"""),"투가스")</f>
        <v>투가스</v>
      </c>
      <c r="B10286" s="2" t="str">
        <f>IFERROR(__xludf.DUMMYFUNCTION("""COMPUTED_VALUE"""),"디종 머스터드")</f>
        <v>디종 머스터드</v>
      </c>
    </row>
    <row r="10287">
      <c r="A10287" s="2" t="str">
        <f>IFERROR(__xludf.DUMMYFUNCTION("""COMPUTED_VALUE"""),"투가스")</f>
        <v>투가스</v>
      </c>
      <c r="B10287" s="2" t="str">
        <f>IFERROR(__xludf.DUMMYFUNCTION("""COMPUTED_VALUE"""),"우유")</f>
        <v>우유</v>
      </c>
    </row>
    <row r="10288">
      <c r="A10288" s="2" t="str">
        <f>IFERROR(__xludf.DUMMYFUNCTION("""COMPUTED_VALUE"""),"투가스")</f>
        <v>투가스</v>
      </c>
      <c r="B10288" s="2" t="str">
        <f>IFERROR(__xludf.DUMMYFUNCTION("""COMPUTED_VALUE"""),"빵가루")</f>
        <v>빵가루</v>
      </c>
    </row>
    <row r="10289">
      <c r="A10289" s="2" t="str">
        <f>IFERROR(__xludf.DUMMYFUNCTION("""COMPUTED_VALUE"""),"투가스")</f>
        <v>투가스</v>
      </c>
      <c r="B10289" s="2" t="str">
        <f>IFERROR(__xludf.DUMMYFUNCTION("""COMPUTED_VALUE"""),"스테이크소스")</f>
        <v>스테이크소스</v>
      </c>
    </row>
    <row r="10290">
      <c r="A10290" s="2" t="str">
        <f>IFERROR(__xludf.DUMMYFUNCTION("""COMPUTED_VALUE"""),"투가스")</f>
        <v>투가스</v>
      </c>
      <c r="B10290" s="2" t="str">
        <f>IFERROR(__xludf.DUMMYFUNCTION("""COMPUTED_VALUE"""),"미네스트로네수프")</f>
        <v>미네스트로네수프</v>
      </c>
    </row>
    <row r="10291">
      <c r="A10291" s="2" t="str">
        <f>IFERROR(__xludf.DUMMYFUNCTION("""COMPUTED_VALUE"""),"투가스")</f>
        <v>투가스</v>
      </c>
      <c r="B10291" s="2" t="str">
        <f>IFERROR(__xludf.DUMMYFUNCTION("""COMPUTED_VALUE"""),"타르타르소스")</f>
        <v>타르타르소스</v>
      </c>
    </row>
    <row r="10292">
      <c r="A10292" s="2" t="str">
        <f>IFERROR(__xludf.DUMMYFUNCTION("""COMPUTED_VALUE"""),"투가스")</f>
        <v>투가스</v>
      </c>
      <c r="B10292" s="2" t="str">
        <f>IFERROR(__xludf.DUMMYFUNCTION("""COMPUTED_VALUE"""),"양파")</f>
        <v>양파</v>
      </c>
    </row>
    <row r="10293">
      <c r="A10293" s="2" t="str">
        <f>IFERROR(__xludf.DUMMYFUNCTION("""COMPUTED_VALUE"""),"투가스")</f>
        <v>투가스</v>
      </c>
      <c r="B10293" s="2" t="str">
        <f>IFERROR(__xludf.DUMMYFUNCTION("""COMPUTED_VALUE"""),"소금")</f>
        <v>소금</v>
      </c>
    </row>
    <row r="10294">
      <c r="A10294" s="2" t="str">
        <f>IFERROR(__xludf.DUMMYFUNCTION("""COMPUTED_VALUE"""),"투가스")</f>
        <v>투가스</v>
      </c>
      <c r="B10294" s="2" t="str">
        <f>IFERROR(__xludf.DUMMYFUNCTION("""COMPUTED_VALUE"""),"후추")</f>
        <v>후추</v>
      </c>
    </row>
    <row r="10295">
      <c r="A10295" s="2" t="str">
        <f>IFERROR(__xludf.DUMMYFUNCTION("""COMPUTED_VALUE"""),"투가스")</f>
        <v>투가스</v>
      </c>
      <c r="B10295" s="2" t="str">
        <f>IFERROR(__xludf.DUMMYFUNCTION("""COMPUTED_VALUE"""),"고추냉이")</f>
        <v>고추냉이</v>
      </c>
    </row>
    <row r="10296">
      <c r="A10296" s="2" t="str">
        <f>IFERROR(__xludf.DUMMYFUNCTION("""COMPUTED_VALUE"""),"투가스")</f>
        <v>투가스</v>
      </c>
      <c r="B10296" s="2" t="str">
        <f>IFERROR(__xludf.DUMMYFUNCTION("""COMPUTED_VALUE"""),"밀가루")</f>
        <v>밀가루</v>
      </c>
    </row>
    <row r="10297">
      <c r="A10297" s="2" t="str">
        <f>IFERROR(__xludf.DUMMYFUNCTION("""COMPUTED_VALUE"""),"투가스")</f>
        <v>투가스</v>
      </c>
      <c r="B10297" s="2" t="str">
        <f>IFERROR(__xludf.DUMMYFUNCTION("""COMPUTED_VALUE"""),"달걀")</f>
        <v>달걀</v>
      </c>
    </row>
    <row r="10298">
      <c r="A10298" s="2" t="str">
        <f>IFERROR(__xludf.DUMMYFUNCTION("""COMPUTED_VALUE"""),"투가스")</f>
        <v>투가스</v>
      </c>
      <c r="B10298" s="2" t="str">
        <f>IFERROR(__xludf.DUMMYFUNCTION("""COMPUTED_VALUE"""),"버터")</f>
        <v>버터</v>
      </c>
    </row>
    <row r="10299">
      <c r="A10299" s="2" t="str">
        <f>IFERROR(__xludf.DUMMYFUNCTION("""COMPUTED_VALUE"""),"투가스")</f>
        <v>투가스</v>
      </c>
      <c r="B10299" s="2" t="str">
        <f>IFERROR(__xludf.DUMMYFUNCTION("""COMPUTED_VALUE"""),"통마늘")</f>
        <v>통마늘</v>
      </c>
    </row>
    <row r="10300">
      <c r="A10300" s="2" t="str">
        <f>IFERROR(__xludf.DUMMYFUNCTION("""COMPUTED_VALUE"""),"투가스")</f>
        <v>투가스</v>
      </c>
      <c r="B10300" s="2" t="str">
        <f>IFERROR(__xludf.DUMMYFUNCTION("""COMPUTED_VALUE"""),"케첩")</f>
        <v>케첩</v>
      </c>
    </row>
    <row r="10301">
      <c r="A10301" s="2" t="str">
        <f>IFERROR(__xludf.DUMMYFUNCTION("""COMPUTED_VALUE"""),"투가스")</f>
        <v>투가스</v>
      </c>
      <c r="B10301" s="2" t="str">
        <f>IFERROR(__xludf.DUMMYFUNCTION("""COMPUTED_VALUE"""),"청양고추")</f>
        <v>청양고추</v>
      </c>
    </row>
    <row r="10302">
      <c r="A10302" s="2" t="str">
        <f>IFERROR(__xludf.DUMMYFUNCTION("""COMPUTED_VALUE"""),"투가스")</f>
        <v>투가스</v>
      </c>
      <c r="B10302" s="2" t="str">
        <f>IFERROR(__xludf.DUMMYFUNCTION("""COMPUTED_VALUE"""),"마요네즈")</f>
        <v>마요네즈</v>
      </c>
    </row>
    <row r="10303">
      <c r="A10303" s="2" t="str">
        <f>IFERROR(__xludf.DUMMYFUNCTION("""COMPUTED_VALUE"""),"투가스")</f>
        <v>투가스</v>
      </c>
      <c r="B10303" s="2" t="str">
        <f>IFERROR(__xludf.DUMMYFUNCTION("""COMPUTED_VALUE"""),"레몬")</f>
        <v>레몬</v>
      </c>
    </row>
    <row r="10304">
      <c r="A10304" s="2" t="str">
        <f>IFERROR(__xludf.DUMMYFUNCTION("""COMPUTED_VALUE"""),"프리하새우")</f>
        <v>프리하새우</v>
      </c>
      <c r="B10304" s="2" t="str">
        <f>IFERROR(__xludf.DUMMYFUNCTION("""COMPUTED_VALUE"""),"불고기용 돼지고기")</f>
        <v>불고기용 돼지고기</v>
      </c>
    </row>
    <row r="10305">
      <c r="A10305" s="2" t="str">
        <f>IFERROR(__xludf.DUMMYFUNCTION("""COMPUTED_VALUE"""),"프리하새우")</f>
        <v>프리하새우</v>
      </c>
      <c r="B10305" s="2" t="str">
        <f>IFERROR(__xludf.DUMMYFUNCTION("""COMPUTED_VALUE"""),"고구마")</f>
        <v>고구마</v>
      </c>
    </row>
    <row r="10306">
      <c r="A10306" s="2" t="str">
        <f>IFERROR(__xludf.DUMMYFUNCTION("""COMPUTED_VALUE"""),"프리하새우")</f>
        <v>프리하새우</v>
      </c>
      <c r="B10306" s="2" t="str">
        <f>IFERROR(__xludf.DUMMYFUNCTION("""COMPUTED_VALUE"""),"토마토즙")</f>
        <v>토마토즙</v>
      </c>
    </row>
    <row r="10307">
      <c r="A10307" s="2" t="str">
        <f>IFERROR(__xludf.DUMMYFUNCTION("""COMPUTED_VALUE"""),"프리하새우")</f>
        <v>프리하새우</v>
      </c>
      <c r="B10307" s="2" t="str">
        <f>IFERROR(__xludf.DUMMYFUNCTION("""COMPUTED_VALUE"""),"토마토")</f>
        <v>토마토</v>
      </c>
    </row>
    <row r="10308">
      <c r="A10308" s="2" t="str">
        <f>IFERROR(__xludf.DUMMYFUNCTION("""COMPUTED_VALUE"""),"프리하새우")</f>
        <v>프리하새우</v>
      </c>
      <c r="B10308" s="2" t="str">
        <f>IFERROR(__xludf.DUMMYFUNCTION("""COMPUTED_VALUE"""),"스리라차소스")</f>
        <v>스리라차소스</v>
      </c>
    </row>
    <row r="10309">
      <c r="A10309" s="2" t="str">
        <f>IFERROR(__xludf.DUMMYFUNCTION("""COMPUTED_VALUE"""),"프리하새우")</f>
        <v>프리하새우</v>
      </c>
      <c r="B10309" s="2" t="str">
        <f>IFERROR(__xludf.DUMMYFUNCTION("""COMPUTED_VALUE"""),"참치액")</f>
        <v>참치액</v>
      </c>
    </row>
    <row r="10310">
      <c r="A10310" s="2" t="str">
        <f>IFERROR(__xludf.DUMMYFUNCTION("""COMPUTED_VALUE"""),"프리하새우")</f>
        <v>프리하새우</v>
      </c>
      <c r="B10310" s="2" t="str">
        <f>IFERROR(__xludf.DUMMYFUNCTION("""COMPUTED_VALUE"""),"두부")</f>
        <v>두부</v>
      </c>
    </row>
    <row r="10311">
      <c r="A10311" s="2" t="str">
        <f>IFERROR(__xludf.DUMMYFUNCTION("""COMPUTED_VALUE"""),"프리하새우")</f>
        <v>프리하새우</v>
      </c>
      <c r="B10311" s="2" t="str">
        <f>IFERROR(__xludf.DUMMYFUNCTION("""COMPUTED_VALUE"""),"식빵")</f>
        <v>식빵</v>
      </c>
    </row>
    <row r="10312">
      <c r="A10312" s="2" t="str">
        <f>IFERROR(__xludf.DUMMYFUNCTION("""COMPUTED_VALUE"""),"프리하새우")</f>
        <v>프리하새우</v>
      </c>
      <c r="B10312" s="2" t="str">
        <f>IFERROR(__xludf.DUMMYFUNCTION("""COMPUTED_VALUE"""),"우유")</f>
        <v>우유</v>
      </c>
    </row>
    <row r="10313">
      <c r="A10313" s="2" t="str">
        <f>IFERROR(__xludf.DUMMYFUNCTION("""COMPUTED_VALUE"""),"프리하새우")</f>
        <v>프리하새우</v>
      </c>
      <c r="B10313" s="2" t="str">
        <f>IFERROR(__xludf.DUMMYFUNCTION("""COMPUTED_VALUE"""),"마")</f>
        <v>마</v>
      </c>
    </row>
    <row r="10314">
      <c r="A10314" s="2" t="str">
        <f>IFERROR(__xludf.DUMMYFUNCTION("""COMPUTED_VALUE"""),"프리하새우")</f>
        <v>프리하새우</v>
      </c>
      <c r="B10314" s="2" t="str">
        <f>IFERROR(__xludf.DUMMYFUNCTION("""COMPUTED_VALUE"""),"새우")</f>
        <v>새우</v>
      </c>
    </row>
    <row r="10315">
      <c r="A10315" s="2" t="str">
        <f>IFERROR(__xludf.DUMMYFUNCTION("""COMPUTED_VALUE"""),"프리하새우")</f>
        <v>프리하새우</v>
      </c>
      <c r="B10315" s="2" t="str">
        <f>IFERROR(__xludf.DUMMYFUNCTION("""COMPUTED_VALUE"""),"사과")</f>
        <v>사과</v>
      </c>
    </row>
    <row r="10316">
      <c r="A10316" s="2" t="str">
        <f>IFERROR(__xludf.DUMMYFUNCTION("""COMPUTED_VALUE"""),"프리하새우")</f>
        <v>프리하새우</v>
      </c>
      <c r="B10316" s="2" t="str">
        <f>IFERROR(__xludf.DUMMYFUNCTION("""COMPUTED_VALUE"""),"플레인요거트")</f>
        <v>플레인요거트</v>
      </c>
    </row>
    <row r="10317">
      <c r="A10317" s="2" t="str">
        <f>IFERROR(__xludf.DUMMYFUNCTION("""COMPUTED_VALUE"""),"프리하새우")</f>
        <v>프리하새우</v>
      </c>
      <c r="B10317" s="2" t="str">
        <f>IFERROR(__xludf.DUMMYFUNCTION("""COMPUTED_VALUE"""),"양배추")</f>
        <v>양배추</v>
      </c>
    </row>
    <row r="10318">
      <c r="A10318" s="2" t="str">
        <f>IFERROR(__xludf.DUMMYFUNCTION("""COMPUTED_VALUE"""),"프리하새우")</f>
        <v>프리하새우</v>
      </c>
      <c r="B10318" s="2" t="str">
        <f>IFERROR(__xludf.DUMMYFUNCTION("""COMPUTED_VALUE"""),"달걀")</f>
        <v>달걀</v>
      </c>
    </row>
    <row r="10319">
      <c r="A10319" s="2" t="str">
        <f>IFERROR(__xludf.DUMMYFUNCTION("""COMPUTED_VALUE"""),"프리하새우")</f>
        <v>프리하새우</v>
      </c>
      <c r="B10319" s="2" t="str">
        <f>IFERROR(__xludf.DUMMYFUNCTION("""COMPUTED_VALUE"""),"다진 마늘")</f>
        <v>다진 마늘</v>
      </c>
    </row>
    <row r="10320">
      <c r="A10320" s="2" t="str">
        <f>IFERROR(__xludf.DUMMYFUNCTION("""COMPUTED_VALUE"""),"프리하새우")</f>
        <v>프리하새우</v>
      </c>
      <c r="B10320" s="2" t="str">
        <f>IFERROR(__xludf.DUMMYFUNCTION("""COMPUTED_VALUE"""),"식용유")</f>
        <v>식용유</v>
      </c>
    </row>
    <row r="10321">
      <c r="A10321" s="2" t="str">
        <f>IFERROR(__xludf.DUMMYFUNCTION("""COMPUTED_VALUE"""),"프리하새우")</f>
        <v>프리하새우</v>
      </c>
      <c r="B10321" s="2" t="str">
        <f>IFERROR(__xludf.DUMMYFUNCTION("""COMPUTED_VALUE"""),"청양고추")</f>
        <v>청양고추</v>
      </c>
    </row>
    <row r="10322">
      <c r="A10322" s="2" t="str">
        <f>IFERROR(__xludf.DUMMYFUNCTION("""COMPUTED_VALUE"""),"프리하새우")</f>
        <v>프리하새우</v>
      </c>
      <c r="B10322" s="2" t="str">
        <f>IFERROR(__xludf.DUMMYFUNCTION("""COMPUTED_VALUE"""),"고추장")</f>
        <v>고추장</v>
      </c>
    </row>
    <row r="10323">
      <c r="A10323" s="2" t="str">
        <f>IFERROR(__xludf.DUMMYFUNCTION("""COMPUTED_VALUE"""),"프리하새우")</f>
        <v>프리하새우</v>
      </c>
      <c r="B10323" s="2" t="str">
        <f>IFERROR(__xludf.DUMMYFUNCTION("""COMPUTED_VALUE"""),"전분")</f>
        <v>전분</v>
      </c>
    </row>
    <row r="10324">
      <c r="A10324" s="2" t="str">
        <f>IFERROR(__xludf.DUMMYFUNCTION("""COMPUTED_VALUE"""),"프리하새우")</f>
        <v>프리하새우</v>
      </c>
      <c r="B10324" s="2" t="str">
        <f>IFERROR(__xludf.DUMMYFUNCTION("""COMPUTED_VALUE"""),"설탕")</f>
        <v>설탕</v>
      </c>
    </row>
    <row r="10325">
      <c r="A10325" s="2" t="str">
        <f>IFERROR(__xludf.DUMMYFUNCTION("""COMPUTED_VALUE"""),"프리하새우")</f>
        <v>프리하새우</v>
      </c>
      <c r="B10325" s="2" t="str">
        <f>IFERROR(__xludf.DUMMYFUNCTION("""COMPUTED_VALUE"""),"밀가루")</f>
        <v>밀가루</v>
      </c>
    </row>
    <row r="10326">
      <c r="A10326" s="2" t="str">
        <f>IFERROR(__xludf.DUMMYFUNCTION("""COMPUTED_VALUE"""),"프리하새우")</f>
        <v>프리하새우</v>
      </c>
      <c r="B10326" s="2" t="str">
        <f>IFERROR(__xludf.DUMMYFUNCTION("""COMPUTED_VALUE"""),"기름")</f>
        <v>기름</v>
      </c>
    </row>
    <row r="10327">
      <c r="A10327" s="2" t="str">
        <f>IFERROR(__xludf.DUMMYFUNCTION("""COMPUTED_VALUE"""),"프리하새우")</f>
        <v>프리하새우</v>
      </c>
      <c r="B10327" s="2" t="str">
        <f>IFERROR(__xludf.DUMMYFUNCTION("""COMPUTED_VALUE"""),"고춧가루")</f>
        <v>고춧가루</v>
      </c>
    </row>
    <row r="10328">
      <c r="A10328" s="2" t="str">
        <f>IFERROR(__xludf.DUMMYFUNCTION("""COMPUTED_VALUE"""),"프리하새우")</f>
        <v>프리하새우</v>
      </c>
      <c r="B10328" s="2" t="str">
        <f>IFERROR(__xludf.DUMMYFUNCTION("""COMPUTED_VALUE"""),"레몬")</f>
        <v>레몬</v>
      </c>
    </row>
    <row r="10329">
      <c r="A10329" s="2" t="str">
        <f>IFERROR(__xludf.DUMMYFUNCTION("""COMPUTED_VALUE"""),"프리하새우")</f>
        <v>프리하새우</v>
      </c>
      <c r="B10329" s="2" t="str">
        <f>IFERROR(__xludf.DUMMYFUNCTION("""COMPUTED_VALUE"""),"마요네즈")</f>
        <v>마요네즈</v>
      </c>
    </row>
    <row r="10330">
      <c r="A10330" s="2" t="str">
        <f>IFERROR(__xludf.DUMMYFUNCTION("""COMPUTED_VALUE"""),"폼나는 조식")</f>
        <v>폼나는 조식</v>
      </c>
      <c r="B10330" s="2" t="str">
        <f>IFERROR(__xludf.DUMMYFUNCTION("""COMPUTED_VALUE"""),"통조림연어")</f>
        <v>통조림연어</v>
      </c>
    </row>
    <row r="10331">
      <c r="A10331" s="2" t="str">
        <f>IFERROR(__xludf.DUMMYFUNCTION("""COMPUTED_VALUE"""),"폼나는 조식")</f>
        <v>폼나는 조식</v>
      </c>
      <c r="B10331" s="2" t="str">
        <f>IFERROR(__xludf.DUMMYFUNCTION("""COMPUTED_VALUE"""),"토마토")</f>
        <v>토마토</v>
      </c>
    </row>
    <row r="10332">
      <c r="A10332" s="2" t="str">
        <f>IFERROR(__xludf.DUMMYFUNCTION("""COMPUTED_VALUE"""),"폼나는 조식")</f>
        <v>폼나는 조식</v>
      </c>
      <c r="B10332" s="2" t="str">
        <f>IFERROR(__xludf.DUMMYFUNCTION("""COMPUTED_VALUE"""),"양배추")</f>
        <v>양배추</v>
      </c>
    </row>
    <row r="10333">
      <c r="A10333" s="2" t="str">
        <f>IFERROR(__xludf.DUMMYFUNCTION("""COMPUTED_VALUE"""),"폼나는 조식")</f>
        <v>폼나는 조식</v>
      </c>
      <c r="B10333" s="2" t="str">
        <f>IFERROR(__xludf.DUMMYFUNCTION("""COMPUTED_VALUE"""),"상추")</f>
        <v>상추</v>
      </c>
    </row>
    <row r="10334">
      <c r="A10334" s="2" t="str">
        <f>IFERROR(__xludf.DUMMYFUNCTION("""COMPUTED_VALUE"""),"폼나는 조식")</f>
        <v>폼나는 조식</v>
      </c>
      <c r="B10334" s="2" t="str">
        <f>IFERROR(__xludf.DUMMYFUNCTION("""COMPUTED_VALUE"""),"깻잎")</f>
        <v>깻잎</v>
      </c>
    </row>
    <row r="10335">
      <c r="A10335" s="2" t="str">
        <f>IFERROR(__xludf.DUMMYFUNCTION("""COMPUTED_VALUE"""),"폼나는 조식")</f>
        <v>폼나는 조식</v>
      </c>
      <c r="B10335" s="2" t="str">
        <f>IFERROR(__xludf.DUMMYFUNCTION("""COMPUTED_VALUE"""),"토마토즙")</f>
        <v>토마토즙</v>
      </c>
    </row>
    <row r="10336">
      <c r="A10336" s="2" t="str">
        <f>IFERROR(__xludf.DUMMYFUNCTION("""COMPUTED_VALUE"""),"폼나는 조식")</f>
        <v>폼나는 조식</v>
      </c>
      <c r="B10336" s="2" t="str">
        <f>IFERROR(__xludf.DUMMYFUNCTION("""COMPUTED_VALUE"""),"새우")</f>
        <v>새우</v>
      </c>
    </row>
    <row r="10337">
      <c r="A10337" s="2" t="str">
        <f>IFERROR(__xludf.DUMMYFUNCTION("""COMPUTED_VALUE"""),"폼나는 조식")</f>
        <v>폼나는 조식</v>
      </c>
      <c r="B10337" s="2" t="str">
        <f>IFERROR(__xludf.DUMMYFUNCTION("""COMPUTED_VALUE"""),"완두콩")</f>
        <v>완두콩</v>
      </c>
    </row>
    <row r="10338">
      <c r="A10338" s="2" t="str">
        <f>IFERROR(__xludf.DUMMYFUNCTION("""COMPUTED_VALUE"""),"폼나는 조식")</f>
        <v>폼나는 조식</v>
      </c>
      <c r="B10338" s="2" t="str">
        <f>IFERROR(__xludf.DUMMYFUNCTION("""COMPUTED_VALUE"""),"타르타르소스")</f>
        <v>타르타르소스</v>
      </c>
    </row>
    <row r="10339">
      <c r="A10339" s="2" t="str">
        <f>IFERROR(__xludf.DUMMYFUNCTION("""COMPUTED_VALUE"""),"폼나는 조식")</f>
        <v>폼나는 조식</v>
      </c>
      <c r="B10339" s="2" t="str">
        <f>IFERROR(__xludf.DUMMYFUNCTION("""COMPUTED_VALUE"""),"볶은 땅콩")</f>
        <v>볶은 땅콩</v>
      </c>
    </row>
    <row r="10340">
      <c r="A10340" s="2" t="str">
        <f>IFERROR(__xludf.DUMMYFUNCTION("""COMPUTED_VALUE"""),"폼나는 조식")</f>
        <v>폼나는 조식</v>
      </c>
      <c r="B10340" s="2" t="str">
        <f>IFERROR(__xludf.DUMMYFUNCTION("""COMPUTED_VALUE"""),"오리엔탈드레싱")</f>
        <v>오리엔탈드레싱</v>
      </c>
    </row>
    <row r="10341">
      <c r="A10341" s="2" t="str">
        <f>IFERROR(__xludf.DUMMYFUNCTION("""COMPUTED_VALUE"""),"폼나는 조식")</f>
        <v>폼나는 조식</v>
      </c>
      <c r="B10341" s="2" t="str">
        <f>IFERROR(__xludf.DUMMYFUNCTION("""COMPUTED_VALUE"""),"딸기")</f>
        <v>딸기</v>
      </c>
    </row>
    <row r="10342">
      <c r="A10342" s="2" t="str">
        <f>IFERROR(__xludf.DUMMYFUNCTION("""COMPUTED_VALUE"""),"폼나는 조식")</f>
        <v>폼나는 조식</v>
      </c>
      <c r="B10342" s="2" t="str">
        <f>IFERROR(__xludf.DUMMYFUNCTION("""COMPUTED_VALUE"""),"달걀")</f>
        <v>달걀</v>
      </c>
    </row>
    <row r="10343">
      <c r="A10343" s="2" t="str">
        <f>IFERROR(__xludf.DUMMYFUNCTION("""COMPUTED_VALUE"""),"폼나는 조식")</f>
        <v>폼나는 조식</v>
      </c>
      <c r="B10343" s="2" t="str">
        <f>IFERROR(__xludf.DUMMYFUNCTION("""COMPUTED_VALUE"""),"전분")</f>
        <v>전분</v>
      </c>
    </row>
    <row r="10344">
      <c r="A10344" s="2" t="str">
        <f>IFERROR(__xludf.DUMMYFUNCTION("""COMPUTED_VALUE"""),"폼나는 조식")</f>
        <v>폼나는 조식</v>
      </c>
      <c r="B10344" s="2" t="str">
        <f>IFERROR(__xludf.DUMMYFUNCTION("""COMPUTED_VALUE"""),"밀가루")</f>
        <v>밀가루</v>
      </c>
    </row>
    <row r="10345">
      <c r="A10345" s="2" t="str">
        <f>IFERROR(__xludf.DUMMYFUNCTION("""COMPUTED_VALUE"""),"폼나는 조식")</f>
        <v>폼나는 조식</v>
      </c>
      <c r="B10345" s="2" t="str">
        <f>IFERROR(__xludf.DUMMYFUNCTION("""COMPUTED_VALUE"""),"소금")</f>
        <v>소금</v>
      </c>
    </row>
    <row r="10346">
      <c r="A10346" s="2" t="str">
        <f>IFERROR(__xludf.DUMMYFUNCTION("""COMPUTED_VALUE"""),"폼나는 조식")</f>
        <v>폼나는 조식</v>
      </c>
      <c r="B10346" s="2" t="str">
        <f>IFERROR(__xludf.DUMMYFUNCTION("""COMPUTED_VALUE"""),"올리브오일")</f>
        <v>올리브오일</v>
      </c>
    </row>
    <row r="10347">
      <c r="A10347" s="2" t="str">
        <f>IFERROR(__xludf.DUMMYFUNCTION("""COMPUTED_VALUE"""),"폼나는 조식")</f>
        <v>폼나는 조식</v>
      </c>
      <c r="B10347" s="2" t="str">
        <f>IFERROR(__xludf.DUMMYFUNCTION("""COMPUTED_VALUE"""),"설탕")</f>
        <v>설탕</v>
      </c>
    </row>
    <row r="10348">
      <c r="A10348" s="2" t="str">
        <f>IFERROR(__xludf.DUMMYFUNCTION("""COMPUTED_VALUE"""),"수플레가 모닝?")</f>
        <v>수플레가 모닝?</v>
      </c>
      <c r="B10348" s="2" t="str">
        <f>IFERROR(__xludf.DUMMYFUNCTION("""COMPUTED_VALUE"""),"우유")</f>
        <v>우유</v>
      </c>
    </row>
    <row r="10349">
      <c r="A10349" s="2" t="str">
        <f>IFERROR(__xludf.DUMMYFUNCTION("""COMPUTED_VALUE"""),"수플레가 모닝?")</f>
        <v>수플레가 모닝?</v>
      </c>
      <c r="B10349" s="2" t="str">
        <f>IFERROR(__xludf.DUMMYFUNCTION("""COMPUTED_VALUE"""),"딸기")</f>
        <v>딸기</v>
      </c>
    </row>
    <row r="10350">
      <c r="A10350" s="2" t="str">
        <f>IFERROR(__xludf.DUMMYFUNCTION("""COMPUTED_VALUE"""),"수플레가 모닝?")</f>
        <v>수플레가 모닝?</v>
      </c>
      <c r="B10350" s="2" t="str">
        <f>IFERROR(__xludf.DUMMYFUNCTION("""COMPUTED_VALUE"""),"프랑크소시지")</f>
        <v>프랑크소시지</v>
      </c>
    </row>
    <row r="10351">
      <c r="A10351" s="2" t="str">
        <f>IFERROR(__xludf.DUMMYFUNCTION("""COMPUTED_VALUE"""),"수플레가 모닝?")</f>
        <v>수플레가 모닝?</v>
      </c>
      <c r="B10351" s="2" t="str">
        <f>IFERROR(__xludf.DUMMYFUNCTION("""COMPUTED_VALUE"""),"양상추")</f>
        <v>양상추</v>
      </c>
    </row>
    <row r="10352">
      <c r="A10352" s="2" t="str">
        <f>IFERROR(__xludf.DUMMYFUNCTION("""COMPUTED_VALUE"""),"수플레가 모닝?")</f>
        <v>수플레가 모닝?</v>
      </c>
      <c r="B10352" s="2" t="str">
        <f>IFERROR(__xludf.DUMMYFUNCTION("""COMPUTED_VALUE"""),"메이플시럽")</f>
        <v>메이플시럽</v>
      </c>
    </row>
    <row r="10353">
      <c r="A10353" s="2" t="str">
        <f>IFERROR(__xludf.DUMMYFUNCTION("""COMPUTED_VALUE"""),"수플레가 모닝?")</f>
        <v>수플레가 모닝?</v>
      </c>
      <c r="B10353" s="2" t="str">
        <f>IFERROR(__xludf.DUMMYFUNCTION("""COMPUTED_VALUE"""),"식빵")</f>
        <v>식빵</v>
      </c>
    </row>
    <row r="10354">
      <c r="A10354" s="2" t="str">
        <f>IFERROR(__xludf.DUMMYFUNCTION("""COMPUTED_VALUE"""),"수플레가 모닝?")</f>
        <v>수플레가 모닝?</v>
      </c>
      <c r="B10354" s="2" t="str">
        <f>IFERROR(__xludf.DUMMYFUNCTION("""COMPUTED_VALUE"""),"사과")</f>
        <v>사과</v>
      </c>
    </row>
    <row r="10355">
      <c r="A10355" s="2" t="str">
        <f>IFERROR(__xludf.DUMMYFUNCTION("""COMPUTED_VALUE"""),"수플레가 모닝?")</f>
        <v>수플레가 모닝?</v>
      </c>
      <c r="B10355" s="2" t="str">
        <f>IFERROR(__xludf.DUMMYFUNCTION("""COMPUTED_VALUE"""),"식혜")</f>
        <v>식혜</v>
      </c>
    </row>
    <row r="10356">
      <c r="A10356" s="2" t="str">
        <f>IFERROR(__xludf.DUMMYFUNCTION("""COMPUTED_VALUE"""),"수플레가 모닝?")</f>
        <v>수플레가 모닝?</v>
      </c>
      <c r="B10356" s="2" t="str">
        <f>IFERROR(__xludf.DUMMYFUNCTION("""COMPUTED_VALUE"""),"꿀")</f>
        <v>꿀</v>
      </c>
    </row>
    <row r="10357">
      <c r="A10357" s="2" t="str">
        <f>IFERROR(__xludf.DUMMYFUNCTION("""COMPUTED_VALUE"""),"수플레가 모닝?")</f>
        <v>수플레가 모닝?</v>
      </c>
      <c r="B10357" s="2" t="str">
        <f>IFERROR(__xludf.DUMMYFUNCTION("""COMPUTED_VALUE"""),"달걀")</f>
        <v>달걀</v>
      </c>
    </row>
    <row r="10358">
      <c r="A10358" s="2" t="str">
        <f>IFERROR(__xludf.DUMMYFUNCTION("""COMPUTED_VALUE"""),"수플레가 모닝?")</f>
        <v>수플레가 모닝?</v>
      </c>
      <c r="B10358" s="2" t="str">
        <f>IFERROR(__xludf.DUMMYFUNCTION("""COMPUTED_VALUE"""),"밀가루")</f>
        <v>밀가루</v>
      </c>
    </row>
    <row r="10359">
      <c r="A10359" s="2" t="str">
        <f>IFERROR(__xludf.DUMMYFUNCTION("""COMPUTED_VALUE"""),"수플레가 모닝?")</f>
        <v>수플레가 모닝?</v>
      </c>
      <c r="B10359" s="2" t="str">
        <f>IFERROR(__xludf.DUMMYFUNCTION("""COMPUTED_VALUE"""),"설탕")</f>
        <v>설탕</v>
      </c>
    </row>
    <row r="10360">
      <c r="A10360" s="2" t="str">
        <f>IFERROR(__xludf.DUMMYFUNCTION("""COMPUTED_VALUE"""),"수플레가 모닝?")</f>
        <v>수플레가 모닝?</v>
      </c>
      <c r="B10360" s="2" t="str">
        <f>IFERROR(__xludf.DUMMYFUNCTION("""COMPUTED_VALUE"""),"올리브오일")</f>
        <v>올리브오일</v>
      </c>
    </row>
    <row r="10361">
      <c r="A10361" s="2" t="str">
        <f>IFERROR(__xludf.DUMMYFUNCTION("""COMPUTED_VALUE"""),"수플레가 모닝?")</f>
        <v>수플레가 모닝?</v>
      </c>
      <c r="B10361" s="2" t="str">
        <f>IFERROR(__xludf.DUMMYFUNCTION("""COMPUTED_VALUE"""),"레몬")</f>
        <v>레몬</v>
      </c>
    </row>
    <row r="10362">
      <c r="A10362" s="2" t="str">
        <f>IFERROR(__xludf.DUMMYFUNCTION("""COMPUTED_VALUE"""),"수플레가 모닝?")</f>
        <v>수플레가 모닝?</v>
      </c>
      <c r="B10362" s="2" t="str">
        <f>IFERROR(__xludf.DUMMYFUNCTION("""COMPUTED_VALUE"""),"당근")</f>
        <v>당근</v>
      </c>
    </row>
    <row r="10363">
      <c r="A10363" s="2" t="str">
        <f>IFERROR(__xludf.DUMMYFUNCTION("""COMPUTED_VALUE"""),"수플레가 모닝?")</f>
        <v>수플레가 모닝?</v>
      </c>
      <c r="B10363" s="2" t="str">
        <f>IFERROR(__xludf.DUMMYFUNCTION("""COMPUTED_VALUE"""),"다진 생강")</f>
        <v>다진 생강</v>
      </c>
    </row>
    <row r="10364">
      <c r="A10364" s="2" t="str">
        <f>IFERROR(__xludf.DUMMYFUNCTION("""COMPUTED_VALUE"""),"수플레가 모닝?")</f>
        <v>수플레가 모닝?</v>
      </c>
      <c r="B10364" s="2" t="str">
        <f>IFERROR(__xludf.DUMMYFUNCTION("""COMPUTED_VALUE"""),"버터")</f>
        <v>버터</v>
      </c>
    </row>
    <row r="10365">
      <c r="A10365" s="2" t="str">
        <f>IFERROR(__xludf.DUMMYFUNCTION("""COMPUTED_VALUE"""),"수플레가 모닝?")</f>
        <v>수플레가 모닝?</v>
      </c>
      <c r="B10365" s="2" t="str">
        <f>IFERROR(__xludf.DUMMYFUNCTION("""COMPUTED_VALUE"""),"소금")</f>
        <v>소금</v>
      </c>
    </row>
    <row r="10366">
      <c r="A10366" s="2" t="str">
        <f>IFERROR(__xludf.DUMMYFUNCTION("""COMPUTED_VALUE"""),"나도 어디서 꿀리진 않魚")</f>
        <v>나도 어디서 꿀리진 않魚</v>
      </c>
      <c r="B10366" s="2" t="str">
        <f>IFERROR(__xludf.DUMMYFUNCTION("""COMPUTED_VALUE"""),"토마토즙")</f>
        <v>토마토즙</v>
      </c>
    </row>
    <row r="10367">
      <c r="A10367" s="2" t="str">
        <f>IFERROR(__xludf.DUMMYFUNCTION("""COMPUTED_VALUE"""),"나도 어디서 꿀리진 않魚")</f>
        <v>나도 어디서 꿀리진 않魚</v>
      </c>
      <c r="B10367" s="2" t="str">
        <f>IFERROR(__xludf.DUMMYFUNCTION("""COMPUTED_VALUE"""),"잣")</f>
        <v>잣</v>
      </c>
    </row>
    <row r="10368">
      <c r="A10368" s="2" t="str">
        <f>IFERROR(__xludf.DUMMYFUNCTION("""COMPUTED_VALUE"""),"나도 어디서 꿀리진 않魚")</f>
        <v>나도 어디서 꿀리진 않魚</v>
      </c>
      <c r="B10368" s="2" t="str">
        <f>IFERROR(__xludf.DUMMYFUNCTION("""COMPUTED_VALUE"""),"그린올리브")</f>
        <v>그린올리브</v>
      </c>
    </row>
    <row r="10369">
      <c r="A10369" s="2" t="str">
        <f>IFERROR(__xludf.DUMMYFUNCTION("""COMPUTED_VALUE"""),"나도 어디서 꿀리진 않魚")</f>
        <v>나도 어디서 꿀리진 않魚</v>
      </c>
      <c r="B10369" s="2" t="str">
        <f>IFERROR(__xludf.DUMMYFUNCTION("""COMPUTED_VALUE"""),"크림치즈")</f>
        <v>크림치즈</v>
      </c>
    </row>
    <row r="10370">
      <c r="A10370" s="2" t="str">
        <f>IFERROR(__xludf.DUMMYFUNCTION("""COMPUTED_VALUE"""),"나도 어디서 꿀리진 않魚")</f>
        <v>나도 어디서 꿀리진 않魚</v>
      </c>
      <c r="B10370" s="2" t="str">
        <f>IFERROR(__xludf.DUMMYFUNCTION("""COMPUTED_VALUE"""),"콩테치즈")</f>
        <v>콩테치즈</v>
      </c>
    </row>
    <row r="10371">
      <c r="A10371" s="2" t="str">
        <f>IFERROR(__xludf.DUMMYFUNCTION("""COMPUTED_VALUE"""),"나도 어디서 꿀리진 않魚")</f>
        <v>나도 어디서 꿀리진 않魚</v>
      </c>
      <c r="B10371" s="2" t="str">
        <f>IFERROR(__xludf.DUMMYFUNCTION("""COMPUTED_VALUE"""),"깻잎")</f>
        <v>깻잎</v>
      </c>
    </row>
    <row r="10372">
      <c r="A10372" s="2" t="str">
        <f>IFERROR(__xludf.DUMMYFUNCTION("""COMPUTED_VALUE"""),"나도 어디서 꿀리진 않魚")</f>
        <v>나도 어디서 꿀리진 않魚</v>
      </c>
      <c r="B10372" s="2" t="str">
        <f>IFERROR(__xludf.DUMMYFUNCTION("""COMPUTED_VALUE"""),"차돌박이")</f>
        <v>차돌박이</v>
      </c>
    </row>
    <row r="10373">
      <c r="A10373" s="2" t="str">
        <f>IFERROR(__xludf.DUMMYFUNCTION("""COMPUTED_VALUE"""),"나도 어디서 꿀리진 않魚")</f>
        <v>나도 어디서 꿀리진 않魚</v>
      </c>
      <c r="B10373" s="2" t="str">
        <f>IFERROR(__xludf.DUMMYFUNCTION("""COMPUTED_VALUE"""),"오겹살")</f>
        <v>오겹살</v>
      </c>
    </row>
    <row r="10374">
      <c r="A10374" s="2" t="str">
        <f>IFERROR(__xludf.DUMMYFUNCTION("""COMPUTED_VALUE"""),"나도 어디서 꿀리진 않魚")</f>
        <v>나도 어디서 꿀리진 않魚</v>
      </c>
      <c r="B10374" s="2" t="str">
        <f>IFERROR(__xludf.DUMMYFUNCTION("""COMPUTED_VALUE"""),"쌈무")</f>
        <v>쌈무</v>
      </c>
    </row>
    <row r="10375">
      <c r="A10375" s="2" t="str">
        <f>IFERROR(__xludf.DUMMYFUNCTION("""COMPUTED_VALUE"""),"나도 어디서 꿀리진 않魚")</f>
        <v>나도 어디서 꿀리진 않魚</v>
      </c>
      <c r="B10375" s="2" t="str">
        <f>IFERROR(__xludf.DUMMYFUNCTION("""COMPUTED_VALUE"""),"김")</f>
        <v>김</v>
      </c>
    </row>
    <row r="10376">
      <c r="A10376" s="2" t="str">
        <f>IFERROR(__xludf.DUMMYFUNCTION("""COMPUTED_VALUE"""),"치즈 쇼타임~마!")</f>
        <v>치즈 쇼타임~마!</v>
      </c>
      <c r="B10376" s="2" t="str">
        <f>IFERROR(__xludf.DUMMYFUNCTION("""COMPUTED_VALUE"""),"오이고추")</f>
        <v>오이고추</v>
      </c>
    </row>
    <row r="10377">
      <c r="A10377" s="2" t="str">
        <f>IFERROR(__xludf.DUMMYFUNCTION("""COMPUTED_VALUE"""),"치즈 쇼타임~마!")</f>
        <v>치즈 쇼타임~마!</v>
      </c>
      <c r="B10377" s="2" t="str">
        <f>IFERROR(__xludf.DUMMYFUNCTION("""COMPUTED_VALUE"""),"오겹살")</f>
        <v>오겹살</v>
      </c>
    </row>
    <row r="10378">
      <c r="A10378" s="2" t="str">
        <f>IFERROR(__xludf.DUMMYFUNCTION("""COMPUTED_VALUE"""),"치즈 쇼타임~마!")</f>
        <v>치즈 쇼타임~마!</v>
      </c>
      <c r="B10378" s="2" t="str">
        <f>IFERROR(__xludf.DUMMYFUNCTION("""COMPUTED_VALUE"""),"차돌박이")</f>
        <v>차돌박이</v>
      </c>
    </row>
    <row r="10379">
      <c r="A10379" s="2" t="str">
        <f>IFERROR(__xludf.DUMMYFUNCTION("""COMPUTED_VALUE"""),"치즈 쇼타임~마!")</f>
        <v>치즈 쇼타임~마!</v>
      </c>
      <c r="B10379" s="2" t="str">
        <f>IFERROR(__xludf.DUMMYFUNCTION("""COMPUTED_VALUE"""),"인스턴트 고기산적")</f>
        <v>인스턴트 고기산적</v>
      </c>
    </row>
    <row r="10380">
      <c r="A10380" s="2" t="str">
        <f>IFERROR(__xludf.DUMMYFUNCTION("""COMPUTED_VALUE"""),"치즈 쇼타임~마!")</f>
        <v>치즈 쇼타임~마!</v>
      </c>
      <c r="B10380" s="2" t="str">
        <f>IFERROR(__xludf.DUMMYFUNCTION("""COMPUTED_VALUE"""),"슬라이스 훈제오리")</f>
        <v>슬라이스 훈제오리</v>
      </c>
    </row>
    <row r="10381">
      <c r="A10381" s="2" t="str">
        <f>IFERROR(__xludf.DUMMYFUNCTION("""COMPUTED_VALUE"""),"치즈 쇼타임~마!")</f>
        <v>치즈 쇼타임~마!</v>
      </c>
      <c r="B10381" s="2" t="str">
        <f>IFERROR(__xludf.DUMMYFUNCTION("""COMPUTED_VALUE"""),"오이")</f>
        <v>오이</v>
      </c>
    </row>
    <row r="10382">
      <c r="A10382" s="2" t="str">
        <f>IFERROR(__xludf.DUMMYFUNCTION("""COMPUTED_VALUE"""),"치즈 쇼타임~마!")</f>
        <v>치즈 쇼타임~마!</v>
      </c>
      <c r="B10382" s="2" t="str">
        <f>IFERROR(__xludf.DUMMYFUNCTION("""COMPUTED_VALUE"""),"플레인 요거트")</f>
        <v>플레인 요거트</v>
      </c>
    </row>
    <row r="10383">
      <c r="A10383" s="2" t="str">
        <f>IFERROR(__xludf.DUMMYFUNCTION("""COMPUTED_VALUE"""),"치즈 쇼타임~마!")</f>
        <v>치즈 쇼타임~마!</v>
      </c>
      <c r="B10383" s="2" t="str">
        <f>IFERROR(__xludf.DUMMYFUNCTION("""COMPUTED_VALUE"""),"슬라이스 체더치즈")</f>
        <v>슬라이스 체더치즈</v>
      </c>
    </row>
    <row r="10384">
      <c r="A10384" s="2" t="str">
        <f>IFERROR(__xludf.DUMMYFUNCTION("""COMPUTED_VALUE"""),"치즈 쇼타임~마!")</f>
        <v>치즈 쇼타임~마!</v>
      </c>
      <c r="B10384" s="2" t="str">
        <f>IFERROR(__xludf.DUMMYFUNCTION("""COMPUTED_VALUE"""),"배")</f>
        <v>배</v>
      </c>
    </row>
    <row r="10385">
      <c r="A10385" s="2" t="str">
        <f>IFERROR(__xludf.DUMMYFUNCTION("""COMPUTED_VALUE"""),"치즈 쇼타임~마!")</f>
        <v>치즈 쇼타임~마!</v>
      </c>
      <c r="B10385" s="2" t="str">
        <f>IFERROR(__xludf.DUMMYFUNCTION("""COMPUTED_VALUE"""),"발사믹드레싱")</f>
        <v>발사믹드레싱</v>
      </c>
    </row>
    <row r="10386">
      <c r="A10386" s="2" t="str">
        <f>IFERROR(__xludf.DUMMYFUNCTION("""COMPUTED_VALUE"""),"치즈 쇼타임~마!")</f>
        <v>치즈 쇼타임~마!</v>
      </c>
      <c r="B10386" s="2" t="str">
        <f>IFERROR(__xludf.DUMMYFUNCTION("""COMPUTED_VALUE"""),"파슬리")</f>
        <v>파슬리</v>
      </c>
    </row>
    <row r="10387">
      <c r="A10387" s="2" t="str">
        <f>IFERROR(__xludf.DUMMYFUNCTION("""COMPUTED_VALUE"""),"곤짜장")</f>
        <v>곤짜장</v>
      </c>
      <c r="B10387" s="2" t="str">
        <f>IFERROR(__xludf.DUMMYFUNCTION("""COMPUTED_VALUE"""),"통조림간장골뱅이")</f>
        <v>통조림간장골뱅이</v>
      </c>
    </row>
    <row r="10388">
      <c r="A10388" s="2" t="str">
        <f>IFERROR(__xludf.DUMMYFUNCTION("""COMPUTED_VALUE"""),"곤짜장")</f>
        <v>곤짜장</v>
      </c>
      <c r="B10388" s="2" t="str">
        <f>IFERROR(__xludf.DUMMYFUNCTION("""COMPUTED_VALUE"""),"곤약면")</f>
        <v>곤약면</v>
      </c>
    </row>
    <row r="10389">
      <c r="A10389" s="2" t="str">
        <f>IFERROR(__xludf.DUMMYFUNCTION("""COMPUTED_VALUE"""),"곤짜장")</f>
        <v>곤짜장</v>
      </c>
      <c r="B10389" s="2" t="str">
        <f>IFERROR(__xludf.DUMMYFUNCTION("""COMPUTED_VALUE"""),"오겹살")</f>
        <v>오겹살</v>
      </c>
    </row>
    <row r="10390">
      <c r="A10390" s="2" t="str">
        <f>IFERROR(__xludf.DUMMYFUNCTION("""COMPUTED_VALUE"""),"곤짜장")</f>
        <v>곤짜장</v>
      </c>
      <c r="B10390" s="2" t="str">
        <f>IFERROR(__xludf.DUMMYFUNCTION("""COMPUTED_VALUE"""),"애호박")</f>
        <v>애호박</v>
      </c>
    </row>
    <row r="10391">
      <c r="A10391" s="2" t="str">
        <f>IFERROR(__xludf.DUMMYFUNCTION("""COMPUTED_VALUE"""),"곤짜장")</f>
        <v>곤짜장</v>
      </c>
      <c r="B10391" s="2" t="str">
        <f>IFERROR(__xludf.DUMMYFUNCTION("""COMPUTED_VALUE"""),"식빵")</f>
        <v>식빵</v>
      </c>
    </row>
    <row r="10392">
      <c r="A10392" s="2" t="str">
        <f>IFERROR(__xludf.DUMMYFUNCTION("""COMPUTED_VALUE"""),"곤짜장")</f>
        <v>곤짜장</v>
      </c>
      <c r="B10392" s="2" t="str">
        <f>IFERROR(__xludf.DUMMYFUNCTION("""COMPUTED_VALUE"""),"슬라이스 닭가슴살")</f>
        <v>슬라이스 닭가슴살</v>
      </c>
    </row>
    <row r="10393">
      <c r="A10393" s="2" t="str">
        <f>IFERROR(__xludf.DUMMYFUNCTION("""COMPUTED_VALUE"""),"곤짜장")</f>
        <v>곤짜장</v>
      </c>
      <c r="B10393" s="2" t="str">
        <f>IFERROR(__xludf.DUMMYFUNCTION("""COMPUTED_VALUE"""),"잣")</f>
        <v>잣</v>
      </c>
    </row>
    <row r="10394">
      <c r="A10394" s="2" t="str">
        <f>IFERROR(__xludf.DUMMYFUNCTION("""COMPUTED_VALUE"""),"곤짜장")</f>
        <v>곤짜장</v>
      </c>
      <c r="B10394" s="2" t="str">
        <f>IFERROR(__xludf.DUMMYFUNCTION("""COMPUTED_VALUE"""),"슬라이스 체더치즈")</f>
        <v>슬라이스 체더치즈</v>
      </c>
    </row>
    <row r="10395">
      <c r="A10395" s="2" t="str">
        <f>IFERROR(__xludf.DUMMYFUNCTION("""COMPUTED_VALUE"""),"곤짜장")</f>
        <v>곤짜장</v>
      </c>
      <c r="B10395" s="2" t="str">
        <f>IFERROR(__xludf.DUMMYFUNCTION("""COMPUTED_VALUE"""),"인스턴트 짜장가루")</f>
        <v>인스턴트 짜장가루</v>
      </c>
    </row>
    <row r="10396">
      <c r="A10396" s="2" t="str">
        <f>IFERROR(__xludf.DUMMYFUNCTION("""COMPUTED_VALUE"""),"곤짜장")</f>
        <v>곤짜장</v>
      </c>
      <c r="B10396" s="2" t="str">
        <f>IFERROR(__xludf.DUMMYFUNCTION("""COMPUTED_VALUE"""),"양배추")</f>
        <v>양배추</v>
      </c>
    </row>
    <row r="10397">
      <c r="A10397" s="2" t="str">
        <f>IFERROR(__xludf.DUMMYFUNCTION("""COMPUTED_VALUE"""),"곤짜장")</f>
        <v>곤짜장</v>
      </c>
      <c r="B10397" s="2" t="str">
        <f>IFERROR(__xludf.DUMMYFUNCTION("""COMPUTED_VALUE"""),"오이")</f>
        <v>오이</v>
      </c>
    </row>
    <row r="10398">
      <c r="A10398" s="2" t="str">
        <f>IFERROR(__xludf.DUMMYFUNCTION("""COMPUTED_VALUE"""),"치킨 치즈 스마일")</f>
        <v>치킨 치즈 스마일</v>
      </c>
      <c r="B10398" s="2" t="str">
        <f>IFERROR(__xludf.DUMMYFUNCTION("""COMPUTED_VALUE"""),"맥주")</f>
        <v>맥주</v>
      </c>
    </row>
    <row r="10399">
      <c r="A10399" s="2" t="str">
        <f>IFERROR(__xludf.DUMMYFUNCTION("""COMPUTED_VALUE"""),"치킨 치즈 스마일")</f>
        <v>치킨 치즈 스마일</v>
      </c>
      <c r="B10399" s="2" t="str">
        <f>IFERROR(__xludf.DUMMYFUNCTION("""COMPUTED_VALUE"""),"크림치즈")</f>
        <v>크림치즈</v>
      </c>
    </row>
    <row r="10400">
      <c r="A10400" s="2" t="str">
        <f>IFERROR(__xludf.DUMMYFUNCTION("""COMPUTED_VALUE"""),"치킨 치즈 스마일")</f>
        <v>치킨 치즈 스마일</v>
      </c>
      <c r="B10400" s="2" t="str">
        <f>IFERROR(__xludf.DUMMYFUNCTION("""COMPUTED_VALUE"""),"큐브닭가슴살")</f>
        <v>큐브닭가슴살</v>
      </c>
    </row>
    <row r="10401">
      <c r="A10401" s="2" t="str">
        <f>IFERROR(__xludf.DUMMYFUNCTION("""COMPUTED_VALUE"""),"치킨 치즈 스마일")</f>
        <v>치킨 치즈 스마일</v>
      </c>
      <c r="B10401" s="2" t="str">
        <f>IFERROR(__xludf.DUMMYFUNCTION("""COMPUTED_VALUE"""),"다이어트도시락")</f>
        <v>다이어트도시락</v>
      </c>
    </row>
    <row r="10402">
      <c r="A10402" s="2" t="str">
        <f>IFERROR(__xludf.DUMMYFUNCTION("""COMPUTED_VALUE"""),"치킨 치즈 스마일")</f>
        <v>치킨 치즈 스마일</v>
      </c>
      <c r="B10402" s="2" t="str">
        <f>IFERROR(__xludf.DUMMYFUNCTION("""COMPUTED_VALUE"""),"닭가슴살 소시지")</f>
        <v>닭가슴살 소시지</v>
      </c>
    </row>
    <row r="10403">
      <c r="A10403" s="2" t="str">
        <f>IFERROR(__xludf.DUMMYFUNCTION("""COMPUTED_VALUE"""),"치킨 치즈 스마일")</f>
        <v>치킨 치즈 스마일</v>
      </c>
      <c r="B10403" s="2" t="str">
        <f>IFERROR(__xludf.DUMMYFUNCTION("""COMPUTED_VALUE"""),"슬라이스 훈제닭가슴살")</f>
        <v>슬라이스 훈제닭가슴살</v>
      </c>
    </row>
    <row r="10404">
      <c r="A10404" s="2" t="str">
        <f>IFERROR(__xludf.DUMMYFUNCTION("""COMPUTED_VALUE"""),"치킨 치즈 스마일")</f>
        <v>치킨 치즈 스마일</v>
      </c>
      <c r="B10404" s="2" t="str">
        <f>IFERROR(__xludf.DUMMYFUNCTION("""COMPUTED_VALUE"""),"인스턴트 감자튀김")</f>
        <v>인스턴트 감자튀김</v>
      </c>
    </row>
    <row r="10405">
      <c r="A10405" s="2" t="str">
        <f>IFERROR(__xludf.DUMMYFUNCTION("""COMPUTED_VALUE"""),"치킨 치즈 스마일")</f>
        <v>치킨 치즈 스마일</v>
      </c>
      <c r="B10405" s="2" t="str">
        <f>IFERROR(__xludf.DUMMYFUNCTION("""COMPUTED_VALUE"""),"그린올리브")</f>
        <v>그린올리브</v>
      </c>
    </row>
    <row r="10406">
      <c r="A10406" s="2" t="str">
        <f>IFERROR(__xludf.DUMMYFUNCTION("""COMPUTED_VALUE"""),"치킨 치즈 스마일")</f>
        <v>치킨 치즈 스마일</v>
      </c>
      <c r="B10406" s="2" t="str">
        <f>IFERROR(__xludf.DUMMYFUNCTION("""COMPUTED_VALUE"""),"사과")</f>
        <v>사과</v>
      </c>
    </row>
    <row r="10407">
      <c r="A10407" s="2" t="str">
        <f>IFERROR(__xludf.DUMMYFUNCTION("""COMPUTED_VALUE"""),"치킨 치즈 스마일")</f>
        <v>치킨 치즈 스마일</v>
      </c>
      <c r="B10407" s="2" t="str">
        <f>IFERROR(__xludf.DUMMYFUNCTION("""COMPUTED_VALUE"""),"칠리소스")</f>
        <v>칠리소스</v>
      </c>
    </row>
    <row r="10408">
      <c r="A10408" s="2" t="str">
        <f>IFERROR(__xludf.DUMMYFUNCTION("""COMPUTED_VALUE"""),"치킨 치즈 스마일")</f>
        <v>치킨 치즈 스마일</v>
      </c>
      <c r="B10408" s="2" t="str">
        <f>IFERROR(__xludf.DUMMYFUNCTION("""COMPUTED_VALUE"""),"라즈베리잼")</f>
        <v>라즈베리잼</v>
      </c>
    </row>
    <row r="10409">
      <c r="A10409" s="2" t="str">
        <f>IFERROR(__xludf.DUMMYFUNCTION("""COMPUTED_VALUE"""),"치킨 치즈 스마일")</f>
        <v>치킨 치즈 스마일</v>
      </c>
      <c r="B10409" s="2" t="str">
        <f>IFERROR(__xludf.DUMMYFUNCTION("""COMPUTED_VALUE"""),"상추")</f>
        <v>상추</v>
      </c>
    </row>
    <row r="10410">
      <c r="A10410" s="2" t="str">
        <f>IFERROR(__xludf.DUMMYFUNCTION("""COMPUTED_VALUE"""),"치킨 치즈 스마일")</f>
        <v>치킨 치즈 스마일</v>
      </c>
      <c r="B10410" s="2" t="str">
        <f>IFERROR(__xludf.DUMMYFUNCTION("""COMPUTED_VALUE"""),"오이")</f>
        <v>오이</v>
      </c>
    </row>
    <row r="10411">
      <c r="A10411" s="2" t="str">
        <f>IFERROR(__xludf.DUMMYFUNCTION("""COMPUTED_VALUE"""),"치킨 치즈 스마일")</f>
        <v>치킨 치즈 스마일</v>
      </c>
      <c r="B10411" s="2" t="str">
        <f>IFERROR(__xludf.DUMMYFUNCTION("""COMPUTED_VALUE"""),"오렌지")</f>
        <v>오렌지</v>
      </c>
    </row>
    <row r="10412">
      <c r="A10412" s="2" t="str">
        <f>IFERROR(__xludf.DUMMYFUNCTION("""COMPUTED_VALUE"""),"연볶면")</f>
        <v>연볶면</v>
      </c>
      <c r="B10412" s="2" t="str">
        <f>IFERROR(__xludf.DUMMYFUNCTION("""COMPUTED_VALUE"""),"손질새우")</f>
        <v>손질새우</v>
      </c>
    </row>
    <row r="10413">
      <c r="A10413" s="2" t="str">
        <f>IFERROR(__xludf.DUMMYFUNCTION("""COMPUTED_VALUE"""),"연볶면")</f>
        <v>연볶면</v>
      </c>
      <c r="B10413" s="2" t="str">
        <f>IFERROR(__xludf.DUMMYFUNCTION("""COMPUTED_VALUE"""),"낙지")</f>
        <v>낙지</v>
      </c>
    </row>
    <row r="10414">
      <c r="A10414" s="2" t="str">
        <f>IFERROR(__xludf.DUMMYFUNCTION("""COMPUTED_VALUE"""),"연볶면")</f>
        <v>연볶면</v>
      </c>
      <c r="B10414" s="2" t="str">
        <f>IFERROR(__xludf.DUMMYFUNCTION("""COMPUTED_VALUE"""),"표고버섯")</f>
        <v>표고버섯</v>
      </c>
    </row>
    <row r="10415">
      <c r="A10415" s="2" t="str">
        <f>IFERROR(__xludf.DUMMYFUNCTION("""COMPUTED_VALUE"""),"연볶면")</f>
        <v>연볶면</v>
      </c>
      <c r="B10415" s="2" t="str">
        <f>IFERROR(__xludf.DUMMYFUNCTION("""COMPUTED_VALUE"""),"차돌박이")</f>
        <v>차돌박이</v>
      </c>
    </row>
    <row r="10416">
      <c r="A10416" s="2" t="str">
        <f>IFERROR(__xludf.DUMMYFUNCTION("""COMPUTED_VALUE"""),"연볶면")</f>
        <v>연볶면</v>
      </c>
      <c r="B10416" s="2" t="str">
        <f>IFERROR(__xludf.DUMMYFUNCTION("""COMPUTED_VALUE"""),"목살")</f>
        <v>목살</v>
      </c>
    </row>
    <row r="10417">
      <c r="A10417" s="2" t="str">
        <f>IFERROR(__xludf.DUMMYFUNCTION("""COMPUTED_VALUE"""),"연볶면")</f>
        <v>연볶면</v>
      </c>
      <c r="B10417" s="2" t="str">
        <f>IFERROR(__xludf.DUMMYFUNCTION("""COMPUTED_VALUE"""),"쪽파")</f>
        <v>쪽파</v>
      </c>
    </row>
    <row r="10418">
      <c r="A10418" s="2" t="str">
        <f>IFERROR(__xludf.DUMMYFUNCTION("""COMPUTED_VALUE"""),"연볶면")</f>
        <v>연볶면</v>
      </c>
      <c r="B10418" s="2" t="str">
        <f>IFERROR(__xludf.DUMMYFUNCTION("""COMPUTED_VALUE"""),"돼지불고기 양념")</f>
        <v>돼지불고기 양념</v>
      </c>
    </row>
    <row r="10419">
      <c r="A10419" s="2" t="str">
        <f>IFERROR(__xludf.DUMMYFUNCTION("""COMPUTED_VALUE"""),"연볶면")</f>
        <v>연볶면</v>
      </c>
      <c r="B10419" s="2" t="str">
        <f>IFERROR(__xludf.DUMMYFUNCTION("""COMPUTED_VALUE"""),"깻잎")</f>
        <v>깻잎</v>
      </c>
    </row>
    <row r="10420">
      <c r="A10420" s="2" t="str">
        <f>IFERROR(__xludf.DUMMYFUNCTION("""COMPUTED_VALUE"""),"연볶면")</f>
        <v>연볶면</v>
      </c>
      <c r="B10420" s="2" t="str">
        <f>IFERROR(__xludf.DUMMYFUNCTION("""COMPUTED_VALUE"""),"대파")</f>
        <v>대파</v>
      </c>
    </row>
    <row r="10421">
      <c r="A10421" s="2" t="str">
        <f>IFERROR(__xludf.DUMMYFUNCTION("""COMPUTED_VALUE"""),"연볶면")</f>
        <v>연볶면</v>
      </c>
      <c r="B10421" s="2" t="str">
        <f>IFERROR(__xludf.DUMMYFUNCTION("""COMPUTED_VALUE"""),"밀가루")</f>
        <v>밀가루</v>
      </c>
    </row>
    <row r="10422">
      <c r="A10422" s="2" t="str">
        <f>IFERROR(__xludf.DUMMYFUNCTION("""COMPUTED_VALUE"""),"연볶면")</f>
        <v>연볶면</v>
      </c>
      <c r="B10422" s="2" t="str">
        <f>IFERROR(__xludf.DUMMYFUNCTION("""COMPUTED_VALUE"""),"고춧가루")</f>
        <v>고춧가루</v>
      </c>
    </row>
    <row r="10423">
      <c r="A10423" s="2" t="str">
        <f>IFERROR(__xludf.DUMMYFUNCTION("""COMPUTED_VALUE"""),"연볶면")</f>
        <v>연볶면</v>
      </c>
      <c r="B10423" s="2" t="str">
        <f>IFERROR(__xludf.DUMMYFUNCTION("""COMPUTED_VALUE"""),"청양고추")</f>
        <v>청양고추</v>
      </c>
    </row>
    <row r="10424">
      <c r="A10424" s="2" t="str">
        <f>IFERROR(__xludf.DUMMYFUNCTION("""COMPUTED_VALUE"""),"연볶면")</f>
        <v>연볶면</v>
      </c>
      <c r="B10424" s="2" t="str">
        <f>IFERROR(__xludf.DUMMYFUNCTION("""COMPUTED_VALUE"""),"양파")</f>
        <v>양파</v>
      </c>
    </row>
    <row r="10425">
      <c r="A10425" s="2" t="str">
        <f>IFERROR(__xludf.DUMMYFUNCTION("""COMPUTED_VALUE"""),"연볶면")</f>
        <v>연볶면</v>
      </c>
      <c r="B10425" s="2" t="str">
        <f>IFERROR(__xludf.DUMMYFUNCTION("""COMPUTED_VALUE"""),"당근")</f>
        <v>당근</v>
      </c>
    </row>
    <row r="10426">
      <c r="A10426" s="2" t="str">
        <f>IFERROR(__xludf.DUMMYFUNCTION("""COMPUTED_VALUE"""),"연볶면")</f>
        <v>연볶면</v>
      </c>
      <c r="B10426" s="2" t="str">
        <f>IFERROR(__xludf.DUMMYFUNCTION("""COMPUTED_VALUE"""),"마요네즈")</f>
        <v>마요네즈</v>
      </c>
    </row>
    <row r="10427">
      <c r="A10427" s="2" t="str">
        <f>IFERROR(__xludf.DUMMYFUNCTION("""COMPUTED_VALUE"""),"볶출어람")</f>
        <v>볶출어람</v>
      </c>
      <c r="B10427" s="2" t="str">
        <f>IFERROR(__xludf.DUMMYFUNCTION("""COMPUTED_VALUE"""),"목살")</f>
        <v>목살</v>
      </c>
    </row>
    <row r="10428">
      <c r="A10428" s="2" t="str">
        <f>IFERROR(__xludf.DUMMYFUNCTION("""COMPUTED_VALUE"""),"볶출어람")</f>
        <v>볶출어람</v>
      </c>
      <c r="B10428" s="2" t="str">
        <f>IFERROR(__xludf.DUMMYFUNCTION("""COMPUTED_VALUE"""),"인스턴트 떡갈비")</f>
        <v>인스턴트 떡갈비</v>
      </c>
    </row>
    <row r="10429">
      <c r="A10429" s="2" t="str">
        <f>IFERROR(__xludf.DUMMYFUNCTION("""COMPUTED_VALUE"""),"볶출어람")</f>
        <v>볶출어람</v>
      </c>
      <c r="B10429" s="2" t="str">
        <f>IFERROR(__xludf.DUMMYFUNCTION("""COMPUTED_VALUE"""),"표고버섯")</f>
        <v>표고버섯</v>
      </c>
    </row>
    <row r="10430">
      <c r="A10430" s="2" t="str">
        <f>IFERROR(__xludf.DUMMYFUNCTION("""COMPUTED_VALUE"""),"볶출어람")</f>
        <v>볶출어람</v>
      </c>
      <c r="B10430" s="2" t="str">
        <f>IFERROR(__xludf.DUMMYFUNCTION("""COMPUTED_VALUE"""),"깻잎")</f>
        <v>깻잎</v>
      </c>
    </row>
    <row r="10431">
      <c r="A10431" s="2" t="str">
        <f>IFERROR(__xludf.DUMMYFUNCTION("""COMPUTED_VALUE"""),"볶출어람")</f>
        <v>볶출어람</v>
      </c>
      <c r="B10431" s="2" t="str">
        <f>IFERROR(__xludf.DUMMYFUNCTION("""COMPUTED_VALUE"""),"오이")</f>
        <v>오이</v>
      </c>
    </row>
    <row r="10432">
      <c r="A10432" s="2" t="str">
        <f>IFERROR(__xludf.DUMMYFUNCTION("""COMPUTED_VALUE"""),"볶출어람")</f>
        <v>볶출어람</v>
      </c>
      <c r="B10432" s="2" t="str">
        <f>IFERROR(__xludf.DUMMYFUNCTION("""COMPUTED_VALUE"""),"김")</f>
        <v>김</v>
      </c>
    </row>
    <row r="10433">
      <c r="A10433" s="2" t="str">
        <f>IFERROR(__xludf.DUMMYFUNCTION("""COMPUTED_VALUE"""),"볶출어람")</f>
        <v>볶출어람</v>
      </c>
      <c r="B10433" s="2" t="str">
        <f>IFERROR(__xludf.DUMMYFUNCTION("""COMPUTED_VALUE"""),"멸치액젓")</f>
        <v>멸치액젓</v>
      </c>
    </row>
    <row r="10434">
      <c r="A10434" s="2" t="str">
        <f>IFERROR(__xludf.DUMMYFUNCTION("""COMPUTED_VALUE"""),"볶출어람")</f>
        <v>볶출어람</v>
      </c>
      <c r="B10434" s="2" t="str">
        <f>IFERROR(__xludf.DUMMYFUNCTION("""COMPUTED_VALUE"""),"낙지볶음소스")</f>
        <v>낙지볶음소스</v>
      </c>
    </row>
    <row r="10435">
      <c r="A10435" s="2" t="str">
        <f>IFERROR(__xludf.DUMMYFUNCTION("""COMPUTED_VALUE"""),"볶출어람")</f>
        <v>볶출어람</v>
      </c>
      <c r="B10435" s="2" t="str">
        <f>IFERROR(__xludf.DUMMYFUNCTION("""COMPUTED_VALUE"""),"즉석밥")</f>
        <v>즉석밥</v>
      </c>
    </row>
    <row r="10436">
      <c r="A10436" s="2" t="str">
        <f>IFERROR(__xludf.DUMMYFUNCTION("""COMPUTED_VALUE"""),"볶출어람")</f>
        <v>볶출어람</v>
      </c>
      <c r="B10436" s="2" t="str">
        <f>IFERROR(__xludf.DUMMYFUNCTION("""COMPUTED_VALUE"""),"설탕")</f>
        <v>설탕</v>
      </c>
    </row>
    <row r="10437">
      <c r="A10437" s="2" t="str">
        <f>IFERROR(__xludf.DUMMYFUNCTION("""COMPUTED_VALUE"""),"볶출어람")</f>
        <v>볶출어람</v>
      </c>
      <c r="B10437" s="2" t="str">
        <f>IFERROR(__xludf.DUMMYFUNCTION("""COMPUTED_VALUE"""),"다진 생강")</f>
        <v>다진 생강</v>
      </c>
    </row>
    <row r="10438">
      <c r="A10438" s="2" t="str">
        <f>IFERROR(__xludf.DUMMYFUNCTION("""COMPUTED_VALUE"""),"볶출어람")</f>
        <v>볶출어람</v>
      </c>
      <c r="B10438" s="2" t="str">
        <f>IFERROR(__xludf.DUMMYFUNCTION("""COMPUTED_VALUE"""),"소금")</f>
        <v>소금</v>
      </c>
    </row>
    <row r="10439">
      <c r="A10439" s="2" t="str">
        <f>IFERROR(__xludf.DUMMYFUNCTION("""COMPUTED_VALUE"""),"볶출어람")</f>
        <v>볶출어람</v>
      </c>
      <c r="B10439" s="2" t="str">
        <f>IFERROR(__xludf.DUMMYFUNCTION("""COMPUTED_VALUE"""),"대파")</f>
        <v>대파</v>
      </c>
    </row>
    <row r="10440">
      <c r="A10440" s="2" t="str">
        <f>IFERROR(__xludf.DUMMYFUNCTION("""COMPUTED_VALUE"""),"볶출어람")</f>
        <v>볶출어람</v>
      </c>
      <c r="B10440" s="2" t="str">
        <f>IFERROR(__xludf.DUMMYFUNCTION("""COMPUTED_VALUE"""),"마늘")</f>
        <v>마늘</v>
      </c>
    </row>
    <row r="10441">
      <c r="A10441" s="2" t="str">
        <f>IFERROR(__xludf.DUMMYFUNCTION("""COMPUTED_VALUE"""),"볶출어람")</f>
        <v>볶출어람</v>
      </c>
      <c r="B10441" s="2" t="str">
        <f>IFERROR(__xludf.DUMMYFUNCTION("""COMPUTED_VALUE"""),"청양고추")</f>
        <v>청양고추</v>
      </c>
    </row>
    <row r="10442">
      <c r="A10442" s="2" t="str">
        <f>IFERROR(__xludf.DUMMYFUNCTION("""COMPUTED_VALUE"""),"볶출어람")</f>
        <v>볶출어람</v>
      </c>
      <c r="B10442" s="2" t="str">
        <f>IFERROR(__xludf.DUMMYFUNCTION("""COMPUTED_VALUE"""),"후추")</f>
        <v>후추</v>
      </c>
    </row>
    <row r="10443">
      <c r="A10443" s="2" t="str">
        <f>IFERROR(__xludf.DUMMYFUNCTION("""COMPUTED_VALUE"""),"볶출어람")</f>
        <v>볶출어람</v>
      </c>
      <c r="B10443" s="2" t="str">
        <f>IFERROR(__xludf.DUMMYFUNCTION("""COMPUTED_VALUE"""),"청주")</f>
        <v>청주</v>
      </c>
    </row>
    <row r="10444">
      <c r="A10444" s="2" t="str">
        <f>IFERROR(__xludf.DUMMYFUNCTION("""COMPUTED_VALUE"""),"안심하고 튀겼새우")</f>
        <v>안심하고 튀겼새우</v>
      </c>
      <c r="B10444" s="2" t="str">
        <f>IFERROR(__xludf.DUMMYFUNCTION("""COMPUTED_VALUE"""),"다시마")</f>
        <v>다시마</v>
      </c>
    </row>
    <row r="10445">
      <c r="A10445" s="2" t="str">
        <f>IFERROR(__xludf.DUMMYFUNCTION("""COMPUTED_VALUE"""),"안심하고 튀겼새우")</f>
        <v>안심하고 튀겼새우</v>
      </c>
      <c r="B10445" s="2" t="str">
        <f>IFERROR(__xludf.DUMMYFUNCTION("""COMPUTED_VALUE"""),"국물용 멸치")</f>
        <v>국물용 멸치</v>
      </c>
    </row>
    <row r="10446">
      <c r="A10446" s="2" t="str">
        <f>IFERROR(__xludf.DUMMYFUNCTION("""COMPUTED_VALUE"""),"안심하고 튀겼새우")</f>
        <v>안심하고 튀겼새우</v>
      </c>
      <c r="B10446" s="2" t="str">
        <f>IFERROR(__xludf.DUMMYFUNCTION("""COMPUTED_VALUE"""),"스테이크용 안심")</f>
        <v>스테이크용 안심</v>
      </c>
    </row>
    <row r="10447">
      <c r="A10447" s="2" t="str">
        <f>IFERROR(__xludf.DUMMYFUNCTION("""COMPUTED_VALUE"""),"안심하고 튀겼새우")</f>
        <v>안심하고 튀겼새우</v>
      </c>
      <c r="B10447" s="2" t="str">
        <f>IFERROR(__xludf.DUMMYFUNCTION("""COMPUTED_VALUE"""),"통조림햄")</f>
        <v>통조림햄</v>
      </c>
    </row>
    <row r="10448">
      <c r="A10448" s="2" t="str">
        <f>IFERROR(__xludf.DUMMYFUNCTION("""COMPUTED_VALUE"""),"안심하고 튀겼새우")</f>
        <v>안심하고 튀겼새우</v>
      </c>
      <c r="B10448" s="2" t="str">
        <f>IFERROR(__xludf.DUMMYFUNCTION("""COMPUTED_VALUE"""),"표고버섯")</f>
        <v>표고버섯</v>
      </c>
    </row>
    <row r="10449">
      <c r="A10449" s="2" t="str">
        <f>IFERROR(__xludf.DUMMYFUNCTION("""COMPUTED_VALUE"""),"안심하고 튀겼새우")</f>
        <v>안심하고 튀겼새우</v>
      </c>
      <c r="B10449" s="2" t="str">
        <f>IFERROR(__xludf.DUMMYFUNCTION("""COMPUTED_VALUE"""),"차돌박이")</f>
        <v>차돌박이</v>
      </c>
    </row>
    <row r="10450">
      <c r="A10450" s="2" t="str">
        <f>IFERROR(__xludf.DUMMYFUNCTION("""COMPUTED_VALUE"""),"안심하고 튀겼새우")</f>
        <v>안심하고 튀겼새우</v>
      </c>
      <c r="B10450" s="2" t="str">
        <f>IFERROR(__xludf.DUMMYFUNCTION("""COMPUTED_VALUE"""),"손질새우")</f>
        <v>손질새우</v>
      </c>
    </row>
    <row r="10451">
      <c r="A10451" s="2" t="str">
        <f>IFERROR(__xludf.DUMMYFUNCTION("""COMPUTED_VALUE"""),"안심하고 튀겼새우")</f>
        <v>안심하고 튀겼새우</v>
      </c>
      <c r="B10451" s="2" t="str">
        <f>IFERROR(__xludf.DUMMYFUNCTION("""COMPUTED_VALUE"""),"맥주")</f>
        <v>맥주</v>
      </c>
    </row>
    <row r="10452">
      <c r="A10452" s="2" t="str">
        <f>IFERROR(__xludf.DUMMYFUNCTION("""COMPUTED_VALUE"""),"안심하고 튀겼새우")</f>
        <v>안심하고 튀겼새우</v>
      </c>
      <c r="B10452" s="2" t="str">
        <f>IFERROR(__xludf.DUMMYFUNCTION("""COMPUTED_VALUE"""),"마늘")</f>
        <v>마늘</v>
      </c>
    </row>
    <row r="10453">
      <c r="A10453" s="2" t="str">
        <f>IFERROR(__xludf.DUMMYFUNCTION("""COMPUTED_VALUE"""),"안심하고 튀겼새우")</f>
        <v>안심하고 튀겼새우</v>
      </c>
      <c r="B10453" s="2" t="str">
        <f>IFERROR(__xludf.DUMMYFUNCTION("""COMPUTED_VALUE"""),"소금")</f>
        <v>소금</v>
      </c>
    </row>
    <row r="10454">
      <c r="A10454" s="2" t="str">
        <f>IFERROR(__xludf.DUMMYFUNCTION("""COMPUTED_VALUE"""),"안심하고 튀겼새우")</f>
        <v>안심하고 튀겼새우</v>
      </c>
      <c r="B10454" s="2" t="str">
        <f>IFERROR(__xludf.DUMMYFUNCTION("""COMPUTED_VALUE"""),"후추")</f>
        <v>후추</v>
      </c>
    </row>
    <row r="10455">
      <c r="A10455" s="2" t="str">
        <f>IFERROR(__xludf.DUMMYFUNCTION("""COMPUTED_VALUE"""),"안심하고 튀겼새우")</f>
        <v>안심하고 튀겼새우</v>
      </c>
      <c r="B10455" s="2" t="str">
        <f>IFERROR(__xludf.DUMMYFUNCTION("""COMPUTED_VALUE"""),"즉석밥")</f>
        <v>즉석밥</v>
      </c>
    </row>
    <row r="10456">
      <c r="A10456" s="2" t="str">
        <f>IFERROR(__xludf.DUMMYFUNCTION("""COMPUTED_VALUE"""),"안심하고 튀겼새우")</f>
        <v>안심하고 튀겼새우</v>
      </c>
      <c r="B10456" s="2" t="str">
        <f>IFERROR(__xludf.DUMMYFUNCTION("""COMPUTED_VALUE"""),"맛술")</f>
        <v>맛술</v>
      </c>
    </row>
    <row r="10457">
      <c r="A10457" s="2" t="str">
        <f>IFERROR(__xludf.DUMMYFUNCTION("""COMPUTED_VALUE"""),"안심하고 튀겼새우")</f>
        <v>안심하고 튀겼새우</v>
      </c>
      <c r="B10457" s="2" t="str">
        <f>IFERROR(__xludf.DUMMYFUNCTION("""COMPUTED_VALUE"""),"청주")</f>
        <v>청주</v>
      </c>
    </row>
    <row r="10458">
      <c r="A10458" s="2" t="str">
        <f>IFERROR(__xludf.DUMMYFUNCTION("""COMPUTED_VALUE"""),"안심하고 튀겼새우")</f>
        <v>안심하고 튀겼새우</v>
      </c>
      <c r="B10458" s="2" t="str">
        <f>IFERROR(__xludf.DUMMYFUNCTION("""COMPUTED_VALUE"""),"간장")</f>
        <v>간장</v>
      </c>
    </row>
    <row r="10459">
      <c r="A10459" s="2" t="str">
        <f>IFERROR(__xludf.DUMMYFUNCTION("""COMPUTED_VALUE"""),"안심하고 튀겼새우")</f>
        <v>안심하고 튀겼새우</v>
      </c>
      <c r="B10459" s="2" t="str">
        <f>IFERROR(__xludf.DUMMYFUNCTION("""COMPUTED_VALUE"""),"설탕")</f>
        <v>설탕</v>
      </c>
    </row>
    <row r="10460">
      <c r="A10460" s="2" t="str">
        <f>IFERROR(__xludf.DUMMYFUNCTION("""COMPUTED_VALUE"""),"안심하고 튀겼새우")</f>
        <v>안심하고 튀겼새우</v>
      </c>
      <c r="B10460" s="2" t="str">
        <f>IFERROR(__xludf.DUMMYFUNCTION("""COMPUTED_VALUE"""),"식초")</f>
        <v>식초</v>
      </c>
    </row>
    <row r="10461">
      <c r="A10461" s="2" t="str">
        <f>IFERROR(__xludf.DUMMYFUNCTION("""COMPUTED_VALUE"""),"안심하고 튀겼새우")</f>
        <v>안심하고 튀겼새우</v>
      </c>
      <c r="B10461" s="2" t="str">
        <f>IFERROR(__xludf.DUMMYFUNCTION("""COMPUTED_VALUE"""),"케첩")</f>
        <v>케첩</v>
      </c>
    </row>
    <row r="10462">
      <c r="A10462" s="2" t="str">
        <f>IFERROR(__xludf.DUMMYFUNCTION("""COMPUTED_VALUE"""),"안심하고 튀겼새우")</f>
        <v>안심하고 튀겼새우</v>
      </c>
      <c r="B10462" s="2" t="str">
        <f>IFERROR(__xludf.DUMMYFUNCTION("""COMPUTED_VALUE"""),"마요네즈")</f>
        <v>마요네즈</v>
      </c>
    </row>
    <row r="10463">
      <c r="A10463" s="2" t="str">
        <f>IFERROR(__xludf.DUMMYFUNCTION("""COMPUTED_VALUE"""),"안심하고 튀겼새우")</f>
        <v>안심하고 튀겼새우</v>
      </c>
      <c r="B10463" s="2" t="str">
        <f>IFERROR(__xludf.DUMMYFUNCTION("""COMPUTED_VALUE"""),"밀가루")</f>
        <v>밀가루</v>
      </c>
    </row>
    <row r="10464">
      <c r="A10464" s="2" t="str">
        <f>IFERROR(__xludf.DUMMYFUNCTION("""COMPUTED_VALUE"""),"안심하고 튀겼새우")</f>
        <v>안심하고 튀겼새우</v>
      </c>
      <c r="B10464" s="2" t="str">
        <f>IFERROR(__xludf.DUMMYFUNCTION("""COMPUTED_VALUE"""),"튀김가루")</f>
        <v>튀김가루</v>
      </c>
    </row>
    <row r="10465">
      <c r="A10465" s="2" t="str">
        <f>IFERROR(__xludf.DUMMYFUNCTION("""COMPUTED_VALUE"""),"안심하고 튀겼새우")</f>
        <v>안심하고 튀겼새우</v>
      </c>
      <c r="B10465" s="2" t="str">
        <f>IFERROR(__xludf.DUMMYFUNCTION("""COMPUTED_VALUE"""),"달걀")</f>
        <v>달걀</v>
      </c>
    </row>
    <row r="10466">
      <c r="A10466" s="2" t="str">
        <f>IFERROR(__xludf.DUMMYFUNCTION("""COMPUTED_VALUE"""),"안심하고 튀겼새우")</f>
        <v>안심하고 튀겼새우</v>
      </c>
      <c r="B10466" s="2" t="str">
        <f>IFERROR(__xludf.DUMMYFUNCTION("""COMPUTED_VALUE"""),"청양고추")</f>
        <v>청양고추</v>
      </c>
    </row>
    <row r="10467">
      <c r="A10467" s="2" t="str">
        <f>IFERROR(__xludf.DUMMYFUNCTION("""COMPUTED_VALUE"""),"두고보샤")</f>
        <v>두고보샤</v>
      </c>
      <c r="B10467" s="2" t="str">
        <f>IFERROR(__xludf.DUMMYFUNCTION("""COMPUTED_VALUE"""),"조미료")</f>
        <v>조미료</v>
      </c>
    </row>
    <row r="10468">
      <c r="A10468" s="2" t="str">
        <f>IFERROR(__xludf.DUMMYFUNCTION("""COMPUTED_VALUE"""),"두고보샤")</f>
        <v>두고보샤</v>
      </c>
      <c r="B10468" s="2" t="str">
        <f>IFERROR(__xludf.DUMMYFUNCTION("""COMPUTED_VALUE"""),"두부")</f>
        <v>두부</v>
      </c>
    </row>
    <row r="10469">
      <c r="A10469" s="2" t="str">
        <f>IFERROR(__xludf.DUMMYFUNCTION("""COMPUTED_VALUE"""),"두고보샤")</f>
        <v>두고보샤</v>
      </c>
      <c r="B10469" s="2" t="str">
        <f>IFERROR(__xludf.DUMMYFUNCTION("""COMPUTED_VALUE"""),"차돌박이")</f>
        <v>차돌박이</v>
      </c>
    </row>
    <row r="10470">
      <c r="A10470" s="2" t="str">
        <f>IFERROR(__xludf.DUMMYFUNCTION("""COMPUTED_VALUE"""),"두고보샤")</f>
        <v>두고보샤</v>
      </c>
      <c r="B10470" s="2" t="str">
        <f>IFERROR(__xludf.DUMMYFUNCTION("""COMPUTED_VALUE"""),"손질새우")</f>
        <v>손질새우</v>
      </c>
    </row>
    <row r="10471">
      <c r="A10471" s="2" t="str">
        <f>IFERROR(__xludf.DUMMYFUNCTION("""COMPUTED_VALUE"""),"두고보샤")</f>
        <v>두고보샤</v>
      </c>
      <c r="B10471" s="2" t="str">
        <f>IFERROR(__xludf.DUMMYFUNCTION("""COMPUTED_VALUE"""),"표고버섯")</f>
        <v>표고버섯</v>
      </c>
    </row>
    <row r="10472">
      <c r="A10472" s="2" t="str">
        <f>IFERROR(__xludf.DUMMYFUNCTION("""COMPUTED_VALUE"""),"두고보샤")</f>
        <v>두고보샤</v>
      </c>
      <c r="B10472" s="2" t="str">
        <f>IFERROR(__xludf.DUMMYFUNCTION("""COMPUTED_VALUE"""),"콩나물")</f>
        <v>콩나물</v>
      </c>
    </row>
    <row r="10473">
      <c r="A10473" s="2" t="str">
        <f>IFERROR(__xludf.DUMMYFUNCTION("""COMPUTED_VALUE"""),"두고보샤")</f>
        <v>두고보샤</v>
      </c>
      <c r="B10473" s="2" t="str">
        <f>IFERROR(__xludf.DUMMYFUNCTION("""COMPUTED_VALUE"""),"쪽파")</f>
        <v>쪽파</v>
      </c>
    </row>
    <row r="10474">
      <c r="A10474" s="2" t="str">
        <f>IFERROR(__xludf.DUMMYFUNCTION("""COMPUTED_VALUE"""),"두고보샤")</f>
        <v>두고보샤</v>
      </c>
      <c r="B10474" s="2" t="str">
        <f>IFERROR(__xludf.DUMMYFUNCTION("""COMPUTED_VALUE"""),"오이")</f>
        <v>오이</v>
      </c>
    </row>
    <row r="10475">
      <c r="A10475" s="2" t="str">
        <f>IFERROR(__xludf.DUMMYFUNCTION("""COMPUTED_VALUE"""),"두고보샤")</f>
        <v>두고보샤</v>
      </c>
      <c r="B10475" s="2" t="str">
        <f>IFERROR(__xludf.DUMMYFUNCTION("""COMPUTED_VALUE"""),"달걀")</f>
        <v>달걀</v>
      </c>
    </row>
    <row r="10476">
      <c r="A10476" s="2" t="str">
        <f>IFERROR(__xludf.DUMMYFUNCTION("""COMPUTED_VALUE"""),"두고보샤")</f>
        <v>두고보샤</v>
      </c>
      <c r="B10476" s="2" t="str">
        <f>IFERROR(__xludf.DUMMYFUNCTION("""COMPUTED_VALUE"""),"대파")</f>
        <v>대파</v>
      </c>
    </row>
    <row r="10477">
      <c r="A10477" s="2" t="str">
        <f>IFERROR(__xludf.DUMMYFUNCTION("""COMPUTED_VALUE"""),"두고보샤")</f>
        <v>두고보샤</v>
      </c>
      <c r="B10477" s="2" t="str">
        <f>IFERROR(__xludf.DUMMYFUNCTION("""COMPUTED_VALUE"""),"통마늘")</f>
        <v>통마늘</v>
      </c>
    </row>
    <row r="10478">
      <c r="A10478" s="2" t="str">
        <f>IFERROR(__xludf.DUMMYFUNCTION("""COMPUTED_VALUE"""),"두고보샤")</f>
        <v>두고보샤</v>
      </c>
      <c r="B10478" s="2" t="str">
        <f>IFERROR(__xludf.DUMMYFUNCTION("""COMPUTED_VALUE"""),"고춧가루")</f>
        <v>고춧가루</v>
      </c>
    </row>
    <row r="10479">
      <c r="A10479" s="2" t="str">
        <f>IFERROR(__xludf.DUMMYFUNCTION("""COMPUTED_VALUE"""),"두고보샤")</f>
        <v>두고보샤</v>
      </c>
      <c r="B10479" s="2" t="str">
        <f>IFERROR(__xludf.DUMMYFUNCTION("""COMPUTED_VALUE"""),"전분")</f>
        <v>전분</v>
      </c>
    </row>
    <row r="10480">
      <c r="A10480" s="2" t="str">
        <f>IFERROR(__xludf.DUMMYFUNCTION("""COMPUTED_VALUE"""),"두고보샤")</f>
        <v>두고보샤</v>
      </c>
      <c r="B10480" s="2" t="str">
        <f>IFERROR(__xludf.DUMMYFUNCTION("""COMPUTED_VALUE"""),"소금")</f>
        <v>소금</v>
      </c>
    </row>
    <row r="10481">
      <c r="A10481" s="2" t="str">
        <f>IFERROR(__xludf.DUMMYFUNCTION("""COMPUTED_VALUE"""),"두고보샤")</f>
        <v>두고보샤</v>
      </c>
      <c r="B10481" s="2" t="str">
        <f>IFERROR(__xludf.DUMMYFUNCTION("""COMPUTED_VALUE"""),"후추")</f>
        <v>후추</v>
      </c>
    </row>
    <row r="10482">
      <c r="A10482" s="2" t="str">
        <f>IFERROR(__xludf.DUMMYFUNCTION("""COMPUTED_VALUE"""),"두고보샤")</f>
        <v>두고보샤</v>
      </c>
      <c r="B10482" s="2" t="str">
        <f>IFERROR(__xludf.DUMMYFUNCTION("""COMPUTED_VALUE"""),"간장")</f>
        <v>간장</v>
      </c>
    </row>
    <row r="10483">
      <c r="A10483" s="2" t="str">
        <f>IFERROR(__xludf.DUMMYFUNCTION("""COMPUTED_VALUE"""),"두고보샤")</f>
        <v>두고보샤</v>
      </c>
      <c r="B10483" s="2" t="str">
        <f>IFERROR(__xludf.DUMMYFUNCTION("""COMPUTED_VALUE"""),"식초")</f>
        <v>식초</v>
      </c>
    </row>
    <row r="10484">
      <c r="A10484" s="2" t="str">
        <f>IFERROR(__xludf.DUMMYFUNCTION("""COMPUTED_VALUE"""),"두고보샤")</f>
        <v>두고보샤</v>
      </c>
      <c r="B10484" s="2" t="str">
        <f>IFERROR(__xludf.DUMMYFUNCTION("""COMPUTED_VALUE"""),"설탕")</f>
        <v>설탕</v>
      </c>
    </row>
    <row r="10485">
      <c r="A10485" s="2" t="str">
        <f>IFERROR(__xludf.DUMMYFUNCTION("""COMPUTED_VALUE"""),"두고보샤")</f>
        <v>두고보샤</v>
      </c>
      <c r="B10485" s="2" t="str">
        <f>IFERROR(__xludf.DUMMYFUNCTION("""COMPUTED_VALUE"""),"다진 마늘")</f>
        <v>다진 마늘</v>
      </c>
    </row>
    <row r="10486">
      <c r="A10486" s="2" t="str">
        <f>IFERROR(__xludf.DUMMYFUNCTION("""COMPUTED_VALUE"""),"파스타가 캐비아")</f>
        <v>파스타가 캐비아</v>
      </c>
      <c r="B10486" s="2" t="str">
        <f>IFERROR(__xludf.DUMMYFUNCTION("""COMPUTED_VALUE"""),"옥돔")</f>
        <v>옥돔</v>
      </c>
    </row>
    <row r="10487">
      <c r="A10487" s="2" t="str">
        <f>IFERROR(__xludf.DUMMYFUNCTION("""COMPUTED_VALUE"""),"파스타가 캐비아")</f>
        <v>파스타가 캐비아</v>
      </c>
      <c r="B10487" s="2" t="str">
        <f>IFERROR(__xludf.DUMMYFUNCTION("""COMPUTED_VALUE"""),"애호박")</f>
        <v>애호박</v>
      </c>
    </row>
    <row r="10488">
      <c r="A10488" s="2" t="str">
        <f>IFERROR(__xludf.DUMMYFUNCTION("""COMPUTED_VALUE"""),"파스타가 캐비아")</f>
        <v>파스타가 캐비아</v>
      </c>
      <c r="B10488" s="2" t="str">
        <f>IFERROR(__xludf.DUMMYFUNCTION("""COMPUTED_VALUE"""),"감자")</f>
        <v>감자</v>
      </c>
    </row>
    <row r="10489">
      <c r="A10489" s="2" t="str">
        <f>IFERROR(__xludf.DUMMYFUNCTION("""COMPUTED_VALUE"""),"파스타가 캐비아")</f>
        <v>파스타가 캐비아</v>
      </c>
      <c r="B10489" s="2" t="str">
        <f>IFERROR(__xludf.DUMMYFUNCTION("""COMPUTED_VALUE"""),"수제양파와인")</f>
        <v>수제양파와인</v>
      </c>
    </row>
    <row r="10490">
      <c r="A10490" s="2" t="str">
        <f>IFERROR(__xludf.DUMMYFUNCTION("""COMPUTED_VALUE"""),"파스타가 캐비아")</f>
        <v>파스타가 캐비아</v>
      </c>
      <c r="B10490" s="2" t="str">
        <f>IFERROR(__xludf.DUMMYFUNCTION("""COMPUTED_VALUE"""),"베이컨")</f>
        <v>베이컨</v>
      </c>
    </row>
    <row r="10491">
      <c r="A10491" s="2" t="str">
        <f>IFERROR(__xludf.DUMMYFUNCTION("""COMPUTED_VALUE"""),"파스타가 캐비아")</f>
        <v>파스타가 캐비아</v>
      </c>
      <c r="B10491" s="2" t="str">
        <f>IFERROR(__xludf.DUMMYFUNCTION("""COMPUTED_VALUE"""),"트러플페스토")</f>
        <v>트러플페스토</v>
      </c>
    </row>
    <row r="10492">
      <c r="A10492" s="2" t="str">
        <f>IFERROR(__xludf.DUMMYFUNCTION("""COMPUTED_VALUE"""),"파스타가 캐비아")</f>
        <v>파스타가 캐비아</v>
      </c>
      <c r="B10492" s="2" t="str">
        <f>IFERROR(__xludf.DUMMYFUNCTION("""COMPUTED_VALUE"""),"디포리")</f>
        <v>디포리</v>
      </c>
    </row>
    <row r="10493">
      <c r="A10493" s="2" t="str">
        <f>IFERROR(__xludf.DUMMYFUNCTION("""COMPUTED_VALUE"""),"파스타가 캐비아")</f>
        <v>파스타가 캐비아</v>
      </c>
      <c r="B10493" s="2" t="str">
        <f>IFERROR(__xludf.DUMMYFUNCTION("""COMPUTED_VALUE"""),"가츠오부시")</f>
        <v>가츠오부시</v>
      </c>
    </row>
    <row r="10494">
      <c r="A10494" s="2" t="str">
        <f>IFERROR(__xludf.DUMMYFUNCTION("""COMPUTED_VALUE"""),"파스타가 캐비아")</f>
        <v>파스타가 캐비아</v>
      </c>
      <c r="B10494" s="2" t="str">
        <f>IFERROR(__xludf.DUMMYFUNCTION("""COMPUTED_VALUE"""),"고다치즈")</f>
        <v>고다치즈</v>
      </c>
    </row>
    <row r="10495">
      <c r="A10495" s="2" t="str">
        <f>IFERROR(__xludf.DUMMYFUNCTION("""COMPUTED_VALUE"""),"파스타가 캐비아")</f>
        <v>파스타가 캐비아</v>
      </c>
      <c r="B10495" s="2" t="str">
        <f>IFERROR(__xludf.DUMMYFUNCTION("""COMPUTED_VALUE"""),"사발라면")</f>
        <v>사발라면</v>
      </c>
    </row>
    <row r="10496">
      <c r="A10496" s="2" t="str">
        <f>IFERROR(__xludf.DUMMYFUNCTION("""COMPUTED_VALUE"""),"파스타가 캐비아")</f>
        <v>파스타가 캐비아</v>
      </c>
      <c r="B10496" s="2" t="str">
        <f>IFERROR(__xludf.DUMMYFUNCTION("""COMPUTED_VALUE"""),"생크림")</f>
        <v>생크림</v>
      </c>
    </row>
    <row r="10497">
      <c r="A10497" s="2" t="str">
        <f>IFERROR(__xludf.DUMMYFUNCTION("""COMPUTED_VALUE"""),"파스타가 캐비아")</f>
        <v>파스타가 캐비아</v>
      </c>
      <c r="B10497" s="2" t="str">
        <f>IFERROR(__xludf.DUMMYFUNCTION("""COMPUTED_VALUE"""),"캐비아")</f>
        <v>캐비아</v>
      </c>
    </row>
    <row r="10498">
      <c r="A10498" s="2" t="str">
        <f>IFERROR(__xludf.DUMMYFUNCTION("""COMPUTED_VALUE"""),"파스타가 캐비아")</f>
        <v>파스타가 캐비아</v>
      </c>
      <c r="B10498" s="2" t="str">
        <f>IFERROR(__xludf.DUMMYFUNCTION("""COMPUTED_VALUE"""),"양파")</f>
        <v>양파</v>
      </c>
    </row>
    <row r="10499">
      <c r="A10499" s="2" t="str">
        <f>IFERROR(__xludf.DUMMYFUNCTION("""COMPUTED_VALUE"""),"파스타가 캐비아")</f>
        <v>파스타가 캐비아</v>
      </c>
      <c r="B10499" s="2" t="str">
        <f>IFERROR(__xludf.DUMMYFUNCTION("""COMPUTED_VALUE"""),"소금")</f>
        <v>소금</v>
      </c>
    </row>
    <row r="10500">
      <c r="A10500" s="2" t="str">
        <f>IFERROR(__xludf.DUMMYFUNCTION("""COMPUTED_VALUE"""),"파스타가 캐비아")</f>
        <v>파스타가 캐비아</v>
      </c>
      <c r="B10500" s="2" t="str">
        <f>IFERROR(__xludf.DUMMYFUNCTION("""COMPUTED_VALUE"""),"후추")</f>
        <v>후추</v>
      </c>
    </row>
    <row r="10501">
      <c r="A10501" s="2" t="str">
        <f>IFERROR(__xludf.DUMMYFUNCTION("""COMPUTED_VALUE"""),"돈 코스")</f>
        <v>돈 코스</v>
      </c>
      <c r="B10501" s="2" t="str">
        <f>IFERROR(__xludf.DUMMYFUNCTION("""COMPUTED_VALUE"""),"호두")</f>
        <v>호두</v>
      </c>
    </row>
    <row r="10502">
      <c r="A10502" s="2" t="str">
        <f>IFERROR(__xludf.DUMMYFUNCTION("""COMPUTED_VALUE"""),"돈 코스")</f>
        <v>돈 코스</v>
      </c>
      <c r="B10502" s="2" t="str">
        <f>IFERROR(__xludf.DUMMYFUNCTION("""COMPUTED_VALUE"""),"아몬드")</f>
        <v>아몬드</v>
      </c>
    </row>
    <row r="10503">
      <c r="A10503" s="2" t="str">
        <f>IFERROR(__xludf.DUMMYFUNCTION("""COMPUTED_VALUE"""),"돈 코스")</f>
        <v>돈 코스</v>
      </c>
      <c r="B10503" s="2" t="str">
        <f>IFERROR(__xludf.DUMMYFUNCTION("""COMPUTED_VALUE"""),"잣")</f>
        <v>잣</v>
      </c>
    </row>
    <row r="10504">
      <c r="A10504" s="2" t="str">
        <f>IFERROR(__xludf.DUMMYFUNCTION("""COMPUTED_VALUE"""),"돈 코스")</f>
        <v>돈 코스</v>
      </c>
      <c r="B10504" s="2" t="str">
        <f>IFERROR(__xludf.DUMMYFUNCTION("""COMPUTED_VALUE"""),"푸아그라")</f>
        <v>푸아그라</v>
      </c>
    </row>
    <row r="10505">
      <c r="A10505" s="2" t="str">
        <f>IFERROR(__xludf.DUMMYFUNCTION("""COMPUTED_VALUE"""),"돈 코스")</f>
        <v>돈 코스</v>
      </c>
      <c r="B10505" s="2" t="str">
        <f>IFERROR(__xludf.DUMMYFUNCTION("""COMPUTED_VALUE"""),"생크림")</f>
        <v>생크림</v>
      </c>
    </row>
    <row r="10506">
      <c r="A10506" s="2" t="str">
        <f>IFERROR(__xludf.DUMMYFUNCTION("""COMPUTED_VALUE"""),"돈 코스")</f>
        <v>돈 코스</v>
      </c>
      <c r="B10506" s="2" t="str">
        <f>IFERROR(__xludf.DUMMYFUNCTION("""COMPUTED_VALUE"""),"발사믹식초")</f>
        <v>발사믹식초</v>
      </c>
    </row>
    <row r="10507">
      <c r="A10507" s="2" t="str">
        <f>IFERROR(__xludf.DUMMYFUNCTION("""COMPUTED_VALUE"""),"돈 코스")</f>
        <v>돈 코스</v>
      </c>
      <c r="B10507" s="2" t="str">
        <f>IFERROR(__xludf.DUMMYFUNCTION("""COMPUTED_VALUE"""),"파프리카")</f>
        <v>파프리카</v>
      </c>
    </row>
    <row r="10508">
      <c r="A10508" s="2" t="str">
        <f>IFERROR(__xludf.DUMMYFUNCTION("""COMPUTED_VALUE"""),"돈 코스")</f>
        <v>돈 코스</v>
      </c>
      <c r="B10508" s="2" t="str">
        <f>IFERROR(__xludf.DUMMYFUNCTION("""COMPUTED_VALUE"""),"애호박")</f>
        <v>애호박</v>
      </c>
    </row>
    <row r="10509">
      <c r="A10509" s="2" t="str">
        <f>IFERROR(__xludf.DUMMYFUNCTION("""COMPUTED_VALUE"""),"돈 코스")</f>
        <v>돈 코스</v>
      </c>
      <c r="B10509" s="2" t="str">
        <f>IFERROR(__xludf.DUMMYFUNCTION("""COMPUTED_VALUE"""),"송화버섯")</f>
        <v>송화버섯</v>
      </c>
    </row>
    <row r="10510">
      <c r="A10510" s="2" t="str">
        <f>IFERROR(__xludf.DUMMYFUNCTION("""COMPUTED_VALUE"""),"돈 코스")</f>
        <v>돈 코스</v>
      </c>
      <c r="B10510" s="2" t="str">
        <f>IFERROR(__xludf.DUMMYFUNCTION("""COMPUTED_VALUE"""),"이베리코 목살")</f>
        <v>이베리코 목살</v>
      </c>
    </row>
    <row r="10511">
      <c r="A10511" s="2" t="str">
        <f>IFERROR(__xludf.DUMMYFUNCTION("""COMPUTED_VALUE"""),"돈 코스")</f>
        <v>돈 코스</v>
      </c>
      <c r="B10511" s="2" t="str">
        <f>IFERROR(__xludf.DUMMYFUNCTION("""COMPUTED_VALUE"""),"굴소스")</f>
        <v>굴소스</v>
      </c>
    </row>
    <row r="10512">
      <c r="A10512" s="2" t="str">
        <f>IFERROR(__xludf.DUMMYFUNCTION("""COMPUTED_VALUE"""),"돈 코스")</f>
        <v>돈 코스</v>
      </c>
      <c r="B10512" s="2" t="str">
        <f>IFERROR(__xludf.DUMMYFUNCTION("""COMPUTED_VALUE"""),"아보카도")</f>
        <v>아보카도</v>
      </c>
    </row>
    <row r="10513">
      <c r="A10513" s="2" t="str">
        <f>IFERROR(__xludf.DUMMYFUNCTION("""COMPUTED_VALUE"""),"돈 코스")</f>
        <v>돈 코스</v>
      </c>
      <c r="B10513" s="2" t="str">
        <f>IFERROR(__xludf.DUMMYFUNCTION("""COMPUTED_VALUE"""),"생바질")</f>
        <v>생바질</v>
      </c>
    </row>
    <row r="10514">
      <c r="A10514" s="2" t="str">
        <f>IFERROR(__xludf.DUMMYFUNCTION("""COMPUTED_VALUE"""),"돈 코스")</f>
        <v>돈 코스</v>
      </c>
      <c r="B10514" s="2" t="str">
        <f>IFERROR(__xludf.DUMMYFUNCTION("""COMPUTED_VALUE"""),"관자")</f>
        <v>관자</v>
      </c>
    </row>
    <row r="10515">
      <c r="A10515" s="2" t="str">
        <f>IFERROR(__xludf.DUMMYFUNCTION("""COMPUTED_VALUE"""),"돈 코스")</f>
        <v>돈 코스</v>
      </c>
      <c r="B10515" s="2" t="str">
        <f>IFERROR(__xludf.DUMMYFUNCTION("""COMPUTED_VALUE"""),"캐비아")</f>
        <v>캐비아</v>
      </c>
    </row>
    <row r="10516">
      <c r="A10516" s="2" t="str">
        <f>IFERROR(__xludf.DUMMYFUNCTION("""COMPUTED_VALUE"""),"돈 코스")</f>
        <v>돈 코스</v>
      </c>
      <c r="B10516" s="2" t="str">
        <f>IFERROR(__xludf.DUMMYFUNCTION("""COMPUTED_VALUE"""),"설탕")</f>
        <v>설탕</v>
      </c>
    </row>
    <row r="10517">
      <c r="A10517" s="2" t="str">
        <f>IFERROR(__xludf.DUMMYFUNCTION("""COMPUTED_VALUE"""),"돈 코스")</f>
        <v>돈 코스</v>
      </c>
      <c r="B10517" s="2" t="str">
        <f>IFERROR(__xludf.DUMMYFUNCTION("""COMPUTED_VALUE"""),"양파")</f>
        <v>양파</v>
      </c>
    </row>
    <row r="10518">
      <c r="A10518" s="2" t="str">
        <f>IFERROR(__xludf.DUMMYFUNCTION("""COMPUTED_VALUE"""),"돈 코스")</f>
        <v>돈 코스</v>
      </c>
      <c r="B10518" s="2" t="str">
        <f>IFERROR(__xludf.DUMMYFUNCTION("""COMPUTED_VALUE"""),"대파")</f>
        <v>대파</v>
      </c>
    </row>
    <row r="10519">
      <c r="A10519" s="2" t="str">
        <f>IFERROR(__xludf.DUMMYFUNCTION("""COMPUTED_VALUE"""),"돈 코스")</f>
        <v>돈 코스</v>
      </c>
      <c r="B10519" s="2" t="str">
        <f>IFERROR(__xludf.DUMMYFUNCTION("""COMPUTED_VALUE"""),"마늘")</f>
        <v>마늘</v>
      </c>
    </row>
    <row r="10520">
      <c r="A10520" s="2" t="str">
        <f>IFERROR(__xludf.DUMMYFUNCTION("""COMPUTED_VALUE"""),"돈 코스")</f>
        <v>돈 코스</v>
      </c>
      <c r="B10520" s="2" t="str">
        <f>IFERROR(__xludf.DUMMYFUNCTION("""COMPUTED_VALUE"""),"올리브오일")</f>
        <v>올리브오일</v>
      </c>
    </row>
    <row r="10521">
      <c r="A10521" s="2" t="str">
        <f>IFERROR(__xludf.DUMMYFUNCTION("""COMPUTED_VALUE"""),"돈 코스")</f>
        <v>돈 코스</v>
      </c>
      <c r="B10521" s="2" t="str">
        <f>IFERROR(__xludf.DUMMYFUNCTION("""COMPUTED_VALUE"""),"소금")</f>
        <v>소금</v>
      </c>
    </row>
    <row r="10522">
      <c r="A10522" s="2" t="str">
        <f>IFERROR(__xludf.DUMMYFUNCTION("""COMPUTED_VALUE"""),"돈 코스")</f>
        <v>돈 코스</v>
      </c>
      <c r="B10522" s="2" t="str">
        <f>IFERROR(__xludf.DUMMYFUNCTION("""COMPUTED_VALUE"""),"후추")</f>
        <v>후추</v>
      </c>
    </row>
    <row r="10523">
      <c r="A10523" s="2" t="str">
        <f>IFERROR(__xludf.DUMMYFUNCTION("""COMPUTED_VALUE"""),"돈 코스")</f>
        <v>돈 코스</v>
      </c>
      <c r="B10523" s="2" t="str">
        <f>IFERROR(__xludf.DUMMYFUNCTION("""COMPUTED_VALUE"""),"식초")</f>
        <v>식초</v>
      </c>
    </row>
    <row r="10524">
      <c r="A10524" s="2" t="str">
        <f>IFERROR(__xludf.DUMMYFUNCTION("""COMPUTED_VALUE"""),"돈 코스")</f>
        <v>돈 코스</v>
      </c>
      <c r="B10524" s="2" t="str">
        <f>IFERROR(__xludf.DUMMYFUNCTION("""COMPUTED_VALUE"""),"레몬")</f>
        <v>레몬</v>
      </c>
    </row>
    <row r="10525">
      <c r="A10525" s="2" t="str">
        <f>IFERROR(__xludf.DUMMYFUNCTION("""COMPUTED_VALUE"""),"돈 코스")</f>
        <v>돈 코스</v>
      </c>
      <c r="B10525" s="2" t="str">
        <f>IFERROR(__xludf.DUMMYFUNCTION("""COMPUTED_VALUE"""),"버터")</f>
        <v>버터</v>
      </c>
    </row>
    <row r="10526">
      <c r="A10526" s="2" t="str">
        <f>IFERROR(__xludf.DUMMYFUNCTION("""COMPUTED_VALUE"""),"타조가 조타")</f>
        <v>타조가 조타</v>
      </c>
      <c r="B10526" s="2" t="str">
        <f>IFERROR(__xludf.DUMMYFUNCTION("""COMPUTED_VALUE"""),"송화버섯")</f>
        <v>송화버섯</v>
      </c>
    </row>
    <row r="10527">
      <c r="A10527" s="2" t="str">
        <f>IFERROR(__xludf.DUMMYFUNCTION("""COMPUTED_VALUE"""),"타조가 조타")</f>
        <v>타조가 조타</v>
      </c>
      <c r="B10527" s="2" t="str">
        <f>IFERROR(__xludf.DUMMYFUNCTION("""COMPUTED_VALUE"""),"만가닥버섯")</f>
        <v>만가닥버섯</v>
      </c>
    </row>
    <row r="10528">
      <c r="A10528" s="2" t="str">
        <f>IFERROR(__xludf.DUMMYFUNCTION("""COMPUTED_VALUE"""),"타조가 조타")</f>
        <v>타조가 조타</v>
      </c>
      <c r="B10528" s="2" t="str">
        <f>IFERROR(__xludf.DUMMYFUNCTION("""COMPUTED_VALUE"""),"베이컨")</f>
        <v>베이컨</v>
      </c>
    </row>
    <row r="10529">
      <c r="A10529" s="2" t="str">
        <f>IFERROR(__xludf.DUMMYFUNCTION("""COMPUTED_VALUE"""),"타조가 조타")</f>
        <v>타조가 조타</v>
      </c>
      <c r="B10529" s="2" t="str">
        <f>IFERROR(__xludf.DUMMYFUNCTION("""COMPUTED_VALUE"""),"파프리카 파우더")</f>
        <v>파프리카 파우더</v>
      </c>
    </row>
    <row r="10530">
      <c r="A10530" s="2" t="str">
        <f>IFERROR(__xludf.DUMMYFUNCTION("""COMPUTED_VALUE"""),"타조가 조타")</f>
        <v>타조가 조타</v>
      </c>
      <c r="B10530" s="2" t="str">
        <f>IFERROR(__xludf.DUMMYFUNCTION("""COMPUTED_VALUE"""),"타조고기")</f>
        <v>타조고기</v>
      </c>
    </row>
    <row r="10531">
      <c r="A10531" s="2" t="str">
        <f>IFERROR(__xludf.DUMMYFUNCTION("""COMPUTED_VALUE"""),"타조가 조타")</f>
        <v>타조가 조타</v>
      </c>
      <c r="B10531" s="2" t="str">
        <f>IFERROR(__xludf.DUMMYFUNCTION("""COMPUTED_VALUE"""),"생크림")</f>
        <v>생크림</v>
      </c>
    </row>
    <row r="10532">
      <c r="A10532" s="2" t="str">
        <f>IFERROR(__xludf.DUMMYFUNCTION("""COMPUTED_VALUE"""),"타조가 조타")</f>
        <v>타조가 조타</v>
      </c>
      <c r="B10532" s="2" t="str">
        <f>IFERROR(__xludf.DUMMYFUNCTION("""COMPUTED_VALUE"""),"쪽파")</f>
        <v>쪽파</v>
      </c>
    </row>
    <row r="10533">
      <c r="A10533" s="2" t="str">
        <f>IFERROR(__xludf.DUMMYFUNCTION("""COMPUTED_VALUE"""),"타조가 조타")</f>
        <v>타조가 조타</v>
      </c>
      <c r="B10533" s="2" t="str">
        <f>IFERROR(__xludf.DUMMYFUNCTION("""COMPUTED_VALUE"""),"고다치즈")</f>
        <v>고다치즈</v>
      </c>
    </row>
    <row r="10534">
      <c r="A10534" s="2" t="str">
        <f>IFERROR(__xludf.DUMMYFUNCTION("""COMPUTED_VALUE"""),"타조가 조타")</f>
        <v>타조가 조타</v>
      </c>
      <c r="B10534" s="2" t="str">
        <f>IFERROR(__xludf.DUMMYFUNCTION("""COMPUTED_VALUE"""),"사워크림")</f>
        <v>사워크림</v>
      </c>
    </row>
    <row r="10535">
      <c r="A10535" s="2" t="str">
        <f>IFERROR(__xludf.DUMMYFUNCTION("""COMPUTED_VALUE"""),"타조가 조타")</f>
        <v>타조가 조타</v>
      </c>
      <c r="B10535" s="2" t="str">
        <f>IFERROR(__xludf.DUMMYFUNCTION("""COMPUTED_VALUE"""),"양파")</f>
        <v>양파</v>
      </c>
    </row>
    <row r="10536">
      <c r="A10536" s="2" t="str">
        <f>IFERROR(__xludf.DUMMYFUNCTION("""COMPUTED_VALUE"""),"타조가 조타")</f>
        <v>타조가 조타</v>
      </c>
      <c r="B10536" s="2" t="str">
        <f>IFERROR(__xludf.DUMMYFUNCTION("""COMPUTED_VALUE"""),"소금")</f>
        <v>소금</v>
      </c>
    </row>
    <row r="10537">
      <c r="A10537" s="2" t="str">
        <f>IFERROR(__xludf.DUMMYFUNCTION("""COMPUTED_VALUE"""),"타조가 조타")</f>
        <v>타조가 조타</v>
      </c>
      <c r="B10537" s="2" t="str">
        <f>IFERROR(__xludf.DUMMYFUNCTION("""COMPUTED_VALUE"""),"후추")</f>
        <v>후추</v>
      </c>
    </row>
    <row r="10538">
      <c r="A10538" s="2" t="str">
        <f>IFERROR(__xludf.DUMMYFUNCTION("""COMPUTED_VALUE"""),"타조가 조타")</f>
        <v>타조가 조타</v>
      </c>
      <c r="B10538" s="2" t="str">
        <f>IFERROR(__xludf.DUMMYFUNCTION("""COMPUTED_VALUE"""),"대파")</f>
        <v>대파</v>
      </c>
    </row>
    <row r="10539">
      <c r="A10539" s="2" t="str">
        <f>IFERROR(__xludf.DUMMYFUNCTION("""COMPUTED_VALUE"""),"타조가 조타")</f>
        <v>타조가 조타</v>
      </c>
      <c r="B10539" s="2" t="str">
        <f>IFERROR(__xludf.DUMMYFUNCTION("""COMPUTED_VALUE"""),"밀가루")</f>
        <v>밀가루</v>
      </c>
    </row>
    <row r="10540">
      <c r="A10540" s="2" t="str">
        <f>IFERROR(__xludf.DUMMYFUNCTION("""COMPUTED_VALUE"""),"타조가 조타")</f>
        <v>타조가 조타</v>
      </c>
      <c r="B10540" s="2" t="str">
        <f>IFERROR(__xludf.DUMMYFUNCTION("""COMPUTED_VALUE"""),"버터")</f>
        <v>버터</v>
      </c>
    </row>
    <row r="10541">
      <c r="A10541" s="2" t="str">
        <f>IFERROR(__xludf.DUMMYFUNCTION("""COMPUTED_VALUE"""),"타조가 조타")</f>
        <v>타조가 조타</v>
      </c>
      <c r="B10541" s="2" t="str">
        <f>IFERROR(__xludf.DUMMYFUNCTION("""COMPUTED_VALUE"""),"간장")</f>
        <v>간장</v>
      </c>
    </row>
    <row r="10542">
      <c r="A10542" s="2" t="str">
        <f>IFERROR(__xludf.DUMMYFUNCTION("""COMPUTED_VALUE"""),"타조가 조타")</f>
        <v>타조가 조타</v>
      </c>
      <c r="B10542" s="2" t="str">
        <f>IFERROR(__xludf.DUMMYFUNCTION("""COMPUTED_VALUE"""),"달걀")</f>
        <v>달걀</v>
      </c>
    </row>
    <row r="10543">
      <c r="A10543" s="2" t="str">
        <f>IFERROR(__xludf.DUMMYFUNCTION("""COMPUTED_VALUE"""),"타조가 조타")</f>
        <v>타조가 조타</v>
      </c>
      <c r="B10543" s="2" t="str">
        <f>IFERROR(__xludf.DUMMYFUNCTION("""COMPUTED_VALUE"""),"레몬")</f>
        <v>레몬</v>
      </c>
    </row>
    <row r="10544">
      <c r="A10544" s="2" t="str">
        <f>IFERROR(__xludf.DUMMYFUNCTION("""COMPUTED_VALUE"""),"돈스테이크")</f>
        <v>돈스테이크</v>
      </c>
      <c r="B10544" s="2" t="str">
        <f>IFERROR(__xludf.DUMMYFUNCTION("""COMPUTED_VALUE"""),"두유")</f>
        <v>두유</v>
      </c>
    </row>
    <row r="10545">
      <c r="A10545" s="2" t="str">
        <f>IFERROR(__xludf.DUMMYFUNCTION("""COMPUTED_VALUE"""),"돈스테이크")</f>
        <v>돈스테이크</v>
      </c>
      <c r="B10545" s="2" t="str">
        <f>IFERROR(__xludf.DUMMYFUNCTION("""COMPUTED_VALUE"""),"감자")</f>
        <v>감자</v>
      </c>
    </row>
    <row r="10546">
      <c r="A10546" s="2" t="str">
        <f>IFERROR(__xludf.DUMMYFUNCTION("""COMPUTED_VALUE"""),"돈스테이크")</f>
        <v>돈스테이크</v>
      </c>
      <c r="B10546" s="2" t="str">
        <f>IFERROR(__xludf.DUMMYFUNCTION("""COMPUTED_VALUE"""),"아스파라거스")</f>
        <v>아스파라거스</v>
      </c>
    </row>
    <row r="10547">
      <c r="A10547" s="2" t="str">
        <f>IFERROR(__xludf.DUMMYFUNCTION("""COMPUTED_VALUE"""),"돈스테이크")</f>
        <v>돈스테이크</v>
      </c>
      <c r="B10547" s="2" t="str">
        <f>IFERROR(__xludf.DUMMYFUNCTION("""COMPUTED_VALUE"""),"타조고기")</f>
        <v>타조고기</v>
      </c>
    </row>
    <row r="10548">
      <c r="A10548" s="2" t="str">
        <f>IFERROR(__xludf.DUMMYFUNCTION("""COMPUTED_VALUE"""),"돈스테이크")</f>
        <v>돈스테이크</v>
      </c>
      <c r="B10548" s="2" t="str">
        <f>IFERROR(__xludf.DUMMYFUNCTION("""COMPUTED_VALUE"""),"바질")</f>
        <v>바질</v>
      </c>
    </row>
    <row r="10549">
      <c r="A10549" s="2" t="str">
        <f>IFERROR(__xludf.DUMMYFUNCTION("""COMPUTED_VALUE"""),"돈스테이크")</f>
        <v>돈스테이크</v>
      </c>
      <c r="B10549" s="2" t="str">
        <f>IFERROR(__xludf.DUMMYFUNCTION("""COMPUTED_VALUE"""),"로즈메리")</f>
        <v>로즈메리</v>
      </c>
    </row>
    <row r="10550">
      <c r="A10550" s="2" t="str">
        <f>IFERROR(__xludf.DUMMYFUNCTION("""COMPUTED_VALUE"""),"돈스테이크")</f>
        <v>돈스테이크</v>
      </c>
      <c r="B10550" s="2" t="str">
        <f>IFERROR(__xludf.DUMMYFUNCTION("""COMPUTED_VALUE"""),"베이컨")</f>
        <v>베이컨</v>
      </c>
    </row>
    <row r="10551">
      <c r="A10551" s="2" t="str">
        <f>IFERROR(__xludf.DUMMYFUNCTION("""COMPUTED_VALUE"""),"돈스테이크")</f>
        <v>돈스테이크</v>
      </c>
      <c r="B10551" s="2" t="str">
        <f>IFERROR(__xludf.DUMMYFUNCTION("""COMPUTED_VALUE"""),"파프리카 파우더")</f>
        <v>파프리카 파우더</v>
      </c>
    </row>
    <row r="10552">
      <c r="A10552" s="2" t="str">
        <f>IFERROR(__xludf.DUMMYFUNCTION("""COMPUTED_VALUE"""),"돈스테이크")</f>
        <v>돈스테이크</v>
      </c>
      <c r="B10552" s="2" t="str">
        <f>IFERROR(__xludf.DUMMYFUNCTION("""COMPUTED_VALUE"""),"토마토소스")</f>
        <v>토마토소스</v>
      </c>
    </row>
    <row r="10553">
      <c r="A10553" s="2" t="str">
        <f>IFERROR(__xludf.DUMMYFUNCTION("""COMPUTED_VALUE"""),"돈스테이크")</f>
        <v>돈스테이크</v>
      </c>
      <c r="B10553" s="2" t="str">
        <f>IFERROR(__xludf.DUMMYFUNCTION("""COMPUTED_VALUE"""),"송화버섯")</f>
        <v>송화버섯</v>
      </c>
    </row>
    <row r="10554">
      <c r="A10554" s="2" t="str">
        <f>IFERROR(__xludf.DUMMYFUNCTION("""COMPUTED_VALUE"""),"돈스테이크")</f>
        <v>돈스테이크</v>
      </c>
      <c r="B10554" s="2" t="str">
        <f>IFERROR(__xludf.DUMMYFUNCTION("""COMPUTED_VALUE"""),"만가닥버섯")</f>
        <v>만가닥버섯</v>
      </c>
    </row>
    <row r="10555">
      <c r="A10555" s="2" t="str">
        <f>IFERROR(__xludf.DUMMYFUNCTION("""COMPUTED_VALUE"""),"돈스테이크")</f>
        <v>돈스테이크</v>
      </c>
      <c r="B10555" s="2" t="str">
        <f>IFERROR(__xludf.DUMMYFUNCTION("""COMPUTED_VALUE"""),"수제된장")</f>
        <v>수제된장</v>
      </c>
    </row>
    <row r="10556">
      <c r="A10556" s="2" t="str">
        <f>IFERROR(__xludf.DUMMYFUNCTION("""COMPUTED_VALUE"""),"돈스테이크")</f>
        <v>돈스테이크</v>
      </c>
      <c r="B10556" s="2" t="str">
        <f>IFERROR(__xludf.DUMMYFUNCTION("""COMPUTED_VALUE"""),"흑맥주")</f>
        <v>흑맥주</v>
      </c>
    </row>
    <row r="10557">
      <c r="A10557" s="2" t="str">
        <f>IFERROR(__xludf.DUMMYFUNCTION("""COMPUTED_VALUE"""),"돈스테이크")</f>
        <v>돈스테이크</v>
      </c>
      <c r="B10557" s="2" t="str">
        <f>IFERROR(__xludf.DUMMYFUNCTION("""COMPUTED_VALUE"""),"슬라이스 치즈")</f>
        <v>슬라이스 치즈</v>
      </c>
    </row>
    <row r="10558">
      <c r="A10558" s="2" t="str">
        <f>IFERROR(__xludf.DUMMYFUNCTION("""COMPUTED_VALUE"""),"돈스테이크")</f>
        <v>돈스테이크</v>
      </c>
      <c r="B10558" s="2" t="str">
        <f>IFERROR(__xludf.DUMMYFUNCTION("""COMPUTED_VALUE"""),"대파")</f>
        <v>대파</v>
      </c>
    </row>
    <row r="10559">
      <c r="A10559" s="2" t="str">
        <f>IFERROR(__xludf.DUMMYFUNCTION("""COMPUTED_VALUE"""),"돈스테이크")</f>
        <v>돈스테이크</v>
      </c>
      <c r="B10559" s="2" t="str">
        <f>IFERROR(__xludf.DUMMYFUNCTION("""COMPUTED_VALUE"""),"양파")</f>
        <v>양파</v>
      </c>
    </row>
    <row r="10560">
      <c r="A10560" s="2" t="str">
        <f>IFERROR(__xludf.DUMMYFUNCTION("""COMPUTED_VALUE"""),"돈스테이크")</f>
        <v>돈스테이크</v>
      </c>
      <c r="B10560" s="2" t="str">
        <f>IFERROR(__xludf.DUMMYFUNCTION("""COMPUTED_VALUE"""),"당근")</f>
        <v>당근</v>
      </c>
    </row>
    <row r="10561">
      <c r="A10561" s="2" t="str">
        <f>IFERROR(__xludf.DUMMYFUNCTION("""COMPUTED_VALUE"""),"돈스테이크")</f>
        <v>돈스테이크</v>
      </c>
      <c r="B10561" s="2" t="str">
        <f>IFERROR(__xludf.DUMMYFUNCTION("""COMPUTED_VALUE"""),"소금")</f>
        <v>소금</v>
      </c>
    </row>
    <row r="10562">
      <c r="A10562" s="2" t="str">
        <f>IFERROR(__xludf.DUMMYFUNCTION("""COMPUTED_VALUE"""),"돈스테이크")</f>
        <v>돈스테이크</v>
      </c>
      <c r="B10562" s="2" t="str">
        <f>IFERROR(__xludf.DUMMYFUNCTION("""COMPUTED_VALUE"""),"후추")</f>
        <v>후추</v>
      </c>
    </row>
    <row r="10563">
      <c r="A10563" s="2" t="str">
        <f>IFERROR(__xludf.DUMMYFUNCTION("""COMPUTED_VALUE"""),"돈스테이크")</f>
        <v>돈스테이크</v>
      </c>
      <c r="B10563" s="2" t="str">
        <f>IFERROR(__xludf.DUMMYFUNCTION("""COMPUTED_VALUE"""),"밀가루")</f>
        <v>밀가루</v>
      </c>
    </row>
    <row r="10564">
      <c r="A10564" s="2" t="str">
        <f>IFERROR(__xludf.DUMMYFUNCTION("""COMPUTED_VALUE"""),"돈스테이크")</f>
        <v>돈스테이크</v>
      </c>
      <c r="B10564" s="2" t="str">
        <f>IFERROR(__xludf.DUMMYFUNCTION("""COMPUTED_VALUE"""),"마늘")</f>
        <v>마늘</v>
      </c>
    </row>
    <row r="10565">
      <c r="A10565" s="2" t="str">
        <f>IFERROR(__xludf.DUMMYFUNCTION("""COMPUTED_VALUE"""),"돈스테이크")</f>
        <v>돈스테이크</v>
      </c>
      <c r="B10565" s="2" t="str">
        <f>IFERROR(__xludf.DUMMYFUNCTION("""COMPUTED_VALUE"""),"버터")</f>
        <v>버터</v>
      </c>
    </row>
    <row r="10566">
      <c r="A10566" s="2" t="str">
        <f>IFERROR(__xludf.DUMMYFUNCTION("""COMPUTED_VALUE"""),"비먹부먹")</f>
        <v>비먹부먹</v>
      </c>
      <c r="B10566" s="2" t="str">
        <f>IFERROR(__xludf.DUMMYFUNCTION("""COMPUTED_VALUE"""),"황태채")</f>
        <v>황태채</v>
      </c>
    </row>
    <row r="10567">
      <c r="A10567" s="2" t="str">
        <f>IFERROR(__xludf.DUMMYFUNCTION("""COMPUTED_VALUE"""),"비먹부먹")</f>
        <v>비먹부먹</v>
      </c>
      <c r="B10567" s="2" t="str">
        <f>IFERROR(__xludf.DUMMYFUNCTION("""COMPUTED_VALUE"""),"멸치액젓")</f>
        <v>멸치액젓</v>
      </c>
    </row>
    <row r="10568">
      <c r="A10568" s="2" t="str">
        <f>IFERROR(__xludf.DUMMYFUNCTION("""COMPUTED_VALUE"""),"비먹부먹")</f>
        <v>비먹부먹</v>
      </c>
      <c r="B10568" s="2" t="str">
        <f>IFERROR(__xludf.DUMMYFUNCTION("""COMPUTED_VALUE"""),"건새우")</f>
        <v>건새우</v>
      </c>
    </row>
    <row r="10569">
      <c r="A10569" s="2" t="str">
        <f>IFERROR(__xludf.DUMMYFUNCTION("""COMPUTED_VALUE"""),"비먹부먹")</f>
        <v>비먹부먹</v>
      </c>
      <c r="B10569" s="2" t="str">
        <f>IFERROR(__xludf.DUMMYFUNCTION("""COMPUTED_VALUE"""),"다시마")</f>
        <v>다시마</v>
      </c>
    </row>
    <row r="10570">
      <c r="A10570" s="2" t="str">
        <f>IFERROR(__xludf.DUMMYFUNCTION("""COMPUTED_VALUE"""),"비먹부먹")</f>
        <v>비먹부먹</v>
      </c>
      <c r="B10570" s="2" t="str">
        <f>IFERROR(__xludf.DUMMYFUNCTION("""COMPUTED_VALUE"""),"대패삼겹살")</f>
        <v>대패삼겹살</v>
      </c>
    </row>
    <row r="10571">
      <c r="A10571" s="2" t="str">
        <f>IFERROR(__xludf.DUMMYFUNCTION("""COMPUTED_VALUE"""),"비먹부먹")</f>
        <v>비먹부먹</v>
      </c>
      <c r="B10571" s="2" t="str">
        <f>IFERROR(__xludf.DUMMYFUNCTION("""COMPUTED_VALUE"""),"굴소스")</f>
        <v>굴소스</v>
      </c>
    </row>
    <row r="10572">
      <c r="A10572" s="2" t="str">
        <f>IFERROR(__xludf.DUMMYFUNCTION("""COMPUTED_VALUE"""),"비먹부먹")</f>
        <v>비먹부먹</v>
      </c>
      <c r="B10572" s="2" t="str">
        <f>IFERROR(__xludf.DUMMYFUNCTION("""COMPUTED_VALUE"""),"쯔유")</f>
        <v>쯔유</v>
      </c>
    </row>
    <row r="10573">
      <c r="A10573" s="2" t="str">
        <f>IFERROR(__xludf.DUMMYFUNCTION("""COMPUTED_VALUE"""),"비먹부먹")</f>
        <v>비먹부먹</v>
      </c>
      <c r="B10573" s="2" t="str">
        <f>IFERROR(__xludf.DUMMYFUNCTION("""COMPUTED_VALUE"""),"건표고버섯")</f>
        <v>건표고버섯</v>
      </c>
    </row>
    <row r="10574">
      <c r="A10574" s="2" t="str">
        <f>IFERROR(__xludf.DUMMYFUNCTION("""COMPUTED_VALUE"""),"비먹부먹")</f>
        <v>비먹부먹</v>
      </c>
      <c r="B10574" s="2" t="str">
        <f>IFERROR(__xludf.DUMMYFUNCTION("""COMPUTED_VALUE"""),"짬뽕면")</f>
        <v>짬뽕면</v>
      </c>
    </row>
    <row r="10575">
      <c r="A10575" s="2" t="str">
        <f>IFERROR(__xludf.DUMMYFUNCTION("""COMPUTED_VALUE"""),"비먹부먹")</f>
        <v>비먹부먹</v>
      </c>
      <c r="B10575" s="2" t="str">
        <f>IFERROR(__xludf.DUMMYFUNCTION("""COMPUTED_VALUE"""),"대파")</f>
        <v>대파</v>
      </c>
    </row>
    <row r="10576">
      <c r="A10576" s="2" t="str">
        <f>IFERROR(__xludf.DUMMYFUNCTION("""COMPUTED_VALUE"""),"비먹부먹")</f>
        <v>비먹부먹</v>
      </c>
      <c r="B10576" s="2" t="str">
        <f>IFERROR(__xludf.DUMMYFUNCTION("""COMPUTED_VALUE"""),"고춧가루")</f>
        <v>고춧가루</v>
      </c>
    </row>
    <row r="10577">
      <c r="A10577" s="2" t="str">
        <f>IFERROR(__xludf.DUMMYFUNCTION("""COMPUTED_VALUE"""),"비먹부먹")</f>
        <v>비먹부먹</v>
      </c>
      <c r="B10577" s="2" t="str">
        <f>IFERROR(__xludf.DUMMYFUNCTION("""COMPUTED_VALUE"""),"식용유")</f>
        <v>식용유</v>
      </c>
    </row>
    <row r="10578">
      <c r="A10578" s="2" t="str">
        <f>IFERROR(__xludf.DUMMYFUNCTION("""COMPUTED_VALUE"""),"비먹부먹")</f>
        <v>비먹부먹</v>
      </c>
      <c r="B10578" s="2" t="str">
        <f>IFERROR(__xludf.DUMMYFUNCTION("""COMPUTED_VALUE"""),"들기름")</f>
        <v>들기름</v>
      </c>
    </row>
    <row r="10579">
      <c r="A10579" s="2" t="str">
        <f>IFERROR(__xludf.DUMMYFUNCTION("""COMPUTED_VALUE"""),"비먹부먹")</f>
        <v>비먹부먹</v>
      </c>
      <c r="B10579" s="2" t="str">
        <f>IFERROR(__xludf.DUMMYFUNCTION("""COMPUTED_VALUE"""),"마늘")</f>
        <v>마늘</v>
      </c>
    </row>
    <row r="10580">
      <c r="A10580" s="2" t="str">
        <f>IFERROR(__xludf.DUMMYFUNCTION("""COMPUTED_VALUE"""),"비먹부먹")</f>
        <v>비먹부먹</v>
      </c>
      <c r="B10580" s="2" t="str">
        <f>IFERROR(__xludf.DUMMYFUNCTION("""COMPUTED_VALUE"""),"맛술")</f>
        <v>맛술</v>
      </c>
    </row>
    <row r="10581">
      <c r="A10581" s="2" t="str">
        <f>IFERROR(__xludf.DUMMYFUNCTION("""COMPUTED_VALUE"""),"비먹부먹")</f>
        <v>비먹부먹</v>
      </c>
      <c r="B10581" s="2" t="str">
        <f>IFERROR(__xludf.DUMMYFUNCTION("""COMPUTED_VALUE"""),"간장")</f>
        <v>간장</v>
      </c>
    </row>
    <row r="10582">
      <c r="A10582" s="2" t="str">
        <f>IFERROR(__xludf.DUMMYFUNCTION("""COMPUTED_VALUE"""),"비먹부먹")</f>
        <v>비먹부먹</v>
      </c>
      <c r="B10582" s="2" t="str">
        <f>IFERROR(__xludf.DUMMYFUNCTION("""COMPUTED_VALUE"""),"후추")</f>
        <v>후추</v>
      </c>
    </row>
    <row r="10583">
      <c r="A10583" s="2" t="str">
        <f>IFERROR(__xludf.DUMMYFUNCTION("""COMPUTED_VALUE"""),"비먹부먹")</f>
        <v>비먹부먹</v>
      </c>
      <c r="B10583" s="2" t="str">
        <f>IFERROR(__xludf.DUMMYFUNCTION("""COMPUTED_VALUE"""),"식초")</f>
        <v>식초</v>
      </c>
    </row>
    <row r="10584">
      <c r="A10584" s="2" t="str">
        <f>IFERROR(__xludf.DUMMYFUNCTION("""COMPUTED_VALUE"""),"비먹부먹")</f>
        <v>비먹부먹</v>
      </c>
      <c r="B10584" s="2" t="str">
        <f>IFERROR(__xludf.DUMMYFUNCTION("""COMPUTED_VALUE"""),"소금")</f>
        <v>소금</v>
      </c>
    </row>
    <row r="10585">
      <c r="A10585" s="2" t="str">
        <f>IFERROR(__xludf.DUMMYFUNCTION("""COMPUTED_VALUE"""),"비먹부먹")</f>
        <v>비먹부먹</v>
      </c>
      <c r="B10585" s="2" t="str">
        <f>IFERROR(__xludf.DUMMYFUNCTION("""COMPUTED_VALUE"""),"레몬")</f>
        <v>레몬</v>
      </c>
    </row>
    <row r="10586">
      <c r="A10586" s="2" t="str">
        <f>IFERROR(__xludf.DUMMYFUNCTION("""COMPUTED_VALUE"""),"팟타이가 맛있돔")</f>
        <v>팟타이가 맛있돔</v>
      </c>
      <c r="B10586" s="2" t="str">
        <f>IFERROR(__xludf.DUMMYFUNCTION("""COMPUTED_VALUE"""),"파스타면")</f>
        <v>파스타면</v>
      </c>
    </row>
    <row r="10587">
      <c r="A10587" s="2" t="str">
        <f>IFERROR(__xludf.DUMMYFUNCTION("""COMPUTED_VALUE"""),"팟타이가 맛있돔")</f>
        <v>팟타이가 맛있돔</v>
      </c>
      <c r="B10587" s="2" t="str">
        <f>IFERROR(__xludf.DUMMYFUNCTION("""COMPUTED_VALUE"""),"건새우")</f>
        <v>건새우</v>
      </c>
    </row>
    <row r="10588">
      <c r="A10588" s="2" t="str">
        <f>IFERROR(__xludf.DUMMYFUNCTION("""COMPUTED_VALUE"""),"팟타이가 맛있돔")</f>
        <v>팟타이가 맛있돔</v>
      </c>
      <c r="B10588" s="2" t="str">
        <f>IFERROR(__xludf.DUMMYFUNCTION("""COMPUTED_VALUE"""),"옥돔")</f>
        <v>옥돔</v>
      </c>
    </row>
    <row r="10589">
      <c r="A10589" s="2" t="str">
        <f>IFERROR(__xludf.DUMMYFUNCTION("""COMPUTED_VALUE"""),"팟타이가 맛있돔")</f>
        <v>팟타이가 맛있돔</v>
      </c>
      <c r="B10589" s="2" t="str">
        <f>IFERROR(__xludf.DUMMYFUNCTION("""COMPUTED_VALUE"""),"표고버섯")</f>
        <v>표고버섯</v>
      </c>
    </row>
    <row r="10590">
      <c r="A10590" s="2" t="str">
        <f>IFERROR(__xludf.DUMMYFUNCTION("""COMPUTED_VALUE"""),"팟타이가 맛있돔")</f>
        <v>팟타이가 맛있돔</v>
      </c>
      <c r="B10590" s="2" t="str">
        <f>IFERROR(__xludf.DUMMYFUNCTION("""COMPUTED_VALUE"""),"대패삼겹살")</f>
        <v>대패삼겹살</v>
      </c>
    </row>
    <row r="10591">
      <c r="A10591" s="2" t="str">
        <f>IFERROR(__xludf.DUMMYFUNCTION("""COMPUTED_VALUE"""),"팟타이가 맛있돔")</f>
        <v>팟타이가 맛있돔</v>
      </c>
      <c r="B10591" s="2" t="str">
        <f>IFERROR(__xludf.DUMMYFUNCTION("""COMPUTED_VALUE"""),"굴소스")</f>
        <v>굴소스</v>
      </c>
    </row>
    <row r="10592">
      <c r="A10592" s="2" t="str">
        <f>IFERROR(__xludf.DUMMYFUNCTION("""COMPUTED_VALUE"""),"팟타이가 맛있돔")</f>
        <v>팟타이가 맛있돔</v>
      </c>
      <c r="B10592" s="2" t="str">
        <f>IFERROR(__xludf.DUMMYFUNCTION("""COMPUTED_VALUE"""),"발사믹식초")</f>
        <v>발사믹식초</v>
      </c>
    </row>
    <row r="10593">
      <c r="A10593" s="2" t="str">
        <f>IFERROR(__xludf.DUMMYFUNCTION("""COMPUTED_VALUE"""),"팟타이가 맛있돔")</f>
        <v>팟타이가 맛있돔</v>
      </c>
      <c r="B10593" s="2" t="str">
        <f>IFERROR(__xludf.DUMMYFUNCTION("""COMPUTED_VALUE"""),"메이플시럽")</f>
        <v>메이플시럽</v>
      </c>
    </row>
    <row r="10594">
      <c r="A10594" s="2" t="str">
        <f>IFERROR(__xludf.DUMMYFUNCTION("""COMPUTED_VALUE"""),"팟타이가 맛있돔")</f>
        <v>팟타이가 맛있돔</v>
      </c>
      <c r="B10594" s="2" t="str">
        <f>IFERROR(__xludf.DUMMYFUNCTION("""COMPUTED_VALUE"""),"소금")</f>
        <v>소금</v>
      </c>
    </row>
    <row r="10595">
      <c r="A10595" s="2" t="str">
        <f>IFERROR(__xludf.DUMMYFUNCTION("""COMPUTED_VALUE"""),"팟타이가 맛있돔")</f>
        <v>팟타이가 맛있돔</v>
      </c>
      <c r="B10595" s="2" t="str">
        <f>IFERROR(__xludf.DUMMYFUNCTION("""COMPUTED_VALUE"""),"마늘")</f>
        <v>마늘</v>
      </c>
    </row>
    <row r="10596">
      <c r="A10596" s="2" t="str">
        <f>IFERROR(__xludf.DUMMYFUNCTION("""COMPUTED_VALUE"""),"팟타이가 맛있돔")</f>
        <v>팟타이가 맛있돔</v>
      </c>
      <c r="B10596" s="2" t="str">
        <f>IFERROR(__xludf.DUMMYFUNCTION("""COMPUTED_VALUE"""),"달걀")</f>
        <v>달걀</v>
      </c>
    </row>
    <row r="10597">
      <c r="A10597" s="2" t="str">
        <f>IFERROR(__xludf.DUMMYFUNCTION("""COMPUTED_VALUE"""),"팟타이가 맛있돔")</f>
        <v>팟타이가 맛있돔</v>
      </c>
      <c r="B10597" s="2" t="str">
        <f>IFERROR(__xludf.DUMMYFUNCTION("""COMPUTED_VALUE"""),"후추")</f>
        <v>후추</v>
      </c>
    </row>
    <row r="10598">
      <c r="A10598" s="2" t="str">
        <f>IFERROR(__xludf.DUMMYFUNCTION("""COMPUTED_VALUE"""),"팟타이가 맛있돔")</f>
        <v>팟타이가 맛있돔</v>
      </c>
      <c r="B10598" s="2" t="str">
        <f>IFERROR(__xludf.DUMMYFUNCTION("""COMPUTED_VALUE"""),"맛술")</f>
        <v>맛술</v>
      </c>
    </row>
    <row r="10599">
      <c r="A10599" s="2" t="str">
        <f>IFERROR(__xludf.DUMMYFUNCTION("""COMPUTED_VALUE"""),"팟타이가 맛있돔")</f>
        <v>팟타이가 맛있돔</v>
      </c>
      <c r="B10599" s="2" t="str">
        <f>IFERROR(__xludf.DUMMYFUNCTION("""COMPUTED_VALUE"""),"다진 마늘")</f>
        <v>다진 마늘</v>
      </c>
    </row>
    <row r="10600">
      <c r="A10600" s="2" t="str">
        <f>IFERROR(__xludf.DUMMYFUNCTION("""COMPUTED_VALUE"""),"팟타이가 맛있돔")</f>
        <v>팟타이가 맛있돔</v>
      </c>
      <c r="B10600" s="2" t="str">
        <f>IFERROR(__xludf.DUMMYFUNCTION("""COMPUTED_VALUE"""),"간장")</f>
        <v>간장</v>
      </c>
    </row>
    <row r="10601">
      <c r="A10601" s="2" t="str">
        <f>IFERROR(__xludf.DUMMYFUNCTION("""COMPUTED_VALUE"""),"팟타이가 맛있돔")</f>
        <v>팟타이가 맛있돔</v>
      </c>
      <c r="B10601" s="2" t="str">
        <f>IFERROR(__xludf.DUMMYFUNCTION("""COMPUTED_VALUE"""),"고추")</f>
        <v>고추</v>
      </c>
    </row>
    <row r="10602">
      <c r="A10602" s="2" t="str">
        <f>IFERROR(__xludf.DUMMYFUNCTION("""COMPUTED_VALUE"""),"팟타이가 맛있돔")</f>
        <v>팟타이가 맛있돔</v>
      </c>
      <c r="B10602" s="2" t="str">
        <f>IFERROR(__xludf.DUMMYFUNCTION("""COMPUTED_VALUE"""),"대파")</f>
        <v>대파</v>
      </c>
    </row>
    <row r="10603">
      <c r="A10603" s="2" t="str">
        <f>IFERROR(__xludf.DUMMYFUNCTION("""COMPUTED_VALUE"""),"팟타이가 맛있돔")</f>
        <v>팟타이가 맛있돔</v>
      </c>
      <c r="B10603" s="2" t="str">
        <f>IFERROR(__xludf.DUMMYFUNCTION("""COMPUTED_VALUE"""),"홍고추")</f>
        <v>홍고추</v>
      </c>
    </row>
    <row r="10604">
      <c r="A10604" s="2" t="str">
        <f>IFERROR(__xludf.DUMMYFUNCTION("""COMPUTED_VALUE"""),"팟타이가 맛있돔")</f>
        <v>팟타이가 맛있돔</v>
      </c>
      <c r="B10604" s="2" t="str">
        <f>IFERROR(__xludf.DUMMYFUNCTION("""COMPUTED_VALUE"""),"고춧가루")</f>
        <v>고춧가루</v>
      </c>
    </row>
    <row r="10605">
      <c r="A10605" s="2" t="str">
        <f>IFERROR(__xludf.DUMMYFUNCTION("""COMPUTED_VALUE"""),"고기의 품격")</f>
        <v>고기의 품격</v>
      </c>
      <c r="B10605" s="2" t="str">
        <f>IFERROR(__xludf.DUMMYFUNCTION("""COMPUTED_VALUE"""),"소고기등심")</f>
        <v>소고기등심</v>
      </c>
    </row>
    <row r="10606">
      <c r="A10606" s="2" t="str">
        <f>IFERROR(__xludf.DUMMYFUNCTION("""COMPUTED_VALUE"""),"고기의 품격")</f>
        <v>고기의 품격</v>
      </c>
      <c r="B10606" s="2" t="str">
        <f>IFERROR(__xludf.DUMMYFUNCTION("""COMPUTED_VALUE"""),"애호박")</f>
        <v>애호박</v>
      </c>
    </row>
    <row r="10607">
      <c r="A10607" s="2" t="str">
        <f>IFERROR(__xludf.DUMMYFUNCTION("""COMPUTED_VALUE"""),"고기의 품격")</f>
        <v>고기의 품격</v>
      </c>
      <c r="B10607" s="2" t="str">
        <f>IFERROR(__xludf.DUMMYFUNCTION("""COMPUTED_VALUE"""),"감자")</f>
        <v>감자</v>
      </c>
    </row>
    <row r="10608">
      <c r="A10608" s="2" t="str">
        <f>IFERROR(__xludf.DUMMYFUNCTION("""COMPUTED_VALUE"""),"고기의 품격")</f>
        <v>고기의 품격</v>
      </c>
      <c r="B10608" s="2" t="str">
        <f>IFERROR(__xludf.DUMMYFUNCTION("""COMPUTED_VALUE"""),"우유")</f>
        <v>우유</v>
      </c>
    </row>
    <row r="10609">
      <c r="A10609" s="2" t="str">
        <f>IFERROR(__xludf.DUMMYFUNCTION("""COMPUTED_VALUE"""),"고기의 품격")</f>
        <v>고기의 품격</v>
      </c>
      <c r="B10609" s="2" t="str">
        <f>IFERROR(__xludf.DUMMYFUNCTION("""COMPUTED_VALUE"""),"표고버섯")</f>
        <v>표고버섯</v>
      </c>
    </row>
    <row r="10610">
      <c r="A10610" s="2" t="str">
        <f>IFERROR(__xludf.DUMMYFUNCTION("""COMPUTED_VALUE"""),"고기의 품격")</f>
        <v>고기의 품격</v>
      </c>
      <c r="B10610" s="2" t="str">
        <f>IFERROR(__xludf.DUMMYFUNCTION("""COMPUTED_VALUE"""),"새송이버섯")</f>
        <v>새송이버섯</v>
      </c>
    </row>
    <row r="10611">
      <c r="A10611" s="2" t="str">
        <f>IFERROR(__xludf.DUMMYFUNCTION("""COMPUTED_VALUE"""),"고기의 품격")</f>
        <v>고기의 품격</v>
      </c>
      <c r="B10611" s="2" t="str">
        <f>IFERROR(__xludf.DUMMYFUNCTION("""COMPUTED_VALUE"""),"발사믹식초")</f>
        <v>발사믹식초</v>
      </c>
    </row>
    <row r="10612">
      <c r="A10612" s="2" t="str">
        <f>IFERROR(__xludf.DUMMYFUNCTION("""COMPUTED_VALUE"""),"고기의 품격")</f>
        <v>고기의 품격</v>
      </c>
      <c r="B10612" s="2" t="str">
        <f>IFERROR(__xludf.DUMMYFUNCTION("""COMPUTED_VALUE"""),"아몬드")</f>
        <v>아몬드</v>
      </c>
    </row>
    <row r="10613">
      <c r="A10613" s="2" t="str">
        <f>IFERROR(__xludf.DUMMYFUNCTION("""COMPUTED_VALUE"""),"고기의 품격")</f>
        <v>고기의 품격</v>
      </c>
      <c r="B10613" s="2" t="str">
        <f>IFERROR(__xludf.DUMMYFUNCTION("""COMPUTED_VALUE"""),"호두")</f>
        <v>호두</v>
      </c>
    </row>
    <row r="10614">
      <c r="A10614" s="2" t="str">
        <f>IFERROR(__xludf.DUMMYFUNCTION("""COMPUTED_VALUE"""),"고기의 품격")</f>
        <v>고기의 품격</v>
      </c>
      <c r="B10614" s="2" t="str">
        <f>IFERROR(__xludf.DUMMYFUNCTION("""COMPUTED_VALUE"""),"홀그레인머스터드")</f>
        <v>홀그레인머스터드</v>
      </c>
    </row>
    <row r="10615">
      <c r="A10615" s="2" t="str">
        <f>IFERROR(__xludf.DUMMYFUNCTION("""COMPUTED_VALUE"""),"고기의 품격")</f>
        <v>고기의 품격</v>
      </c>
      <c r="B10615" s="2" t="str">
        <f>IFERROR(__xludf.DUMMYFUNCTION("""COMPUTED_VALUE"""),"파르메산치즈가루")</f>
        <v>파르메산치즈가루</v>
      </c>
    </row>
    <row r="10616">
      <c r="A10616" s="2" t="str">
        <f>IFERROR(__xludf.DUMMYFUNCTION("""COMPUTED_VALUE"""),"고기의 품격")</f>
        <v>고기의 품격</v>
      </c>
      <c r="B10616" s="2" t="str">
        <f>IFERROR(__xludf.DUMMYFUNCTION("""COMPUTED_VALUE"""),"화이트식초")</f>
        <v>화이트식초</v>
      </c>
    </row>
    <row r="10617">
      <c r="A10617" s="2" t="str">
        <f>IFERROR(__xludf.DUMMYFUNCTION("""COMPUTED_VALUE"""),"고기의 품격")</f>
        <v>고기의 품격</v>
      </c>
      <c r="B10617" s="2" t="str">
        <f>IFERROR(__xludf.DUMMYFUNCTION("""COMPUTED_VALUE"""),"방울토마토")</f>
        <v>방울토마토</v>
      </c>
    </row>
    <row r="10618">
      <c r="A10618" s="2" t="str">
        <f>IFERROR(__xludf.DUMMYFUNCTION("""COMPUTED_VALUE"""),"고기의 품격")</f>
        <v>고기의 품격</v>
      </c>
      <c r="B10618" s="2" t="str">
        <f>IFERROR(__xludf.DUMMYFUNCTION("""COMPUTED_VALUE"""),"소금")</f>
        <v>소금</v>
      </c>
    </row>
    <row r="10619">
      <c r="A10619" s="2" t="str">
        <f>IFERROR(__xludf.DUMMYFUNCTION("""COMPUTED_VALUE"""),"고기의 품격")</f>
        <v>고기의 품격</v>
      </c>
      <c r="B10619" s="2" t="str">
        <f>IFERROR(__xludf.DUMMYFUNCTION("""COMPUTED_VALUE"""),"버터")</f>
        <v>버터</v>
      </c>
    </row>
    <row r="10620">
      <c r="A10620" s="2" t="str">
        <f>IFERROR(__xludf.DUMMYFUNCTION("""COMPUTED_VALUE"""),"고기의 품격")</f>
        <v>고기의 품격</v>
      </c>
      <c r="B10620" s="2" t="str">
        <f>IFERROR(__xludf.DUMMYFUNCTION("""COMPUTED_VALUE"""),"밀가루")</f>
        <v>밀가루</v>
      </c>
    </row>
    <row r="10621">
      <c r="A10621" s="2" t="str">
        <f>IFERROR(__xludf.DUMMYFUNCTION("""COMPUTED_VALUE"""),"고기의 품격")</f>
        <v>고기의 품격</v>
      </c>
      <c r="B10621" s="2" t="str">
        <f>IFERROR(__xludf.DUMMYFUNCTION("""COMPUTED_VALUE"""),"올리브오일")</f>
        <v>올리브오일</v>
      </c>
    </row>
    <row r="10622">
      <c r="A10622" s="2" t="str">
        <f>IFERROR(__xludf.DUMMYFUNCTION("""COMPUTED_VALUE"""),"고기의 품격")</f>
        <v>고기의 품격</v>
      </c>
      <c r="B10622" s="2" t="str">
        <f>IFERROR(__xludf.DUMMYFUNCTION("""COMPUTED_VALUE"""),"후추")</f>
        <v>후추</v>
      </c>
    </row>
    <row r="10623">
      <c r="A10623" s="2" t="str">
        <f>IFERROR(__xludf.DUMMYFUNCTION("""COMPUTED_VALUE"""),"고기의 품격")</f>
        <v>고기의 품격</v>
      </c>
      <c r="B10623" s="2" t="str">
        <f>IFERROR(__xludf.DUMMYFUNCTION("""COMPUTED_VALUE"""),"양파")</f>
        <v>양파</v>
      </c>
    </row>
    <row r="10624">
      <c r="A10624" s="2" t="str">
        <f>IFERROR(__xludf.DUMMYFUNCTION("""COMPUTED_VALUE"""),"고기의 품격")</f>
        <v>고기의 품격</v>
      </c>
      <c r="B10624" s="2" t="str">
        <f>IFERROR(__xludf.DUMMYFUNCTION("""COMPUTED_VALUE"""),"마늘")</f>
        <v>마늘</v>
      </c>
    </row>
    <row r="10625">
      <c r="A10625" s="2" t="str">
        <f>IFERROR(__xludf.DUMMYFUNCTION("""COMPUTED_VALUE"""),"고기의 품격")</f>
        <v>고기의 품격</v>
      </c>
      <c r="B10625" s="2" t="str">
        <f>IFERROR(__xludf.DUMMYFUNCTION("""COMPUTED_VALUE"""),"설탕")</f>
        <v>설탕</v>
      </c>
    </row>
    <row r="10626">
      <c r="A10626" s="2" t="str">
        <f>IFERROR(__xludf.DUMMYFUNCTION("""COMPUTED_VALUE"""),"고기의 품격")</f>
        <v>고기의 품격</v>
      </c>
      <c r="B10626" s="2" t="str">
        <f>IFERROR(__xludf.DUMMYFUNCTION("""COMPUTED_VALUE"""),"레몬")</f>
        <v>레몬</v>
      </c>
    </row>
    <row r="10627">
      <c r="A10627" s="2" t="str">
        <f>IFERROR(__xludf.DUMMYFUNCTION("""COMPUTED_VALUE"""),"파이팅롤")</f>
        <v>파이팅롤</v>
      </c>
      <c r="B10627" s="2" t="str">
        <f>IFERROR(__xludf.DUMMYFUNCTION("""COMPUTED_VALUE"""),"감자")</f>
        <v>감자</v>
      </c>
    </row>
    <row r="10628">
      <c r="A10628" s="2" t="str">
        <f>IFERROR(__xludf.DUMMYFUNCTION("""COMPUTED_VALUE"""),"파이팅롤")</f>
        <v>파이팅롤</v>
      </c>
      <c r="B10628" s="2" t="str">
        <f>IFERROR(__xludf.DUMMYFUNCTION("""COMPUTED_VALUE"""),"표고버섯")</f>
        <v>표고버섯</v>
      </c>
    </row>
    <row r="10629">
      <c r="A10629" s="2" t="str">
        <f>IFERROR(__xludf.DUMMYFUNCTION("""COMPUTED_VALUE"""),"파이팅롤")</f>
        <v>파이팅롤</v>
      </c>
      <c r="B10629" s="2" t="str">
        <f>IFERROR(__xludf.DUMMYFUNCTION("""COMPUTED_VALUE"""),"채끝살")</f>
        <v>채끝살</v>
      </c>
    </row>
    <row r="10630">
      <c r="A10630" s="2" t="str">
        <f>IFERROR(__xludf.DUMMYFUNCTION("""COMPUTED_VALUE"""),"파이팅롤")</f>
        <v>파이팅롤</v>
      </c>
      <c r="B10630" s="2" t="str">
        <f>IFERROR(__xludf.DUMMYFUNCTION("""COMPUTED_VALUE"""),"애호박")</f>
        <v>애호박</v>
      </c>
    </row>
    <row r="10631">
      <c r="A10631" s="2" t="str">
        <f>IFERROR(__xludf.DUMMYFUNCTION("""COMPUTED_VALUE"""),"파이팅롤")</f>
        <v>파이팅롤</v>
      </c>
      <c r="B10631" s="2" t="str">
        <f>IFERROR(__xludf.DUMMYFUNCTION("""COMPUTED_VALUE"""),"상추")</f>
        <v>상추</v>
      </c>
    </row>
    <row r="10632">
      <c r="A10632" s="2" t="str">
        <f>IFERROR(__xludf.DUMMYFUNCTION("""COMPUTED_VALUE"""),"파이팅롤")</f>
        <v>파이팅롤</v>
      </c>
      <c r="B10632" s="2" t="str">
        <f>IFERROR(__xludf.DUMMYFUNCTION("""COMPUTED_VALUE"""),"총각김치")</f>
        <v>총각김치</v>
      </c>
    </row>
    <row r="10633">
      <c r="A10633" s="2" t="str">
        <f>IFERROR(__xludf.DUMMYFUNCTION("""COMPUTED_VALUE"""),"파이팅롤")</f>
        <v>파이팅롤</v>
      </c>
      <c r="B10633" s="2" t="str">
        <f>IFERROR(__xludf.DUMMYFUNCTION("""COMPUTED_VALUE"""),"발사믹식초")</f>
        <v>발사믹식초</v>
      </c>
    </row>
    <row r="10634">
      <c r="A10634" s="2" t="str">
        <f>IFERROR(__xludf.DUMMYFUNCTION("""COMPUTED_VALUE"""),"파이팅롤")</f>
        <v>파이팅롤</v>
      </c>
      <c r="B10634" s="2" t="str">
        <f>IFERROR(__xludf.DUMMYFUNCTION("""COMPUTED_VALUE"""),"화이트식초")</f>
        <v>화이트식초</v>
      </c>
    </row>
    <row r="10635">
      <c r="A10635" s="2" t="str">
        <f>IFERROR(__xludf.DUMMYFUNCTION("""COMPUTED_VALUE"""),"파이팅롤")</f>
        <v>파이팅롤</v>
      </c>
      <c r="B10635" s="2" t="str">
        <f>IFERROR(__xludf.DUMMYFUNCTION("""COMPUTED_VALUE"""),"어린잎 채소")</f>
        <v>어린잎 채소</v>
      </c>
    </row>
    <row r="10636">
      <c r="A10636" s="2" t="str">
        <f>IFERROR(__xludf.DUMMYFUNCTION("""COMPUTED_VALUE"""),"파이팅롤")</f>
        <v>파이팅롤</v>
      </c>
      <c r="B10636" s="2" t="str">
        <f>IFERROR(__xludf.DUMMYFUNCTION("""COMPUTED_VALUE"""),"당근")</f>
        <v>당근</v>
      </c>
    </row>
    <row r="10637">
      <c r="A10637" s="2" t="str">
        <f>IFERROR(__xludf.DUMMYFUNCTION("""COMPUTED_VALUE"""),"파이팅롤")</f>
        <v>파이팅롤</v>
      </c>
      <c r="B10637" s="2" t="str">
        <f>IFERROR(__xludf.DUMMYFUNCTION("""COMPUTED_VALUE"""),"양파")</f>
        <v>양파</v>
      </c>
    </row>
    <row r="10638">
      <c r="A10638" s="2" t="str">
        <f>IFERROR(__xludf.DUMMYFUNCTION("""COMPUTED_VALUE"""),"파이팅롤")</f>
        <v>파이팅롤</v>
      </c>
      <c r="B10638" s="2" t="str">
        <f>IFERROR(__xludf.DUMMYFUNCTION("""COMPUTED_VALUE"""),"마늘")</f>
        <v>마늘</v>
      </c>
    </row>
    <row r="10639">
      <c r="A10639" s="2" t="str">
        <f>IFERROR(__xludf.DUMMYFUNCTION("""COMPUTED_VALUE"""),"파이팅롤")</f>
        <v>파이팅롤</v>
      </c>
      <c r="B10639" s="2" t="str">
        <f>IFERROR(__xludf.DUMMYFUNCTION("""COMPUTED_VALUE"""),"버터")</f>
        <v>버터</v>
      </c>
    </row>
    <row r="10640">
      <c r="A10640" s="2" t="str">
        <f>IFERROR(__xludf.DUMMYFUNCTION("""COMPUTED_VALUE"""),"파이팅롤")</f>
        <v>파이팅롤</v>
      </c>
      <c r="B10640" s="2" t="str">
        <f>IFERROR(__xludf.DUMMYFUNCTION("""COMPUTED_VALUE"""),"소금")</f>
        <v>소금</v>
      </c>
    </row>
    <row r="10641">
      <c r="A10641" s="2" t="str">
        <f>IFERROR(__xludf.DUMMYFUNCTION("""COMPUTED_VALUE"""),"파이팅롤")</f>
        <v>파이팅롤</v>
      </c>
      <c r="B10641" s="2" t="str">
        <f>IFERROR(__xludf.DUMMYFUNCTION("""COMPUTED_VALUE"""),"후추")</f>
        <v>후추</v>
      </c>
    </row>
    <row r="10642">
      <c r="A10642" s="2" t="str">
        <f>IFERROR(__xludf.DUMMYFUNCTION("""COMPUTED_VALUE"""),"파이팅롤")</f>
        <v>파이팅롤</v>
      </c>
      <c r="B10642" s="2" t="str">
        <f>IFERROR(__xludf.DUMMYFUNCTION("""COMPUTED_VALUE"""),"고추장")</f>
        <v>고추장</v>
      </c>
    </row>
    <row r="10643">
      <c r="A10643" s="2" t="str">
        <f>IFERROR(__xludf.DUMMYFUNCTION("""COMPUTED_VALUE"""),"파이팅롤")</f>
        <v>파이팅롤</v>
      </c>
      <c r="B10643" s="2" t="str">
        <f>IFERROR(__xludf.DUMMYFUNCTION("""COMPUTED_VALUE"""),"올리브오일")</f>
        <v>올리브오일</v>
      </c>
    </row>
    <row r="10644">
      <c r="A10644" s="2" t="str">
        <f>IFERROR(__xludf.DUMMYFUNCTION("""COMPUTED_VALUE"""),"푸딩이 최고당")</f>
        <v>푸딩이 최고당</v>
      </c>
      <c r="B10644" s="2" t="str">
        <f>IFERROR(__xludf.DUMMYFUNCTION("""COMPUTED_VALUE"""),"카카오 70% 초콜릿")</f>
        <v>카카오 70% 초콜릿</v>
      </c>
    </row>
    <row r="10645">
      <c r="A10645" s="2" t="str">
        <f>IFERROR(__xludf.DUMMYFUNCTION("""COMPUTED_VALUE"""),"푸딩이 최고당")</f>
        <v>푸딩이 최고당</v>
      </c>
      <c r="B10645" s="2" t="str">
        <f>IFERROR(__xludf.DUMMYFUNCTION("""COMPUTED_VALUE"""),"우유")</f>
        <v>우유</v>
      </c>
    </row>
    <row r="10646">
      <c r="A10646" s="2" t="str">
        <f>IFERROR(__xludf.DUMMYFUNCTION("""COMPUTED_VALUE"""),"푸딩이 최고당")</f>
        <v>푸딩이 최고당</v>
      </c>
      <c r="B10646" s="2" t="str">
        <f>IFERROR(__xludf.DUMMYFUNCTION("""COMPUTED_VALUE"""),"땅콩버터")</f>
        <v>땅콩버터</v>
      </c>
    </row>
    <row r="10647">
      <c r="A10647" s="2" t="str">
        <f>IFERROR(__xludf.DUMMYFUNCTION("""COMPUTED_VALUE"""),"푸딩이 최고당")</f>
        <v>푸딩이 최고당</v>
      </c>
      <c r="B10647" s="2" t="str">
        <f>IFERROR(__xludf.DUMMYFUNCTION("""COMPUTED_VALUE"""),"식빵")</f>
        <v>식빵</v>
      </c>
    </row>
    <row r="10648">
      <c r="A10648" s="2" t="str">
        <f>IFERROR(__xludf.DUMMYFUNCTION("""COMPUTED_VALUE"""),"푸딩이 최고당")</f>
        <v>푸딩이 최고당</v>
      </c>
      <c r="B10648" s="2" t="str">
        <f>IFERROR(__xludf.DUMMYFUNCTION("""COMPUTED_VALUE"""),"초콜릿")</f>
        <v>초콜릿</v>
      </c>
    </row>
    <row r="10649">
      <c r="A10649" s="2" t="str">
        <f>IFERROR(__xludf.DUMMYFUNCTION("""COMPUTED_VALUE"""),"푸딩이 최고당")</f>
        <v>푸딩이 최고당</v>
      </c>
      <c r="B10649" s="2" t="str">
        <f>IFERROR(__xludf.DUMMYFUNCTION("""COMPUTED_VALUE"""),"건무화과")</f>
        <v>건무화과</v>
      </c>
    </row>
    <row r="10650">
      <c r="A10650" s="2" t="str">
        <f>IFERROR(__xludf.DUMMYFUNCTION("""COMPUTED_VALUE"""),"푸딩이 최고당")</f>
        <v>푸딩이 최고당</v>
      </c>
      <c r="B10650" s="2" t="str">
        <f>IFERROR(__xludf.DUMMYFUNCTION("""COMPUTED_VALUE"""),"건살구")</f>
        <v>건살구</v>
      </c>
    </row>
    <row r="10651">
      <c r="A10651" s="2" t="str">
        <f>IFERROR(__xludf.DUMMYFUNCTION("""COMPUTED_VALUE"""),"푸딩이 최고당")</f>
        <v>푸딩이 최고당</v>
      </c>
      <c r="B10651" s="2" t="str">
        <f>IFERROR(__xludf.DUMMYFUNCTION("""COMPUTED_VALUE"""),"귤")</f>
        <v>귤</v>
      </c>
    </row>
    <row r="10652">
      <c r="A10652" s="2" t="str">
        <f>IFERROR(__xludf.DUMMYFUNCTION("""COMPUTED_VALUE"""),"푸딩이 최고당")</f>
        <v>푸딩이 최고당</v>
      </c>
      <c r="B10652" s="2" t="str">
        <f>IFERROR(__xludf.DUMMYFUNCTION("""COMPUTED_VALUE"""),"청포도")</f>
        <v>청포도</v>
      </c>
    </row>
    <row r="10653">
      <c r="A10653" s="2" t="str">
        <f>IFERROR(__xludf.DUMMYFUNCTION("""COMPUTED_VALUE"""),"푸딩이 최고당")</f>
        <v>푸딩이 최고당</v>
      </c>
      <c r="B10653" s="2" t="str">
        <f>IFERROR(__xludf.DUMMYFUNCTION("""COMPUTED_VALUE"""),"두유")</f>
        <v>두유</v>
      </c>
    </row>
    <row r="10654">
      <c r="A10654" s="2" t="str">
        <f>IFERROR(__xludf.DUMMYFUNCTION("""COMPUTED_VALUE"""),"푸딩이 최고당")</f>
        <v>푸딩이 최고당</v>
      </c>
      <c r="B10654" s="2" t="str">
        <f>IFERROR(__xludf.DUMMYFUNCTION("""COMPUTED_VALUE"""),"참외")</f>
        <v>참외</v>
      </c>
    </row>
    <row r="10655">
      <c r="A10655" s="2" t="str">
        <f>IFERROR(__xludf.DUMMYFUNCTION("""COMPUTED_VALUE"""),"푸딩이 최고당")</f>
        <v>푸딩이 최고당</v>
      </c>
      <c r="B10655" s="2" t="str">
        <f>IFERROR(__xludf.DUMMYFUNCTION("""COMPUTED_VALUE"""),"설탕")</f>
        <v>설탕</v>
      </c>
    </row>
    <row r="10656">
      <c r="A10656" s="2" t="str">
        <f>IFERROR(__xludf.DUMMYFUNCTION("""COMPUTED_VALUE"""),"푸딩이 최고당")</f>
        <v>푸딩이 최고당</v>
      </c>
      <c r="B10656" s="2" t="str">
        <f>IFERROR(__xludf.DUMMYFUNCTION("""COMPUTED_VALUE"""),"버터")</f>
        <v>버터</v>
      </c>
    </row>
    <row r="10657">
      <c r="A10657" s="2" t="str">
        <f>IFERROR(__xludf.DUMMYFUNCTION("""COMPUTED_VALUE"""),"푸딩이 최고당")</f>
        <v>푸딩이 최고당</v>
      </c>
      <c r="B10657" s="2" t="str">
        <f>IFERROR(__xludf.DUMMYFUNCTION("""COMPUTED_VALUE"""),"달걀")</f>
        <v>달걀</v>
      </c>
    </row>
    <row r="10658">
      <c r="A10658" s="2" t="str">
        <f>IFERROR(__xludf.DUMMYFUNCTION("""COMPUTED_VALUE"""),"푸딩이 최고당")</f>
        <v>푸딩이 최고당</v>
      </c>
      <c r="B10658" s="2" t="str">
        <f>IFERROR(__xludf.DUMMYFUNCTION("""COMPUTED_VALUE"""),"청양고추")</f>
        <v>청양고추</v>
      </c>
    </row>
    <row r="10659">
      <c r="A10659" s="2" t="str">
        <f>IFERROR(__xludf.DUMMYFUNCTION("""COMPUTED_VALUE"""),"티라미수코리아")</f>
        <v>티라미수코리아</v>
      </c>
      <c r="B10659" s="2" t="str">
        <f>IFERROR(__xludf.DUMMYFUNCTION("""COMPUTED_VALUE"""),"카카오 70% 초콜릿")</f>
        <v>카카오 70% 초콜릿</v>
      </c>
    </row>
    <row r="10660">
      <c r="A10660" s="2" t="str">
        <f>IFERROR(__xludf.DUMMYFUNCTION("""COMPUTED_VALUE"""),"티라미수코리아")</f>
        <v>티라미수코리아</v>
      </c>
      <c r="B10660" s="2" t="str">
        <f>IFERROR(__xludf.DUMMYFUNCTION("""COMPUTED_VALUE"""),"코코넛과자")</f>
        <v>코코넛과자</v>
      </c>
    </row>
    <row r="10661">
      <c r="A10661" s="2" t="str">
        <f>IFERROR(__xludf.DUMMYFUNCTION("""COMPUTED_VALUE"""),"티라미수코리아")</f>
        <v>티라미수코리아</v>
      </c>
      <c r="B10661" s="2" t="str">
        <f>IFERROR(__xludf.DUMMYFUNCTION("""COMPUTED_VALUE"""),"우유")</f>
        <v>우유</v>
      </c>
    </row>
    <row r="10662">
      <c r="A10662" s="2" t="str">
        <f>IFERROR(__xludf.DUMMYFUNCTION("""COMPUTED_VALUE"""),"티라미수코리아")</f>
        <v>티라미수코리아</v>
      </c>
      <c r="B10662" s="2" t="str">
        <f>IFERROR(__xludf.DUMMYFUNCTION("""COMPUTED_VALUE"""),"자몽청")</f>
        <v>자몽청</v>
      </c>
    </row>
    <row r="10663">
      <c r="A10663" s="2" t="str">
        <f>IFERROR(__xludf.DUMMYFUNCTION("""COMPUTED_VALUE"""),"티라미수코리아")</f>
        <v>티라미수코리아</v>
      </c>
      <c r="B10663" s="2" t="str">
        <f>IFERROR(__xludf.DUMMYFUNCTION("""COMPUTED_VALUE"""),"사과")</f>
        <v>사과</v>
      </c>
    </row>
    <row r="10664">
      <c r="A10664" s="2" t="str">
        <f>IFERROR(__xludf.DUMMYFUNCTION("""COMPUTED_VALUE"""),"티라미수코리아")</f>
        <v>티라미수코리아</v>
      </c>
      <c r="B10664" s="2" t="str">
        <f>IFERROR(__xludf.DUMMYFUNCTION("""COMPUTED_VALUE"""),"설탕")</f>
        <v>설탕</v>
      </c>
    </row>
    <row r="10665">
      <c r="A10665" s="2" t="str">
        <f>IFERROR(__xludf.DUMMYFUNCTION("""COMPUTED_VALUE"""),"티라미수코리아")</f>
        <v>티라미수코리아</v>
      </c>
      <c r="B10665" s="2" t="str">
        <f>IFERROR(__xludf.DUMMYFUNCTION("""COMPUTED_VALUE"""),"버터")</f>
        <v>버터</v>
      </c>
    </row>
    <row r="10666">
      <c r="A10666" s="2" t="str">
        <f>IFERROR(__xludf.DUMMYFUNCTION("""COMPUTED_VALUE"""),"티라미수코리아")</f>
        <v>티라미수코리아</v>
      </c>
      <c r="B10666" s="2" t="str">
        <f>IFERROR(__xludf.DUMMYFUNCTION("""COMPUTED_VALUE"""),"청주")</f>
        <v>청주</v>
      </c>
    </row>
    <row r="10667">
      <c r="A10667" s="2" t="str">
        <f>IFERROR(__xludf.DUMMYFUNCTION("""COMPUTED_VALUE"""),"티라미수코리아")</f>
        <v>티라미수코리아</v>
      </c>
      <c r="B10667" s="2" t="str">
        <f>IFERROR(__xludf.DUMMYFUNCTION("""COMPUTED_VALUE"""),"달걀")</f>
        <v>달걀</v>
      </c>
    </row>
    <row r="10668">
      <c r="A10668" s="2" t="str">
        <f>IFERROR(__xludf.DUMMYFUNCTION("""COMPUTED_VALUE"""),"티라미수코리아")</f>
        <v>티라미수코리아</v>
      </c>
      <c r="B10668" s="2" t="str">
        <f>IFERROR(__xludf.DUMMYFUNCTION("""COMPUTED_VALUE"""),"화이트와인")</f>
        <v>화이트와인</v>
      </c>
    </row>
    <row r="10669">
      <c r="A10669" s="2" t="str">
        <f>IFERROR(__xludf.DUMMYFUNCTION("""COMPUTED_VALUE"""),"티라미수코리아")</f>
        <v>티라미수코리아</v>
      </c>
      <c r="B10669" s="2" t="str">
        <f>IFERROR(__xludf.DUMMYFUNCTION("""COMPUTED_VALUE"""),"레몬")</f>
        <v>레몬</v>
      </c>
    </row>
    <row r="10670">
      <c r="A10670" s="2" t="str">
        <f>IFERROR(__xludf.DUMMYFUNCTION("""COMPUTED_VALUE"""),"나이스~튜")</f>
        <v>나이스~튜</v>
      </c>
      <c r="B10670" s="2" t="str">
        <f>IFERROR(__xludf.DUMMYFUNCTION("""COMPUTED_VALUE"""),"갈치")</f>
        <v>갈치</v>
      </c>
    </row>
    <row r="10671">
      <c r="A10671" s="2" t="str">
        <f>IFERROR(__xludf.DUMMYFUNCTION("""COMPUTED_VALUE"""),"나이스~튜")</f>
        <v>나이스~튜</v>
      </c>
      <c r="B10671" s="2" t="str">
        <f>IFERROR(__xludf.DUMMYFUNCTION("""COMPUTED_VALUE"""),"감자")</f>
        <v>감자</v>
      </c>
    </row>
    <row r="10672">
      <c r="A10672" s="2" t="str">
        <f>IFERROR(__xludf.DUMMYFUNCTION("""COMPUTED_VALUE"""),"나이스~튜")</f>
        <v>나이스~튜</v>
      </c>
      <c r="B10672" s="2" t="str">
        <f>IFERROR(__xludf.DUMMYFUNCTION("""COMPUTED_VALUE"""),"아스파라거스")</f>
        <v>아스파라거스</v>
      </c>
    </row>
    <row r="10673">
      <c r="A10673" s="2" t="str">
        <f>IFERROR(__xludf.DUMMYFUNCTION("""COMPUTED_VALUE"""),"나이스~튜")</f>
        <v>나이스~튜</v>
      </c>
      <c r="B10673" s="2" t="str">
        <f>IFERROR(__xludf.DUMMYFUNCTION("""COMPUTED_VALUE"""),"우유")</f>
        <v>우유</v>
      </c>
    </row>
    <row r="10674">
      <c r="A10674" s="2" t="str">
        <f>IFERROR(__xludf.DUMMYFUNCTION("""COMPUTED_VALUE"""),"나이스~튜")</f>
        <v>나이스~튜</v>
      </c>
      <c r="B10674" s="2" t="str">
        <f>IFERROR(__xludf.DUMMYFUNCTION("""COMPUTED_VALUE"""),"땅콩버터")</f>
        <v>땅콩버터</v>
      </c>
    </row>
    <row r="10675">
      <c r="A10675" s="2" t="str">
        <f>IFERROR(__xludf.DUMMYFUNCTION("""COMPUTED_VALUE"""),"나이스~튜")</f>
        <v>나이스~튜</v>
      </c>
      <c r="B10675" s="2" t="str">
        <f>IFERROR(__xludf.DUMMYFUNCTION("""COMPUTED_VALUE"""),"슬라이스 체더치즈")</f>
        <v>슬라이스 체더치즈</v>
      </c>
    </row>
    <row r="10676">
      <c r="A10676" s="2" t="str">
        <f>IFERROR(__xludf.DUMMYFUNCTION("""COMPUTED_VALUE"""),"나이스~튜")</f>
        <v>나이스~튜</v>
      </c>
      <c r="B10676" s="2" t="str">
        <f>IFERROR(__xludf.DUMMYFUNCTION("""COMPUTED_VALUE"""),"명란젓")</f>
        <v>명란젓</v>
      </c>
    </row>
    <row r="10677">
      <c r="A10677" s="2" t="str">
        <f>IFERROR(__xludf.DUMMYFUNCTION("""COMPUTED_VALUE"""),"나이스~튜")</f>
        <v>나이스~튜</v>
      </c>
      <c r="B10677" s="2" t="str">
        <f>IFERROR(__xludf.DUMMYFUNCTION("""COMPUTED_VALUE"""),"금태")</f>
        <v>금태</v>
      </c>
    </row>
    <row r="10678">
      <c r="A10678" s="2" t="str">
        <f>IFERROR(__xludf.DUMMYFUNCTION("""COMPUTED_VALUE"""),"나이스~튜")</f>
        <v>나이스~튜</v>
      </c>
      <c r="B10678" s="2" t="str">
        <f>IFERROR(__xludf.DUMMYFUNCTION("""COMPUTED_VALUE"""),"매실청")</f>
        <v>매실청</v>
      </c>
    </row>
    <row r="10679">
      <c r="A10679" s="2" t="str">
        <f>IFERROR(__xludf.DUMMYFUNCTION("""COMPUTED_VALUE"""),"나이스~튜")</f>
        <v>나이스~튜</v>
      </c>
      <c r="B10679" s="2" t="str">
        <f>IFERROR(__xludf.DUMMYFUNCTION("""COMPUTED_VALUE"""),"샹라장")</f>
        <v>샹라장</v>
      </c>
    </row>
    <row r="10680">
      <c r="A10680" s="2" t="str">
        <f>IFERROR(__xludf.DUMMYFUNCTION("""COMPUTED_VALUE"""),"나이스~튜")</f>
        <v>나이스~튜</v>
      </c>
      <c r="B10680" s="2" t="str">
        <f>IFERROR(__xludf.DUMMYFUNCTION("""COMPUTED_VALUE"""),"방울토마토")</f>
        <v>방울토마토</v>
      </c>
    </row>
    <row r="10681">
      <c r="A10681" s="2" t="str">
        <f>IFERROR(__xludf.DUMMYFUNCTION("""COMPUTED_VALUE"""),"나이스~튜")</f>
        <v>나이스~튜</v>
      </c>
      <c r="B10681" s="2" t="str">
        <f>IFERROR(__xludf.DUMMYFUNCTION("""COMPUTED_VALUE"""),"시금치")</f>
        <v>시금치</v>
      </c>
    </row>
    <row r="10682">
      <c r="A10682" s="2" t="str">
        <f>IFERROR(__xludf.DUMMYFUNCTION("""COMPUTED_VALUE"""),"나이스~튜")</f>
        <v>나이스~튜</v>
      </c>
      <c r="B10682" s="2" t="str">
        <f>IFERROR(__xludf.DUMMYFUNCTION("""COMPUTED_VALUE"""),"소금")</f>
        <v>소금</v>
      </c>
    </row>
    <row r="10683">
      <c r="A10683" s="2" t="str">
        <f>IFERROR(__xludf.DUMMYFUNCTION("""COMPUTED_VALUE"""),"나이스~튜")</f>
        <v>나이스~튜</v>
      </c>
      <c r="B10683" s="2" t="str">
        <f>IFERROR(__xludf.DUMMYFUNCTION("""COMPUTED_VALUE"""),"후추")</f>
        <v>후추</v>
      </c>
    </row>
    <row r="10684">
      <c r="A10684" s="2" t="str">
        <f>IFERROR(__xludf.DUMMYFUNCTION("""COMPUTED_VALUE"""),"나이스~튜")</f>
        <v>나이스~튜</v>
      </c>
      <c r="B10684" s="2" t="str">
        <f>IFERROR(__xludf.DUMMYFUNCTION("""COMPUTED_VALUE"""),"전분")</f>
        <v>전분</v>
      </c>
    </row>
    <row r="10685">
      <c r="A10685" s="2" t="str">
        <f>IFERROR(__xludf.DUMMYFUNCTION("""COMPUTED_VALUE"""),"나이스~튜")</f>
        <v>나이스~튜</v>
      </c>
      <c r="B10685" s="2" t="str">
        <f>IFERROR(__xludf.DUMMYFUNCTION("""COMPUTED_VALUE"""),"양파")</f>
        <v>양파</v>
      </c>
    </row>
    <row r="10686">
      <c r="A10686" s="2" t="str">
        <f>IFERROR(__xludf.DUMMYFUNCTION("""COMPUTED_VALUE"""),"나이스~튜")</f>
        <v>나이스~튜</v>
      </c>
      <c r="B10686" s="2" t="str">
        <f>IFERROR(__xludf.DUMMYFUNCTION("""COMPUTED_VALUE"""),"청양고추")</f>
        <v>청양고추</v>
      </c>
    </row>
    <row r="10687">
      <c r="A10687" s="2" t="str">
        <f>IFERROR(__xludf.DUMMYFUNCTION("""COMPUTED_VALUE"""),"나이스~튜")</f>
        <v>나이스~튜</v>
      </c>
      <c r="B10687" s="2" t="str">
        <f>IFERROR(__xludf.DUMMYFUNCTION("""COMPUTED_VALUE"""),"대파")</f>
        <v>대파</v>
      </c>
    </row>
    <row r="10688">
      <c r="A10688" s="2" t="str">
        <f>IFERROR(__xludf.DUMMYFUNCTION("""COMPUTED_VALUE"""),"나이스~튜")</f>
        <v>나이스~튜</v>
      </c>
      <c r="B10688" s="2" t="str">
        <f>IFERROR(__xludf.DUMMYFUNCTION("""COMPUTED_VALUE"""),"마늘")</f>
        <v>마늘</v>
      </c>
    </row>
    <row r="10689">
      <c r="A10689" s="2" t="str">
        <f>IFERROR(__xludf.DUMMYFUNCTION("""COMPUTED_VALUE"""),"나이스~튜")</f>
        <v>나이스~튜</v>
      </c>
      <c r="B10689" s="2" t="str">
        <f>IFERROR(__xludf.DUMMYFUNCTION("""COMPUTED_VALUE"""),"케첩")</f>
        <v>케첩</v>
      </c>
    </row>
    <row r="10690">
      <c r="A10690" s="2" t="str">
        <f>IFERROR(__xludf.DUMMYFUNCTION("""COMPUTED_VALUE"""),"나이스~튜")</f>
        <v>나이스~튜</v>
      </c>
      <c r="B10690" s="2" t="str">
        <f>IFERROR(__xludf.DUMMYFUNCTION("""COMPUTED_VALUE"""),"레몬")</f>
        <v>레몬</v>
      </c>
    </row>
    <row r="10691">
      <c r="A10691" s="2" t="str">
        <f>IFERROR(__xludf.DUMMYFUNCTION("""COMPUTED_VALUE"""),"나이스~튜")</f>
        <v>나이스~튜</v>
      </c>
      <c r="B10691" s="2" t="str">
        <f>IFERROR(__xludf.DUMMYFUNCTION("""COMPUTED_VALUE"""),"당근")</f>
        <v>당근</v>
      </c>
    </row>
    <row r="10692">
      <c r="A10692" s="2" t="str">
        <f>IFERROR(__xludf.DUMMYFUNCTION("""COMPUTED_VALUE"""),"라돌체비타")</f>
        <v>라돌체비타</v>
      </c>
      <c r="B10692" s="2" t="str">
        <f>IFERROR(__xludf.DUMMYFUNCTION("""COMPUTED_VALUE"""),"닭")</f>
        <v>닭</v>
      </c>
    </row>
    <row r="10693">
      <c r="A10693" s="2" t="str">
        <f>IFERROR(__xludf.DUMMYFUNCTION("""COMPUTED_VALUE"""),"라돌체비타")</f>
        <v>라돌체비타</v>
      </c>
      <c r="B10693" s="2" t="str">
        <f>IFERROR(__xludf.DUMMYFUNCTION("""COMPUTED_VALUE"""),"아스파라거스")</f>
        <v>아스파라거스</v>
      </c>
    </row>
    <row r="10694">
      <c r="A10694" s="2" t="str">
        <f>IFERROR(__xludf.DUMMYFUNCTION("""COMPUTED_VALUE"""),"라돌체비타")</f>
        <v>라돌체비타</v>
      </c>
      <c r="B10694" s="2" t="str">
        <f>IFERROR(__xludf.DUMMYFUNCTION("""COMPUTED_VALUE"""),"삶은 달걀")</f>
        <v>삶은 달걀</v>
      </c>
    </row>
    <row r="10695">
      <c r="A10695" s="2" t="str">
        <f>IFERROR(__xludf.DUMMYFUNCTION("""COMPUTED_VALUE"""),"라돌체비타")</f>
        <v>라돌체비타</v>
      </c>
      <c r="B10695" s="2" t="str">
        <f>IFERROR(__xludf.DUMMYFUNCTION("""COMPUTED_VALUE"""),"슬라이스 체더치즈")</f>
        <v>슬라이스 체더치즈</v>
      </c>
    </row>
    <row r="10696">
      <c r="A10696" s="2" t="str">
        <f>IFERROR(__xludf.DUMMYFUNCTION("""COMPUTED_VALUE"""),"라돌체비타")</f>
        <v>라돌체비타</v>
      </c>
      <c r="B10696" s="2" t="str">
        <f>IFERROR(__xludf.DUMMYFUNCTION("""COMPUTED_VALUE"""),"방울토마토")</f>
        <v>방울토마토</v>
      </c>
    </row>
    <row r="10697">
      <c r="A10697" s="2" t="str">
        <f>IFERROR(__xludf.DUMMYFUNCTION("""COMPUTED_VALUE"""),"라돌체비타")</f>
        <v>라돌체비타</v>
      </c>
      <c r="B10697" s="2" t="str">
        <f>IFERROR(__xludf.DUMMYFUNCTION("""COMPUTED_VALUE"""),"자몽청")</f>
        <v>자몽청</v>
      </c>
    </row>
    <row r="10698">
      <c r="A10698" s="2" t="str">
        <f>IFERROR(__xludf.DUMMYFUNCTION("""COMPUTED_VALUE"""),"라돌체비타")</f>
        <v>라돌체비타</v>
      </c>
      <c r="B10698" s="2" t="str">
        <f>IFERROR(__xludf.DUMMYFUNCTION("""COMPUTED_VALUE"""),"카카오 100% 초콜릿")</f>
        <v>카카오 100% 초콜릿</v>
      </c>
    </row>
    <row r="10699">
      <c r="A10699" s="2" t="str">
        <f>IFERROR(__xludf.DUMMYFUNCTION("""COMPUTED_VALUE"""),"라돌체비타")</f>
        <v>라돌체비타</v>
      </c>
      <c r="B10699" s="2" t="str">
        <f>IFERROR(__xludf.DUMMYFUNCTION("""COMPUTED_VALUE"""),"두유")</f>
        <v>두유</v>
      </c>
    </row>
    <row r="10700">
      <c r="A10700" s="2" t="str">
        <f>IFERROR(__xludf.DUMMYFUNCTION("""COMPUTED_VALUE"""),"라돌체비타")</f>
        <v>라돌체비타</v>
      </c>
      <c r="B10700" s="2" t="str">
        <f>IFERROR(__xludf.DUMMYFUNCTION("""COMPUTED_VALUE"""),"청포도")</f>
        <v>청포도</v>
      </c>
    </row>
    <row r="10701">
      <c r="A10701" s="2" t="str">
        <f>IFERROR(__xludf.DUMMYFUNCTION("""COMPUTED_VALUE"""),"라돌체비타")</f>
        <v>라돌체비타</v>
      </c>
      <c r="B10701" s="2" t="str">
        <f>IFERROR(__xludf.DUMMYFUNCTION("""COMPUTED_VALUE"""),"참외")</f>
        <v>참외</v>
      </c>
    </row>
    <row r="10702">
      <c r="A10702" s="2" t="str">
        <f>IFERROR(__xludf.DUMMYFUNCTION("""COMPUTED_VALUE"""),"라돌체비타")</f>
        <v>라돌체비타</v>
      </c>
      <c r="B10702" s="2" t="str">
        <f>IFERROR(__xludf.DUMMYFUNCTION("""COMPUTED_VALUE"""),"짜장라면")</f>
        <v>짜장라면</v>
      </c>
    </row>
    <row r="10703">
      <c r="A10703" s="2" t="str">
        <f>IFERROR(__xludf.DUMMYFUNCTION("""COMPUTED_VALUE"""),"라돌체비타")</f>
        <v>라돌체비타</v>
      </c>
      <c r="B10703" s="2" t="str">
        <f>IFERROR(__xludf.DUMMYFUNCTION("""COMPUTED_VALUE"""),"두릅")</f>
        <v>두릅</v>
      </c>
    </row>
    <row r="10704">
      <c r="A10704" s="2" t="str">
        <f>IFERROR(__xludf.DUMMYFUNCTION("""COMPUTED_VALUE"""),"라돌체비타")</f>
        <v>라돌체비타</v>
      </c>
      <c r="B10704" s="2" t="str">
        <f>IFERROR(__xludf.DUMMYFUNCTION("""COMPUTED_VALUE"""),"블랙올리브")</f>
        <v>블랙올리브</v>
      </c>
    </row>
    <row r="10705">
      <c r="A10705" s="2" t="str">
        <f>IFERROR(__xludf.DUMMYFUNCTION("""COMPUTED_VALUE"""),"라돌체비타")</f>
        <v>라돌체비타</v>
      </c>
      <c r="B10705" s="2" t="str">
        <f>IFERROR(__xludf.DUMMYFUNCTION("""COMPUTED_VALUE"""),"소금")</f>
        <v>소금</v>
      </c>
    </row>
    <row r="10706">
      <c r="A10706" s="2" t="str">
        <f>IFERROR(__xludf.DUMMYFUNCTION("""COMPUTED_VALUE"""),"라돌체비타")</f>
        <v>라돌체비타</v>
      </c>
      <c r="B10706" s="2" t="str">
        <f>IFERROR(__xludf.DUMMYFUNCTION("""COMPUTED_VALUE"""),"마요네즈")</f>
        <v>마요네즈</v>
      </c>
    </row>
    <row r="10707">
      <c r="A10707" s="2" t="str">
        <f>IFERROR(__xludf.DUMMYFUNCTION("""COMPUTED_VALUE"""),"라돌체비타")</f>
        <v>라돌체비타</v>
      </c>
      <c r="B10707" s="2" t="str">
        <f>IFERROR(__xludf.DUMMYFUNCTION("""COMPUTED_VALUE"""),"양파")</f>
        <v>양파</v>
      </c>
    </row>
    <row r="10708">
      <c r="A10708" s="2" t="str">
        <f>IFERROR(__xludf.DUMMYFUNCTION("""COMPUTED_VALUE"""),"라돌체비타")</f>
        <v>라돌체비타</v>
      </c>
      <c r="B10708" s="2" t="str">
        <f>IFERROR(__xludf.DUMMYFUNCTION("""COMPUTED_VALUE"""),"버터")</f>
        <v>버터</v>
      </c>
    </row>
    <row r="10709">
      <c r="A10709" s="2" t="str">
        <f>IFERROR(__xludf.DUMMYFUNCTION("""COMPUTED_VALUE"""),"라돌체비타")</f>
        <v>라돌체비타</v>
      </c>
      <c r="B10709" s="2" t="str">
        <f>IFERROR(__xludf.DUMMYFUNCTION("""COMPUTED_VALUE"""),"밀가루")</f>
        <v>밀가루</v>
      </c>
    </row>
    <row r="10710">
      <c r="A10710" s="2" t="str">
        <f>IFERROR(__xludf.DUMMYFUNCTION("""COMPUTED_VALUE"""),"라돌체비타")</f>
        <v>라돌체비타</v>
      </c>
      <c r="B10710" s="2" t="str">
        <f>IFERROR(__xludf.DUMMYFUNCTION("""COMPUTED_VALUE"""),"된장")</f>
        <v>된장</v>
      </c>
    </row>
    <row r="10711">
      <c r="A10711" s="2" t="str">
        <f>IFERROR(__xludf.DUMMYFUNCTION("""COMPUTED_VALUE"""),"라돌체비타")</f>
        <v>라돌체비타</v>
      </c>
      <c r="B10711" s="2" t="str">
        <f>IFERROR(__xludf.DUMMYFUNCTION("""COMPUTED_VALUE"""),"설탕")</f>
        <v>설탕</v>
      </c>
    </row>
    <row r="10712">
      <c r="A10712" s="2" t="str">
        <f>IFERROR(__xludf.DUMMYFUNCTION("""COMPUTED_VALUE"""),"라돌체비타")</f>
        <v>라돌체비타</v>
      </c>
      <c r="B10712" s="2" t="str">
        <f>IFERROR(__xludf.DUMMYFUNCTION("""COMPUTED_VALUE"""),"식초")</f>
        <v>식초</v>
      </c>
    </row>
    <row r="10713">
      <c r="A10713" s="2" t="str">
        <f>IFERROR(__xludf.DUMMYFUNCTION("""COMPUTED_VALUE"""),"술 당길 만두 하지")</f>
        <v>술 당길 만두 하지</v>
      </c>
      <c r="B10713" s="2" t="str">
        <f>IFERROR(__xludf.DUMMYFUNCTION("""COMPUTED_VALUE"""),"두부")</f>
        <v>두부</v>
      </c>
    </row>
    <row r="10714">
      <c r="A10714" s="2" t="str">
        <f>IFERROR(__xludf.DUMMYFUNCTION("""COMPUTED_VALUE"""),"술 당길 만두 하지")</f>
        <v>술 당길 만두 하지</v>
      </c>
      <c r="B10714" s="2" t="str">
        <f>IFERROR(__xludf.DUMMYFUNCTION("""COMPUTED_VALUE"""),"새우")</f>
        <v>새우</v>
      </c>
    </row>
    <row r="10715">
      <c r="A10715" s="2" t="str">
        <f>IFERROR(__xludf.DUMMYFUNCTION("""COMPUTED_VALUE"""),"술 당길 만두 하지")</f>
        <v>술 당길 만두 하지</v>
      </c>
      <c r="B10715" s="2" t="str">
        <f>IFERROR(__xludf.DUMMYFUNCTION("""COMPUTED_VALUE"""),"우유")</f>
        <v>우유</v>
      </c>
    </row>
    <row r="10716">
      <c r="A10716" s="2" t="str">
        <f>IFERROR(__xludf.DUMMYFUNCTION("""COMPUTED_VALUE"""),"술 당길 만두 하지")</f>
        <v>술 당길 만두 하지</v>
      </c>
      <c r="B10716" s="2" t="str">
        <f>IFERROR(__xludf.DUMMYFUNCTION("""COMPUTED_VALUE"""),"삼겹살")</f>
        <v>삼겹살</v>
      </c>
    </row>
    <row r="10717">
      <c r="A10717" s="2" t="str">
        <f>IFERROR(__xludf.DUMMYFUNCTION("""COMPUTED_VALUE"""),"술 당길 만두 하지")</f>
        <v>술 당길 만두 하지</v>
      </c>
      <c r="B10717" s="2" t="str">
        <f>IFERROR(__xludf.DUMMYFUNCTION("""COMPUTED_VALUE"""),"소고기안심")</f>
        <v>소고기안심</v>
      </c>
    </row>
    <row r="10718">
      <c r="A10718" s="2" t="str">
        <f>IFERROR(__xludf.DUMMYFUNCTION("""COMPUTED_VALUE"""),"술 당길 만두 하지")</f>
        <v>술 당길 만두 하지</v>
      </c>
      <c r="B10718" s="2" t="str">
        <f>IFERROR(__xludf.DUMMYFUNCTION("""COMPUTED_VALUE"""),"부추")</f>
        <v>부추</v>
      </c>
    </row>
    <row r="10719">
      <c r="A10719" s="2" t="str">
        <f>IFERROR(__xludf.DUMMYFUNCTION("""COMPUTED_VALUE"""),"술 당길 만두 하지")</f>
        <v>술 당길 만두 하지</v>
      </c>
      <c r="B10719" s="2" t="str">
        <f>IFERROR(__xludf.DUMMYFUNCTION("""COMPUTED_VALUE"""),"쌈장")</f>
        <v>쌈장</v>
      </c>
    </row>
    <row r="10720">
      <c r="A10720" s="2" t="str">
        <f>IFERROR(__xludf.DUMMYFUNCTION("""COMPUTED_VALUE"""),"술 당길 만두 하지")</f>
        <v>술 당길 만두 하지</v>
      </c>
      <c r="B10720" s="2" t="str">
        <f>IFERROR(__xludf.DUMMYFUNCTION("""COMPUTED_VALUE"""),"만두피")</f>
        <v>만두피</v>
      </c>
    </row>
    <row r="10721">
      <c r="A10721" s="2" t="str">
        <f>IFERROR(__xludf.DUMMYFUNCTION("""COMPUTED_VALUE"""),"술 당길 만두 하지")</f>
        <v>술 당길 만두 하지</v>
      </c>
      <c r="B10721" s="2" t="str">
        <f>IFERROR(__xludf.DUMMYFUNCTION("""COMPUTED_VALUE"""),"데친 시금치")</f>
        <v>데친 시금치</v>
      </c>
    </row>
    <row r="10722">
      <c r="A10722" s="2" t="str">
        <f>IFERROR(__xludf.DUMMYFUNCTION("""COMPUTED_VALUE"""),"술 당길 만두 하지")</f>
        <v>술 당길 만두 하지</v>
      </c>
      <c r="B10722" s="2" t="str">
        <f>IFERROR(__xludf.DUMMYFUNCTION("""COMPUTED_VALUE"""),"굴소스")</f>
        <v>굴소스</v>
      </c>
    </row>
    <row r="10723">
      <c r="A10723" s="2" t="str">
        <f>IFERROR(__xludf.DUMMYFUNCTION("""COMPUTED_VALUE"""),"술 당길 만두 하지")</f>
        <v>술 당길 만두 하지</v>
      </c>
      <c r="B10723" s="2" t="str">
        <f>IFERROR(__xludf.DUMMYFUNCTION("""COMPUTED_VALUE"""),"파르메산치즈가루")</f>
        <v>파르메산치즈가루</v>
      </c>
    </row>
    <row r="10724">
      <c r="A10724" s="2" t="str">
        <f>IFERROR(__xludf.DUMMYFUNCTION("""COMPUTED_VALUE"""),"술 당길 만두 하지")</f>
        <v>술 당길 만두 하지</v>
      </c>
      <c r="B10724" s="2" t="str">
        <f>IFERROR(__xludf.DUMMYFUNCTION("""COMPUTED_VALUE"""),"모차렐라치즈")</f>
        <v>모차렐라치즈</v>
      </c>
    </row>
    <row r="10725">
      <c r="A10725" s="2" t="str">
        <f>IFERROR(__xludf.DUMMYFUNCTION("""COMPUTED_VALUE"""),"술 당길 만두 하지")</f>
        <v>술 당길 만두 하지</v>
      </c>
      <c r="B10725" s="2" t="str">
        <f>IFERROR(__xludf.DUMMYFUNCTION("""COMPUTED_VALUE"""),"양파")</f>
        <v>양파</v>
      </c>
    </row>
    <row r="10726">
      <c r="A10726" s="2" t="str">
        <f>IFERROR(__xludf.DUMMYFUNCTION("""COMPUTED_VALUE"""),"술 당길 만두 하지")</f>
        <v>술 당길 만두 하지</v>
      </c>
      <c r="B10726" s="2" t="str">
        <f>IFERROR(__xludf.DUMMYFUNCTION("""COMPUTED_VALUE"""),"대파")</f>
        <v>대파</v>
      </c>
    </row>
    <row r="10727">
      <c r="A10727" s="2" t="str">
        <f>IFERROR(__xludf.DUMMYFUNCTION("""COMPUTED_VALUE"""),"술 당길 만두 하지")</f>
        <v>술 당길 만두 하지</v>
      </c>
      <c r="B10727" s="2" t="str">
        <f>IFERROR(__xludf.DUMMYFUNCTION("""COMPUTED_VALUE"""),"당근")</f>
        <v>당근</v>
      </c>
    </row>
    <row r="10728">
      <c r="A10728" s="2" t="str">
        <f>IFERROR(__xludf.DUMMYFUNCTION("""COMPUTED_VALUE"""),"술 당길 만두 하지")</f>
        <v>술 당길 만두 하지</v>
      </c>
      <c r="B10728" s="2" t="str">
        <f>IFERROR(__xludf.DUMMYFUNCTION("""COMPUTED_VALUE"""),"마늘")</f>
        <v>마늘</v>
      </c>
    </row>
    <row r="10729">
      <c r="A10729" s="2" t="str">
        <f>IFERROR(__xludf.DUMMYFUNCTION("""COMPUTED_VALUE"""),"술 당길 만두 하지")</f>
        <v>술 당길 만두 하지</v>
      </c>
      <c r="B10729" s="2" t="str">
        <f>IFERROR(__xludf.DUMMYFUNCTION("""COMPUTED_VALUE"""),"맛술")</f>
        <v>맛술</v>
      </c>
    </row>
    <row r="10730">
      <c r="A10730" s="2" t="str">
        <f>IFERROR(__xludf.DUMMYFUNCTION("""COMPUTED_VALUE"""),"술 당길 만두 하지")</f>
        <v>술 당길 만두 하지</v>
      </c>
      <c r="B10730" s="2" t="str">
        <f>IFERROR(__xludf.DUMMYFUNCTION("""COMPUTED_VALUE"""),"버터")</f>
        <v>버터</v>
      </c>
    </row>
    <row r="10731">
      <c r="A10731" s="2" t="str">
        <f>IFERROR(__xludf.DUMMYFUNCTION("""COMPUTED_VALUE"""),"술 당길 만두 하지")</f>
        <v>술 당길 만두 하지</v>
      </c>
      <c r="B10731" s="2" t="str">
        <f>IFERROR(__xludf.DUMMYFUNCTION("""COMPUTED_VALUE"""),"밀가루")</f>
        <v>밀가루</v>
      </c>
    </row>
    <row r="10732">
      <c r="A10732" s="2" t="str">
        <f>IFERROR(__xludf.DUMMYFUNCTION("""COMPUTED_VALUE"""),"술 당길 만두 하지")</f>
        <v>술 당길 만두 하지</v>
      </c>
      <c r="B10732" s="2" t="str">
        <f>IFERROR(__xludf.DUMMYFUNCTION("""COMPUTED_VALUE"""),"다진 마늘")</f>
        <v>다진 마늘</v>
      </c>
    </row>
    <row r="10733">
      <c r="A10733" s="2" t="str">
        <f>IFERROR(__xludf.DUMMYFUNCTION("""COMPUTED_VALUE"""),"술 당길 만두 하지")</f>
        <v>술 당길 만두 하지</v>
      </c>
      <c r="B10733" s="2" t="str">
        <f>IFERROR(__xludf.DUMMYFUNCTION("""COMPUTED_VALUE"""),"쌈장")</f>
        <v>쌈장</v>
      </c>
    </row>
    <row r="10734">
      <c r="A10734" s="2" t="str">
        <f>IFERROR(__xludf.DUMMYFUNCTION("""COMPUTED_VALUE"""),"술 당길 만두 하지")</f>
        <v>술 당길 만두 하지</v>
      </c>
      <c r="B10734" s="2" t="str">
        <f>IFERROR(__xludf.DUMMYFUNCTION("""COMPUTED_VALUE"""),"후추")</f>
        <v>후추</v>
      </c>
    </row>
    <row r="10735">
      <c r="A10735" s="2" t="str">
        <f>IFERROR(__xludf.DUMMYFUNCTION("""COMPUTED_VALUE"""),"술 당길 만두 하지")</f>
        <v>술 당길 만두 하지</v>
      </c>
      <c r="B10735" s="2" t="str">
        <f>IFERROR(__xludf.DUMMYFUNCTION("""COMPUTED_VALUE"""),"소금")</f>
        <v>소금</v>
      </c>
    </row>
    <row r="10736">
      <c r="A10736" s="2" t="str">
        <f>IFERROR(__xludf.DUMMYFUNCTION("""COMPUTED_VALUE"""),"술 당길 만두 하지")</f>
        <v>술 당길 만두 하지</v>
      </c>
      <c r="B10736" s="2" t="str">
        <f>IFERROR(__xludf.DUMMYFUNCTION("""COMPUTED_VALUE"""),"간장")</f>
        <v>간장</v>
      </c>
    </row>
    <row r="10737">
      <c r="A10737" s="2" t="str">
        <f>IFERROR(__xludf.DUMMYFUNCTION("""COMPUTED_VALUE"""),"술 당길 만두 하지")</f>
        <v>술 당길 만두 하지</v>
      </c>
      <c r="B10737" s="2" t="str">
        <f>IFERROR(__xludf.DUMMYFUNCTION("""COMPUTED_VALUE"""),"식초")</f>
        <v>식초</v>
      </c>
    </row>
    <row r="10738">
      <c r="A10738" s="2" t="str">
        <f>IFERROR(__xludf.DUMMYFUNCTION("""COMPUTED_VALUE"""),"술 당길 만두 하지")</f>
        <v>술 당길 만두 하지</v>
      </c>
      <c r="B10738" s="2" t="str">
        <f>IFERROR(__xludf.DUMMYFUNCTION("""COMPUTED_VALUE"""),"연겨자")</f>
        <v>연겨자</v>
      </c>
    </row>
    <row r="10739">
      <c r="A10739" s="2" t="str">
        <f>IFERROR(__xludf.DUMMYFUNCTION("""COMPUTED_VALUE"""),"불금 가즈아!")</f>
        <v>불금 가즈아!</v>
      </c>
      <c r="B10739" s="2" t="str">
        <f>IFERROR(__xludf.DUMMYFUNCTION("""COMPUTED_VALUE"""),"소갈빗살")</f>
        <v>소갈빗살</v>
      </c>
    </row>
    <row r="10740">
      <c r="A10740" s="2" t="str">
        <f>IFERROR(__xludf.DUMMYFUNCTION("""COMPUTED_VALUE"""),"불금 가즈아!")</f>
        <v>불금 가즈아!</v>
      </c>
      <c r="B10740" s="2" t="str">
        <f>IFERROR(__xludf.DUMMYFUNCTION("""COMPUTED_VALUE"""),"우유")</f>
        <v>우유</v>
      </c>
    </row>
    <row r="10741">
      <c r="A10741" s="2" t="str">
        <f>IFERROR(__xludf.DUMMYFUNCTION("""COMPUTED_VALUE"""),"불금 가즈아!")</f>
        <v>불금 가즈아!</v>
      </c>
      <c r="B10741" s="2" t="str">
        <f>IFERROR(__xludf.DUMMYFUNCTION("""COMPUTED_VALUE"""),"데친 시금치")</f>
        <v>데친 시금치</v>
      </c>
    </row>
    <row r="10742">
      <c r="A10742" s="2" t="str">
        <f>IFERROR(__xludf.DUMMYFUNCTION("""COMPUTED_VALUE"""),"불금 가즈아!")</f>
        <v>불금 가즈아!</v>
      </c>
      <c r="B10742" s="2" t="str">
        <f>IFERROR(__xludf.DUMMYFUNCTION("""COMPUTED_VALUE"""),"파르메산치즈가루")</f>
        <v>파르메산치즈가루</v>
      </c>
    </row>
    <row r="10743">
      <c r="A10743" s="2" t="str">
        <f>IFERROR(__xludf.DUMMYFUNCTION("""COMPUTED_VALUE"""),"불금 가즈아!")</f>
        <v>불금 가즈아!</v>
      </c>
      <c r="B10743" s="2" t="str">
        <f>IFERROR(__xludf.DUMMYFUNCTION("""COMPUTED_VALUE"""),"부추")</f>
        <v>부추</v>
      </c>
    </row>
    <row r="10744">
      <c r="A10744" s="2" t="str">
        <f>IFERROR(__xludf.DUMMYFUNCTION("""COMPUTED_VALUE"""),"불금 가즈아!")</f>
        <v>불금 가즈아!</v>
      </c>
      <c r="B10744" s="2" t="str">
        <f>IFERROR(__xludf.DUMMYFUNCTION("""COMPUTED_VALUE"""),"요거트드레싱")</f>
        <v>요거트드레싱</v>
      </c>
    </row>
    <row r="10745">
      <c r="A10745" s="2" t="str">
        <f>IFERROR(__xludf.DUMMYFUNCTION("""COMPUTED_VALUE"""),"불금 가즈아!")</f>
        <v>불금 가즈아!</v>
      </c>
      <c r="B10745" s="2" t="str">
        <f>IFERROR(__xludf.DUMMYFUNCTION("""COMPUTED_VALUE"""),"양파")</f>
        <v>양파</v>
      </c>
    </row>
    <row r="10746">
      <c r="A10746" s="2" t="str">
        <f>IFERROR(__xludf.DUMMYFUNCTION("""COMPUTED_VALUE"""),"불금 가즈아!")</f>
        <v>불금 가즈아!</v>
      </c>
      <c r="B10746" s="2" t="str">
        <f>IFERROR(__xludf.DUMMYFUNCTION("""COMPUTED_VALUE"""),"마늘")</f>
        <v>마늘</v>
      </c>
    </row>
    <row r="10747">
      <c r="A10747" s="2" t="str">
        <f>IFERROR(__xludf.DUMMYFUNCTION("""COMPUTED_VALUE"""),"불금 가즈아!")</f>
        <v>불금 가즈아!</v>
      </c>
      <c r="B10747" s="2" t="str">
        <f>IFERROR(__xludf.DUMMYFUNCTION("""COMPUTED_VALUE"""),"버터")</f>
        <v>버터</v>
      </c>
    </row>
    <row r="10748">
      <c r="A10748" s="2" t="str">
        <f>IFERROR(__xludf.DUMMYFUNCTION("""COMPUTED_VALUE"""),"불금 가즈아!")</f>
        <v>불금 가즈아!</v>
      </c>
      <c r="B10748" s="2" t="str">
        <f>IFERROR(__xludf.DUMMYFUNCTION("""COMPUTED_VALUE"""),"후추")</f>
        <v>후추</v>
      </c>
    </row>
    <row r="10749">
      <c r="A10749" s="2" t="str">
        <f>IFERROR(__xludf.DUMMYFUNCTION("""COMPUTED_VALUE"""),"불금 가즈아!")</f>
        <v>불금 가즈아!</v>
      </c>
      <c r="B10749" s="2" t="str">
        <f>IFERROR(__xludf.DUMMYFUNCTION("""COMPUTED_VALUE"""),"밀가루")</f>
        <v>밀가루</v>
      </c>
    </row>
    <row r="10750">
      <c r="A10750" s="2" t="str">
        <f>IFERROR(__xludf.DUMMYFUNCTION("""COMPUTED_VALUE"""),"불금 가즈아!")</f>
        <v>불금 가즈아!</v>
      </c>
      <c r="B10750" s="2" t="str">
        <f>IFERROR(__xludf.DUMMYFUNCTION("""COMPUTED_VALUE"""),"소금")</f>
        <v>소금</v>
      </c>
    </row>
    <row r="10751">
      <c r="A10751" s="2" t="str">
        <f>IFERROR(__xludf.DUMMYFUNCTION("""COMPUTED_VALUE"""),"불금 가즈아!")</f>
        <v>불금 가즈아!</v>
      </c>
      <c r="B10751" s="2" t="str">
        <f>IFERROR(__xludf.DUMMYFUNCTION("""COMPUTED_VALUE"""),"청양고추")</f>
        <v>청양고추</v>
      </c>
    </row>
    <row r="10752">
      <c r="A10752" s="2" t="str">
        <f>IFERROR(__xludf.DUMMYFUNCTION("""COMPUTED_VALUE"""),"불금 가즈아!")</f>
        <v>불금 가즈아!</v>
      </c>
      <c r="B10752" s="2" t="str">
        <f>IFERROR(__xludf.DUMMYFUNCTION("""COMPUTED_VALUE"""),"레몬")</f>
        <v>레몬</v>
      </c>
    </row>
    <row r="10753">
      <c r="A10753" s="2" t="str">
        <f>IFERROR(__xludf.DUMMYFUNCTION("""COMPUTED_VALUE"""),"불금 가즈아!")</f>
        <v>불금 가즈아!</v>
      </c>
      <c r="B10753" s="2" t="str">
        <f>IFERROR(__xludf.DUMMYFUNCTION("""COMPUTED_VALUE"""),"다진 마늘")</f>
        <v>다진 마늘</v>
      </c>
    </row>
    <row r="10754">
      <c r="A10754" s="2" t="str">
        <f>IFERROR(__xludf.DUMMYFUNCTION("""COMPUTED_VALUE"""),"냉쌈온쌈")</f>
        <v>냉쌈온쌈</v>
      </c>
      <c r="B10754" s="2" t="str">
        <f>IFERROR(__xludf.DUMMYFUNCTION("""COMPUTED_VALUE"""),"멸치액젓")</f>
        <v>멸치액젓</v>
      </c>
    </row>
    <row r="10755">
      <c r="A10755" s="2" t="str">
        <f>IFERROR(__xludf.DUMMYFUNCTION("""COMPUTED_VALUE"""),"냉쌈온쌈")</f>
        <v>냉쌈온쌈</v>
      </c>
      <c r="B10755" s="2" t="str">
        <f>IFERROR(__xludf.DUMMYFUNCTION("""COMPUTED_VALUE"""),"소고기안심")</f>
        <v>소고기안심</v>
      </c>
    </row>
    <row r="10756">
      <c r="A10756" s="2" t="str">
        <f>IFERROR(__xludf.DUMMYFUNCTION("""COMPUTED_VALUE"""),"냉쌈온쌈")</f>
        <v>냉쌈온쌈</v>
      </c>
      <c r="B10756" s="2" t="str">
        <f>IFERROR(__xludf.DUMMYFUNCTION("""COMPUTED_VALUE"""),"골뱅이")</f>
        <v>골뱅이</v>
      </c>
    </row>
    <row r="10757">
      <c r="A10757" s="2" t="str">
        <f>IFERROR(__xludf.DUMMYFUNCTION("""COMPUTED_VALUE"""),"냉쌈온쌈")</f>
        <v>냉쌈온쌈</v>
      </c>
      <c r="B10757" s="2" t="str">
        <f>IFERROR(__xludf.DUMMYFUNCTION("""COMPUTED_VALUE"""),"달래")</f>
        <v>달래</v>
      </c>
    </row>
    <row r="10758">
      <c r="A10758" s="2" t="str">
        <f>IFERROR(__xludf.DUMMYFUNCTION("""COMPUTED_VALUE"""),"냉쌈온쌈")</f>
        <v>냉쌈온쌈</v>
      </c>
      <c r="B10758" s="2" t="str">
        <f>IFERROR(__xludf.DUMMYFUNCTION("""COMPUTED_VALUE"""),"쌈채소")</f>
        <v>쌈채소</v>
      </c>
    </row>
    <row r="10759">
      <c r="A10759" s="2" t="str">
        <f>IFERROR(__xludf.DUMMYFUNCTION("""COMPUTED_VALUE"""),"냉쌈온쌈")</f>
        <v>냉쌈온쌈</v>
      </c>
      <c r="B10759" s="2" t="str">
        <f>IFERROR(__xludf.DUMMYFUNCTION("""COMPUTED_VALUE"""),"양파")</f>
        <v>양파</v>
      </c>
    </row>
    <row r="10760">
      <c r="A10760" s="2" t="str">
        <f>IFERROR(__xludf.DUMMYFUNCTION("""COMPUTED_VALUE"""),"냉쌈온쌈")</f>
        <v>냉쌈온쌈</v>
      </c>
      <c r="B10760" s="2" t="str">
        <f>IFERROR(__xludf.DUMMYFUNCTION("""COMPUTED_VALUE"""),"고춧가루")</f>
        <v>고춧가루</v>
      </c>
    </row>
    <row r="10761">
      <c r="A10761" s="2" t="str">
        <f>IFERROR(__xludf.DUMMYFUNCTION("""COMPUTED_VALUE"""),"냉쌈온쌈")</f>
        <v>냉쌈온쌈</v>
      </c>
      <c r="B10761" s="2" t="str">
        <f>IFERROR(__xludf.DUMMYFUNCTION("""COMPUTED_VALUE"""),"간장")</f>
        <v>간장</v>
      </c>
    </row>
    <row r="10762">
      <c r="A10762" s="2" t="str">
        <f>IFERROR(__xludf.DUMMYFUNCTION("""COMPUTED_VALUE"""),"냉쌈온쌈")</f>
        <v>냉쌈온쌈</v>
      </c>
      <c r="B10762" s="2" t="str">
        <f>IFERROR(__xludf.DUMMYFUNCTION("""COMPUTED_VALUE"""),"설탕")</f>
        <v>설탕</v>
      </c>
    </row>
    <row r="10763">
      <c r="A10763" s="2" t="str">
        <f>IFERROR(__xludf.DUMMYFUNCTION("""COMPUTED_VALUE"""),"냉쌈온쌈")</f>
        <v>냉쌈온쌈</v>
      </c>
      <c r="B10763" s="2" t="str">
        <f>IFERROR(__xludf.DUMMYFUNCTION("""COMPUTED_VALUE"""),"식초")</f>
        <v>식초</v>
      </c>
    </row>
    <row r="10764">
      <c r="A10764" s="2" t="str">
        <f>IFERROR(__xludf.DUMMYFUNCTION("""COMPUTED_VALUE"""),"냉쌈온쌈")</f>
        <v>냉쌈온쌈</v>
      </c>
      <c r="B10764" s="2" t="str">
        <f>IFERROR(__xludf.DUMMYFUNCTION("""COMPUTED_VALUE"""),"참기름")</f>
        <v>참기름</v>
      </c>
    </row>
    <row r="10765">
      <c r="A10765" s="2" t="str">
        <f>IFERROR(__xludf.DUMMYFUNCTION("""COMPUTED_VALUE"""),"냉쌈온쌈")</f>
        <v>냉쌈온쌈</v>
      </c>
      <c r="B10765" s="2" t="str">
        <f>IFERROR(__xludf.DUMMYFUNCTION("""COMPUTED_VALUE"""),"다진 마늘")</f>
        <v>다진 마늘</v>
      </c>
    </row>
    <row r="10766">
      <c r="A10766" s="2" t="str">
        <f>IFERROR(__xludf.DUMMYFUNCTION("""COMPUTED_VALUE"""),"냉쌈온쌈")</f>
        <v>냉쌈온쌈</v>
      </c>
      <c r="B10766" s="2" t="str">
        <f>IFERROR(__xludf.DUMMYFUNCTION("""COMPUTED_VALUE"""),"후추")</f>
        <v>후추</v>
      </c>
    </row>
    <row r="10767">
      <c r="A10767" s="2" t="str">
        <f>IFERROR(__xludf.DUMMYFUNCTION("""COMPUTED_VALUE"""),"냉쌈온쌈")</f>
        <v>냉쌈온쌈</v>
      </c>
      <c r="B10767" s="2" t="str">
        <f>IFERROR(__xludf.DUMMYFUNCTION("""COMPUTED_VALUE"""),"밀가루")</f>
        <v>밀가루</v>
      </c>
    </row>
    <row r="10768">
      <c r="A10768" s="2" t="str">
        <f>IFERROR(__xludf.DUMMYFUNCTION("""COMPUTED_VALUE"""),"냉쌈온쌈")</f>
        <v>냉쌈온쌈</v>
      </c>
      <c r="B10768" s="2" t="str">
        <f>IFERROR(__xludf.DUMMYFUNCTION("""COMPUTED_VALUE"""),"전분")</f>
        <v>전분</v>
      </c>
    </row>
    <row r="10769">
      <c r="A10769" s="2" t="str">
        <f>IFERROR(__xludf.DUMMYFUNCTION("""COMPUTED_VALUE"""),"냉쌈온쌈")</f>
        <v>냉쌈온쌈</v>
      </c>
      <c r="B10769" s="2" t="str">
        <f>IFERROR(__xludf.DUMMYFUNCTION("""COMPUTED_VALUE"""),"소금")</f>
        <v>소금</v>
      </c>
    </row>
    <row r="10770">
      <c r="A10770" s="2" t="str">
        <f>IFERROR(__xludf.DUMMYFUNCTION("""COMPUTED_VALUE"""),"냉쌈온쌈")</f>
        <v>냉쌈온쌈</v>
      </c>
      <c r="B10770" s="2" t="str">
        <f>IFERROR(__xludf.DUMMYFUNCTION("""COMPUTED_VALUE"""),"깨")</f>
        <v>깨</v>
      </c>
    </row>
    <row r="10771">
      <c r="A10771" s="2" t="str">
        <f>IFERROR(__xludf.DUMMYFUNCTION("""COMPUTED_VALUE"""),"오윤기 쌈밥")</f>
        <v>오윤기 쌈밥</v>
      </c>
      <c r="B10771" s="2" t="str">
        <f>IFERROR(__xludf.DUMMYFUNCTION("""COMPUTED_VALUE"""),"인스턴트 사골곰탕")</f>
        <v>인스턴트 사골곰탕</v>
      </c>
    </row>
    <row r="10772">
      <c r="A10772" s="2" t="str">
        <f>IFERROR(__xludf.DUMMYFUNCTION("""COMPUTED_VALUE"""),"오윤기 쌈밥")</f>
        <v>오윤기 쌈밥</v>
      </c>
      <c r="B10772" s="2" t="str">
        <f>IFERROR(__xludf.DUMMYFUNCTION("""COMPUTED_VALUE"""),"두부")</f>
        <v>두부</v>
      </c>
    </row>
    <row r="10773">
      <c r="A10773" s="2" t="str">
        <f>IFERROR(__xludf.DUMMYFUNCTION("""COMPUTED_VALUE"""),"오윤기 쌈밥")</f>
        <v>오윤기 쌈밥</v>
      </c>
      <c r="B10773" s="2" t="str">
        <f>IFERROR(__xludf.DUMMYFUNCTION("""COMPUTED_VALUE"""),"부추")</f>
        <v>부추</v>
      </c>
    </row>
    <row r="10774">
      <c r="A10774" s="2" t="str">
        <f>IFERROR(__xludf.DUMMYFUNCTION("""COMPUTED_VALUE"""),"오윤기 쌈밥")</f>
        <v>오윤기 쌈밥</v>
      </c>
      <c r="B10774" s="2" t="str">
        <f>IFERROR(__xludf.DUMMYFUNCTION("""COMPUTED_VALUE"""),"맛타리버섯")</f>
        <v>맛타리버섯</v>
      </c>
    </row>
    <row r="10775">
      <c r="A10775" s="2" t="str">
        <f>IFERROR(__xludf.DUMMYFUNCTION("""COMPUTED_VALUE"""),"오윤기 쌈밥")</f>
        <v>오윤기 쌈밥</v>
      </c>
      <c r="B10775" s="2" t="str">
        <f>IFERROR(__xludf.DUMMYFUNCTION("""COMPUTED_VALUE"""),"오이")</f>
        <v>오이</v>
      </c>
    </row>
    <row r="10776">
      <c r="A10776" s="2" t="str">
        <f>IFERROR(__xludf.DUMMYFUNCTION("""COMPUTED_VALUE"""),"오윤기 쌈밥")</f>
        <v>오윤기 쌈밥</v>
      </c>
      <c r="B10776" s="2" t="str">
        <f>IFERROR(__xludf.DUMMYFUNCTION("""COMPUTED_VALUE"""),"소고기고추장볶음")</f>
        <v>소고기고추장볶음</v>
      </c>
    </row>
    <row r="10777">
      <c r="A10777" s="2" t="str">
        <f>IFERROR(__xludf.DUMMYFUNCTION("""COMPUTED_VALUE"""),"오윤기 쌈밥")</f>
        <v>오윤기 쌈밥</v>
      </c>
      <c r="B10777" s="2" t="str">
        <f>IFERROR(__xludf.DUMMYFUNCTION("""COMPUTED_VALUE"""),"명란젓")</f>
        <v>명란젓</v>
      </c>
    </row>
    <row r="10778">
      <c r="A10778" s="2" t="str">
        <f>IFERROR(__xludf.DUMMYFUNCTION("""COMPUTED_VALUE"""),"오윤기 쌈밥")</f>
        <v>오윤기 쌈밥</v>
      </c>
      <c r="B10778" s="2" t="str">
        <f>IFERROR(__xludf.DUMMYFUNCTION("""COMPUTED_VALUE"""),"파르메산치즈가루")</f>
        <v>파르메산치즈가루</v>
      </c>
    </row>
    <row r="10779">
      <c r="A10779" s="2" t="str">
        <f>IFERROR(__xludf.DUMMYFUNCTION("""COMPUTED_VALUE"""),"오윤기 쌈밥")</f>
        <v>오윤기 쌈밥</v>
      </c>
      <c r="B10779" s="2" t="str">
        <f>IFERROR(__xludf.DUMMYFUNCTION("""COMPUTED_VALUE"""),"감자")</f>
        <v>감자</v>
      </c>
    </row>
    <row r="10780">
      <c r="A10780" s="2" t="str">
        <f>IFERROR(__xludf.DUMMYFUNCTION("""COMPUTED_VALUE"""),"오윤기 쌈밥")</f>
        <v>오윤기 쌈밥</v>
      </c>
      <c r="B10780" s="2" t="str">
        <f>IFERROR(__xludf.DUMMYFUNCTION("""COMPUTED_VALUE"""),"골뱅이")</f>
        <v>골뱅이</v>
      </c>
    </row>
    <row r="10781">
      <c r="A10781" s="2" t="str">
        <f>IFERROR(__xludf.DUMMYFUNCTION("""COMPUTED_VALUE"""),"오윤기 쌈밥")</f>
        <v>오윤기 쌈밥</v>
      </c>
      <c r="B10781" s="2" t="str">
        <f>IFERROR(__xludf.DUMMYFUNCTION("""COMPUTED_VALUE"""),"춘장")</f>
        <v>춘장</v>
      </c>
    </row>
    <row r="10782">
      <c r="A10782" s="2" t="str">
        <f>IFERROR(__xludf.DUMMYFUNCTION("""COMPUTED_VALUE"""),"오윤기 쌈밥")</f>
        <v>오윤기 쌈밥</v>
      </c>
      <c r="B10782" s="2" t="str">
        <f>IFERROR(__xludf.DUMMYFUNCTION("""COMPUTED_VALUE"""),"적겨자잎")</f>
        <v>적겨자잎</v>
      </c>
    </row>
    <row r="10783">
      <c r="A10783" s="2" t="str">
        <f>IFERROR(__xludf.DUMMYFUNCTION("""COMPUTED_VALUE"""),"오윤기 쌈밥")</f>
        <v>오윤기 쌈밥</v>
      </c>
      <c r="B10783" s="2" t="str">
        <f>IFERROR(__xludf.DUMMYFUNCTION("""COMPUTED_VALUE"""),"알배추잎")</f>
        <v>알배추잎</v>
      </c>
    </row>
    <row r="10784">
      <c r="A10784" s="2" t="str">
        <f>IFERROR(__xludf.DUMMYFUNCTION("""COMPUTED_VALUE"""),"오윤기 쌈밥")</f>
        <v>오윤기 쌈밥</v>
      </c>
      <c r="B10784" s="2" t="str">
        <f>IFERROR(__xludf.DUMMYFUNCTION("""COMPUTED_VALUE"""),"소고기안심")</f>
        <v>소고기안심</v>
      </c>
    </row>
    <row r="10785">
      <c r="A10785" s="2" t="str">
        <f>IFERROR(__xludf.DUMMYFUNCTION("""COMPUTED_VALUE"""),"오윤기 쌈밥")</f>
        <v>오윤기 쌈밥</v>
      </c>
      <c r="B10785" s="2" t="str">
        <f>IFERROR(__xludf.DUMMYFUNCTION("""COMPUTED_VALUE"""),"육포")</f>
        <v>육포</v>
      </c>
    </row>
    <row r="10786">
      <c r="A10786" s="2" t="str">
        <f>IFERROR(__xludf.DUMMYFUNCTION("""COMPUTED_VALUE"""),"오윤기 쌈밥")</f>
        <v>오윤기 쌈밥</v>
      </c>
      <c r="B10786" s="2" t="str">
        <f>IFERROR(__xludf.DUMMYFUNCTION("""COMPUTED_VALUE"""),"꽈리고추")</f>
        <v>꽈리고추</v>
      </c>
    </row>
    <row r="10787">
      <c r="A10787" s="2" t="str">
        <f>IFERROR(__xludf.DUMMYFUNCTION("""COMPUTED_VALUE"""),"오윤기 쌈밥")</f>
        <v>오윤기 쌈밥</v>
      </c>
      <c r="B10787" s="2" t="str">
        <f>IFERROR(__xludf.DUMMYFUNCTION("""COMPUTED_VALUE"""),"즉석밥")</f>
        <v>즉석밥</v>
      </c>
    </row>
    <row r="10788">
      <c r="A10788" s="2" t="str">
        <f>IFERROR(__xludf.DUMMYFUNCTION("""COMPUTED_VALUE"""),"오윤기 쌈밥")</f>
        <v>오윤기 쌈밥</v>
      </c>
      <c r="B10788" s="2" t="str">
        <f>IFERROR(__xludf.DUMMYFUNCTION("""COMPUTED_VALUE"""),"소금")</f>
        <v>소금</v>
      </c>
    </row>
    <row r="10789">
      <c r="A10789" s="2" t="str">
        <f>IFERROR(__xludf.DUMMYFUNCTION("""COMPUTED_VALUE"""),"오윤기 쌈밥")</f>
        <v>오윤기 쌈밥</v>
      </c>
      <c r="B10789" s="2" t="str">
        <f>IFERROR(__xludf.DUMMYFUNCTION("""COMPUTED_VALUE"""),"전분")</f>
        <v>전분</v>
      </c>
    </row>
    <row r="10790">
      <c r="A10790" s="2" t="str">
        <f>IFERROR(__xludf.DUMMYFUNCTION("""COMPUTED_VALUE"""),"오윤기 쌈밥")</f>
        <v>오윤기 쌈밥</v>
      </c>
      <c r="B10790" s="2" t="str">
        <f>IFERROR(__xludf.DUMMYFUNCTION("""COMPUTED_VALUE"""),"마요네즈")</f>
        <v>마요네즈</v>
      </c>
    </row>
    <row r="10791">
      <c r="A10791" s="2" t="str">
        <f>IFERROR(__xludf.DUMMYFUNCTION("""COMPUTED_VALUE"""),"오윤기 쌈밥")</f>
        <v>오윤기 쌈밥</v>
      </c>
      <c r="B10791" s="2" t="str">
        <f>IFERROR(__xludf.DUMMYFUNCTION("""COMPUTED_VALUE"""),"된장")</f>
        <v>된장</v>
      </c>
    </row>
    <row r="10792">
      <c r="A10792" s="2" t="str">
        <f>IFERROR(__xludf.DUMMYFUNCTION("""COMPUTED_VALUE"""),"오윤기 쌈밥")</f>
        <v>오윤기 쌈밥</v>
      </c>
      <c r="B10792" s="2" t="str">
        <f>IFERROR(__xludf.DUMMYFUNCTION("""COMPUTED_VALUE"""),"양파")</f>
        <v>양파</v>
      </c>
    </row>
    <row r="10793">
      <c r="A10793" s="2" t="str">
        <f>IFERROR(__xludf.DUMMYFUNCTION("""COMPUTED_VALUE"""),"오윤기 쌈밥")</f>
        <v>오윤기 쌈밥</v>
      </c>
      <c r="B10793" s="2" t="str">
        <f>IFERROR(__xludf.DUMMYFUNCTION("""COMPUTED_VALUE"""),"물엿")</f>
        <v>물엿</v>
      </c>
    </row>
    <row r="10794">
      <c r="A10794" s="2" t="str">
        <f>IFERROR(__xludf.DUMMYFUNCTION("""COMPUTED_VALUE"""),"오윤기 쌈밥")</f>
        <v>오윤기 쌈밥</v>
      </c>
      <c r="B10794" s="2" t="str">
        <f>IFERROR(__xludf.DUMMYFUNCTION("""COMPUTED_VALUE"""),"깨")</f>
        <v>깨</v>
      </c>
    </row>
    <row r="10795">
      <c r="A10795" s="2" t="str">
        <f>IFERROR(__xludf.DUMMYFUNCTION("""COMPUTED_VALUE"""),"복칼로리 피자")</f>
        <v>복칼로리 피자</v>
      </c>
      <c r="B10795" s="2" t="str">
        <f>IFERROR(__xludf.DUMMYFUNCTION("""COMPUTED_VALUE"""),"닭가슴살")</f>
        <v>닭가슴살</v>
      </c>
    </row>
    <row r="10796">
      <c r="A10796" s="2" t="str">
        <f>IFERROR(__xludf.DUMMYFUNCTION("""COMPUTED_VALUE"""),"복칼로리 피자")</f>
        <v>복칼로리 피자</v>
      </c>
      <c r="B10796" s="2" t="str">
        <f>IFERROR(__xludf.DUMMYFUNCTION("""COMPUTED_VALUE"""),"돼지목살")</f>
        <v>돼지목살</v>
      </c>
    </row>
    <row r="10797">
      <c r="A10797" s="2" t="str">
        <f>IFERROR(__xludf.DUMMYFUNCTION("""COMPUTED_VALUE"""),"복칼로리 피자")</f>
        <v>복칼로리 피자</v>
      </c>
      <c r="B10797" s="2" t="str">
        <f>IFERROR(__xludf.DUMMYFUNCTION("""COMPUTED_VALUE"""),"인스턴트 양송이수프")</f>
        <v>인스턴트 양송이수프</v>
      </c>
    </row>
    <row r="10798">
      <c r="A10798" s="2" t="str">
        <f>IFERROR(__xludf.DUMMYFUNCTION("""COMPUTED_VALUE"""),"복칼로리 피자")</f>
        <v>복칼로리 피자</v>
      </c>
      <c r="B10798" s="2" t="str">
        <f>IFERROR(__xludf.DUMMYFUNCTION("""COMPUTED_VALUE"""),"브리치즈")</f>
        <v>브리치즈</v>
      </c>
    </row>
    <row r="10799">
      <c r="A10799" s="2" t="str">
        <f>IFERROR(__xludf.DUMMYFUNCTION("""COMPUTED_VALUE"""),"복칼로리 피자")</f>
        <v>복칼로리 피자</v>
      </c>
      <c r="B10799" s="2" t="str">
        <f>IFERROR(__xludf.DUMMYFUNCTION("""COMPUTED_VALUE"""),"스트링치즈")</f>
        <v>스트링치즈</v>
      </c>
    </row>
    <row r="10800">
      <c r="A10800" s="2" t="str">
        <f>IFERROR(__xludf.DUMMYFUNCTION("""COMPUTED_VALUE"""),"복칼로리 피자")</f>
        <v>복칼로리 피자</v>
      </c>
      <c r="B10800" s="2" t="str">
        <f>IFERROR(__xludf.DUMMYFUNCTION("""COMPUTED_VALUE"""),"게맛살")</f>
        <v>게맛살</v>
      </c>
    </row>
    <row r="10801">
      <c r="A10801" s="2" t="str">
        <f>IFERROR(__xludf.DUMMYFUNCTION("""COMPUTED_VALUE"""),"복칼로리 피자")</f>
        <v>복칼로리 피자</v>
      </c>
      <c r="B10801" s="2" t="str">
        <f>IFERROR(__xludf.DUMMYFUNCTION("""COMPUTED_VALUE"""),"샐러드 채소")</f>
        <v>샐러드 채소</v>
      </c>
    </row>
    <row r="10802">
      <c r="A10802" s="2" t="str">
        <f>IFERROR(__xludf.DUMMYFUNCTION("""COMPUTED_VALUE"""),"복칼로리 피자")</f>
        <v>복칼로리 피자</v>
      </c>
      <c r="B10802" s="2" t="str">
        <f>IFERROR(__xludf.DUMMYFUNCTION("""COMPUTED_VALUE"""),"딸기")</f>
        <v>딸기</v>
      </c>
    </row>
    <row r="10803">
      <c r="A10803" s="2" t="str">
        <f>IFERROR(__xludf.DUMMYFUNCTION("""COMPUTED_VALUE"""),"복칼로리 피자")</f>
        <v>복칼로리 피자</v>
      </c>
      <c r="B10803" s="2" t="str">
        <f>IFERROR(__xludf.DUMMYFUNCTION("""COMPUTED_VALUE"""),"블루베리")</f>
        <v>블루베리</v>
      </c>
    </row>
    <row r="10804">
      <c r="A10804" s="2" t="str">
        <f>IFERROR(__xludf.DUMMYFUNCTION("""COMPUTED_VALUE"""),"복칼로리 피자")</f>
        <v>복칼로리 피자</v>
      </c>
      <c r="B10804" s="2" t="str">
        <f>IFERROR(__xludf.DUMMYFUNCTION("""COMPUTED_VALUE"""),"메이플시럽")</f>
        <v>메이플시럽</v>
      </c>
    </row>
    <row r="10805">
      <c r="A10805" s="2" t="str">
        <f>IFERROR(__xludf.DUMMYFUNCTION("""COMPUTED_VALUE"""),"복칼로리 피자")</f>
        <v>복칼로리 피자</v>
      </c>
      <c r="B10805" s="2" t="str">
        <f>IFERROR(__xludf.DUMMYFUNCTION("""COMPUTED_VALUE"""),"아보카도")</f>
        <v>아보카도</v>
      </c>
    </row>
    <row r="10806">
      <c r="A10806" s="2" t="str">
        <f>IFERROR(__xludf.DUMMYFUNCTION("""COMPUTED_VALUE"""),"복칼로리 피자")</f>
        <v>복칼로리 피자</v>
      </c>
      <c r="B10806" s="2" t="str">
        <f>IFERROR(__xludf.DUMMYFUNCTION("""COMPUTED_VALUE"""),"올리브오일")</f>
        <v>올리브오일</v>
      </c>
    </row>
    <row r="10807">
      <c r="A10807" s="2" t="str">
        <f>IFERROR(__xludf.DUMMYFUNCTION("""COMPUTED_VALUE"""),"복칼로리 피자")</f>
        <v>복칼로리 피자</v>
      </c>
      <c r="B10807" s="2" t="str">
        <f>IFERROR(__xludf.DUMMYFUNCTION("""COMPUTED_VALUE"""),"소금")</f>
        <v>소금</v>
      </c>
    </row>
    <row r="10808">
      <c r="A10808" s="2" t="str">
        <f>IFERROR(__xludf.DUMMYFUNCTION("""COMPUTED_VALUE"""),"복칼로리 피자")</f>
        <v>복칼로리 피자</v>
      </c>
      <c r="B10808" s="2" t="str">
        <f>IFERROR(__xludf.DUMMYFUNCTION("""COMPUTED_VALUE"""),"밀가루")</f>
        <v>밀가루</v>
      </c>
    </row>
    <row r="10809">
      <c r="A10809" s="2" t="str">
        <f>IFERROR(__xludf.DUMMYFUNCTION("""COMPUTED_VALUE"""),"복칼로리 피자")</f>
        <v>복칼로리 피자</v>
      </c>
      <c r="B10809" s="2" t="str">
        <f>IFERROR(__xludf.DUMMYFUNCTION("""COMPUTED_VALUE"""),"다진 마늘")</f>
        <v>다진 마늘</v>
      </c>
    </row>
    <row r="10810">
      <c r="A10810" s="2" t="str">
        <f>IFERROR(__xludf.DUMMYFUNCTION("""COMPUTED_VALUE"""),"복칼로리 피자")</f>
        <v>복칼로리 피자</v>
      </c>
      <c r="B10810" s="2" t="str">
        <f>IFERROR(__xludf.DUMMYFUNCTION("""COMPUTED_VALUE"""),"대파")</f>
        <v>대파</v>
      </c>
    </row>
    <row r="10811">
      <c r="A10811" s="2" t="str">
        <f>IFERROR(__xludf.DUMMYFUNCTION("""COMPUTED_VALUE"""),"복칼로리 피자")</f>
        <v>복칼로리 피자</v>
      </c>
      <c r="B10811" s="2" t="str">
        <f>IFERROR(__xludf.DUMMYFUNCTION("""COMPUTED_VALUE"""),"양파")</f>
        <v>양파</v>
      </c>
    </row>
    <row r="10812">
      <c r="A10812" s="2" t="str">
        <f>IFERROR(__xludf.DUMMYFUNCTION("""COMPUTED_VALUE"""),"복칼로리 피자")</f>
        <v>복칼로리 피자</v>
      </c>
      <c r="B10812" s="2" t="str">
        <f>IFERROR(__xludf.DUMMYFUNCTION("""COMPUTED_VALUE"""),"설탕")</f>
        <v>설탕</v>
      </c>
    </row>
    <row r="10813">
      <c r="A10813" s="2" t="str">
        <f>IFERROR(__xludf.DUMMYFUNCTION("""COMPUTED_VALUE"""),"복칼로리 피자")</f>
        <v>복칼로리 피자</v>
      </c>
      <c r="B10813" s="2" t="str">
        <f>IFERROR(__xludf.DUMMYFUNCTION("""COMPUTED_VALUE"""),"맛술")</f>
        <v>맛술</v>
      </c>
    </row>
    <row r="10814">
      <c r="A10814" s="2" t="str">
        <f>IFERROR(__xludf.DUMMYFUNCTION("""COMPUTED_VALUE"""),"복칼로리 피자")</f>
        <v>복칼로리 피자</v>
      </c>
      <c r="B10814" s="2" t="str">
        <f>IFERROR(__xludf.DUMMYFUNCTION("""COMPUTED_VALUE"""),"간장")</f>
        <v>간장</v>
      </c>
    </row>
    <row r="10815">
      <c r="A10815" s="2" t="str">
        <f>IFERROR(__xludf.DUMMYFUNCTION("""COMPUTED_VALUE"""),"복칼로리 피자")</f>
        <v>복칼로리 피자</v>
      </c>
      <c r="B10815" s="2" t="str">
        <f>IFERROR(__xludf.DUMMYFUNCTION("""COMPUTED_VALUE"""),"후추")</f>
        <v>후추</v>
      </c>
    </row>
    <row r="10816">
      <c r="A10816" s="2" t="str">
        <f>IFERROR(__xludf.DUMMYFUNCTION("""COMPUTED_VALUE"""),"복칼로리 피자")</f>
        <v>복칼로리 피자</v>
      </c>
      <c r="B10816" s="2" t="str">
        <f>IFERROR(__xludf.DUMMYFUNCTION("""COMPUTED_VALUE"""),"버터")</f>
        <v>버터</v>
      </c>
    </row>
    <row r="10817">
      <c r="A10817" s="2" t="str">
        <f>IFERROR(__xludf.DUMMYFUNCTION("""COMPUTED_VALUE"""),"복칼로리 피자")</f>
        <v>복칼로리 피자</v>
      </c>
      <c r="B10817" s="2" t="str">
        <f>IFERROR(__xludf.DUMMYFUNCTION("""COMPUTED_VALUE"""),"케첩")</f>
        <v>케첩</v>
      </c>
    </row>
    <row r="10818">
      <c r="A10818" s="2" t="str">
        <f>IFERROR(__xludf.DUMMYFUNCTION("""COMPUTED_VALUE"""),"복칼로리 피자")</f>
        <v>복칼로리 피자</v>
      </c>
      <c r="B10818" s="2" t="str">
        <f>IFERROR(__xludf.DUMMYFUNCTION("""COMPUTED_VALUE"""),"레몬")</f>
        <v>레몬</v>
      </c>
    </row>
    <row r="10819">
      <c r="A10819" s="2" t="str">
        <f>IFERROR(__xludf.DUMMYFUNCTION("""COMPUTED_VALUE"""),"도리아랑")</f>
        <v>도리아랑</v>
      </c>
      <c r="B10819" s="2" t="str">
        <f>IFERROR(__xludf.DUMMYFUNCTION("""COMPUTED_VALUE"""),"바나나우유")</f>
        <v>바나나우유</v>
      </c>
    </row>
    <row r="10820">
      <c r="A10820" s="2" t="str">
        <f>IFERROR(__xludf.DUMMYFUNCTION("""COMPUTED_VALUE"""),"도리아랑")</f>
        <v>도리아랑</v>
      </c>
      <c r="B10820" s="2" t="str">
        <f>IFERROR(__xludf.DUMMYFUNCTION("""COMPUTED_VALUE"""),"돼지목살")</f>
        <v>돼지목살</v>
      </c>
    </row>
    <row r="10821">
      <c r="A10821" s="2" t="str">
        <f>IFERROR(__xludf.DUMMYFUNCTION("""COMPUTED_VALUE"""),"도리아랑")</f>
        <v>도리아랑</v>
      </c>
      <c r="B10821" s="2" t="str">
        <f>IFERROR(__xludf.DUMMYFUNCTION("""COMPUTED_VALUE"""),"생초콜릿")</f>
        <v>생초콜릿</v>
      </c>
    </row>
    <row r="10822">
      <c r="A10822" s="2" t="str">
        <f>IFERROR(__xludf.DUMMYFUNCTION("""COMPUTED_VALUE"""),"도리아랑")</f>
        <v>도리아랑</v>
      </c>
      <c r="B10822" s="2" t="str">
        <f>IFERROR(__xludf.DUMMYFUNCTION("""COMPUTED_VALUE"""),"꿀")</f>
        <v>꿀</v>
      </c>
    </row>
    <row r="10823">
      <c r="A10823" s="2" t="str">
        <f>IFERROR(__xludf.DUMMYFUNCTION("""COMPUTED_VALUE"""),"도리아랑")</f>
        <v>도리아랑</v>
      </c>
      <c r="B10823" s="2" t="str">
        <f>IFERROR(__xludf.DUMMYFUNCTION("""COMPUTED_VALUE"""),"인스턴트 양송이수프")</f>
        <v>인스턴트 양송이수프</v>
      </c>
    </row>
    <row r="10824">
      <c r="A10824" s="2" t="str">
        <f>IFERROR(__xludf.DUMMYFUNCTION("""COMPUTED_VALUE"""),"도리아랑")</f>
        <v>도리아랑</v>
      </c>
      <c r="B10824" s="2" t="str">
        <f>IFERROR(__xludf.DUMMYFUNCTION("""COMPUTED_VALUE"""),"우유")</f>
        <v>우유</v>
      </c>
    </row>
    <row r="10825">
      <c r="A10825" s="2" t="str">
        <f>IFERROR(__xludf.DUMMYFUNCTION("""COMPUTED_VALUE"""),"도리아랑")</f>
        <v>도리아랑</v>
      </c>
      <c r="B10825" s="2" t="str">
        <f>IFERROR(__xludf.DUMMYFUNCTION("""COMPUTED_VALUE"""),"게맛살")</f>
        <v>게맛살</v>
      </c>
    </row>
    <row r="10826">
      <c r="A10826" s="2" t="str">
        <f>IFERROR(__xludf.DUMMYFUNCTION("""COMPUTED_VALUE"""),"도리아랑")</f>
        <v>도리아랑</v>
      </c>
      <c r="B10826" s="2" t="str">
        <f>IFERROR(__xludf.DUMMYFUNCTION("""COMPUTED_VALUE"""),"딸기")</f>
        <v>딸기</v>
      </c>
    </row>
    <row r="10827">
      <c r="A10827" s="2" t="str">
        <f>IFERROR(__xludf.DUMMYFUNCTION("""COMPUTED_VALUE"""),"도리아랑")</f>
        <v>도리아랑</v>
      </c>
      <c r="B10827" s="2" t="str">
        <f>IFERROR(__xludf.DUMMYFUNCTION("""COMPUTED_VALUE"""),"블루베리")</f>
        <v>블루베리</v>
      </c>
    </row>
    <row r="10828">
      <c r="A10828" s="2" t="str">
        <f>IFERROR(__xludf.DUMMYFUNCTION("""COMPUTED_VALUE"""),"도리아랑")</f>
        <v>도리아랑</v>
      </c>
      <c r="B10828" s="2" t="str">
        <f>IFERROR(__xludf.DUMMYFUNCTION("""COMPUTED_VALUE"""),"살구잼")</f>
        <v>살구잼</v>
      </c>
    </row>
    <row r="10829">
      <c r="A10829" s="2" t="str">
        <f>IFERROR(__xludf.DUMMYFUNCTION("""COMPUTED_VALUE"""),"도리아랑")</f>
        <v>도리아랑</v>
      </c>
      <c r="B10829" s="2" t="str">
        <f>IFERROR(__xludf.DUMMYFUNCTION("""COMPUTED_VALUE"""),"스트링치즈")</f>
        <v>스트링치즈</v>
      </c>
    </row>
    <row r="10830">
      <c r="A10830" s="2" t="str">
        <f>IFERROR(__xludf.DUMMYFUNCTION("""COMPUTED_VALUE"""),"도리아랑")</f>
        <v>도리아랑</v>
      </c>
      <c r="B10830" s="2" t="str">
        <f>IFERROR(__xludf.DUMMYFUNCTION("""COMPUTED_VALUE"""),"달걀")</f>
        <v>달걀</v>
      </c>
    </row>
    <row r="10831">
      <c r="A10831" s="2" t="str">
        <f>IFERROR(__xludf.DUMMYFUNCTION("""COMPUTED_VALUE"""),"도리아랑")</f>
        <v>도리아랑</v>
      </c>
      <c r="B10831" s="2" t="str">
        <f>IFERROR(__xludf.DUMMYFUNCTION("""COMPUTED_VALUE"""),"밀가루")</f>
        <v>밀가루</v>
      </c>
    </row>
    <row r="10832">
      <c r="A10832" s="2" t="str">
        <f>IFERROR(__xludf.DUMMYFUNCTION("""COMPUTED_VALUE"""),"도리아랑")</f>
        <v>도리아랑</v>
      </c>
      <c r="B10832" s="2" t="str">
        <f>IFERROR(__xludf.DUMMYFUNCTION("""COMPUTED_VALUE"""),"설탕")</f>
        <v>설탕</v>
      </c>
    </row>
    <row r="10833">
      <c r="A10833" s="2" t="str">
        <f>IFERROR(__xludf.DUMMYFUNCTION("""COMPUTED_VALUE"""),"도리아랑")</f>
        <v>도리아랑</v>
      </c>
      <c r="B10833" s="2" t="str">
        <f>IFERROR(__xludf.DUMMYFUNCTION("""COMPUTED_VALUE"""),"즉석밥")</f>
        <v>즉석밥</v>
      </c>
    </row>
    <row r="10834">
      <c r="A10834" s="2" t="str">
        <f>IFERROR(__xludf.DUMMYFUNCTION("""COMPUTED_VALUE"""),"도리아랑")</f>
        <v>도리아랑</v>
      </c>
      <c r="B10834" s="2" t="str">
        <f>IFERROR(__xludf.DUMMYFUNCTION("""COMPUTED_VALUE"""),"소금")</f>
        <v>소금</v>
      </c>
    </row>
    <row r="10835">
      <c r="A10835" s="2" t="str">
        <f>IFERROR(__xludf.DUMMYFUNCTION("""COMPUTED_VALUE"""),"도리아랑")</f>
        <v>도리아랑</v>
      </c>
      <c r="B10835" s="2" t="str">
        <f>IFERROR(__xludf.DUMMYFUNCTION("""COMPUTED_VALUE"""),"버터")</f>
        <v>버터</v>
      </c>
    </row>
    <row r="10836">
      <c r="A10836" s="2" t="str">
        <f>IFERROR(__xludf.DUMMYFUNCTION("""COMPUTED_VALUE"""),"도리아랑")</f>
        <v>도리아랑</v>
      </c>
      <c r="B10836" s="2" t="str">
        <f>IFERROR(__xludf.DUMMYFUNCTION("""COMPUTED_VALUE"""),"생초콜릿")</f>
        <v>생초콜릿</v>
      </c>
    </row>
    <row r="10837">
      <c r="A10837" s="2" t="str">
        <f>IFERROR(__xludf.DUMMYFUNCTION("""COMPUTED_VALUE"""),"전주행")</f>
        <v>전주행</v>
      </c>
      <c r="B10837" s="2" t="str">
        <f>IFERROR(__xludf.DUMMYFUNCTION("""COMPUTED_VALUE"""),"돼지목살")</f>
        <v>돼지목살</v>
      </c>
    </row>
    <row r="10838">
      <c r="A10838" s="2" t="str">
        <f>IFERROR(__xludf.DUMMYFUNCTION("""COMPUTED_VALUE"""),"전주행")</f>
        <v>전주행</v>
      </c>
      <c r="B10838" s="2" t="str">
        <f>IFERROR(__xludf.DUMMYFUNCTION("""COMPUTED_VALUE"""),"연두부")</f>
        <v>연두부</v>
      </c>
    </row>
    <row r="10839">
      <c r="A10839" s="2" t="str">
        <f>IFERROR(__xludf.DUMMYFUNCTION("""COMPUTED_VALUE"""),"전주행")</f>
        <v>전주행</v>
      </c>
      <c r="B10839" s="2" t="str">
        <f>IFERROR(__xludf.DUMMYFUNCTION("""COMPUTED_VALUE"""),"즉석밥")</f>
        <v>즉석밥</v>
      </c>
    </row>
    <row r="10840">
      <c r="A10840" s="2" t="str">
        <f>IFERROR(__xludf.DUMMYFUNCTION("""COMPUTED_VALUE"""),"전주행")</f>
        <v>전주행</v>
      </c>
      <c r="B10840" s="2" t="str">
        <f>IFERROR(__xludf.DUMMYFUNCTION("""COMPUTED_VALUE"""),"설탕")</f>
        <v>설탕</v>
      </c>
    </row>
    <row r="10841">
      <c r="A10841" s="2" t="str">
        <f>IFERROR(__xludf.DUMMYFUNCTION("""COMPUTED_VALUE"""),"전주행")</f>
        <v>전주행</v>
      </c>
      <c r="B10841" s="2" t="str">
        <f>IFERROR(__xludf.DUMMYFUNCTION("""COMPUTED_VALUE"""),"대파")</f>
        <v>대파</v>
      </c>
    </row>
    <row r="10842">
      <c r="A10842" s="2" t="str">
        <f>IFERROR(__xludf.DUMMYFUNCTION("""COMPUTED_VALUE"""),"전주행")</f>
        <v>전주행</v>
      </c>
      <c r="B10842" s="2" t="str">
        <f>IFERROR(__xludf.DUMMYFUNCTION("""COMPUTED_VALUE"""),"양파")</f>
        <v>양파</v>
      </c>
    </row>
    <row r="10843">
      <c r="A10843" s="2" t="str">
        <f>IFERROR(__xludf.DUMMYFUNCTION("""COMPUTED_VALUE"""),"전주행")</f>
        <v>전주행</v>
      </c>
      <c r="B10843" s="2" t="str">
        <f>IFERROR(__xludf.DUMMYFUNCTION("""COMPUTED_VALUE"""),"홍고추")</f>
        <v>홍고추</v>
      </c>
    </row>
    <row r="10844">
      <c r="A10844" s="2" t="str">
        <f>IFERROR(__xludf.DUMMYFUNCTION("""COMPUTED_VALUE"""),"전주행")</f>
        <v>전주행</v>
      </c>
      <c r="B10844" s="2" t="str">
        <f>IFERROR(__xludf.DUMMYFUNCTION("""COMPUTED_VALUE"""),"고춧가루")</f>
        <v>고춧가루</v>
      </c>
    </row>
    <row r="10845">
      <c r="A10845" s="2" t="str">
        <f>IFERROR(__xludf.DUMMYFUNCTION("""COMPUTED_VALUE"""),"전주행")</f>
        <v>전주행</v>
      </c>
      <c r="B10845" s="2" t="str">
        <f>IFERROR(__xludf.DUMMYFUNCTION("""COMPUTED_VALUE"""),"고추장")</f>
        <v>고추장</v>
      </c>
    </row>
    <row r="10846">
      <c r="A10846" s="2" t="str">
        <f>IFERROR(__xludf.DUMMYFUNCTION("""COMPUTED_VALUE"""),"전주행")</f>
        <v>전주행</v>
      </c>
      <c r="B10846" s="2" t="str">
        <f>IFERROR(__xludf.DUMMYFUNCTION("""COMPUTED_VALUE"""),"간장")</f>
        <v>간장</v>
      </c>
    </row>
    <row r="10847">
      <c r="A10847" s="2" t="str">
        <f>IFERROR(__xludf.DUMMYFUNCTION("""COMPUTED_VALUE"""),"전주행")</f>
        <v>전주행</v>
      </c>
      <c r="B10847" s="2" t="str">
        <f>IFERROR(__xludf.DUMMYFUNCTION("""COMPUTED_VALUE"""),"후추")</f>
        <v>후추</v>
      </c>
    </row>
    <row r="10848">
      <c r="A10848" s="2" t="str">
        <f>IFERROR(__xludf.DUMMYFUNCTION("""COMPUTED_VALUE"""),"전주행")</f>
        <v>전주행</v>
      </c>
      <c r="B10848" s="2" t="str">
        <f>IFERROR(__xludf.DUMMYFUNCTION("""COMPUTED_VALUE"""),"참기름")</f>
        <v>참기름</v>
      </c>
    </row>
    <row r="10849">
      <c r="A10849" s="2" t="str">
        <f>IFERROR(__xludf.DUMMYFUNCTION("""COMPUTED_VALUE"""),"전주행")</f>
        <v>전주행</v>
      </c>
      <c r="B10849" s="2" t="str">
        <f>IFERROR(__xludf.DUMMYFUNCTION("""COMPUTED_VALUE"""),"다진 마늘")</f>
        <v>다진 마늘</v>
      </c>
    </row>
    <row r="10850">
      <c r="A10850" s="2" t="str">
        <f>IFERROR(__xludf.DUMMYFUNCTION("""COMPUTED_VALUE"""),"전주행")</f>
        <v>전주행</v>
      </c>
      <c r="B10850" s="2" t="str">
        <f>IFERROR(__xludf.DUMMYFUNCTION("""COMPUTED_VALUE"""),"맛술")</f>
        <v>맛술</v>
      </c>
    </row>
    <row r="10851">
      <c r="A10851" s="2" t="str">
        <f>IFERROR(__xludf.DUMMYFUNCTION("""COMPUTED_VALUE"""),"전주행")</f>
        <v>전주행</v>
      </c>
      <c r="B10851" s="2" t="str">
        <f>IFERROR(__xludf.DUMMYFUNCTION("""COMPUTED_VALUE"""),"물엿")</f>
        <v>물엿</v>
      </c>
    </row>
    <row r="10852">
      <c r="A10852" s="2" t="str">
        <f>IFERROR(__xludf.DUMMYFUNCTION("""COMPUTED_VALUE"""),"전주행")</f>
        <v>전주행</v>
      </c>
      <c r="B10852" s="2" t="str">
        <f>IFERROR(__xludf.DUMMYFUNCTION("""COMPUTED_VALUE"""),"된장")</f>
        <v>된장</v>
      </c>
    </row>
    <row r="10853">
      <c r="A10853" s="2" t="str">
        <f>IFERROR(__xludf.DUMMYFUNCTION("""COMPUTED_VALUE"""),"전주행")</f>
        <v>전주행</v>
      </c>
      <c r="B10853" s="2" t="str">
        <f>IFERROR(__xludf.DUMMYFUNCTION("""COMPUTED_VALUE"""),"설탕")</f>
        <v>설탕</v>
      </c>
    </row>
    <row r="10854">
      <c r="A10854" s="2" t="str">
        <f>IFERROR(__xludf.DUMMYFUNCTION("""COMPUTED_VALUE"""),"전주행")</f>
        <v>전주행</v>
      </c>
      <c r="B10854" s="2" t="str">
        <f>IFERROR(__xludf.DUMMYFUNCTION("""COMPUTED_VALUE"""),"달걀")</f>
        <v>달걀</v>
      </c>
    </row>
    <row r="10855">
      <c r="A10855" s="2" t="str">
        <f>IFERROR(__xludf.DUMMYFUNCTION("""COMPUTED_VALUE"""),"전주행")</f>
        <v>전주행</v>
      </c>
      <c r="B10855" s="2" t="str">
        <f>IFERROR(__xludf.DUMMYFUNCTION("""COMPUTED_VALUE"""),"케첩")</f>
        <v>케첩</v>
      </c>
    </row>
    <row r="10856">
      <c r="A10856" s="2" t="str">
        <f>IFERROR(__xludf.DUMMYFUNCTION("""COMPUTED_VALUE"""),"집밥 정선생")</f>
        <v>집밥 정선생</v>
      </c>
      <c r="B10856" s="2" t="str">
        <f>IFERROR(__xludf.DUMMYFUNCTION("""COMPUTED_VALUE"""),"돼지목살")</f>
        <v>돼지목살</v>
      </c>
    </row>
    <row r="10857">
      <c r="A10857" s="2" t="str">
        <f>IFERROR(__xludf.DUMMYFUNCTION("""COMPUTED_VALUE"""),"집밥 정선생")</f>
        <v>집밥 정선생</v>
      </c>
      <c r="B10857" s="2" t="str">
        <f>IFERROR(__xludf.DUMMYFUNCTION("""COMPUTED_VALUE"""),"즉석 황태국밥")</f>
        <v>즉석 황태국밥</v>
      </c>
    </row>
    <row r="10858">
      <c r="A10858" s="2" t="str">
        <f>IFERROR(__xludf.DUMMYFUNCTION("""COMPUTED_VALUE"""),"집밥 정선생")</f>
        <v>집밥 정선생</v>
      </c>
      <c r="B10858" s="2" t="str">
        <f>IFERROR(__xludf.DUMMYFUNCTION("""COMPUTED_VALUE"""),"게맛살")</f>
        <v>게맛살</v>
      </c>
    </row>
    <row r="10859">
      <c r="A10859" s="2" t="str">
        <f>IFERROR(__xludf.DUMMYFUNCTION("""COMPUTED_VALUE"""),"집밥 정선생")</f>
        <v>집밥 정선생</v>
      </c>
      <c r="B10859" s="2" t="str">
        <f>IFERROR(__xludf.DUMMYFUNCTION("""COMPUTED_VALUE"""),"블루베리")</f>
        <v>블루베리</v>
      </c>
    </row>
    <row r="10860">
      <c r="A10860" s="2" t="str">
        <f>IFERROR(__xludf.DUMMYFUNCTION("""COMPUTED_VALUE"""),"집밥 정선생")</f>
        <v>집밥 정선생</v>
      </c>
      <c r="B10860" s="2" t="str">
        <f>IFERROR(__xludf.DUMMYFUNCTION("""COMPUTED_VALUE"""),"컵시리얼")</f>
        <v>컵시리얼</v>
      </c>
    </row>
    <row r="10861">
      <c r="A10861" s="2" t="str">
        <f>IFERROR(__xludf.DUMMYFUNCTION("""COMPUTED_VALUE"""),"집밥 정선생")</f>
        <v>집밥 정선생</v>
      </c>
      <c r="B10861" s="2" t="str">
        <f>IFERROR(__xludf.DUMMYFUNCTION("""COMPUTED_VALUE"""),"샐러드 채소")</f>
        <v>샐러드 채소</v>
      </c>
    </row>
    <row r="10862">
      <c r="A10862" s="2" t="str">
        <f>IFERROR(__xludf.DUMMYFUNCTION("""COMPUTED_VALUE"""),"집밥 정선생")</f>
        <v>집밥 정선생</v>
      </c>
      <c r="B10862" s="2" t="str">
        <f>IFERROR(__xludf.DUMMYFUNCTION("""COMPUTED_VALUE"""),"쌀")</f>
        <v>쌀</v>
      </c>
    </row>
    <row r="10863">
      <c r="A10863" s="2" t="str">
        <f>IFERROR(__xludf.DUMMYFUNCTION("""COMPUTED_VALUE"""),"집밥 정선생")</f>
        <v>집밥 정선생</v>
      </c>
      <c r="B10863" s="2" t="str">
        <f>IFERROR(__xludf.DUMMYFUNCTION("""COMPUTED_VALUE"""),"고추장")</f>
        <v>고추장</v>
      </c>
    </row>
    <row r="10864">
      <c r="A10864" s="2" t="str">
        <f>IFERROR(__xludf.DUMMYFUNCTION("""COMPUTED_VALUE"""),"집밥 정선생")</f>
        <v>집밥 정선생</v>
      </c>
      <c r="B10864" s="2" t="str">
        <f>IFERROR(__xludf.DUMMYFUNCTION("""COMPUTED_VALUE"""),"고춧가루")</f>
        <v>고춧가루</v>
      </c>
    </row>
    <row r="10865">
      <c r="A10865" s="2" t="str">
        <f>IFERROR(__xludf.DUMMYFUNCTION("""COMPUTED_VALUE"""),"집밥 정선생")</f>
        <v>집밥 정선생</v>
      </c>
      <c r="B10865" s="2" t="str">
        <f>IFERROR(__xludf.DUMMYFUNCTION("""COMPUTED_VALUE"""),"간장")</f>
        <v>간장</v>
      </c>
    </row>
    <row r="10866">
      <c r="A10866" s="2" t="str">
        <f>IFERROR(__xludf.DUMMYFUNCTION("""COMPUTED_VALUE"""),"집밥 정선생")</f>
        <v>집밥 정선생</v>
      </c>
      <c r="B10866" s="2" t="str">
        <f>IFERROR(__xludf.DUMMYFUNCTION("""COMPUTED_VALUE"""),"물엿")</f>
        <v>물엿</v>
      </c>
    </row>
    <row r="10867">
      <c r="A10867" s="2" t="str">
        <f>IFERROR(__xludf.DUMMYFUNCTION("""COMPUTED_VALUE"""),"집밥 정선생")</f>
        <v>집밥 정선생</v>
      </c>
      <c r="B10867" s="2" t="str">
        <f>IFERROR(__xludf.DUMMYFUNCTION("""COMPUTED_VALUE"""),"설탕")</f>
        <v>설탕</v>
      </c>
    </row>
    <row r="10868">
      <c r="A10868" s="2" t="str">
        <f>IFERROR(__xludf.DUMMYFUNCTION("""COMPUTED_VALUE"""),"집밥 정선생")</f>
        <v>집밥 정선생</v>
      </c>
      <c r="B10868" s="2" t="str">
        <f>IFERROR(__xludf.DUMMYFUNCTION("""COMPUTED_VALUE"""),"다진 마늘")</f>
        <v>다진 마늘</v>
      </c>
    </row>
    <row r="10869">
      <c r="A10869" s="2" t="str">
        <f>IFERROR(__xludf.DUMMYFUNCTION("""COMPUTED_VALUE"""),"집밥 정선생")</f>
        <v>집밥 정선생</v>
      </c>
      <c r="B10869" s="2" t="str">
        <f>IFERROR(__xludf.DUMMYFUNCTION("""COMPUTED_VALUE"""),"맛술")</f>
        <v>맛술</v>
      </c>
    </row>
    <row r="10870">
      <c r="A10870" s="2" t="str">
        <f>IFERROR(__xludf.DUMMYFUNCTION("""COMPUTED_VALUE"""),"집밥 정선생")</f>
        <v>집밥 정선생</v>
      </c>
      <c r="B10870" s="2" t="str">
        <f>IFERROR(__xludf.DUMMYFUNCTION("""COMPUTED_VALUE"""),"양파")</f>
        <v>양파</v>
      </c>
    </row>
    <row r="10871">
      <c r="A10871" s="2" t="str">
        <f>IFERROR(__xludf.DUMMYFUNCTION("""COMPUTED_VALUE"""),"집밥 정선생")</f>
        <v>집밥 정선생</v>
      </c>
      <c r="B10871" s="2" t="str">
        <f>IFERROR(__xludf.DUMMYFUNCTION("""COMPUTED_VALUE"""),"대파")</f>
        <v>대파</v>
      </c>
    </row>
    <row r="10872">
      <c r="A10872" s="2" t="str">
        <f>IFERROR(__xludf.DUMMYFUNCTION("""COMPUTED_VALUE"""),"집밥 정선생")</f>
        <v>집밥 정선생</v>
      </c>
      <c r="B10872" s="2" t="str">
        <f>IFERROR(__xludf.DUMMYFUNCTION("""COMPUTED_VALUE"""),"소금")</f>
        <v>소금</v>
      </c>
    </row>
    <row r="10873">
      <c r="A10873" s="2" t="str">
        <f>IFERROR(__xludf.DUMMYFUNCTION("""COMPUTED_VALUE"""),"집밥 정선생")</f>
        <v>집밥 정선생</v>
      </c>
      <c r="B10873" s="2" t="str">
        <f>IFERROR(__xludf.DUMMYFUNCTION("""COMPUTED_VALUE"""),"마요네즈")</f>
        <v>마요네즈</v>
      </c>
    </row>
    <row r="10874">
      <c r="A10874" s="2" t="str">
        <f>IFERROR(__xludf.DUMMYFUNCTION("""COMPUTED_VALUE"""),"집밥 정선생")</f>
        <v>집밥 정선생</v>
      </c>
      <c r="B10874" s="2" t="str">
        <f>IFERROR(__xludf.DUMMYFUNCTION("""COMPUTED_VALUE"""),"홍고추")</f>
        <v>홍고추</v>
      </c>
    </row>
    <row r="10875">
      <c r="A10875" s="2" t="str">
        <f>IFERROR(__xludf.DUMMYFUNCTION("""COMPUTED_VALUE"""),"집밥 정선생")</f>
        <v>집밥 정선생</v>
      </c>
      <c r="B10875" s="2" t="str">
        <f>IFERROR(__xludf.DUMMYFUNCTION("""COMPUTED_VALUE"""),"참기름")</f>
        <v>참기름</v>
      </c>
    </row>
    <row r="10876">
      <c r="A10876" s="2" t="str">
        <f>IFERROR(__xludf.DUMMYFUNCTION("""COMPUTED_VALUE"""),"집밥 정선생")</f>
        <v>집밥 정선생</v>
      </c>
      <c r="B10876" s="2" t="str">
        <f>IFERROR(__xludf.DUMMYFUNCTION("""COMPUTED_VALUE"""),"깨")</f>
        <v>깨</v>
      </c>
    </row>
    <row r="10877">
      <c r="A10877" s="2" t="str">
        <f>IFERROR(__xludf.DUMMYFUNCTION("""COMPUTED_VALUE"""),"이츠 대파타임")</f>
        <v>이츠 대파타임</v>
      </c>
      <c r="B10877" s="2" t="str">
        <f>IFERROR(__xludf.DUMMYFUNCTION("""COMPUTED_VALUE"""),"소고기등심")</f>
        <v>소고기등심</v>
      </c>
    </row>
    <row r="10878">
      <c r="A10878" s="2" t="str">
        <f>IFERROR(__xludf.DUMMYFUNCTION("""COMPUTED_VALUE"""),"이츠 대파타임")</f>
        <v>이츠 대파타임</v>
      </c>
      <c r="B10878" s="2" t="str">
        <f>IFERROR(__xludf.DUMMYFUNCTION("""COMPUTED_VALUE"""),"핫소스")</f>
        <v>핫소스</v>
      </c>
    </row>
    <row r="10879">
      <c r="A10879" s="2" t="str">
        <f>IFERROR(__xludf.DUMMYFUNCTION("""COMPUTED_VALUE"""),"이츠 대파타임")</f>
        <v>이츠 대파타임</v>
      </c>
      <c r="B10879" s="2" t="str">
        <f>IFERROR(__xludf.DUMMYFUNCTION("""COMPUTED_VALUE"""),"밀가루")</f>
        <v>밀가루</v>
      </c>
    </row>
    <row r="10880">
      <c r="A10880" s="2" t="str">
        <f>IFERROR(__xludf.DUMMYFUNCTION("""COMPUTED_VALUE"""),"이츠 대파타임")</f>
        <v>이츠 대파타임</v>
      </c>
      <c r="B10880" s="2" t="str">
        <f>IFERROR(__xludf.DUMMYFUNCTION("""COMPUTED_VALUE"""),"달걀")</f>
        <v>달걀</v>
      </c>
    </row>
    <row r="10881">
      <c r="A10881" s="2" t="str">
        <f>IFERROR(__xludf.DUMMYFUNCTION("""COMPUTED_VALUE"""),"이츠 대파타임")</f>
        <v>이츠 대파타임</v>
      </c>
      <c r="B10881" s="2" t="str">
        <f>IFERROR(__xludf.DUMMYFUNCTION("""COMPUTED_VALUE"""),"청양고추")</f>
        <v>청양고추</v>
      </c>
    </row>
    <row r="10882">
      <c r="A10882" s="2" t="str">
        <f>IFERROR(__xludf.DUMMYFUNCTION("""COMPUTED_VALUE"""),"이츠 대파타임")</f>
        <v>이츠 대파타임</v>
      </c>
      <c r="B10882" s="2" t="str">
        <f>IFERROR(__xludf.DUMMYFUNCTION("""COMPUTED_VALUE"""),"전분")</f>
        <v>전분</v>
      </c>
    </row>
    <row r="10883">
      <c r="A10883" s="2" t="str">
        <f>IFERROR(__xludf.DUMMYFUNCTION("""COMPUTED_VALUE"""),"이츠 대파타임")</f>
        <v>이츠 대파타임</v>
      </c>
      <c r="B10883" s="2" t="str">
        <f>IFERROR(__xludf.DUMMYFUNCTION("""COMPUTED_VALUE"""),"마늘")</f>
        <v>마늘</v>
      </c>
    </row>
    <row r="10884">
      <c r="A10884" s="2" t="str">
        <f>IFERROR(__xludf.DUMMYFUNCTION("""COMPUTED_VALUE"""),"이츠 대파타임")</f>
        <v>이츠 대파타임</v>
      </c>
      <c r="B10884" s="2" t="str">
        <f>IFERROR(__xludf.DUMMYFUNCTION("""COMPUTED_VALUE"""),"양파")</f>
        <v>양파</v>
      </c>
    </row>
    <row r="10885">
      <c r="A10885" s="2" t="str">
        <f>IFERROR(__xludf.DUMMYFUNCTION("""COMPUTED_VALUE"""),"이츠 대파타임")</f>
        <v>이츠 대파타임</v>
      </c>
      <c r="B10885" s="2" t="str">
        <f>IFERROR(__xludf.DUMMYFUNCTION("""COMPUTED_VALUE"""),"대파")</f>
        <v>대파</v>
      </c>
    </row>
    <row r="10886">
      <c r="A10886" s="2" t="str">
        <f>IFERROR(__xludf.DUMMYFUNCTION("""COMPUTED_VALUE"""),"이츠 대파타임")</f>
        <v>이츠 대파타임</v>
      </c>
      <c r="B10886" s="2" t="str">
        <f>IFERROR(__xludf.DUMMYFUNCTION("""COMPUTED_VALUE"""),"소금")</f>
        <v>소금</v>
      </c>
    </row>
    <row r="10887">
      <c r="A10887" s="2" t="str">
        <f>IFERROR(__xludf.DUMMYFUNCTION("""COMPUTED_VALUE"""),"이츠 대파타임")</f>
        <v>이츠 대파타임</v>
      </c>
      <c r="B10887" s="2" t="str">
        <f>IFERROR(__xludf.DUMMYFUNCTION("""COMPUTED_VALUE"""),"후추")</f>
        <v>후추</v>
      </c>
    </row>
    <row r="10888">
      <c r="A10888" s="2" t="str">
        <f>IFERROR(__xludf.DUMMYFUNCTION("""COMPUTED_VALUE"""),"이츠 대파타임")</f>
        <v>이츠 대파타임</v>
      </c>
      <c r="B10888" s="2" t="str">
        <f>IFERROR(__xludf.DUMMYFUNCTION("""COMPUTED_VALUE"""),"고춧가루")</f>
        <v>고춧가루</v>
      </c>
    </row>
    <row r="10889">
      <c r="A10889" s="2" t="str">
        <f>IFERROR(__xludf.DUMMYFUNCTION("""COMPUTED_VALUE"""),"이츠 대파타임")</f>
        <v>이츠 대파타임</v>
      </c>
      <c r="B10889" s="2" t="str">
        <f>IFERROR(__xludf.DUMMYFUNCTION("""COMPUTED_VALUE"""),"간장")</f>
        <v>간장</v>
      </c>
    </row>
    <row r="10890">
      <c r="A10890" s="2" t="str">
        <f>IFERROR(__xludf.DUMMYFUNCTION("""COMPUTED_VALUE"""),"이츠 대파타임")</f>
        <v>이츠 대파타임</v>
      </c>
      <c r="B10890" s="2" t="str">
        <f>IFERROR(__xludf.DUMMYFUNCTION("""COMPUTED_VALUE"""),"맛술")</f>
        <v>맛술</v>
      </c>
    </row>
    <row r="10891">
      <c r="A10891" s="2" t="str">
        <f>IFERROR(__xludf.DUMMYFUNCTION("""COMPUTED_VALUE"""),"이츠 대파타임")</f>
        <v>이츠 대파타임</v>
      </c>
      <c r="B10891" s="2" t="str">
        <f>IFERROR(__xludf.DUMMYFUNCTION("""COMPUTED_VALUE"""),"설탕")</f>
        <v>설탕</v>
      </c>
    </row>
    <row r="10892">
      <c r="A10892" s="2" t="str">
        <f>IFERROR(__xludf.DUMMYFUNCTION("""COMPUTED_VALUE"""),"이츠 대파타임")</f>
        <v>이츠 대파타임</v>
      </c>
      <c r="B10892" s="2" t="str">
        <f>IFERROR(__xludf.DUMMYFUNCTION("""COMPUTED_VALUE"""),"올리브오일")</f>
        <v>올리브오일</v>
      </c>
    </row>
    <row r="10893">
      <c r="A10893" s="2" t="str">
        <f>IFERROR(__xludf.DUMMYFUNCTION("""COMPUTED_VALUE"""),"이츠 대파타임")</f>
        <v>이츠 대파타임</v>
      </c>
      <c r="B10893" s="2" t="str">
        <f>IFERROR(__xludf.DUMMYFUNCTION("""COMPUTED_VALUE"""),"레몬")</f>
        <v>레몬</v>
      </c>
    </row>
    <row r="10894">
      <c r="A10894" s="2" t="str">
        <f>IFERROR(__xludf.DUMMYFUNCTION("""COMPUTED_VALUE"""),"갓다니엘 정식")</f>
        <v>갓다니엘 정식</v>
      </c>
      <c r="B10894" s="2" t="str">
        <f>IFERROR(__xludf.DUMMYFUNCTION("""COMPUTED_VALUE"""),"김")</f>
        <v>김</v>
      </c>
    </row>
    <row r="10895">
      <c r="A10895" s="2" t="str">
        <f>IFERROR(__xludf.DUMMYFUNCTION("""COMPUTED_VALUE"""),"갓다니엘 정식")</f>
        <v>갓다니엘 정식</v>
      </c>
      <c r="B10895" s="2" t="str">
        <f>IFERROR(__xludf.DUMMYFUNCTION("""COMPUTED_VALUE"""),"소고기등심")</f>
        <v>소고기등심</v>
      </c>
    </row>
    <row r="10896">
      <c r="A10896" s="2" t="str">
        <f>IFERROR(__xludf.DUMMYFUNCTION("""COMPUTED_VALUE"""),"갓다니엘 정식")</f>
        <v>갓다니엘 정식</v>
      </c>
      <c r="B10896" s="2" t="str">
        <f>IFERROR(__xludf.DUMMYFUNCTION("""COMPUTED_VALUE"""),"우유")</f>
        <v>우유</v>
      </c>
    </row>
    <row r="10897">
      <c r="A10897" s="2" t="str">
        <f>IFERROR(__xludf.DUMMYFUNCTION("""COMPUTED_VALUE"""),"갓다니엘 정식")</f>
        <v>갓다니엘 정식</v>
      </c>
      <c r="B10897" s="2" t="str">
        <f>IFERROR(__xludf.DUMMYFUNCTION("""COMPUTED_VALUE"""),"슬라이스 모차렐라치즈")</f>
        <v>슬라이스 모차렐라치즈</v>
      </c>
    </row>
    <row r="10898">
      <c r="A10898" s="2" t="str">
        <f>IFERROR(__xludf.DUMMYFUNCTION("""COMPUTED_VALUE"""),"갓다니엘 정식")</f>
        <v>갓다니엘 정식</v>
      </c>
      <c r="B10898" s="2" t="str">
        <f>IFERROR(__xludf.DUMMYFUNCTION("""COMPUTED_VALUE"""),"육포")</f>
        <v>육포</v>
      </c>
    </row>
    <row r="10899">
      <c r="A10899" s="2" t="str">
        <f>IFERROR(__xludf.DUMMYFUNCTION("""COMPUTED_VALUE"""),"갓다니엘 정식")</f>
        <v>갓다니엘 정식</v>
      </c>
      <c r="B10899" s="2" t="str">
        <f>IFERROR(__xludf.DUMMYFUNCTION("""COMPUTED_VALUE"""),"불닭컵라면")</f>
        <v>불닭컵라면</v>
      </c>
    </row>
    <row r="10900">
      <c r="A10900" s="2" t="str">
        <f>IFERROR(__xludf.DUMMYFUNCTION("""COMPUTED_VALUE"""),"갓다니엘 정식")</f>
        <v>갓다니엘 정식</v>
      </c>
      <c r="B10900" s="2" t="str">
        <f>IFERROR(__xludf.DUMMYFUNCTION("""COMPUTED_VALUE"""),"짜장컵라면")</f>
        <v>짜장컵라면</v>
      </c>
    </row>
    <row r="10901">
      <c r="A10901" s="2" t="str">
        <f>IFERROR(__xludf.DUMMYFUNCTION("""COMPUTED_VALUE"""),"갓다니엘 정식")</f>
        <v>갓다니엘 정식</v>
      </c>
      <c r="B10901" s="2" t="str">
        <f>IFERROR(__xludf.DUMMYFUNCTION("""COMPUTED_VALUE"""),"즉석밥")</f>
        <v>즉석밥</v>
      </c>
    </row>
    <row r="10902">
      <c r="A10902" s="2" t="str">
        <f>IFERROR(__xludf.DUMMYFUNCTION("""COMPUTED_VALUE"""),"갓다니엘 정식")</f>
        <v>갓다니엘 정식</v>
      </c>
      <c r="B10902" s="2" t="str">
        <f>IFERROR(__xludf.DUMMYFUNCTION("""COMPUTED_VALUE"""),"소금")</f>
        <v>소금</v>
      </c>
    </row>
    <row r="10903">
      <c r="A10903" s="2" t="str">
        <f>IFERROR(__xludf.DUMMYFUNCTION("""COMPUTED_VALUE"""),"갓다니엘 정식")</f>
        <v>갓다니엘 정식</v>
      </c>
      <c r="B10903" s="2" t="str">
        <f>IFERROR(__xludf.DUMMYFUNCTION("""COMPUTED_VALUE"""),"통후추")</f>
        <v>통후추</v>
      </c>
    </row>
    <row r="10904">
      <c r="A10904" s="2" t="str">
        <f>IFERROR(__xludf.DUMMYFUNCTION("""COMPUTED_VALUE"""),"갓다니엘 정식")</f>
        <v>갓다니엘 정식</v>
      </c>
      <c r="B10904" s="2" t="str">
        <f>IFERROR(__xludf.DUMMYFUNCTION("""COMPUTED_VALUE"""),"양파")</f>
        <v>양파</v>
      </c>
    </row>
    <row r="10905">
      <c r="A10905" s="2" t="str">
        <f>IFERROR(__xludf.DUMMYFUNCTION("""COMPUTED_VALUE"""),"갓다니엘 정식")</f>
        <v>갓다니엘 정식</v>
      </c>
      <c r="B10905" s="2" t="str">
        <f>IFERROR(__xludf.DUMMYFUNCTION("""COMPUTED_VALUE"""),"청양고추")</f>
        <v>청양고추</v>
      </c>
    </row>
    <row r="10906">
      <c r="A10906" s="2" t="str">
        <f>IFERROR(__xludf.DUMMYFUNCTION("""COMPUTED_VALUE"""),"갓다니엘 정식")</f>
        <v>갓다니엘 정식</v>
      </c>
      <c r="B10906" s="2" t="str">
        <f>IFERROR(__xludf.DUMMYFUNCTION("""COMPUTED_VALUE"""),"라면")</f>
        <v>라면</v>
      </c>
    </row>
    <row r="10907">
      <c r="A10907" s="2" t="str">
        <f>IFERROR(__xludf.DUMMYFUNCTION("""COMPUTED_VALUE"""),"갓다니엘 정식")</f>
        <v>갓다니엘 정식</v>
      </c>
      <c r="B10907" s="2" t="str">
        <f>IFERROR(__xludf.DUMMYFUNCTION("""COMPUTED_VALUE"""),"버터")</f>
        <v>버터</v>
      </c>
    </row>
    <row r="10908">
      <c r="A10908" s="2" t="str">
        <f>IFERROR(__xludf.DUMMYFUNCTION("""COMPUTED_VALUE"""),"레옹 정식")</f>
        <v>레옹 정식</v>
      </c>
      <c r="B10908" s="2" t="str">
        <f>IFERROR(__xludf.DUMMYFUNCTION("""COMPUTED_VALUE"""),"삼겹살")</f>
        <v>삼겹살</v>
      </c>
    </row>
    <row r="10909">
      <c r="A10909" s="2" t="str">
        <f>IFERROR(__xludf.DUMMYFUNCTION("""COMPUTED_VALUE"""),"레옹 정식")</f>
        <v>레옹 정식</v>
      </c>
      <c r="B10909" s="2" t="str">
        <f>IFERROR(__xludf.DUMMYFUNCTION("""COMPUTED_VALUE"""),"소고기등심")</f>
        <v>소고기등심</v>
      </c>
    </row>
    <row r="10910">
      <c r="A10910" s="2" t="str">
        <f>IFERROR(__xludf.DUMMYFUNCTION("""COMPUTED_VALUE"""),"레옹 정식")</f>
        <v>레옹 정식</v>
      </c>
      <c r="B10910" s="2" t="str">
        <f>IFERROR(__xludf.DUMMYFUNCTION("""COMPUTED_VALUE"""),"옥수수과자")</f>
        <v>옥수수과자</v>
      </c>
    </row>
    <row r="10911">
      <c r="A10911" s="2" t="str">
        <f>IFERROR(__xludf.DUMMYFUNCTION("""COMPUTED_VALUE"""),"레옹 정식")</f>
        <v>레옹 정식</v>
      </c>
      <c r="B10911" s="2" t="str">
        <f>IFERROR(__xludf.DUMMYFUNCTION("""COMPUTED_VALUE"""),"슬라이스 모차렐라치즈")</f>
        <v>슬라이스 모차렐라치즈</v>
      </c>
    </row>
    <row r="10912">
      <c r="A10912" s="2" t="str">
        <f>IFERROR(__xludf.DUMMYFUNCTION("""COMPUTED_VALUE"""),"레옹 정식")</f>
        <v>레옹 정식</v>
      </c>
      <c r="B10912" s="2" t="str">
        <f>IFERROR(__xludf.DUMMYFUNCTION("""COMPUTED_VALUE"""),"족발")</f>
        <v>족발</v>
      </c>
    </row>
    <row r="10913">
      <c r="A10913" s="2" t="str">
        <f>IFERROR(__xludf.DUMMYFUNCTION("""COMPUTED_VALUE"""),"레옹 정식")</f>
        <v>레옹 정식</v>
      </c>
      <c r="B10913" s="2" t="str">
        <f>IFERROR(__xludf.DUMMYFUNCTION("""COMPUTED_VALUE"""),"상추")</f>
        <v>상추</v>
      </c>
    </row>
    <row r="10914">
      <c r="A10914" s="2" t="str">
        <f>IFERROR(__xludf.DUMMYFUNCTION("""COMPUTED_VALUE"""),"레옹 정식")</f>
        <v>레옹 정식</v>
      </c>
      <c r="B10914" s="2" t="str">
        <f>IFERROR(__xludf.DUMMYFUNCTION("""COMPUTED_VALUE"""),"즉석밥")</f>
        <v>즉석밥</v>
      </c>
    </row>
    <row r="10915">
      <c r="A10915" s="2" t="str">
        <f>IFERROR(__xludf.DUMMYFUNCTION("""COMPUTED_VALUE"""),"레옹 정식")</f>
        <v>레옹 정식</v>
      </c>
      <c r="B10915" s="2" t="str">
        <f>IFERROR(__xludf.DUMMYFUNCTION("""COMPUTED_VALUE"""),"양파")</f>
        <v>양파</v>
      </c>
    </row>
    <row r="10916">
      <c r="A10916" s="2" t="str">
        <f>IFERROR(__xludf.DUMMYFUNCTION("""COMPUTED_VALUE"""),"레옹 정식")</f>
        <v>레옹 정식</v>
      </c>
      <c r="B10916" s="2" t="str">
        <f>IFERROR(__xludf.DUMMYFUNCTION("""COMPUTED_VALUE"""),"소금")</f>
        <v>소금</v>
      </c>
    </row>
    <row r="10917">
      <c r="A10917" s="2" t="str">
        <f>IFERROR(__xludf.DUMMYFUNCTION("""COMPUTED_VALUE"""),"레옹 정식")</f>
        <v>레옹 정식</v>
      </c>
      <c r="B10917" s="2" t="str">
        <f>IFERROR(__xludf.DUMMYFUNCTION("""COMPUTED_VALUE"""),"후추")</f>
        <v>후추</v>
      </c>
    </row>
    <row r="10918">
      <c r="A10918" s="2" t="str">
        <f>IFERROR(__xludf.DUMMYFUNCTION("""COMPUTED_VALUE"""),"레옹 정식")</f>
        <v>레옹 정식</v>
      </c>
      <c r="B10918" s="2" t="str">
        <f>IFERROR(__xludf.DUMMYFUNCTION("""COMPUTED_VALUE"""),"달걀")</f>
        <v>달걀</v>
      </c>
    </row>
    <row r="10919">
      <c r="A10919" s="2" t="str">
        <f>IFERROR(__xludf.DUMMYFUNCTION("""COMPUTED_VALUE"""),"레옹 정식")</f>
        <v>레옹 정식</v>
      </c>
      <c r="B10919" s="2" t="str">
        <f>IFERROR(__xludf.DUMMYFUNCTION("""COMPUTED_VALUE"""),"깨")</f>
        <v>깨</v>
      </c>
    </row>
    <row r="10920">
      <c r="A10920" s="2" t="str">
        <f>IFERROR(__xludf.DUMMYFUNCTION("""COMPUTED_VALUE"""),"레옹 정식")</f>
        <v>레옹 정식</v>
      </c>
      <c r="B10920" s="2" t="str">
        <f>IFERROR(__xludf.DUMMYFUNCTION("""COMPUTED_VALUE"""),"식초")</f>
        <v>식초</v>
      </c>
    </row>
    <row r="10921">
      <c r="A10921" s="2" t="str">
        <f>IFERROR(__xludf.DUMMYFUNCTION("""COMPUTED_VALUE"""),"레옹 정식")</f>
        <v>레옹 정식</v>
      </c>
      <c r="B10921" s="2" t="str">
        <f>IFERROR(__xludf.DUMMYFUNCTION("""COMPUTED_VALUE"""),"대파")</f>
        <v>대파</v>
      </c>
    </row>
    <row r="10922">
      <c r="A10922" s="2" t="str">
        <f>IFERROR(__xludf.DUMMYFUNCTION("""COMPUTED_VALUE"""),"레옹 정식")</f>
        <v>레옹 정식</v>
      </c>
      <c r="B10922" s="2" t="str">
        <f>IFERROR(__xludf.DUMMYFUNCTION("""COMPUTED_VALUE"""),"청양고추")</f>
        <v>청양고추</v>
      </c>
    </row>
    <row r="10923">
      <c r="A10923" s="2" t="str">
        <f>IFERROR(__xludf.DUMMYFUNCTION("""COMPUTED_VALUE"""),"레옹 정식")</f>
        <v>레옹 정식</v>
      </c>
      <c r="B10923" s="2" t="str">
        <f>IFERROR(__xludf.DUMMYFUNCTION("""COMPUTED_VALUE"""),"라면")</f>
        <v>라면</v>
      </c>
    </row>
    <row r="10924">
      <c r="A10924" s="2" t="str">
        <f>IFERROR(__xludf.DUMMYFUNCTION("""COMPUTED_VALUE"""),"카르옹나라")</f>
        <v>카르옹나라</v>
      </c>
      <c r="B10924" s="2" t="str">
        <f>IFERROR(__xludf.DUMMYFUNCTION("""COMPUTED_VALUE"""),"삼겹살")</f>
        <v>삼겹살</v>
      </c>
    </row>
    <row r="10925">
      <c r="A10925" s="2" t="str">
        <f>IFERROR(__xludf.DUMMYFUNCTION("""COMPUTED_VALUE"""),"카르옹나라")</f>
        <v>카르옹나라</v>
      </c>
      <c r="B10925" s="2" t="str">
        <f>IFERROR(__xludf.DUMMYFUNCTION("""COMPUTED_VALUE"""),"쌍화음료")</f>
        <v>쌍화음료</v>
      </c>
    </row>
    <row r="10926">
      <c r="A10926" s="2" t="str">
        <f>IFERROR(__xludf.DUMMYFUNCTION("""COMPUTED_VALUE"""),"카르옹나라")</f>
        <v>카르옹나라</v>
      </c>
      <c r="B10926" s="2" t="str">
        <f>IFERROR(__xludf.DUMMYFUNCTION("""COMPUTED_VALUE"""),"우유")</f>
        <v>우유</v>
      </c>
    </row>
    <row r="10927">
      <c r="A10927" s="2" t="str">
        <f>IFERROR(__xludf.DUMMYFUNCTION("""COMPUTED_VALUE"""),"카르옹나라")</f>
        <v>카르옹나라</v>
      </c>
      <c r="B10927" s="2" t="str">
        <f>IFERROR(__xludf.DUMMYFUNCTION("""COMPUTED_VALUE"""),"슬라이스 모차렐라치즈")</f>
        <v>슬라이스 모차렐라치즈</v>
      </c>
    </row>
    <row r="10928">
      <c r="A10928" s="2" t="str">
        <f>IFERROR(__xludf.DUMMYFUNCTION("""COMPUTED_VALUE"""),"카르옹나라")</f>
        <v>카르옹나라</v>
      </c>
      <c r="B10928" s="2" t="str">
        <f>IFERROR(__xludf.DUMMYFUNCTION("""COMPUTED_VALUE"""),"컵라면")</f>
        <v>컵라면</v>
      </c>
    </row>
    <row r="10929">
      <c r="A10929" s="2" t="str">
        <f>IFERROR(__xludf.DUMMYFUNCTION("""COMPUTED_VALUE"""),"카르옹나라")</f>
        <v>카르옹나라</v>
      </c>
      <c r="B10929" s="2" t="str">
        <f>IFERROR(__xludf.DUMMYFUNCTION("""COMPUTED_VALUE"""),"전분")</f>
        <v>전분</v>
      </c>
    </row>
    <row r="10930">
      <c r="A10930" s="2" t="str">
        <f>IFERROR(__xludf.DUMMYFUNCTION("""COMPUTED_VALUE"""),"카르옹나라")</f>
        <v>카르옹나라</v>
      </c>
      <c r="B10930" s="2" t="str">
        <f>IFERROR(__xludf.DUMMYFUNCTION("""COMPUTED_VALUE"""),"밀가루")</f>
        <v>밀가루</v>
      </c>
    </row>
    <row r="10931">
      <c r="A10931" s="2" t="str">
        <f>IFERROR(__xludf.DUMMYFUNCTION("""COMPUTED_VALUE"""),"카르옹나라")</f>
        <v>카르옹나라</v>
      </c>
      <c r="B10931" s="2" t="str">
        <f>IFERROR(__xludf.DUMMYFUNCTION("""COMPUTED_VALUE"""),"소금")</f>
        <v>소금</v>
      </c>
    </row>
    <row r="10932">
      <c r="A10932" s="2" t="str">
        <f>IFERROR(__xludf.DUMMYFUNCTION("""COMPUTED_VALUE"""),"카르옹나라")</f>
        <v>카르옹나라</v>
      </c>
      <c r="B10932" s="2" t="str">
        <f>IFERROR(__xludf.DUMMYFUNCTION("""COMPUTED_VALUE"""),"간장")</f>
        <v>간장</v>
      </c>
    </row>
    <row r="10933">
      <c r="A10933" s="2" t="str">
        <f>IFERROR(__xludf.DUMMYFUNCTION("""COMPUTED_VALUE"""),"카르옹나라")</f>
        <v>카르옹나라</v>
      </c>
      <c r="B10933" s="2" t="str">
        <f>IFERROR(__xludf.DUMMYFUNCTION("""COMPUTED_VALUE"""),"맛술")</f>
        <v>맛술</v>
      </c>
    </row>
    <row r="10934">
      <c r="A10934" s="2" t="str">
        <f>IFERROR(__xludf.DUMMYFUNCTION("""COMPUTED_VALUE"""),"카르옹나라")</f>
        <v>카르옹나라</v>
      </c>
      <c r="B10934" s="2" t="str">
        <f>IFERROR(__xludf.DUMMYFUNCTION("""COMPUTED_VALUE"""),"양파")</f>
        <v>양파</v>
      </c>
    </row>
    <row r="10935">
      <c r="A10935" s="2" t="str">
        <f>IFERROR(__xludf.DUMMYFUNCTION("""COMPUTED_VALUE"""),"카르옹나라")</f>
        <v>카르옹나라</v>
      </c>
      <c r="B10935" s="2" t="str">
        <f>IFERROR(__xludf.DUMMYFUNCTION("""COMPUTED_VALUE"""),"마늘")</f>
        <v>마늘</v>
      </c>
    </row>
    <row r="10936">
      <c r="A10936" s="2" t="str">
        <f>IFERROR(__xludf.DUMMYFUNCTION("""COMPUTED_VALUE"""),"카르옹나라")</f>
        <v>카르옹나라</v>
      </c>
      <c r="B10936" s="2" t="str">
        <f>IFERROR(__xludf.DUMMYFUNCTION("""COMPUTED_VALUE"""),"버터")</f>
        <v>버터</v>
      </c>
    </row>
    <row r="10937">
      <c r="A10937" s="2" t="str">
        <f>IFERROR(__xludf.DUMMYFUNCTION("""COMPUTED_VALUE"""),"카르옹나라")</f>
        <v>카르옹나라</v>
      </c>
      <c r="B10937" s="2" t="str">
        <f>IFERROR(__xludf.DUMMYFUNCTION("""COMPUTED_VALUE"""),"후추")</f>
        <v>후추</v>
      </c>
    </row>
    <row r="10938">
      <c r="A10938" s="2" t="str">
        <f>IFERROR(__xludf.DUMMYFUNCTION("""COMPUTED_VALUE"""),"카르옹나라")</f>
        <v>카르옹나라</v>
      </c>
      <c r="B10938" s="2" t="str">
        <f>IFERROR(__xludf.DUMMYFUNCTION("""COMPUTED_VALUE"""),"청양고추")</f>
        <v>청양고추</v>
      </c>
    </row>
    <row r="10939">
      <c r="A10939" s="2" t="str">
        <f>IFERROR(__xludf.DUMMYFUNCTION("""COMPUTED_VALUE"""),"게 섞어라")</f>
        <v>게 섞어라</v>
      </c>
      <c r="B10939" s="2" t="str">
        <f>IFERROR(__xludf.DUMMYFUNCTION("""COMPUTED_VALUE"""),"찐 꽃게")</f>
        <v>찐 꽃게</v>
      </c>
    </row>
    <row r="10940">
      <c r="A10940" s="2" t="str">
        <f>IFERROR(__xludf.DUMMYFUNCTION("""COMPUTED_VALUE"""),"게 섞어라")</f>
        <v>게 섞어라</v>
      </c>
      <c r="B10940" s="2" t="str">
        <f>IFERROR(__xludf.DUMMYFUNCTION("""COMPUTED_VALUE"""),"총각김치")</f>
        <v>총각김치</v>
      </c>
    </row>
    <row r="10941">
      <c r="A10941" s="2" t="str">
        <f>IFERROR(__xludf.DUMMYFUNCTION("""COMPUTED_VALUE"""),"게 섞어라")</f>
        <v>게 섞어라</v>
      </c>
      <c r="B10941" s="2" t="str">
        <f>IFERROR(__xludf.DUMMYFUNCTION("""COMPUTED_VALUE"""),"통조림햄")</f>
        <v>통조림햄</v>
      </c>
    </row>
    <row r="10942">
      <c r="A10942" s="2" t="str">
        <f>IFERROR(__xludf.DUMMYFUNCTION("""COMPUTED_VALUE"""),"게 섞어라")</f>
        <v>게 섞어라</v>
      </c>
      <c r="B10942" s="2" t="str">
        <f>IFERROR(__xludf.DUMMYFUNCTION("""COMPUTED_VALUE"""),"소고기안심")</f>
        <v>소고기안심</v>
      </c>
    </row>
    <row r="10943">
      <c r="A10943" s="2" t="str">
        <f>IFERROR(__xludf.DUMMYFUNCTION("""COMPUTED_VALUE"""),"게 섞어라")</f>
        <v>게 섞어라</v>
      </c>
      <c r="B10943" s="2" t="str">
        <f>IFERROR(__xludf.DUMMYFUNCTION("""COMPUTED_VALUE"""),"삶은 옥수수")</f>
        <v>삶은 옥수수</v>
      </c>
    </row>
    <row r="10944">
      <c r="A10944" s="2" t="str">
        <f>IFERROR(__xludf.DUMMYFUNCTION("""COMPUTED_VALUE"""),"게 섞어라")</f>
        <v>게 섞어라</v>
      </c>
      <c r="B10944" s="2" t="str">
        <f>IFERROR(__xludf.DUMMYFUNCTION("""COMPUTED_VALUE"""),"멸치볶음")</f>
        <v>멸치볶음</v>
      </c>
    </row>
    <row r="10945">
      <c r="A10945" s="2" t="str">
        <f>IFERROR(__xludf.DUMMYFUNCTION("""COMPUTED_VALUE"""),"게 섞어라")</f>
        <v>게 섞어라</v>
      </c>
      <c r="B10945" s="2" t="str">
        <f>IFERROR(__xludf.DUMMYFUNCTION("""COMPUTED_VALUE"""),"굴소스")</f>
        <v>굴소스</v>
      </c>
    </row>
    <row r="10946">
      <c r="A10946" s="2" t="str">
        <f>IFERROR(__xludf.DUMMYFUNCTION("""COMPUTED_VALUE"""),"게 섞어라")</f>
        <v>게 섞어라</v>
      </c>
      <c r="B10946" s="2" t="str">
        <f>IFERROR(__xludf.DUMMYFUNCTION("""COMPUTED_VALUE"""),"모차렐라치즈")</f>
        <v>모차렐라치즈</v>
      </c>
    </row>
    <row r="10947">
      <c r="A10947" s="2" t="str">
        <f>IFERROR(__xludf.DUMMYFUNCTION("""COMPUTED_VALUE"""),"게 섞어라")</f>
        <v>게 섞어라</v>
      </c>
      <c r="B10947" s="2" t="str">
        <f>IFERROR(__xludf.DUMMYFUNCTION("""COMPUTED_VALUE"""),"즉석밥")</f>
        <v>즉석밥</v>
      </c>
    </row>
    <row r="10948">
      <c r="A10948" s="2" t="str">
        <f>IFERROR(__xludf.DUMMYFUNCTION("""COMPUTED_VALUE"""),"게 섞어라")</f>
        <v>게 섞어라</v>
      </c>
      <c r="B10948" s="2" t="str">
        <f>IFERROR(__xludf.DUMMYFUNCTION("""COMPUTED_VALUE"""),"버터")</f>
        <v>버터</v>
      </c>
    </row>
    <row r="10949">
      <c r="A10949" s="2" t="str">
        <f>IFERROR(__xludf.DUMMYFUNCTION("""COMPUTED_VALUE"""),"게 섞어라")</f>
        <v>게 섞어라</v>
      </c>
      <c r="B10949" s="2" t="str">
        <f>IFERROR(__xludf.DUMMYFUNCTION("""COMPUTED_VALUE"""),"밀가루")</f>
        <v>밀가루</v>
      </c>
    </row>
    <row r="10950">
      <c r="A10950" s="2" t="str">
        <f>IFERROR(__xludf.DUMMYFUNCTION("""COMPUTED_VALUE"""),"게 섞어라")</f>
        <v>게 섞어라</v>
      </c>
      <c r="B10950" s="2" t="str">
        <f>IFERROR(__xludf.DUMMYFUNCTION("""COMPUTED_VALUE"""),"설탕")</f>
        <v>설탕</v>
      </c>
    </row>
    <row r="10951">
      <c r="A10951" s="2" t="str">
        <f>IFERROR(__xludf.DUMMYFUNCTION("""COMPUTED_VALUE"""),"게 섞어라")</f>
        <v>게 섞어라</v>
      </c>
      <c r="B10951" s="2" t="str">
        <f>IFERROR(__xludf.DUMMYFUNCTION("""COMPUTED_VALUE"""),"고추장")</f>
        <v>고추장</v>
      </c>
    </row>
    <row r="10952">
      <c r="A10952" s="2" t="str">
        <f>IFERROR(__xludf.DUMMYFUNCTION("""COMPUTED_VALUE"""),"게 섞어라")</f>
        <v>게 섞어라</v>
      </c>
      <c r="B10952" s="2" t="str">
        <f>IFERROR(__xludf.DUMMYFUNCTION("""COMPUTED_VALUE"""),"고춧가루")</f>
        <v>고춧가루</v>
      </c>
    </row>
    <row r="10953">
      <c r="A10953" s="2" t="str">
        <f>IFERROR(__xludf.DUMMYFUNCTION("""COMPUTED_VALUE"""),"게 섞어라")</f>
        <v>게 섞어라</v>
      </c>
      <c r="B10953" s="2" t="str">
        <f>IFERROR(__xludf.DUMMYFUNCTION("""COMPUTED_VALUE"""),"굴소스")</f>
        <v>굴소스</v>
      </c>
    </row>
    <row r="10954">
      <c r="A10954" s="2" t="str">
        <f>IFERROR(__xludf.DUMMYFUNCTION("""COMPUTED_VALUE"""),"게 섞어라")</f>
        <v>게 섞어라</v>
      </c>
      <c r="B10954" s="2" t="str">
        <f>IFERROR(__xludf.DUMMYFUNCTION("""COMPUTED_VALUE"""),"대파")</f>
        <v>대파</v>
      </c>
    </row>
    <row r="10955">
      <c r="A10955" s="2" t="str">
        <f>IFERROR(__xludf.DUMMYFUNCTION("""COMPUTED_VALUE"""),"게 섞어라")</f>
        <v>게 섞어라</v>
      </c>
      <c r="B10955" s="2" t="str">
        <f>IFERROR(__xludf.DUMMYFUNCTION("""COMPUTED_VALUE"""),"후추")</f>
        <v>후추</v>
      </c>
    </row>
    <row r="10956">
      <c r="A10956" s="2" t="str">
        <f>IFERROR(__xludf.DUMMYFUNCTION("""COMPUTED_VALUE"""),"게 섞어라")</f>
        <v>게 섞어라</v>
      </c>
      <c r="B10956" s="2" t="str">
        <f>IFERROR(__xludf.DUMMYFUNCTION("""COMPUTED_VALUE"""),"달걀")</f>
        <v>달걀</v>
      </c>
    </row>
    <row r="10957">
      <c r="A10957" s="2" t="str">
        <f>IFERROR(__xludf.DUMMYFUNCTION("""COMPUTED_VALUE"""),"꽃게를 든 남자")</f>
        <v>꽃게를 든 남자</v>
      </c>
      <c r="B10957" s="2" t="str">
        <f>IFERROR(__xludf.DUMMYFUNCTION("""COMPUTED_VALUE"""),"삶은 옥수수")</f>
        <v>삶은 옥수수</v>
      </c>
    </row>
    <row r="10958">
      <c r="A10958" s="2" t="str">
        <f>IFERROR(__xludf.DUMMYFUNCTION("""COMPUTED_VALUE"""),"꽃게를 든 남자")</f>
        <v>꽃게를 든 남자</v>
      </c>
      <c r="B10958" s="2" t="str">
        <f>IFERROR(__xludf.DUMMYFUNCTION("""COMPUTED_VALUE"""),"찐 꽃게")</f>
        <v>찐 꽃게</v>
      </c>
    </row>
    <row r="10959">
      <c r="A10959" s="2" t="str">
        <f>IFERROR(__xludf.DUMMYFUNCTION("""COMPUTED_VALUE"""),"꽃게를 든 남자")</f>
        <v>꽃게를 든 남자</v>
      </c>
      <c r="B10959" s="2" t="str">
        <f>IFERROR(__xludf.DUMMYFUNCTION("""COMPUTED_VALUE"""),"토마토소스")</f>
        <v>토마토소스</v>
      </c>
    </row>
    <row r="10960">
      <c r="A10960" s="2" t="str">
        <f>IFERROR(__xludf.DUMMYFUNCTION("""COMPUTED_VALUE"""),"꽃게를 든 남자")</f>
        <v>꽃게를 든 남자</v>
      </c>
      <c r="B10960" s="2" t="str">
        <f>IFERROR(__xludf.DUMMYFUNCTION("""COMPUTED_VALUE"""),"칼국수라면")</f>
        <v>칼국수라면</v>
      </c>
    </row>
    <row r="10961">
      <c r="A10961" s="2" t="str">
        <f>IFERROR(__xludf.DUMMYFUNCTION("""COMPUTED_VALUE"""),"꽃게를 든 남자")</f>
        <v>꽃게를 든 남자</v>
      </c>
      <c r="B10961" s="2" t="str">
        <f>IFERROR(__xludf.DUMMYFUNCTION("""COMPUTED_VALUE"""),"약밤")</f>
        <v>약밤</v>
      </c>
    </row>
    <row r="10962">
      <c r="A10962" s="2" t="str">
        <f>IFERROR(__xludf.DUMMYFUNCTION("""COMPUTED_VALUE"""),"꽃게를 든 남자")</f>
        <v>꽃게를 든 남자</v>
      </c>
      <c r="B10962" s="2" t="str">
        <f>IFERROR(__xludf.DUMMYFUNCTION("""COMPUTED_VALUE"""),"검은콩두유")</f>
        <v>검은콩두유</v>
      </c>
    </row>
    <row r="10963">
      <c r="A10963" s="2" t="str">
        <f>IFERROR(__xludf.DUMMYFUNCTION("""COMPUTED_VALUE"""),"꽃게를 든 남자")</f>
        <v>꽃게를 든 남자</v>
      </c>
      <c r="B10963" s="2" t="str">
        <f>IFERROR(__xludf.DUMMYFUNCTION("""COMPUTED_VALUE"""),"통조림햄")</f>
        <v>통조림햄</v>
      </c>
    </row>
    <row r="10964">
      <c r="A10964" s="2" t="str">
        <f>IFERROR(__xludf.DUMMYFUNCTION("""COMPUTED_VALUE"""),"꽃게를 든 남자")</f>
        <v>꽃게를 든 남자</v>
      </c>
      <c r="B10964" s="2" t="str">
        <f>IFERROR(__xludf.DUMMYFUNCTION("""COMPUTED_VALUE"""),"김치")</f>
        <v>김치</v>
      </c>
    </row>
    <row r="10965">
      <c r="A10965" s="2" t="str">
        <f>IFERROR(__xludf.DUMMYFUNCTION("""COMPUTED_VALUE"""),"꽃게를 든 남자")</f>
        <v>꽃게를 든 남자</v>
      </c>
      <c r="B10965" s="2" t="str">
        <f>IFERROR(__xludf.DUMMYFUNCTION("""COMPUTED_VALUE"""),"굴소스")</f>
        <v>굴소스</v>
      </c>
    </row>
    <row r="10966">
      <c r="A10966" s="2" t="str">
        <f>IFERROR(__xludf.DUMMYFUNCTION("""COMPUTED_VALUE"""),"꽃게를 든 남자")</f>
        <v>꽃게를 든 남자</v>
      </c>
      <c r="B10966" s="2" t="str">
        <f>IFERROR(__xludf.DUMMYFUNCTION("""COMPUTED_VALUE"""),"양파")</f>
        <v>양파</v>
      </c>
    </row>
    <row r="10967">
      <c r="A10967" s="2" t="str">
        <f>IFERROR(__xludf.DUMMYFUNCTION("""COMPUTED_VALUE"""),"꽃게를 든 남자")</f>
        <v>꽃게를 든 남자</v>
      </c>
      <c r="B10967" s="2" t="str">
        <f>IFERROR(__xludf.DUMMYFUNCTION("""COMPUTED_VALUE"""),"대파")</f>
        <v>대파</v>
      </c>
    </row>
    <row r="10968">
      <c r="A10968" s="2" t="str">
        <f>IFERROR(__xludf.DUMMYFUNCTION("""COMPUTED_VALUE"""),"꽃게를 든 남자")</f>
        <v>꽃게를 든 남자</v>
      </c>
      <c r="B10968" s="2" t="str">
        <f>IFERROR(__xludf.DUMMYFUNCTION("""COMPUTED_VALUE"""),"당근")</f>
        <v>당근</v>
      </c>
    </row>
    <row r="10969">
      <c r="A10969" s="2" t="str">
        <f>IFERROR(__xludf.DUMMYFUNCTION("""COMPUTED_VALUE"""),"꽃게를 든 남자")</f>
        <v>꽃게를 든 남자</v>
      </c>
      <c r="B10969" s="2" t="str">
        <f>IFERROR(__xludf.DUMMYFUNCTION("""COMPUTED_VALUE"""),"마늘")</f>
        <v>마늘</v>
      </c>
    </row>
    <row r="10970">
      <c r="A10970" s="2" t="str">
        <f>IFERROR(__xludf.DUMMYFUNCTION("""COMPUTED_VALUE"""),"꽃게를 든 남자")</f>
        <v>꽃게를 든 남자</v>
      </c>
      <c r="B10970" s="2" t="str">
        <f>IFERROR(__xludf.DUMMYFUNCTION("""COMPUTED_VALUE"""),"된장")</f>
        <v>된장</v>
      </c>
    </row>
    <row r="10971">
      <c r="A10971" s="2" t="str">
        <f>IFERROR(__xludf.DUMMYFUNCTION("""COMPUTED_VALUE"""),"꽃게를 든 남자")</f>
        <v>꽃게를 든 남자</v>
      </c>
      <c r="B10971" s="2" t="str">
        <f>IFERROR(__xludf.DUMMYFUNCTION("""COMPUTED_VALUE"""),"달걀")</f>
        <v>달걀</v>
      </c>
    </row>
    <row r="10972">
      <c r="A10972" s="2" t="str">
        <f>IFERROR(__xludf.DUMMYFUNCTION("""COMPUTED_VALUE"""),"꽃게를 든 남자")</f>
        <v>꽃게를 든 남자</v>
      </c>
      <c r="B10972" s="2" t="str">
        <f>IFERROR(__xludf.DUMMYFUNCTION("""COMPUTED_VALUE"""),"소금")</f>
        <v>소금</v>
      </c>
    </row>
    <row r="10973">
      <c r="A10973" s="2" t="str">
        <f>IFERROR(__xludf.DUMMYFUNCTION("""COMPUTED_VALUE"""),"꽃게를 든 남자")</f>
        <v>꽃게를 든 남자</v>
      </c>
      <c r="B10973" s="2" t="str">
        <f>IFERROR(__xludf.DUMMYFUNCTION("""COMPUTED_VALUE"""),"후추")</f>
        <v>후추</v>
      </c>
    </row>
    <row r="10974">
      <c r="A10974" s="2" t="str">
        <f>IFERROR(__xludf.DUMMYFUNCTION("""COMPUTED_VALUE"""),"꽃게를 든 남자")</f>
        <v>꽃게를 든 남자</v>
      </c>
      <c r="B10974" s="2" t="str">
        <f>IFERROR(__xludf.DUMMYFUNCTION("""COMPUTED_VALUE"""),"올리브오일")</f>
        <v>올리브오일</v>
      </c>
    </row>
    <row r="10975">
      <c r="A10975" s="2" t="str">
        <f>IFERROR(__xludf.DUMMYFUNCTION("""COMPUTED_VALUE"""),"꽃게를 든 남자")</f>
        <v>꽃게를 든 남자</v>
      </c>
      <c r="B10975" s="2" t="str">
        <f>IFERROR(__xludf.DUMMYFUNCTION("""COMPUTED_VALUE"""),"버터")</f>
        <v>버터</v>
      </c>
    </row>
    <row r="10976">
      <c r="A10976" s="2" t="str">
        <f>IFERROR(__xludf.DUMMYFUNCTION("""COMPUTED_VALUE"""),"꽃게를 든 남자")</f>
        <v>꽃게를 든 남자</v>
      </c>
      <c r="B10976" s="2" t="str">
        <f>IFERROR(__xludf.DUMMYFUNCTION("""COMPUTED_VALUE"""),"즉석밥")</f>
        <v>즉석밥</v>
      </c>
    </row>
    <row r="10977">
      <c r="A10977" s="2" t="str">
        <f>IFERROR(__xludf.DUMMYFUNCTION("""COMPUTED_VALUE"""),"꽃게길만 걷자")</f>
        <v>꽃게길만 걷자</v>
      </c>
      <c r="B10977" s="2" t="str">
        <f>IFERROR(__xludf.DUMMYFUNCTION("""COMPUTED_VALUE"""),"김치")</f>
        <v>김치</v>
      </c>
    </row>
    <row r="10978">
      <c r="A10978" s="2" t="str">
        <f>IFERROR(__xludf.DUMMYFUNCTION("""COMPUTED_VALUE"""),"꽃게길만 걷자")</f>
        <v>꽃게길만 걷자</v>
      </c>
      <c r="B10978" s="2" t="str">
        <f>IFERROR(__xludf.DUMMYFUNCTION("""COMPUTED_VALUE"""),"찐 꽃게")</f>
        <v>찐 꽃게</v>
      </c>
    </row>
    <row r="10979">
      <c r="A10979" s="2" t="str">
        <f>IFERROR(__xludf.DUMMYFUNCTION("""COMPUTED_VALUE"""),"꽃게길만 걷자")</f>
        <v>꽃게길만 걷자</v>
      </c>
      <c r="B10979" s="2" t="str">
        <f>IFERROR(__xludf.DUMMYFUNCTION("""COMPUTED_VALUE"""),"소고기안심")</f>
        <v>소고기안심</v>
      </c>
    </row>
    <row r="10980">
      <c r="A10980" s="2" t="str">
        <f>IFERROR(__xludf.DUMMYFUNCTION("""COMPUTED_VALUE"""),"꽃게길만 걷자")</f>
        <v>꽃게길만 걷자</v>
      </c>
      <c r="B10980" s="2" t="str">
        <f>IFERROR(__xludf.DUMMYFUNCTION("""COMPUTED_VALUE"""),"수제육포")</f>
        <v>수제육포</v>
      </c>
    </row>
    <row r="10981">
      <c r="A10981" s="2" t="str">
        <f>IFERROR(__xludf.DUMMYFUNCTION("""COMPUTED_VALUE"""),"꽃게길만 걷자")</f>
        <v>꽃게길만 걷자</v>
      </c>
      <c r="B10981" s="2" t="str">
        <f>IFERROR(__xludf.DUMMYFUNCTION("""COMPUTED_VALUE"""),"인스턴트 만두")</f>
        <v>인스턴트 만두</v>
      </c>
    </row>
    <row r="10982">
      <c r="A10982" s="2" t="str">
        <f>IFERROR(__xludf.DUMMYFUNCTION("""COMPUTED_VALUE"""),"꽃게길만 걷자")</f>
        <v>꽃게길만 걷자</v>
      </c>
      <c r="B10982" s="2" t="str">
        <f>IFERROR(__xludf.DUMMYFUNCTION("""COMPUTED_VALUE"""),"닭갈비")</f>
        <v>닭갈비</v>
      </c>
    </row>
    <row r="10983">
      <c r="A10983" s="2" t="str">
        <f>IFERROR(__xludf.DUMMYFUNCTION("""COMPUTED_VALUE"""),"꽃게길만 걷자")</f>
        <v>꽃게길만 걷자</v>
      </c>
      <c r="B10983" s="2" t="str">
        <f>IFERROR(__xludf.DUMMYFUNCTION("""COMPUTED_VALUE"""),"굴소스")</f>
        <v>굴소스</v>
      </c>
    </row>
    <row r="10984">
      <c r="A10984" s="2" t="str">
        <f>IFERROR(__xludf.DUMMYFUNCTION("""COMPUTED_VALUE"""),"꽃게길만 걷자")</f>
        <v>꽃게길만 걷자</v>
      </c>
      <c r="B10984" s="2" t="str">
        <f>IFERROR(__xludf.DUMMYFUNCTION("""COMPUTED_VALUE"""),"삶은 약밤")</f>
        <v>삶은 약밤</v>
      </c>
    </row>
    <row r="10985">
      <c r="A10985" s="2" t="str">
        <f>IFERROR(__xludf.DUMMYFUNCTION("""COMPUTED_VALUE"""),"꽃게길만 걷자")</f>
        <v>꽃게길만 걷자</v>
      </c>
      <c r="B10985" s="2" t="str">
        <f>IFERROR(__xludf.DUMMYFUNCTION("""COMPUTED_VALUE"""),"쑥개떡")</f>
        <v>쑥개떡</v>
      </c>
    </row>
    <row r="10986">
      <c r="A10986" s="2" t="str">
        <f>IFERROR(__xludf.DUMMYFUNCTION("""COMPUTED_VALUE"""),"꽃게길만 걷자")</f>
        <v>꽃게길만 걷자</v>
      </c>
      <c r="B10986" s="2" t="str">
        <f>IFERROR(__xludf.DUMMYFUNCTION("""COMPUTED_VALUE"""),"대파")</f>
        <v>대파</v>
      </c>
    </row>
    <row r="10987">
      <c r="A10987" s="2" t="str">
        <f>IFERROR(__xludf.DUMMYFUNCTION("""COMPUTED_VALUE"""),"꽃게길만 걷자")</f>
        <v>꽃게길만 걷자</v>
      </c>
      <c r="B10987" s="2" t="str">
        <f>IFERROR(__xludf.DUMMYFUNCTION("""COMPUTED_VALUE"""),"고춧가루")</f>
        <v>고춧가루</v>
      </c>
    </row>
    <row r="10988">
      <c r="A10988" s="2" t="str">
        <f>IFERROR(__xludf.DUMMYFUNCTION("""COMPUTED_VALUE"""),"꽃게길만 걷자")</f>
        <v>꽃게길만 걷자</v>
      </c>
      <c r="B10988" s="2" t="str">
        <f>IFERROR(__xludf.DUMMYFUNCTION("""COMPUTED_VALUE"""),"마늘")</f>
        <v>마늘</v>
      </c>
    </row>
    <row r="10989">
      <c r="A10989" s="2" t="str">
        <f>IFERROR(__xludf.DUMMYFUNCTION("""COMPUTED_VALUE"""),"꽃게길만 걷자")</f>
        <v>꽃게길만 걷자</v>
      </c>
      <c r="B10989" s="2" t="str">
        <f>IFERROR(__xludf.DUMMYFUNCTION("""COMPUTED_VALUE"""),"간장")</f>
        <v>간장</v>
      </c>
    </row>
    <row r="10990">
      <c r="A10990" s="2" t="str">
        <f>IFERROR(__xludf.DUMMYFUNCTION("""COMPUTED_VALUE"""),"꽃게길만 걷자")</f>
        <v>꽃게길만 걷자</v>
      </c>
      <c r="B10990" s="2" t="str">
        <f>IFERROR(__xludf.DUMMYFUNCTION("""COMPUTED_VALUE"""),"청주")</f>
        <v>청주</v>
      </c>
    </row>
    <row r="10991">
      <c r="A10991" s="2" t="str">
        <f>IFERROR(__xludf.DUMMYFUNCTION("""COMPUTED_VALUE"""),"꽃게길만 걷자")</f>
        <v>꽃게길만 걷자</v>
      </c>
      <c r="B10991" s="2" t="str">
        <f>IFERROR(__xludf.DUMMYFUNCTION("""COMPUTED_VALUE"""),"즉석밥")</f>
        <v>즉석밥</v>
      </c>
    </row>
    <row r="10992">
      <c r="A10992" s="2" t="str">
        <f>IFERROR(__xludf.DUMMYFUNCTION("""COMPUTED_VALUE"""),"꽃게길만 걷자")</f>
        <v>꽃게길만 걷자</v>
      </c>
      <c r="B10992" s="2" t="str">
        <f>IFERROR(__xludf.DUMMYFUNCTION("""COMPUTED_VALUE"""),"참기름")</f>
        <v>참기름</v>
      </c>
    </row>
    <row r="10993">
      <c r="A10993" s="2" t="str">
        <f>IFERROR(__xludf.DUMMYFUNCTION("""COMPUTED_VALUE"""),"꽃게길만 걷자")</f>
        <v>꽃게길만 걷자</v>
      </c>
      <c r="B10993" s="2" t="str">
        <f>IFERROR(__xludf.DUMMYFUNCTION("""COMPUTED_VALUE"""),"다진 마늘")</f>
        <v>다진 마늘</v>
      </c>
    </row>
    <row r="10994">
      <c r="A10994" s="2" t="str">
        <f>IFERROR(__xludf.DUMMYFUNCTION("""COMPUTED_VALUE"""),"꽃게길만 걷자")</f>
        <v>꽃게길만 걷자</v>
      </c>
      <c r="B10994" s="2" t="str">
        <f>IFERROR(__xludf.DUMMYFUNCTION("""COMPUTED_VALUE"""),"맛술")</f>
        <v>맛술</v>
      </c>
    </row>
    <row r="10995">
      <c r="A10995" s="2" t="str">
        <f>IFERROR(__xludf.DUMMYFUNCTION("""COMPUTED_VALUE"""),"꽃게길만 걷자")</f>
        <v>꽃게길만 걷자</v>
      </c>
      <c r="B10995" s="2" t="str">
        <f>IFERROR(__xludf.DUMMYFUNCTION("""COMPUTED_VALUE"""),"레몬")</f>
        <v>레몬</v>
      </c>
    </row>
    <row r="10996">
      <c r="A10996" s="2" t="str">
        <f>IFERROR(__xludf.DUMMYFUNCTION("""COMPUTED_VALUE"""),"구구닭")</f>
        <v>구구닭</v>
      </c>
      <c r="B10996" s="2" t="str">
        <f>IFERROR(__xludf.DUMMYFUNCTION("""COMPUTED_VALUE"""),"인스턴트 만두")</f>
        <v>인스턴트 만두</v>
      </c>
    </row>
    <row r="10997">
      <c r="A10997" s="2" t="str">
        <f>IFERROR(__xludf.DUMMYFUNCTION("""COMPUTED_VALUE"""),"구구닭")</f>
        <v>구구닭</v>
      </c>
      <c r="B10997" s="2" t="str">
        <f>IFERROR(__xludf.DUMMYFUNCTION("""COMPUTED_VALUE"""),"닭갈비")</f>
        <v>닭갈비</v>
      </c>
    </row>
    <row r="10998">
      <c r="A10998" s="2" t="str">
        <f>IFERROR(__xludf.DUMMYFUNCTION("""COMPUTED_VALUE"""),"구구닭")</f>
        <v>구구닭</v>
      </c>
      <c r="B10998" s="2" t="str">
        <f>IFERROR(__xludf.DUMMYFUNCTION("""COMPUTED_VALUE"""),"쑥개떡")</f>
        <v>쑥개떡</v>
      </c>
    </row>
    <row r="10999">
      <c r="A10999" s="2" t="str">
        <f>IFERROR(__xludf.DUMMYFUNCTION("""COMPUTED_VALUE"""),"구구닭")</f>
        <v>구구닭</v>
      </c>
      <c r="B10999" s="2" t="str">
        <f>IFERROR(__xludf.DUMMYFUNCTION("""COMPUTED_VALUE"""),"수제육포")</f>
        <v>수제육포</v>
      </c>
    </row>
    <row r="11000">
      <c r="A11000" s="2" t="str">
        <f>IFERROR(__xludf.DUMMYFUNCTION("""COMPUTED_VALUE"""),"구구닭")</f>
        <v>구구닭</v>
      </c>
      <c r="B11000" s="2" t="str">
        <f>IFERROR(__xludf.DUMMYFUNCTION("""COMPUTED_VALUE"""),"부추겉절이")</f>
        <v>부추겉절이</v>
      </c>
    </row>
    <row r="11001">
      <c r="A11001" s="2" t="str">
        <f>IFERROR(__xludf.DUMMYFUNCTION("""COMPUTED_VALUE"""),"구구닭")</f>
        <v>구구닭</v>
      </c>
      <c r="B11001" s="2" t="str">
        <f>IFERROR(__xludf.DUMMYFUNCTION("""COMPUTED_VALUE"""),"칼국수라면")</f>
        <v>칼국수라면</v>
      </c>
    </row>
    <row r="11002">
      <c r="A11002" s="2" t="str">
        <f>IFERROR(__xludf.DUMMYFUNCTION("""COMPUTED_VALUE"""),"구구닭")</f>
        <v>구구닭</v>
      </c>
      <c r="B11002" s="2" t="str">
        <f>IFERROR(__xludf.DUMMYFUNCTION("""COMPUTED_VALUE"""),"마늘")</f>
        <v>마늘</v>
      </c>
    </row>
    <row r="11003">
      <c r="A11003" s="2" t="str">
        <f>IFERROR(__xludf.DUMMYFUNCTION("""COMPUTED_VALUE"""),"구구닭")</f>
        <v>구구닭</v>
      </c>
      <c r="B11003" s="2" t="str">
        <f>IFERROR(__xludf.DUMMYFUNCTION("""COMPUTED_VALUE"""),"청주")</f>
        <v>청주</v>
      </c>
    </row>
    <row r="11004">
      <c r="A11004" s="2" t="str">
        <f>IFERROR(__xludf.DUMMYFUNCTION("""COMPUTED_VALUE"""),"구구닭")</f>
        <v>구구닭</v>
      </c>
      <c r="B11004" s="2" t="str">
        <f>IFERROR(__xludf.DUMMYFUNCTION("""COMPUTED_VALUE"""),"대파")</f>
        <v>대파</v>
      </c>
    </row>
    <row r="11005">
      <c r="A11005" s="2" t="str">
        <f>IFERROR(__xludf.DUMMYFUNCTION("""COMPUTED_VALUE"""),"구구닭")</f>
        <v>구구닭</v>
      </c>
      <c r="B11005" s="2" t="str">
        <f>IFERROR(__xludf.DUMMYFUNCTION("""COMPUTED_VALUE"""),"양파")</f>
        <v>양파</v>
      </c>
    </row>
    <row r="11006">
      <c r="A11006" s="2" t="str">
        <f>IFERROR(__xludf.DUMMYFUNCTION("""COMPUTED_VALUE"""),"구구닭")</f>
        <v>구구닭</v>
      </c>
      <c r="B11006" s="2" t="str">
        <f>IFERROR(__xludf.DUMMYFUNCTION("""COMPUTED_VALUE"""),"청양고추")</f>
        <v>청양고추</v>
      </c>
    </row>
    <row r="11007">
      <c r="A11007" s="2" t="str">
        <f>IFERROR(__xludf.DUMMYFUNCTION("""COMPUTED_VALUE"""),"구구닭")</f>
        <v>구구닭</v>
      </c>
      <c r="B11007" s="2" t="str">
        <f>IFERROR(__xludf.DUMMYFUNCTION("""COMPUTED_VALUE"""),"홍고추")</f>
        <v>홍고추</v>
      </c>
    </row>
    <row r="11008">
      <c r="A11008" s="2" t="str">
        <f>IFERROR(__xludf.DUMMYFUNCTION("""COMPUTED_VALUE"""),"구구닭")</f>
        <v>구구닭</v>
      </c>
      <c r="B11008" s="2" t="str">
        <f>IFERROR(__xludf.DUMMYFUNCTION("""COMPUTED_VALUE"""),"밀가루")</f>
        <v>밀가루</v>
      </c>
    </row>
    <row r="11009">
      <c r="A11009" s="2" t="str">
        <f>IFERROR(__xludf.DUMMYFUNCTION("""COMPUTED_VALUE"""),"구구닭")</f>
        <v>구구닭</v>
      </c>
      <c r="B11009" s="2" t="str">
        <f>IFERROR(__xludf.DUMMYFUNCTION("""COMPUTED_VALUE"""),"튀김가루")</f>
        <v>튀김가루</v>
      </c>
    </row>
    <row r="11010">
      <c r="A11010" s="2" t="str">
        <f>IFERROR(__xludf.DUMMYFUNCTION("""COMPUTED_VALUE"""),"구구닭")</f>
        <v>구구닭</v>
      </c>
      <c r="B11010" s="2" t="str">
        <f>IFERROR(__xludf.DUMMYFUNCTION("""COMPUTED_VALUE"""),"설탕")</f>
        <v>설탕</v>
      </c>
    </row>
    <row r="11011">
      <c r="A11011" s="2" t="str">
        <f>IFERROR(__xludf.DUMMYFUNCTION("""COMPUTED_VALUE"""),"구구닭")</f>
        <v>구구닭</v>
      </c>
      <c r="B11011" s="2" t="str">
        <f>IFERROR(__xludf.DUMMYFUNCTION("""COMPUTED_VALUE"""),"간장")</f>
        <v>간장</v>
      </c>
    </row>
    <row r="11012">
      <c r="A11012" s="2" t="str">
        <f>IFERROR(__xludf.DUMMYFUNCTION("""COMPUTED_VALUE"""),"구구닭")</f>
        <v>구구닭</v>
      </c>
      <c r="B11012" s="2" t="str">
        <f>IFERROR(__xludf.DUMMYFUNCTION("""COMPUTED_VALUE"""),"식초")</f>
        <v>식초</v>
      </c>
    </row>
    <row r="11013">
      <c r="A11013" s="2" t="str">
        <f>IFERROR(__xludf.DUMMYFUNCTION("""COMPUTED_VALUE"""),"구구닭")</f>
        <v>구구닭</v>
      </c>
      <c r="B11013" s="2" t="str">
        <f>IFERROR(__xludf.DUMMYFUNCTION("""COMPUTED_VALUE"""),"고춧가루")</f>
        <v>고춧가루</v>
      </c>
    </row>
    <row r="11014">
      <c r="A11014" s="2" t="str">
        <f>IFERROR(__xludf.DUMMYFUNCTION("""COMPUTED_VALUE"""),"구구닭")</f>
        <v>구구닭</v>
      </c>
      <c r="B11014" s="2" t="str">
        <f>IFERROR(__xludf.DUMMYFUNCTION("""COMPUTED_VALUE"""),"다진 마늘")</f>
        <v>다진 마늘</v>
      </c>
    </row>
    <row r="11015">
      <c r="A11015" s="2" t="str">
        <f>IFERROR(__xludf.DUMMYFUNCTION("""COMPUTED_VALUE"""),"최용수테이크")</f>
        <v>최용수테이크</v>
      </c>
      <c r="B11015" s="2" t="str">
        <f>IFERROR(__xludf.DUMMYFUNCTION("""COMPUTED_VALUE"""),"도미")</f>
        <v>도미</v>
      </c>
    </row>
    <row r="11016">
      <c r="A11016" s="2" t="str">
        <f>IFERROR(__xludf.DUMMYFUNCTION("""COMPUTED_VALUE"""),"최용수테이크")</f>
        <v>최용수테이크</v>
      </c>
      <c r="B11016" s="2" t="str">
        <f>IFERROR(__xludf.DUMMYFUNCTION("""COMPUTED_VALUE"""),"송이토마토")</f>
        <v>송이토마토</v>
      </c>
    </row>
    <row r="11017">
      <c r="A11017" s="2" t="str">
        <f>IFERROR(__xludf.DUMMYFUNCTION("""COMPUTED_VALUE"""),"최용수테이크")</f>
        <v>최용수테이크</v>
      </c>
      <c r="B11017" s="2" t="str">
        <f>IFERROR(__xludf.DUMMYFUNCTION("""COMPUTED_VALUE"""),"수제된장")</f>
        <v>수제된장</v>
      </c>
    </row>
    <row r="11018">
      <c r="A11018" s="2" t="str">
        <f>IFERROR(__xludf.DUMMYFUNCTION("""COMPUTED_VALUE"""),"최용수테이크")</f>
        <v>최용수테이크</v>
      </c>
      <c r="B11018" s="2" t="str">
        <f>IFERROR(__xludf.DUMMYFUNCTION("""COMPUTED_VALUE"""),"수제고추장")</f>
        <v>수제고추장</v>
      </c>
    </row>
    <row r="11019">
      <c r="A11019" s="2" t="str">
        <f>IFERROR(__xludf.DUMMYFUNCTION("""COMPUTED_VALUE"""),"최용수테이크")</f>
        <v>최용수테이크</v>
      </c>
      <c r="B11019" s="2" t="str">
        <f>IFERROR(__xludf.DUMMYFUNCTION("""COMPUTED_VALUE"""),"토마토소스")</f>
        <v>토마토소스</v>
      </c>
    </row>
    <row r="11020">
      <c r="A11020" s="2" t="str">
        <f>IFERROR(__xludf.DUMMYFUNCTION("""COMPUTED_VALUE"""),"최용수테이크")</f>
        <v>최용수테이크</v>
      </c>
      <c r="B11020" s="2" t="str">
        <f>IFERROR(__xludf.DUMMYFUNCTION("""COMPUTED_VALUE"""),"감자")</f>
        <v>감자</v>
      </c>
    </row>
    <row r="11021">
      <c r="A11021" s="2" t="str">
        <f>IFERROR(__xludf.DUMMYFUNCTION("""COMPUTED_VALUE"""),"최용수테이크")</f>
        <v>최용수테이크</v>
      </c>
      <c r="B11021" s="2" t="str">
        <f>IFERROR(__xludf.DUMMYFUNCTION("""COMPUTED_VALUE"""),"아스파라거스")</f>
        <v>아스파라거스</v>
      </c>
    </row>
    <row r="11022">
      <c r="A11022" s="2" t="str">
        <f>IFERROR(__xludf.DUMMYFUNCTION("""COMPUTED_VALUE"""),"최용수테이크")</f>
        <v>최용수테이크</v>
      </c>
      <c r="B11022" s="2" t="str">
        <f>IFERROR(__xludf.DUMMYFUNCTION("""COMPUTED_VALUE"""),"칼국수면")</f>
        <v>칼국수면</v>
      </c>
    </row>
    <row r="11023">
      <c r="A11023" s="2" t="str">
        <f>IFERROR(__xludf.DUMMYFUNCTION("""COMPUTED_VALUE"""),"최용수테이크")</f>
        <v>최용수테이크</v>
      </c>
      <c r="B11023" s="2" t="str">
        <f>IFERROR(__xludf.DUMMYFUNCTION("""COMPUTED_VALUE"""),"스트링치즈")</f>
        <v>스트링치즈</v>
      </c>
    </row>
    <row r="11024">
      <c r="A11024" s="2" t="str">
        <f>IFERROR(__xludf.DUMMYFUNCTION("""COMPUTED_VALUE"""),"최용수테이크")</f>
        <v>최용수테이크</v>
      </c>
      <c r="B11024" s="2" t="str">
        <f>IFERROR(__xludf.DUMMYFUNCTION("""COMPUTED_VALUE"""),"양파")</f>
        <v>양파</v>
      </c>
    </row>
    <row r="11025">
      <c r="A11025" s="2" t="str">
        <f>IFERROR(__xludf.DUMMYFUNCTION("""COMPUTED_VALUE"""),"최용수테이크")</f>
        <v>최용수테이크</v>
      </c>
      <c r="B11025" s="2" t="str">
        <f>IFERROR(__xludf.DUMMYFUNCTION("""COMPUTED_VALUE"""),"마늘")</f>
        <v>마늘</v>
      </c>
    </row>
    <row r="11026">
      <c r="A11026" s="2" t="str">
        <f>IFERROR(__xludf.DUMMYFUNCTION("""COMPUTED_VALUE"""),"최용수테이크")</f>
        <v>최용수테이크</v>
      </c>
      <c r="B11026" s="2" t="str">
        <f>IFERROR(__xludf.DUMMYFUNCTION("""COMPUTED_VALUE"""),"청양고추")</f>
        <v>청양고추</v>
      </c>
    </row>
    <row r="11027">
      <c r="A11027" s="2" t="str">
        <f>IFERROR(__xludf.DUMMYFUNCTION("""COMPUTED_VALUE"""),"최용수테이크")</f>
        <v>최용수테이크</v>
      </c>
      <c r="B11027" s="2" t="str">
        <f>IFERROR(__xludf.DUMMYFUNCTION("""COMPUTED_VALUE"""),"소금")</f>
        <v>소금</v>
      </c>
    </row>
    <row r="11028">
      <c r="A11028" s="2" t="str">
        <f>IFERROR(__xludf.DUMMYFUNCTION("""COMPUTED_VALUE"""),"최용수테이크")</f>
        <v>최용수테이크</v>
      </c>
      <c r="B11028" s="2" t="str">
        <f>IFERROR(__xludf.DUMMYFUNCTION("""COMPUTED_VALUE"""),"전분")</f>
        <v>전분</v>
      </c>
    </row>
    <row r="11029">
      <c r="A11029" s="2" t="str">
        <f>IFERROR(__xludf.DUMMYFUNCTION("""COMPUTED_VALUE"""),"최용수테이크")</f>
        <v>최용수테이크</v>
      </c>
      <c r="B11029" s="2" t="str">
        <f>IFERROR(__xludf.DUMMYFUNCTION("""COMPUTED_VALUE"""),"후추")</f>
        <v>후추</v>
      </c>
    </row>
    <row r="11030">
      <c r="A11030" s="2" t="str">
        <f>IFERROR(__xludf.DUMMYFUNCTION("""COMPUTED_VALUE"""),"최용수테이크")</f>
        <v>최용수테이크</v>
      </c>
      <c r="B11030" s="2" t="str">
        <f>IFERROR(__xludf.DUMMYFUNCTION("""COMPUTED_VALUE"""),"레몬")</f>
        <v>레몬</v>
      </c>
    </row>
    <row r="11031">
      <c r="A11031" s="2" t="str">
        <f>IFERROR(__xludf.DUMMYFUNCTION("""COMPUTED_VALUE"""),"최용수테이크")</f>
        <v>최용수테이크</v>
      </c>
      <c r="B11031" s="2" t="str">
        <f>IFERROR(__xludf.DUMMYFUNCTION("""COMPUTED_VALUE"""),"버터")</f>
        <v>버터</v>
      </c>
    </row>
    <row r="11032">
      <c r="A11032" s="2" t="str">
        <f>IFERROR(__xludf.DUMMYFUNCTION("""COMPUTED_VALUE"""),"최용수테이크")</f>
        <v>최용수테이크</v>
      </c>
      <c r="B11032" s="2" t="str">
        <f>IFERROR(__xludf.DUMMYFUNCTION("""COMPUTED_VALUE"""),"밀가루")</f>
        <v>밀가루</v>
      </c>
    </row>
    <row r="11033">
      <c r="A11033" s="2" t="str">
        <f>IFERROR(__xludf.DUMMYFUNCTION("""COMPUTED_VALUE"""),"최용수테이크")</f>
        <v>최용수테이크</v>
      </c>
      <c r="B11033" s="2" t="str">
        <f>IFERROR(__xludf.DUMMYFUNCTION("""COMPUTED_VALUE"""),"올리브오일")</f>
        <v>올리브오일</v>
      </c>
    </row>
    <row r="11034">
      <c r="A11034" s="2" t="str">
        <f>IFERROR(__xludf.DUMMYFUNCTION("""COMPUTED_VALUE"""),"최용수테이크")</f>
        <v>최용수테이크</v>
      </c>
      <c r="B11034" s="2" t="str">
        <f>IFERROR(__xludf.DUMMYFUNCTION("""COMPUTED_VALUE"""),"설탕")</f>
        <v>설탕</v>
      </c>
    </row>
    <row r="11035">
      <c r="A11035" s="2" t="str">
        <f>IFERROR(__xludf.DUMMYFUNCTION("""COMPUTED_VALUE"""),"최용수테이크")</f>
        <v>최용수테이크</v>
      </c>
      <c r="B11035" s="2" t="str">
        <f>IFERROR(__xludf.DUMMYFUNCTION("""COMPUTED_VALUE"""),"대파")</f>
        <v>대파</v>
      </c>
    </row>
    <row r="11036">
      <c r="A11036" s="2" t="str">
        <f>IFERROR(__xludf.DUMMYFUNCTION("""COMPUTED_VALUE"""),"테린우스")</f>
        <v>테린우스</v>
      </c>
      <c r="B11036" s="2" t="str">
        <f>IFERROR(__xludf.DUMMYFUNCTION("""COMPUTED_VALUE"""),"자반고등어")</f>
        <v>자반고등어</v>
      </c>
    </row>
    <row r="11037">
      <c r="A11037" s="2" t="str">
        <f>IFERROR(__xludf.DUMMYFUNCTION("""COMPUTED_VALUE"""),"테린우스")</f>
        <v>테린우스</v>
      </c>
      <c r="B11037" s="2" t="str">
        <f>IFERROR(__xludf.DUMMYFUNCTION("""COMPUTED_VALUE"""),"전복")</f>
        <v>전복</v>
      </c>
    </row>
    <row r="11038">
      <c r="A11038" s="2" t="str">
        <f>IFERROR(__xludf.DUMMYFUNCTION("""COMPUTED_VALUE"""),"테린우스")</f>
        <v>테린우스</v>
      </c>
      <c r="B11038" s="2" t="str">
        <f>IFERROR(__xludf.DUMMYFUNCTION("""COMPUTED_VALUE"""),"아스파라거스")</f>
        <v>아스파라거스</v>
      </c>
    </row>
    <row r="11039">
      <c r="A11039" s="2" t="str">
        <f>IFERROR(__xludf.DUMMYFUNCTION("""COMPUTED_VALUE"""),"테린우스")</f>
        <v>테린우스</v>
      </c>
      <c r="B11039" s="2" t="str">
        <f>IFERROR(__xludf.DUMMYFUNCTION("""COMPUTED_VALUE"""),"카망베르치즈")</f>
        <v>카망베르치즈</v>
      </c>
    </row>
    <row r="11040">
      <c r="A11040" s="2" t="str">
        <f>IFERROR(__xludf.DUMMYFUNCTION("""COMPUTED_VALUE"""),"테린우스")</f>
        <v>테린우스</v>
      </c>
      <c r="B11040" s="2" t="str">
        <f>IFERROR(__xludf.DUMMYFUNCTION("""COMPUTED_VALUE"""),"크림치즈")</f>
        <v>크림치즈</v>
      </c>
    </row>
    <row r="11041">
      <c r="A11041" s="2" t="str">
        <f>IFERROR(__xludf.DUMMYFUNCTION("""COMPUTED_VALUE"""),"테린우스")</f>
        <v>테린우스</v>
      </c>
      <c r="B11041" s="2" t="str">
        <f>IFERROR(__xludf.DUMMYFUNCTION("""COMPUTED_VALUE"""),"트러플페스토")</f>
        <v>트러플페스토</v>
      </c>
    </row>
    <row r="11042">
      <c r="A11042" s="2" t="str">
        <f>IFERROR(__xludf.DUMMYFUNCTION("""COMPUTED_VALUE"""),"테린우스")</f>
        <v>테린우스</v>
      </c>
      <c r="B11042" s="2" t="str">
        <f>IFERROR(__xludf.DUMMYFUNCTION("""COMPUTED_VALUE"""),"말린 채소칩")</f>
        <v>말린 채소칩</v>
      </c>
    </row>
    <row r="11043">
      <c r="A11043" s="2" t="str">
        <f>IFERROR(__xludf.DUMMYFUNCTION("""COMPUTED_VALUE"""),"테린우스")</f>
        <v>테린우스</v>
      </c>
      <c r="B11043" s="2" t="str">
        <f>IFERROR(__xludf.DUMMYFUNCTION("""COMPUTED_VALUE"""),"명이나물")</f>
        <v>명이나물</v>
      </c>
    </row>
    <row r="11044">
      <c r="A11044" s="2" t="str">
        <f>IFERROR(__xludf.DUMMYFUNCTION("""COMPUTED_VALUE"""),"테린우스")</f>
        <v>테린우스</v>
      </c>
      <c r="B11044" s="2" t="str">
        <f>IFERROR(__xludf.DUMMYFUNCTION("""COMPUTED_VALUE"""),"파프리카")</f>
        <v>파프리카</v>
      </c>
    </row>
    <row r="11045">
      <c r="A11045" s="2" t="str">
        <f>IFERROR(__xludf.DUMMYFUNCTION("""COMPUTED_VALUE"""),"테린우스")</f>
        <v>테린우스</v>
      </c>
      <c r="B11045" s="2" t="str">
        <f>IFERROR(__xludf.DUMMYFUNCTION("""COMPUTED_VALUE"""),"무")</f>
        <v>무</v>
      </c>
    </row>
    <row r="11046">
      <c r="A11046" s="2" t="str">
        <f>IFERROR(__xludf.DUMMYFUNCTION("""COMPUTED_VALUE"""),"테린우스")</f>
        <v>테린우스</v>
      </c>
      <c r="B11046" s="2" t="str">
        <f>IFERROR(__xludf.DUMMYFUNCTION("""COMPUTED_VALUE"""),"트러플오일")</f>
        <v>트러플오일</v>
      </c>
    </row>
    <row r="11047">
      <c r="A11047" s="2" t="str">
        <f>IFERROR(__xludf.DUMMYFUNCTION("""COMPUTED_VALUE"""),"테린우스")</f>
        <v>테린우스</v>
      </c>
      <c r="B11047" s="2" t="str">
        <f>IFERROR(__xludf.DUMMYFUNCTION("""COMPUTED_VALUE"""),"올리브오일")</f>
        <v>올리브오일</v>
      </c>
    </row>
    <row r="11048">
      <c r="A11048" s="2" t="str">
        <f>IFERROR(__xludf.DUMMYFUNCTION("""COMPUTED_VALUE"""),"테린우스")</f>
        <v>테린우스</v>
      </c>
      <c r="B11048" s="2" t="str">
        <f>IFERROR(__xludf.DUMMYFUNCTION("""COMPUTED_VALUE"""),"식초")</f>
        <v>식초</v>
      </c>
    </row>
    <row r="11049">
      <c r="A11049" s="2" t="str">
        <f>IFERROR(__xludf.DUMMYFUNCTION("""COMPUTED_VALUE"""),"테린우스")</f>
        <v>테린우스</v>
      </c>
      <c r="B11049" s="2" t="str">
        <f>IFERROR(__xludf.DUMMYFUNCTION("""COMPUTED_VALUE"""),"버터")</f>
        <v>버터</v>
      </c>
    </row>
    <row r="11050">
      <c r="A11050" s="2" t="str">
        <f>IFERROR(__xludf.DUMMYFUNCTION("""COMPUTED_VALUE"""),"테린우스")</f>
        <v>테린우스</v>
      </c>
      <c r="B11050" s="2" t="str">
        <f>IFERROR(__xludf.DUMMYFUNCTION("""COMPUTED_VALUE"""),"소금")</f>
        <v>소금</v>
      </c>
    </row>
    <row r="11051">
      <c r="A11051" s="2" t="str">
        <f>IFERROR(__xludf.DUMMYFUNCTION("""COMPUTED_VALUE"""),"테린우스")</f>
        <v>테린우스</v>
      </c>
      <c r="B11051" s="2" t="str">
        <f>IFERROR(__xludf.DUMMYFUNCTION("""COMPUTED_VALUE"""),"레몬")</f>
        <v>레몬</v>
      </c>
    </row>
    <row r="11052">
      <c r="A11052" s="2" t="str">
        <f>IFERROR(__xludf.DUMMYFUNCTION("""COMPUTED_VALUE"""),"테린우스")</f>
        <v>테린우스</v>
      </c>
      <c r="B11052" s="2" t="str">
        <f>IFERROR(__xludf.DUMMYFUNCTION("""COMPUTED_VALUE"""),"마늘")</f>
        <v>마늘</v>
      </c>
    </row>
    <row r="11053">
      <c r="A11053" s="2" t="str">
        <f>IFERROR(__xludf.DUMMYFUNCTION("""COMPUTED_VALUE"""),"테린우스")</f>
        <v>테린우스</v>
      </c>
      <c r="B11053" s="2" t="str">
        <f>IFERROR(__xludf.DUMMYFUNCTION("""COMPUTED_VALUE"""),"양파")</f>
        <v>양파</v>
      </c>
    </row>
    <row r="11054">
      <c r="A11054" s="2" t="str">
        <f>IFERROR(__xludf.DUMMYFUNCTION("""COMPUTED_VALUE"""),"테린우스")</f>
        <v>테린우스</v>
      </c>
      <c r="B11054" s="2" t="str">
        <f>IFERROR(__xludf.DUMMYFUNCTION("""COMPUTED_VALUE"""),"간장")</f>
        <v>간장</v>
      </c>
    </row>
    <row r="11055">
      <c r="A11055" s="2" t="str">
        <f>IFERROR(__xludf.DUMMYFUNCTION("""COMPUTED_VALUE"""),"테린우스")</f>
        <v>테린우스</v>
      </c>
      <c r="B11055" s="2" t="str">
        <f>IFERROR(__xludf.DUMMYFUNCTION("""COMPUTED_VALUE"""),"맛술")</f>
        <v>맛술</v>
      </c>
    </row>
    <row r="11056">
      <c r="A11056" s="2" t="str">
        <f>IFERROR(__xludf.DUMMYFUNCTION("""COMPUTED_VALUE"""),"테린우스")</f>
        <v>테린우스</v>
      </c>
      <c r="B11056" s="2" t="str">
        <f>IFERROR(__xludf.DUMMYFUNCTION("""COMPUTED_VALUE"""),"설탕")</f>
        <v>설탕</v>
      </c>
    </row>
    <row r="11057">
      <c r="A11057" s="2" t="str">
        <f>IFERROR(__xludf.DUMMYFUNCTION("""COMPUTED_VALUE"""),"테린우스")</f>
        <v>테린우스</v>
      </c>
      <c r="B11057" s="2" t="str">
        <f>IFERROR(__xludf.DUMMYFUNCTION("""COMPUTED_VALUE"""),"대파")</f>
        <v>대파</v>
      </c>
    </row>
    <row r="11058">
      <c r="A11058" s="2" t="str">
        <f>IFERROR(__xludf.DUMMYFUNCTION("""COMPUTED_VALUE"""),"테린우스")</f>
        <v>테린우스</v>
      </c>
      <c r="B11058" s="2" t="str">
        <f>IFERROR(__xludf.DUMMYFUNCTION("""COMPUTED_VALUE"""),"달걀")</f>
        <v>달걀</v>
      </c>
    </row>
    <row r="11059">
      <c r="A11059" s="2" t="str">
        <f>IFERROR(__xludf.DUMMYFUNCTION("""COMPUTED_VALUE"""),"독수리 세트")</f>
        <v>독수리 세트</v>
      </c>
      <c r="B11059" s="2" t="str">
        <f>IFERROR(__xludf.DUMMYFUNCTION("""COMPUTED_VALUE"""),"삼겹살")</f>
        <v>삼겹살</v>
      </c>
    </row>
    <row r="11060">
      <c r="A11060" s="2" t="str">
        <f>IFERROR(__xludf.DUMMYFUNCTION("""COMPUTED_VALUE"""),"독수리 세트")</f>
        <v>독수리 세트</v>
      </c>
      <c r="B11060" s="2" t="str">
        <f>IFERROR(__xludf.DUMMYFUNCTION("""COMPUTED_VALUE"""),"낙지")</f>
        <v>낙지</v>
      </c>
    </row>
    <row r="11061">
      <c r="A11061" s="2" t="str">
        <f>IFERROR(__xludf.DUMMYFUNCTION("""COMPUTED_VALUE"""),"독수리 세트")</f>
        <v>독수리 세트</v>
      </c>
      <c r="B11061" s="2" t="str">
        <f>IFERROR(__xludf.DUMMYFUNCTION("""COMPUTED_VALUE"""),"굴소스")</f>
        <v>굴소스</v>
      </c>
    </row>
    <row r="11062">
      <c r="A11062" s="2" t="str">
        <f>IFERROR(__xludf.DUMMYFUNCTION("""COMPUTED_VALUE"""),"독수리 세트")</f>
        <v>독수리 세트</v>
      </c>
      <c r="B11062" s="2" t="str">
        <f>IFERROR(__xludf.DUMMYFUNCTION("""COMPUTED_VALUE"""),"깻잎")</f>
        <v>깻잎</v>
      </c>
    </row>
    <row r="11063">
      <c r="A11063" s="2" t="str">
        <f>IFERROR(__xludf.DUMMYFUNCTION("""COMPUTED_VALUE"""),"독수리 세트")</f>
        <v>독수리 세트</v>
      </c>
      <c r="B11063" s="2" t="str">
        <f>IFERROR(__xludf.DUMMYFUNCTION("""COMPUTED_VALUE"""),"소고기")</f>
        <v>소고기</v>
      </c>
    </row>
    <row r="11064">
      <c r="A11064" s="2" t="str">
        <f>IFERROR(__xludf.DUMMYFUNCTION("""COMPUTED_VALUE"""),"독수리 세트")</f>
        <v>독수리 세트</v>
      </c>
      <c r="B11064" s="2" t="str">
        <f>IFERROR(__xludf.DUMMYFUNCTION("""COMPUTED_VALUE"""),"콩나물")</f>
        <v>콩나물</v>
      </c>
    </row>
    <row r="11065">
      <c r="A11065" s="2" t="str">
        <f>IFERROR(__xludf.DUMMYFUNCTION("""COMPUTED_VALUE"""),"독수리 세트")</f>
        <v>독수리 세트</v>
      </c>
      <c r="B11065" s="2" t="str">
        <f>IFERROR(__xludf.DUMMYFUNCTION("""COMPUTED_VALUE"""),"전복")</f>
        <v>전복</v>
      </c>
    </row>
    <row r="11066">
      <c r="A11066" s="2" t="str">
        <f>IFERROR(__xludf.DUMMYFUNCTION("""COMPUTED_VALUE"""),"독수리 세트")</f>
        <v>독수리 세트</v>
      </c>
      <c r="B11066" s="2" t="str">
        <f>IFERROR(__xludf.DUMMYFUNCTION("""COMPUTED_VALUE"""),"쪽파")</f>
        <v>쪽파</v>
      </c>
    </row>
    <row r="11067">
      <c r="A11067" s="2" t="str">
        <f>IFERROR(__xludf.DUMMYFUNCTION("""COMPUTED_VALUE"""),"독수리 세트")</f>
        <v>독수리 세트</v>
      </c>
      <c r="B11067" s="2" t="str">
        <f>IFERROR(__xludf.DUMMYFUNCTION("""COMPUTED_VALUE"""),"칼국수면")</f>
        <v>칼국수면</v>
      </c>
    </row>
    <row r="11068">
      <c r="A11068" s="2" t="str">
        <f>IFERROR(__xludf.DUMMYFUNCTION("""COMPUTED_VALUE"""),"독수리 세트")</f>
        <v>독수리 세트</v>
      </c>
      <c r="B11068" s="2" t="str">
        <f>IFERROR(__xludf.DUMMYFUNCTION("""COMPUTED_VALUE"""),"마늘")</f>
        <v>마늘</v>
      </c>
    </row>
    <row r="11069">
      <c r="A11069" s="2" t="str">
        <f>IFERROR(__xludf.DUMMYFUNCTION("""COMPUTED_VALUE"""),"독수리 세트")</f>
        <v>독수리 세트</v>
      </c>
      <c r="B11069" s="2" t="str">
        <f>IFERROR(__xludf.DUMMYFUNCTION("""COMPUTED_VALUE"""),"대파")</f>
        <v>대파</v>
      </c>
    </row>
    <row r="11070">
      <c r="A11070" s="2" t="str">
        <f>IFERROR(__xludf.DUMMYFUNCTION("""COMPUTED_VALUE"""),"독수리 세트")</f>
        <v>독수리 세트</v>
      </c>
      <c r="B11070" s="2" t="str">
        <f>IFERROR(__xludf.DUMMYFUNCTION("""COMPUTED_VALUE"""),"양파")</f>
        <v>양파</v>
      </c>
    </row>
    <row r="11071">
      <c r="A11071" s="2" t="str">
        <f>IFERROR(__xludf.DUMMYFUNCTION("""COMPUTED_VALUE"""),"독수리 세트")</f>
        <v>독수리 세트</v>
      </c>
      <c r="B11071" s="2" t="str">
        <f>IFERROR(__xludf.DUMMYFUNCTION("""COMPUTED_VALUE"""),"홍고추")</f>
        <v>홍고추</v>
      </c>
    </row>
    <row r="11072">
      <c r="A11072" s="2" t="str">
        <f>IFERROR(__xludf.DUMMYFUNCTION("""COMPUTED_VALUE"""),"독수리 세트")</f>
        <v>독수리 세트</v>
      </c>
      <c r="B11072" s="2" t="str">
        <f>IFERROR(__xludf.DUMMYFUNCTION("""COMPUTED_VALUE"""),"청양고추")</f>
        <v>청양고추</v>
      </c>
    </row>
    <row r="11073">
      <c r="A11073" s="2" t="str">
        <f>IFERROR(__xludf.DUMMYFUNCTION("""COMPUTED_VALUE"""),"독수리 세트")</f>
        <v>독수리 세트</v>
      </c>
      <c r="B11073" s="2" t="str">
        <f>IFERROR(__xludf.DUMMYFUNCTION("""COMPUTED_VALUE"""),"다진 마늘")</f>
        <v>다진 마늘</v>
      </c>
    </row>
    <row r="11074">
      <c r="A11074" s="2" t="str">
        <f>IFERROR(__xludf.DUMMYFUNCTION("""COMPUTED_VALUE"""),"독수리 세트")</f>
        <v>독수리 세트</v>
      </c>
      <c r="B11074" s="2" t="str">
        <f>IFERROR(__xludf.DUMMYFUNCTION("""COMPUTED_VALUE"""),"간장")</f>
        <v>간장</v>
      </c>
    </row>
    <row r="11075">
      <c r="A11075" s="2" t="str">
        <f>IFERROR(__xludf.DUMMYFUNCTION("""COMPUTED_VALUE"""),"독수리 세트")</f>
        <v>독수리 세트</v>
      </c>
      <c r="B11075" s="2" t="str">
        <f>IFERROR(__xludf.DUMMYFUNCTION("""COMPUTED_VALUE"""),"고춧가루")</f>
        <v>고춧가루</v>
      </c>
    </row>
    <row r="11076">
      <c r="A11076" s="2" t="str">
        <f>IFERROR(__xludf.DUMMYFUNCTION("""COMPUTED_VALUE"""),"독수리 세트")</f>
        <v>독수리 세트</v>
      </c>
      <c r="B11076" s="2" t="str">
        <f>IFERROR(__xludf.DUMMYFUNCTION("""COMPUTED_VALUE"""),"설탕")</f>
        <v>설탕</v>
      </c>
    </row>
    <row r="11077">
      <c r="A11077" s="2" t="str">
        <f>IFERROR(__xludf.DUMMYFUNCTION("""COMPUTED_VALUE"""),"독수리 세트")</f>
        <v>독수리 세트</v>
      </c>
      <c r="B11077" s="2" t="str">
        <f>IFERROR(__xludf.DUMMYFUNCTION("""COMPUTED_VALUE"""),"맛술")</f>
        <v>맛술</v>
      </c>
    </row>
    <row r="11078">
      <c r="A11078" s="2" t="str">
        <f>IFERROR(__xludf.DUMMYFUNCTION("""COMPUTED_VALUE"""),"독수리 세트")</f>
        <v>독수리 세트</v>
      </c>
      <c r="B11078" s="2" t="str">
        <f>IFERROR(__xludf.DUMMYFUNCTION("""COMPUTED_VALUE"""),"고추장")</f>
        <v>고추장</v>
      </c>
    </row>
    <row r="11079">
      <c r="A11079" s="2" t="str">
        <f>IFERROR(__xludf.DUMMYFUNCTION("""COMPUTED_VALUE"""),"독수리 세트")</f>
        <v>독수리 세트</v>
      </c>
      <c r="B11079" s="2" t="str">
        <f>IFERROR(__xludf.DUMMYFUNCTION("""COMPUTED_VALUE"""),"즉석밥")</f>
        <v>즉석밥</v>
      </c>
    </row>
    <row r="11080">
      <c r="A11080" s="2" t="str">
        <f>IFERROR(__xludf.DUMMYFUNCTION("""COMPUTED_VALUE"""),"독수리 세트")</f>
        <v>독수리 세트</v>
      </c>
      <c r="B11080" s="2" t="str">
        <f>IFERROR(__xludf.DUMMYFUNCTION("""COMPUTED_VALUE"""),"달걀")</f>
        <v>달걀</v>
      </c>
    </row>
    <row r="11081">
      <c r="A11081" s="2" t="str">
        <f>IFERROR(__xludf.DUMMYFUNCTION("""COMPUTED_VALUE"""),"오복쟁반")</f>
        <v>오복쟁반</v>
      </c>
      <c r="B11081" s="2" t="str">
        <f>IFERROR(__xludf.DUMMYFUNCTION("""COMPUTED_VALUE"""),"삼겹살")</f>
        <v>삼겹살</v>
      </c>
    </row>
    <row r="11082">
      <c r="A11082" s="2" t="str">
        <f>IFERROR(__xludf.DUMMYFUNCTION("""COMPUTED_VALUE"""),"오복쟁반")</f>
        <v>오복쟁반</v>
      </c>
      <c r="B11082" s="2" t="str">
        <f>IFERROR(__xludf.DUMMYFUNCTION("""COMPUTED_VALUE"""),"인스턴트 들깨삼계탕")</f>
        <v>인스턴트 들깨삼계탕</v>
      </c>
    </row>
    <row r="11083">
      <c r="A11083" s="2" t="str">
        <f>IFERROR(__xludf.DUMMYFUNCTION("""COMPUTED_VALUE"""),"오복쟁반")</f>
        <v>오복쟁반</v>
      </c>
      <c r="B11083" s="2" t="str">
        <f>IFERROR(__xludf.DUMMYFUNCTION("""COMPUTED_VALUE"""),"전복")</f>
        <v>전복</v>
      </c>
    </row>
    <row r="11084">
      <c r="A11084" s="2" t="str">
        <f>IFERROR(__xludf.DUMMYFUNCTION("""COMPUTED_VALUE"""),"오복쟁반")</f>
        <v>오복쟁반</v>
      </c>
      <c r="B11084" s="2" t="str">
        <f>IFERROR(__xludf.DUMMYFUNCTION("""COMPUTED_VALUE"""),"쪽파")</f>
        <v>쪽파</v>
      </c>
    </row>
    <row r="11085">
      <c r="A11085" s="2" t="str">
        <f>IFERROR(__xludf.DUMMYFUNCTION("""COMPUTED_VALUE"""),"오복쟁반")</f>
        <v>오복쟁반</v>
      </c>
      <c r="B11085" s="2" t="str">
        <f>IFERROR(__xludf.DUMMYFUNCTION("""COMPUTED_VALUE"""),"절인 복분자")</f>
        <v>절인 복분자</v>
      </c>
    </row>
    <row r="11086">
      <c r="A11086" s="2" t="str">
        <f>IFERROR(__xludf.DUMMYFUNCTION("""COMPUTED_VALUE"""),"오복쟁반")</f>
        <v>오복쟁반</v>
      </c>
      <c r="B11086" s="2" t="str">
        <f>IFERROR(__xludf.DUMMYFUNCTION("""COMPUTED_VALUE"""),"표고버섯")</f>
        <v>표고버섯</v>
      </c>
    </row>
    <row r="11087">
      <c r="A11087" s="2" t="str">
        <f>IFERROR(__xludf.DUMMYFUNCTION("""COMPUTED_VALUE"""),"오복쟁반")</f>
        <v>오복쟁반</v>
      </c>
      <c r="B11087" s="2" t="str">
        <f>IFERROR(__xludf.DUMMYFUNCTION("""COMPUTED_VALUE"""),"양파즙")</f>
        <v>양파즙</v>
      </c>
    </row>
    <row r="11088">
      <c r="A11088" s="2" t="str">
        <f>IFERROR(__xludf.DUMMYFUNCTION("""COMPUTED_VALUE"""),"오복쟁반")</f>
        <v>오복쟁반</v>
      </c>
      <c r="B11088" s="2" t="str">
        <f>IFERROR(__xludf.DUMMYFUNCTION("""COMPUTED_VALUE"""),"굴소스")</f>
        <v>굴소스</v>
      </c>
    </row>
    <row r="11089">
      <c r="A11089" s="2" t="str">
        <f>IFERROR(__xludf.DUMMYFUNCTION("""COMPUTED_VALUE"""),"오복쟁반")</f>
        <v>오복쟁반</v>
      </c>
      <c r="B11089" s="2" t="str">
        <f>IFERROR(__xludf.DUMMYFUNCTION("""COMPUTED_VALUE"""),"소고기")</f>
        <v>소고기</v>
      </c>
    </row>
    <row r="11090">
      <c r="A11090" s="2" t="str">
        <f>IFERROR(__xludf.DUMMYFUNCTION("""COMPUTED_VALUE"""),"오복쟁반")</f>
        <v>오복쟁반</v>
      </c>
      <c r="B11090" s="2" t="str">
        <f>IFERROR(__xludf.DUMMYFUNCTION("""COMPUTED_VALUE"""),"낙지")</f>
        <v>낙지</v>
      </c>
    </row>
    <row r="11091">
      <c r="A11091" s="2" t="str">
        <f>IFERROR(__xludf.DUMMYFUNCTION("""COMPUTED_VALUE"""),"오복쟁반")</f>
        <v>오복쟁반</v>
      </c>
      <c r="B11091" s="2" t="str">
        <f>IFERROR(__xludf.DUMMYFUNCTION("""COMPUTED_VALUE"""),"깻잎")</f>
        <v>깻잎</v>
      </c>
    </row>
    <row r="11092">
      <c r="A11092" s="2" t="str">
        <f>IFERROR(__xludf.DUMMYFUNCTION("""COMPUTED_VALUE"""),"오복쟁반")</f>
        <v>오복쟁반</v>
      </c>
      <c r="B11092" s="2" t="str">
        <f>IFERROR(__xludf.DUMMYFUNCTION("""COMPUTED_VALUE"""),"우동면")</f>
        <v>우동면</v>
      </c>
    </row>
    <row r="11093">
      <c r="A11093" s="2" t="str">
        <f>IFERROR(__xludf.DUMMYFUNCTION("""COMPUTED_VALUE"""),"오복쟁반")</f>
        <v>오복쟁반</v>
      </c>
      <c r="B11093" s="2" t="str">
        <f>IFERROR(__xludf.DUMMYFUNCTION("""COMPUTED_VALUE"""),"달걀")</f>
        <v>달걀</v>
      </c>
    </row>
    <row r="11094">
      <c r="A11094" s="2" t="str">
        <f>IFERROR(__xludf.DUMMYFUNCTION("""COMPUTED_VALUE"""),"오복쟁반")</f>
        <v>오복쟁반</v>
      </c>
      <c r="B11094" s="2" t="str">
        <f>IFERROR(__xludf.DUMMYFUNCTION("""COMPUTED_VALUE"""),"양파")</f>
        <v>양파</v>
      </c>
    </row>
    <row r="11095">
      <c r="A11095" s="2" t="str">
        <f>IFERROR(__xludf.DUMMYFUNCTION("""COMPUTED_VALUE"""),"오복쟁반")</f>
        <v>오복쟁반</v>
      </c>
      <c r="B11095" s="2" t="str">
        <f>IFERROR(__xludf.DUMMYFUNCTION("""COMPUTED_VALUE"""),"청주")</f>
        <v>청주</v>
      </c>
    </row>
    <row r="11096">
      <c r="A11096" s="2" t="str">
        <f>IFERROR(__xludf.DUMMYFUNCTION("""COMPUTED_VALUE"""),"오복쟁반")</f>
        <v>오복쟁반</v>
      </c>
      <c r="B11096" s="2" t="str">
        <f>IFERROR(__xludf.DUMMYFUNCTION("""COMPUTED_VALUE"""),"고추장")</f>
        <v>고추장</v>
      </c>
    </row>
    <row r="11097">
      <c r="A11097" s="2" t="str">
        <f>IFERROR(__xludf.DUMMYFUNCTION("""COMPUTED_VALUE"""),"오복쟁반")</f>
        <v>오복쟁반</v>
      </c>
      <c r="B11097" s="2" t="str">
        <f>IFERROR(__xludf.DUMMYFUNCTION("""COMPUTED_VALUE"""),"간장")</f>
        <v>간장</v>
      </c>
    </row>
    <row r="11098">
      <c r="A11098" s="2" t="str">
        <f>IFERROR(__xludf.DUMMYFUNCTION("""COMPUTED_VALUE"""),"오복쟁반")</f>
        <v>오복쟁반</v>
      </c>
      <c r="B11098" s="2" t="str">
        <f>IFERROR(__xludf.DUMMYFUNCTION("""COMPUTED_VALUE"""),"홍고추")</f>
        <v>홍고추</v>
      </c>
    </row>
    <row r="11099">
      <c r="A11099" s="2" t="str">
        <f>IFERROR(__xludf.DUMMYFUNCTION("""COMPUTED_VALUE"""),"오복쟁반")</f>
        <v>오복쟁반</v>
      </c>
      <c r="B11099" s="2" t="str">
        <f>IFERROR(__xludf.DUMMYFUNCTION("""COMPUTED_VALUE"""),"대파")</f>
        <v>대파</v>
      </c>
    </row>
    <row r="11100">
      <c r="A11100" s="2" t="str">
        <f>IFERROR(__xludf.DUMMYFUNCTION("""COMPUTED_VALUE"""),"오복쟁반")</f>
        <v>오복쟁반</v>
      </c>
      <c r="B11100" s="2" t="str">
        <f>IFERROR(__xludf.DUMMYFUNCTION("""COMPUTED_VALUE"""),"고춧가루")</f>
        <v>고춧가루</v>
      </c>
    </row>
    <row r="11101">
      <c r="A11101" s="2" t="str">
        <f>IFERROR(__xludf.DUMMYFUNCTION("""COMPUTED_VALUE"""),"오복쟁반")</f>
        <v>오복쟁반</v>
      </c>
      <c r="B11101" s="2" t="str">
        <f>IFERROR(__xludf.DUMMYFUNCTION("""COMPUTED_VALUE"""),"청양고추")</f>
        <v>청양고추</v>
      </c>
    </row>
    <row r="11102">
      <c r="A11102" s="2" t="str">
        <f>IFERROR(__xludf.DUMMYFUNCTION("""COMPUTED_VALUE"""),"불닭 카리스마")</f>
        <v>불닭 카리스마</v>
      </c>
      <c r="B11102" s="2" t="str">
        <f>IFERROR(__xludf.DUMMYFUNCTION("""COMPUTED_VALUE"""),"닭")</f>
        <v>닭</v>
      </c>
    </row>
    <row r="11103">
      <c r="A11103" s="2" t="str">
        <f>IFERROR(__xludf.DUMMYFUNCTION("""COMPUTED_VALUE"""),"불닭 카리스마")</f>
        <v>불닭 카리스마</v>
      </c>
      <c r="B11103" s="2" t="str">
        <f>IFERROR(__xludf.DUMMYFUNCTION("""COMPUTED_VALUE"""),"우유")</f>
        <v>우유</v>
      </c>
    </row>
    <row r="11104">
      <c r="A11104" s="2" t="str">
        <f>IFERROR(__xludf.DUMMYFUNCTION("""COMPUTED_VALUE"""),"불닭 카리스마")</f>
        <v>불닭 카리스마</v>
      </c>
      <c r="B11104" s="2" t="str">
        <f>IFERROR(__xludf.DUMMYFUNCTION("""COMPUTED_VALUE"""),"컵우동")</f>
        <v>컵우동</v>
      </c>
    </row>
    <row r="11105">
      <c r="A11105" s="2" t="str">
        <f>IFERROR(__xludf.DUMMYFUNCTION("""COMPUTED_VALUE"""),"불닭 카리스마")</f>
        <v>불닭 카리스마</v>
      </c>
      <c r="B11105" s="2" t="str">
        <f>IFERROR(__xludf.DUMMYFUNCTION("""COMPUTED_VALUE"""),"양배추")</f>
        <v>양배추</v>
      </c>
    </row>
    <row r="11106">
      <c r="A11106" s="2" t="str">
        <f>IFERROR(__xludf.DUMMYFUNCTION("""COMPUTED_VALUE"""),"불닭 카리스마")</f>
        <v>불닭 카리스마</v>
      </c>
      <c r="B11106" s="2" t="str">
        <f>IFERROR(__xludf.DUMMYFUNCTION("""COMPUTED_VALUE"""),"삶은 메추리알")</f>
        <v>삶은 메추리알</v>
      </c>
    </row>
    <row r="11107">
      <c r="A11107" s="2" t="str">
        <f>IFERROR(__xludf.DUMMYFUNCTION("""COMPUTED_VALUE"""),"불닭 카리스마")</f>
        <v>불닭 카리스마</v>
      </c>
      <c r="B11107" s="2" t="str">
        <f>IFERROR(__xludf.DUMMYFUNCTION("""COMPUTED_VALUE"""),"아스파라거스")</f>
        <v>아스파라거스</v>
      </c>
    </row>
    <row r="11108">
      <c r="A11108" s="2" t="str">
        <f>IFERROR(__xludf.DUMMYFUNCTION("""COMPUTED_VALUE"""),"불닭 카리스마")</f>
        <v>불닭 카리스마</v>
      </c>
      <c r="B11108" s="2" t="str">
        <f>IFERROR(__xludf.DUMMYFUNCTION("""COMPUTED_VALUE"""),"연두부")</f>
        <v>연두부</v>
      </c>
    </row>
    <row r="11109">
      <c r="A11109" s="2" t="str">
        <f>IFERROR(__xludf.DUMMYFUNCTION("""COMPUTED_VALUE"""),"불닭 카리스마")</f>
        <v>불닭 카리스마</v>
      </c>
      <c r="B11109" s="2" t="str">
        <f>IFERROR(__xludf.DUMMYFUNCTION("""COMPUTED_VALUE"""),"차돌박이")</f>
        <v>차돌박이</v>
      </c>
    </row>
    <row r="11110">
      <c r="A11110" s="2" t="str">
        <f>IFERROR(__xludf.DUMMYFUNCTION("""COMPUTED_VALUE"""),"불닭 카리스마")</f>
        <v>불닭 카리스마</v>
      </c>
      <c r="B11110" s="2" t="str">
        <f>IFERROR(__xludf.DUMMYFUNCTION("""COMPUTED_VALUE"""),"쪽파")</f>
        <v>쪽파</v>
      </c>
    </row>
    <row r="11111">
      <c r="A11111" s="2" t="str">
        <f>IFERROR(__xludf.DUMMYFUNCTION("""COMPUTED_VALUE"""),"불닭 카리스마")</f>
        <v>불닭 카리스마</v>
      </c>
      <c r="B11111" s="2" t="str">
        <f>IFERROR(__xludf.DUMMYFUNCTION("""COMPUTED_VALUE"""),"고춧가루")</f>
        <v>고춧가루</v>
      </c>
    </row>
    <row r="11112">
      <c r="A11112" s="2" t="str">
        <f>IFERROR(__xludf.DUMMYFUNCTION("""COMPUTED_VALUE"""),"불닭 카리스마")</f>
        <v>불닭 카리스마</v>
      </c>
      <c r="B11112" s="2" t="str">
        <f>IFERROR(__xludf.DUMMYFUNCTION("""COMPUTED_VALUE"""),"대파")</f>
        <v>대파</v>
      </c>
    </row>
    <row r="11113">
      <c r="A11113" s="2" t="str">
        <f>IFERROR(__xludf.DUMMYFUNCTION("""COMPUTED_VALUE"""),"불닭 카리스마")</f>
        <v>불닭 카리스마</v>
      </c>
      <c r="B11113" s="2" t="str">
        <f>IFERROR(__xludf.DUMMYFUNCTION("""COMPUTED_VALUE"""),"밀가루")</f>
        <v>밀가루</v>
      </c>
    </row>
    <row r="11114">
      <c r="A11114" s="2" t="str">
        <f>IFERROR(__xludf.DUMMYFUNCTION("""COMPUTED_VALUE"""),"불닭 카리스마")</f>
        <v>불닭 카리스마</v>
      </c>
      <c r="B11114" s="2" t="str">
        <f>IFERROR(__xludf.DUMMYFUNCTION("""COMPUTED_VALUE"""),"전분")</f>
        <v>전분</v>
      </c>
    </row>
    <row r="11115">
      <c r="A11115" s="2" t="str">
        <f>IFERROR(__xludf.DUMMYFUNCTION("""COMPUTED_VALUE"""),"불닭 카리스마")</f>
        <v>불닭 카리스마</v>
      </c>
      <c r="B11115" s="2" t="str">
        <f>IFERROR(__xludf.DUMMYFUNCTION("""COMPUTED_VALUE"""),"소금")</f>
        <v>소금</v>
      </c>
    </row>
    <row r="11116">
      <c r="A11116" s="2" t="str">
        <f>IFERROR(__xludf.DUMMYFUNCTION("""COMPUTED_VALUE"""),"불닭 카리스마")</f>
        <v>불닭 카리스마</v>
      </c>
      <c r="B11116" s="2" t="str">
        <f>IFERROR(__xludf.DUMMYFUNCTION("""COMPUTED_VALUE"""),"달걀")</f>
        <v>달걀</v>
      </c>
    </row>
    <row r="11117">
      <c r="A11117" s="2" t="str">
        <f>IFERROR(__xludf.DUMMYFUNCTION("""COMPUTED_VALUE"""),"불닭 카리스마")</f>
        <v>불닭 카리스마</v>
      </c>
      <c r="B11117" s="2" t="str">
        <f>IFERROR(__xludf.DUMMYFUNCTION("""COMPUTED_VALUE"""),"양파")</f>
        <v>양파</v>
      </c>
    </row>
    <row r="11118">
      <c r="A11118" s="2" t="str">
        <f>IFERROR(__xludf.DUMMYFUNCTION("""COMPUTED_VALUE"""),"불닭 카리스마")</f>
        <v>불닭 카리스마</v>
      </c>
      <c r="B11118" s="2" t="str">
        <f>IFERROR(__xludf.DUMMYFUNCTION("""COMPUTED_VALUE"""),"고추장")</f>
        <v>고추장</v>
      </c>
    </row>
    <row r="11119">
      <c r="A11119" s="2" t="str">
        <f>IFERROR(__xludf.DUMMYFUNCTION("""COMPUTED_VALUE"""),"불닭 카리스마")</f>
        <v>불닭 카리스마</v>
      </c>
      <c r="B11119" s="2" t="str">
        <f>IFERROR(__xludf.DUMMYFUNCTION("""COMPUTED_VALUE"""),"설탕")</f>
        <v>설탕</v>
      </c>
    </row>
    <row r="11120">
      <c r="A11120" s="2" t="str">
        <f>IFERROR(__xludf.DUMMYFUNCTION("""COMPUTED_VALUE"""),"불닭 카리스마")</f>
        <v>불닭 카리스마</v>
      </c>
      <c r="B11120" s="2" t="str">
        <f>IFERROR(__xludf.DUMMYFUNCTION("""COMPUTED_VALUE"""),"간장")</f>
        <v>간장</v>
      </c>
    </row>
    <row r="11121">
      <c r="A11121" s="2" t="str">
        <f>IFERROR(__xludf.DUMMYFUNCTION("""COMPUTED_VALUE"""),"불닭 카리스마")</f>
        <v>불닭 카리스마</v>
      </c>
      <c r="B11121" s="2" t="str">
        <f>IFERROR(__xludf.DUMMYFUNCTION("""COMPUTED_VALUE"""),"물엿")</f>
        <v>물엿</v>
      </c>
    </row>
    <row r="11122">
      <c r="A11122" s="2" t="str">
        <f>IFERROR(__xludf.DUMMYFUNCTION("""COMPUTED_VALUE"""),"불닭 카리스마")</f>
        <v>불닭 카리스마</v>
      </c>
      <c r="B11122" s="2" t="str">
        <f>IFERROR(__xludf.DUMMYFUNCTION("""COMPUTED_VALUE"""),"식초")</f>
        <v>식초</v>
      </c>
    </row>
    <row r="11123">
      <c r="A11123" s="2" t="str">
        <f>IFERROR(__xludf.DUMMYFUNCTION("""COMPUTED_VALUE"""),"오~ 야식 코리아♬")</f>
        <v>오~ 야식 코리아♬</v>
      </c>
      <c r="B11123" s="2" t="str">
        <f>IFERROR(__xludf.DUMMYFUNCTION("""COMPUTED_VALUE"""),"컵우동")</f>
        <v>컵우동</v>
      </c>
    </row>
    <row r="11124">
      <c r="A11124" s="2" t="str">
        <f>IFERROR(__xludf.DUMMYFUNCTION("""COMPUTED_VALUE"""),"오~ 야식 코리아♬")</f>
        <v>오~ 야식 코리아♬</v>
      </c>
      <c r="B11124" s="2" t="str">
        <f>IFERROR(__xludf.DUMMYFUNCTION("""COMPUTED_VALUE"""),"청양고추")</f>
        <v>청양고추</v>
      </c>
    </row>
    <row r="11125">
      <c r="A11125" s="2" t="str">
        <f>IFERROR(__xludf.DUMMYFUNCTION("""COMPUTED_VALUE"""),"오~ 야식 코리아♬")</f>
        <v>오~ 야식 코리아♬</v>
      </c>
      <c r="B11125" s="2" t="str">
        <f>IFERROR(__xludf.DUMMYFUNCTION("""COMPUTED_VALUE"""),"소고기등심")</f>
        <v>소고기등심</v>
      </c>
    </row>
    <row r="11126">
      <c r="A11126" s="2" t="str">
        <f>IFERROR(__xludf.DUMMYFUNCTION("""COMPUTED_VALUE"""),"오~ 야식 코리아♬")</f>
        <v>오~ 야식 코리아♬</v>
      </c>
      <c r="B11126" s="2" t="str">
        <f>IFERROR(__xludf.DUMMYFUNCTION("""COMPUTED_VALUE"""),"양념돼지목살")</f>
        <v>양념돼지목살</v>
      </c>
    </row>
    <row r="11127">
      <c r="A11127" s="2" t="str">
        <f>IFERROR(__xludf.DUMMYFUNCTION("""COMPUTED_VALUE"""),"오~ 야식 코리아♬")</f>
        <v>오~ 야식 코리아♬</v>
      </c>
      <c r="B11127" s="2" t="str">
        <f>IFERROR(__xludf.DUMMYFUNCTION("""COMPUTED_VALUE"""),"방울토마토")</f>
        <v>방울토마토</v>
      </c>
    </row>
    <row r="11128">
      <c r="A11128" s="2" t="str">
        <f>IFERROR(__xludf.DUMMYFUNCTION("""COMPUTED_VALUE"""),"오~ 야식 코리아♬")</f>
        <v>오~ 야식 코리아♬</v>
      </c>
      <c r="B11128" s="2" t="str">
        <f>IFERROR(__xludf.DUMMYFUNCTION("""COMPUTED_VALUE"""),"양배추")</f>
        <v>양배추</v>
      </c>
    </row>
    <row r="11129">
      <c r="A11129" s="2" t="str">
        <f>IFERROR(__xludf.DUMMYFUNCTION("""COMPUTED_VALUE"""),"오~ 야식 코리아♬")</f>
        <v>오~ 야식 코리아♬</v>
      </c>
      <c r="B11129" s="2" t="str">
        <f>IFERROR(__xludf.DUMMYFUNCTION("""COMPUTED_VALUE"""),"진미채")</f>
        <v>진미채</v>
      </c>
    </row>
    <row r="11130">
      <c r="A11130" s="2" t="str">
        <f>IFERROR(__xludf.DUMMYFUNCTION("""COMPUTED_VALUE"""),"오~ 야식 코리아♬")</f>
        <v>오~ 야식 코리아♬</v>
      </c>
      <c r="B11130" s="2" t="str">
        <f>IFERROR(__xludf.DUMMYFUNCTION("""COMPUTED_VALUE"""),"샐러드채소")</f>
        <v>샐러드채소</v>
      </c>
    </row>
    <row r="11131">
      <c r="A11131" s="2" t="str">
        <f>IFERROR(__xludf.DUMMYFUNCTION("""COMPUTED_VALUE"""),"오~ 야식 코리아♬")</f>
        <v>오~ 야식 코리아♬</v>
      </c>
      <c r="B11131" s="2" t="str">
        <f>IFERROR(__xludf.DUMMYFUNCTION("""COMPUTED_VALUE"""),"밀가루")</f>
        <v>밀가루</v>
      </c>
    </row>
    <row r="11132">
      <c r="A11132" s="2" t="str">
        <f>IFERROR(__xludf.DUMMYFUNCTION("""COMPUTED_VALUE"""),"오~ 야식 코리아♬")</f>
        <v>오~ 야식 코리아♬</v>
      </c>
      <c r="B11132" s="2" t="str">
        <f>IFERROR(__xludf.DUMMYFUNCTION("""COMPUTED_VALUE"""),"후추")</f>
        <v>후추</v>
      </c>
    </row>
    <row r="11133">
      <c r="A11133" s="2" t="str">
        <f>IFERROR(__xludf.DUMMYFUNCTION("""COMPUTED_VALUE"""),"오~ 야식 코리아♬")</f>
        <v>오~ 야식 코리아♬</v>
      </c>
      <c r="B11133" s="2" t="str">
        <f>IFERROR(__xludf.DUMMYFUNCTION("""COMPUTED_VALUE"""),"전분")</f>
        <v>전분</v>
      </c>
    </row>
    <row r="11134">
      <c r="A11134" s="2" t="str">
        <f>IFERROR(__xludf.DUMMYFUNCTION("""COMPUTED_VALUE"""),"오~ 야식 코리아♬")</f>
        <v>오~ 야식 코리아♬</v>
      </c>
      <c r="B11134" s="2" t="str">
        <f>IFERROR(__xludf.DUMMYFUNCTION("""COMPUTED_VALUE"""),"양파")</f>
        <v>양파</v>
      </c>
    </row>
    <row r="11135">
      <c r="A11135" s="2" t="str">
        <f>IFERROR(__xludf.DUMMYFUNCTION("""COMPUTED_VALUE"""),"오~ 야식 코리아♬")</f>
        <v>오~ 야식 코리아♬</v>
      </c>
      <c r="B11135" s="2" t="str">
        <f>IFERROR(__xludf.DUMMYFUNCTION("""COMPUTED_VALUE"""),"마늘")</f>
        <v>마늘</v>
      </c>
    </row>
    <row r="11136">
      <c r="A11136" s="2" t="str">
        <f>IFERROR(__xludf.DUMMYFUNCTION("""COMPUTED_VALUE"""),"오~ 야식 코리아♬")</f>
        <v>오~ 야식 코리아♬</v>
      </c>
      <c r="B11136" s="2" t="str">
        <f>IFERROR(__xludf.DUMMYFUNCTION("""COMPUTED_VALUE"""),"고춧가루")</f>
        <v>고춧가루</v>
      </c>
    </row>
    <row r="11137">
      <c r="A11137" s="2" t="str">
        <f>IFERROR(__xludf.DUMMYFUNCTION("""COMPUTED_VALUE"""),"오~ 야식 코리아♬")</f>
        <v>오~ 야식 코리아♬</v>
      </c>
      <c r="B11137" s="2" t="str">
        <f>IFERROR(__xludf.DUMMYFUNCTION("""COMPUTED_VALUE"""),"케첩")</f>
        <v>케첩</v>
      </c>
    </row>
    <row r="11138">
      <c r="A11138" s="2" t="str">
        <f>IFERROR(__xludf.DUMMYFUNCTION("""COMPUTED_VALUE"""),"오~ 야식 코리아♬")</f>
        <v>오~ 야식 코리아♬</v>
      </c>
      <c r="B11138" s="2" t="str">
        <f>IFERROR(__xludf.DUMMYFUNCTION("""COMPUTED_VALUE"""),"간장")</f>
        <v>간장</v>
      </c>
    </row>
    <row r="11139">
      <c r="A11139" s="2" t="str">
        <f>IFERROR(__xludf.DUMMYFUNCTION("""COMPUTED_VALUE"""),"오~ 야식 코리아♬")</f>
        <v>오~ 야식 코리아♬</v>
      </c>
      <c r="B11139" s="2" t="str">
        <f>IFERROR(__xludf.DUMMYFUNCTION("""COMPUTED_VALUE"""),"물엿")</f>
        <v>물엿</v>
      </c>
    </row>
    <row r="11140">
      <c r="A11140" s="2" t="str">
        <f>IFERROR(__xludf.DUMMYFUNCTION("""COMPUTED_VALUE"""),"오~ 야식 코리아♬")</f>
        <v>오~ 야식 코리아♬</v>
      </c>
      <c r="B11140" s="2" t="str">
        <f>IFERROR(__xludf.DUMMYFUNCTION("""COMPUTED_VALUE"""),"설탕")</f>
        <v>설탕</v>
      </c>
    </row>
    <row r="11141">
      <c r="A11141" s="2" t="str">
        <f>IFERROR(__xludf.DUMMYFUNCTION("""COMPUTED_VALUE"""),"오~ 야식 코리아♬")</f>
        <v>오~ 야식 코리아♬</v>
      </c>
      <c r="B11141" s="2" t="str">
        <f>IFERROR(__xludf.DUMMYFUNCTION("""COMPUTED_VALUE"""),"고추장")</f>
        <v>고추장</v>
      </c>
    </row>
    <row r="11142">
      <c r="A11142" s="2" t="str">
        <f>IFERROR(__xludf.DUMMYFUNCTION("""COMPUTED_VALUE"""),"오~ 야식 코리아♬")</f>
        <v>오~ 야식 코리아♬</v>
      </c>
      <c r="B11142" s="2" t="str">
        <f>IFERROR(__xludf.DUMMYFUNCTION("""COMPUTED_VALUE"""),"튀김가루")</f>
        <v>튀김가루</v>
      </c>
    </row>
    <row r="11143">
      <c r="A11143" s="2" t="str">
        <f>IFERROR(__xludf.DUMMYFUNCTION("""COMPUTED_VALUE"""),"오~ 야식 코리아♬")</f>
        <v>오~ 야식 코리아♬</v>
      </c>
      <c r="B11143" s="2" t="str">
        <f>IFERROR(__xludf.DUMMYFUNCTION("""COMPUTED_VALUE"""),"달걀")</f>
        <v>달걀</v>
      </c>
    </row>
    <row r="11144">
      <c r="A11144" s="2" t="str">
        <f>IFERROR(__xludf.DUMMYFUNCTION("""COMPUTED_VALUE"""),"입에 불나게")</f>
        <v>입에 불나게</v>
      </c>
      <c r="B11144" s="2" t="str">
        <f>IFERROR(__xludf.DUMMYFUNCTION("""COMPUTED_VALUE"""),"청양고추")</f>
        <v>청양고추</v>
      </c>
    </row>
    <row r="11145">
      <c r="A11145" s="2" t="str">
        <f>IFERROR(__xludf.DUMMYFUNCTION("""COMPUTED_VALUE"""),"입에 불나게")</f>
        <v>입에 불나게</v>
      </c>
      <c r="B11145" s="2" t="str">
        <f>IFERROR(__xludf.DUMMYFUNCTION("""COMPUTED_VALUE"""),"셀러리")</f>
        <v>셀러리</v>
      </c>
    </row>
    <row r="11146">
      <c r="A11146" s="2" t="str">
        <f>IFERROR(__xludf.DUMMYFUNCTION("""COMPUTED_VALUE"""),"입에 불나게")</f>
        <v>입에 불나게</v>
      </c>
      <c r="B11146" s="2" t="str">
        <f>IFERROR(__xludf.DUMMYFUNCTION("""COMPUTED_VALUE"""),"컵우동")</f>
        <v>컵우동</v>
      </c>
    </row>
    <row r="11147">
      <c r="A11147" s="2" t="str">
        <f>IFERROR(__xludf.DUMMYFUNCTION("""COMPUTED_VALUE"""),"입에 불나게")</f>
        <v>입에 불나게</v>
      </c>
      <c r="B11147" s="2" t="str">
        <f>IFERROR(__xludf.DUMMYFUNCTION("""COMPUTED_VALUE"""),"느타리버섯")</f>
        <v>느타리버섯</v>
      </c>
    </row>
    <row r="11148">
      <c r="A11148" s="2" t="str">
        <f>IFERROR(__xludf.DUMMYFUNCTION("""COMPUTED_VALUE"""),"입에 불나게")</f>
        <v>입에 불나게</v>
      </c>
      <c r="B11148" s="2" t="str">
        <f>IFERROR(__xludf.DUMMYFUNCTION("""COMPUTED_VALUE"""),"게맛살")</f>
        <v>게맛살</v>
      </c>
    </row>
    <row r="11149">
      <c r="A11149" s="2" t="str">
        <f>IFERROR(__xludf.DUMMYFUNCTION("""COMPUTED_VALUE"""),"입에 불나게")</f>
        <v>입에 불나게</v>
      </c>
      <c r="B11149" s="2" t="str">
        <f>IFERROR(__xludf.DUMMYFUNCTION("""COMPUTED_VALUE"""),"방울토마토")</f>
        <v>방울토마토</v>
      </c>
    </row>
    <row r="11150">
      <c r="A11150" s="2" t="str">
        <f>IFERROR(__xludf.DUMMYFUNCTION("""COMPUTED_VALUE"""),"입에 불나게")</f>
        <v>입에 불나게</v>
      </c>
      <c r="B11150" s="2" t="str">
        <f>IFERROR(__xludf.DUMMYFUNCTION("""COMPUTED_VALUE"""),"쪽파")</f>
        <v>쪽파</v>
      </c>
    </row>
    <row r="11151">
      <c r="A11151" s="2" t="str">
        <f>IFERROR(__xludf.DUMMYFUNCTION("""COMPUTED_VALUE"""),"입에 불나게")</f>
        <v>입에 불나게</v>
      </c>
      <c r="B11151" s="2" t="str">
        <f>IFERROR(__xludf.DUMMYFUNCTION("""COMPUTED_VALUE"""),"홍고추")</f>
        <v>홍고추</v>
      </c>
    </row>
    <row r="11152">
      <c r="A11152" s="2" t="str">
        <f>IFERROR(__xludf.DUMMYFUNCTION("""COMPUTED_VALUE"""),"입에 불나게")</f>
        <v>입에 불나게</v>
      </c>
      <c r="B11152" s="2" t="str">
        <f>IFERROR(__xludf.DUMMYFUNCTION("""COMPUTED_VALUE"""),"마늘")</f>
        <v>마늘</v>
      </c>
    </row>
    <row r="11153">
      <c r="A11153" s="2" t="str">
        <f>IFERROR(__xludf.DUMMYFUNCTION("""COMPUTED_VALUE"""),"입에 불나게")</f>
        <v>입에 불나게</v>
      </c>
      <c r="B11153" s="2" t="str">
        <f>IFERROR(__xludf.DUMMYFUNCTION("""COMPUTED_VALUE"""),"설탕")</f>
        <v>설탕</v>
      </c>
    </row>
    <row r="11154">
      <c r="A11154" s="2" t="str">
        <f>IFERROR(__xludf.DUMMYFUNCTION("""COMPUTED_VALUE"""),"입에 불나게")</f>
        <v>입에 불나게</v>
      </c>
      <c r="B11154" s="2" t="str">
        <f>IFERROR(__xludf.DUMMYFUNCTION("""COMPUTED_VALUE"""),"소금")</f>
        <v>소금</v>
      </c>
    </row>
    <row r="11155">
      <c r="A11155" s="2" t="str">
        <f>IFERROR(__xludf.DUMMYFUNCTION("""COMPUTED_VALUE"""),"입에 불나게")</f>
        <v>입에 불나게</v>
      </c>
      <c r="B11155" s="2" t="str">
        <f>IFERROR(__xludf.DUMMYFUNCTION("""COMPUTED_VALUE"""),"전분")</f>
        <v>전분</v>
      </c>
    </row>
    <row r="11156">
      <c r="A11156" s="2" t="str">
        <f>IFERROR(__xludf.DUMMYFUNCTION("""COMPUTED_VALUE"""),"입에 불나게")</f>
        <v>입에 불나게</v>
      </c>
      <c r="B11156" s="2" t="str">
        <f>IFERROR(__xludf.DUMMYFUNCTION("""COMPUTED_VALUE"""),"즉석밥")</f>
        <v>즉석밥</v>
      </c>
    </row>
    <row r="11157">
      <c r="A11157" s="2" t="str">
        <f>IFERROR(__xludf.DUMMYFUNCTION("""COMPUTED_VALUE"""),"청양냉면")</f>
        <v>청양냉면</v>
      </c>
      <c r="B11157" s="2" t="str">
        <f>IFERROR(__xludf.DUMMYFUNCTION("""COMPUTED_VALUE"""),"소고기안심")</f>
        <v>소고기안심</v>
      </c>
    </row>
    <row r="11158">
      <c r="A11158" s="2" t="str">
        <f>IFERROR(__xludf.DUMMYFUNCTION("""COMPUTED_VALUE"""),"청양냉면")</f>
        <v>청양냉면</v>
      </c>
      <c r="B11158" s="2" t="str">
        <f>IFERROR(__xludf.DUMMYFUNCTION("""COMPUTED_VALUE"""),"청양고추")</f>
        <v>청양고추</v>
      </c>
    </row>
    <row r="11159">
      <c r="A11159" s="2" t="str">
        <f>IFERROR(__xludf.DUMMYFUNCTION("""COMPUTED_VALUE"""),"청양냉면")</f>
        <v>청양냉면</v>
      </c>
      <c r="B11159" s="2" t="str">
        <f>IFERROR(__xludf.DUMMYFUNCTION("""COMPUTED_VALUE"""),"인스턴트 떡갈비")</f>
        <v>인스턴트 떡갈비</v>
      </c>
    </row>
    <row r="11160">
      <c r="A11160" s="2" t="str">
        <f>IFERROR(__xludf.DUMMYFUNCTION("""COMPUTED_VALUE"""),"청양냉면")</f>
        <v>청양냉면</v>
      </c>
      <c r="B11160" s="2" t="str">
        <f>IFERROR(__xludf.DUMMYFUNCTION("""COMPUTED_VALUE"""),"부추")</f>
        <v>부추</v>
      </c>
    </row>
    <row r="11161">
      <c r="A11161" s="2" t="str">
        <f>IFERROR(__xludf.DUMMYFUNCTION("""COMPUTED_VALUE"""),"청양냉면")</f>
        <v>청양냉면</v>
      </c>
      <c r="B11161" s="2" t="str">
        <f>IFERROR(__xludf.DUMMYFUNCTION("""COMPUTED_VALUE"""),"오이")</f>
        <v>오이</v>
      </c>
    </row>
    <row r="11162">
      <c r="A11162" s="2" t="str">
        <f>IFERROR(__xludf.DUMMYFUNCTION("""COMPUTED_VALUE"""),"청양냉면")</f>
        <v>청양냉면</v>
      </c>
      <c r="B11162" s="2" t="str">
        <f>IFERROR(__xludf.DUMMYFUNCTION("""COMPUTED_VALUE"""),"양배추")</f>
        <v>양배추</v>
      </c>
    </row>
    <row r="11163">
      <c r="A11163" s="2" t="str">
        <f>IFERROR(__xludf.DUMMYFUNCTION("""COMPUTED_VALUE"""),"청양냉면")</f>
        <v>청양냉면</v>
      </c>
      <c r="B11163" s="2" t="str">
        <f>IFERROR(__xludf.DUMMYFUNCTION("""COMPUTED_VALUE"""),"총각김치")</f>
        <v>총각김치</v>
      </c>
    </row>
    <row r="11164">
      <c r="A11164" s="2" t="str">
        <f>IFERROR(__xludf.DUMMYFUNCTION("""COMPUTED_VALUE"""),"청양냉면")</f>
        <v>청양냉면</v>
      </c>
      <c r="B11164" s="2" t="str">
        <f>IFERROR(__xludf.DUMMYFUNCTION("""COMPUTED_VALUE"""),"열무김치")</f>
        <v>열무김치</v>
      </c>
    </row>
    <row r="11165">
      <c r="A11165" s="2" t="str">
        <f>IFERROR(__xludf.DUMMYFUNCTION("""COMPUTED_VALUE"""),"청양냉면")</f>
        <v>청양냉면</v>
      </c>
      <c r="B11165" s="2" t="str">
        <f>IFERROR(__xludf.DUMMYFUNCTION("""COMPUTED_VALUE"""),"사과")</f>
        <v>사과</v>
      </c>
    </row>
    <row r="11166">
      <c r="A11166" s="2" t="str">
        <f>IFERROR(__xludf.DUMMYFUNCTION("""COMPUTED_VALUE"""),"청양냉면")</f>
        <v>청양냉면</v>
      </c>
      <c r="B11166" s="2" t="str">
        <f>IFERROR(__xludf.DUMMYFUNCTION("""COMPUTED_VALUE"""),"달걀")</f>
        <v>달걀</v>
      </c>
    </row>
    <row r="11167">
      <c r="A11167" s="2" t="str">
        <f>IFERROR(__xludf.DUMMYFUNCTION("""COMPUTED_VALUE"""),"청양냉면")</f>
        <v>청양냉면</v>
      </c>
      <c r="B11167" s="2" t="str">
        <f>IFERROR(__xludf.DUMMYFUNCTION("""COMPUTED_VALUE"""),"소금")</f>
        <v>소금</v>
      </c>
    </row>
    <row r="11168">
      <c r="A11168" s="2" t="str">
        <f>IFERROR(__xludf.DUMMYFUNCTION("""COMPUTED_VALUE"""),"청양냉면")</f>
        <v>청양냉면</v>
      </c>
      <c r="B11168" s="2" t="str">
        <f>IFERROR(__xludf.DUMMYFUNCTION("""COMPUTED_VALUE"""),"밀가루")</f>
        <v>밀가루</v>
      </c>
    </row>
    <row r="11169">
      <c r="A11169" s="2" t="str">
        <f>IFERROR(__xludf.DUMMYFUNCTION("""COMPUTED_VALUE"""),"청양냉면")</f>
        <v>청양냉면</v>
      </c>
      <c r="B11169" s="2" t="str">
        <f>IFERROR(__xludf.DUMMYFUNCTION("""COMPUTED_VALUE"""),"식초")</f>
        <v>식초</v>
      </c>
    </row>
    <row r="11170">
      <c r="A11170" s="2" t="str">
        <f>IFERROR(__xludf.DUMMYFUNCTION("""COMPUTED_VALUE"""),"청양냉면")</f>
        <v>청양냉면</v>
      </c>
      <c r="B11170" s="2" t="str">
        <f>IFERROR(__xludf.DUMMYFUNCTION("""COMPUTED_VALUE"""),"설탕")</f>
        <v>설탕</v>
      </c>
    </row>
    <row r="11171">
      <c r="A11171" s="2" t="str">
        <f>IFERROR(__xludf.DUMMYFUNCTION("""COMPUTED_VALUE"""),"대박나새우")</f>
        <v>대박나새우</v>
      </c>
      <c r="B11171" s="2" t="str">
        <f>IFERROR(__xludf.DUMMYFUNCTION("""COMPUTED_VALUE"""),"알배추")</f>
        <v>알배추</v>
      </c>
    </row>
    <row r="11172">
      <c r="A11172" s="2" t="str">
        <f>IFERROR(__xludf.DUMMYFUNCTION("""COMPUTED_VALUE"""),"대박나새우")</f>
        <v>대박나새우</v>
      </c>
      <c r="B11172" s="2" t="str">
        <f>IFERROR(__xludf.DUMMYFUNCTION("""COMPUTED_VALUE"""),"양송이버섯")</f>
        <v>양송이버섯</v>
      </c>
    </row>
    <row r="11173">
      <c r="A11173" s="2" t="str">
        <f>IFERROR(__xludf.DUMMYFUNCTION("""COMPUTED_VALUE"""),"대박나새우")</f>
        <v>대박나새우</v>
      </c>
      <c r="B11173" s="2" t="str">
        <f>IFERROR(__xludf.DUMMYFUNCTION("""COMPUTED_VALUE"""),"팽이버섯")</f>
        <v>팽이버섯</v>
      </c>
    </row>
    <row r="11174">
      <c r="A11174" s="2" t="str">
        <f>IFERROR(__xludf.DUMMYFUNCTION("""COMPUTED_VALUE"""),"대박나새우")</f>
        <v>대박나새우</v>
      </c>
      <c r="B11174" s="2" t="str">
        <f>IFERROR(__xludf.DUMMYFUNCTION("""COMPUTED_VALUE"""),"다진 소고기")</f>
        <v>다진 소고기</v>
      </c>
    </row>
    <row r="11175">
      <c r="A11175" s="2" t="str">
        <f>IFERROR(__xludf.DUMMYFUNCTION("""COMPUTED_VALUE"""),"대박나새우")</f>
        <v>대박나새우</v>
      </c>
      <c r="B11175" s="2" t="str">
        <f>IFERROR(__xludf.DUMMYFUNCTION("""COMPUTED_VALUE"""),"듀록 삼겹살")</f>
        <v>듀록 삼겹살</v>
      </c>
    </row>
    <row r="11176">
      <c r="A11176" s="2" t="str">
        <f>IFERROR(__xludf.DUMMYFUNCTION("""COMPUTED_VALUE"""),"대박나새우")</f>
        <v>대박나새우</v>
      </c>
      <c r="B11176" s="2" t="str">
        <f>IFERROR(__xludf.DUMMYFUNCTION("""COMPUTED_VALUE"""),"쯔유")</f>
        <v>쯔유</v>
      </c>
    </row>
    <row r="11177">
      <c r="A11177" s="2" t="str">
        <f>IFERROR(__xludf.DUMMYFUNCTION("""COMPUTED_VALUE"""),"대박나새우")</f>
        <v>대박나새우</v>
      </c>
      <c r="B11177" s="2" t="str">
        <f>IFERROR(__xludf.DUMMYFUNCTION("""COMPUTED_VALUE"""),"인스턴트 가츠오육수")</f>
        <v>인스턴트 가츠오육수</v>
      </c>
    </row>
    <row r="11178">
      <c r="A11178" s="2" t="str">
        <f>IFERROR(__xludf.DUMMYFUNCTION("""COMPUTED_VALUE"""),"대박나새우")</f>
        <v>대박나새우</v>
      </c>
      <c r="B11178" s="2" t="str">
        <f>IFERROR(__xludf.DUMMYFUNCTION("""COMPUTED_VALUE"""),"새우살")</f>
        <v>새우살</v>
      </c>
    </row>
    <row r="11179">
      <c r="A11179" s="2" t="str">
        <f>IFERROR(__xludf.DUMMYFUNCTION("""COMPUTED_VALUE"""),"대박나새우")</f>
        <v>대박나새우</v>
      </c>
      <c r="B11179" s="2" t="str">
        <f>IFERROR(__xludf.DUMMYFUNCTION("""COMPUTED_VALUE"""),"게맛살")</f>
        <v>게맛살</v>
      </c>
    </row>
    <row r="11180">
      <c r="A11180" s="2" t="str">
        <f>IFERROR(__xludf.DUMMYFUNCTION("""COMPUTED_VALUE"""),"대박나새우")</f>
        <v>대박나새우</v>
      </c>
      <c r="B11180" s="2" t="str">
        <f>IFERROR(__xludf.DUMMYFUNCTION("""COMPUTED_VALUE"""),"식용 색소")</f>
        <v>식용 색소</v>
      </c>
    </row>
    <row r="11181">
      <c r="A11181" s="2" t="str">
        <f>IFERROR(__xludf.DUMMYFUNCTION("""COMPUTED_VALUE"""),"대박나새우")</f>
        <v>대박나새우</v>
      </c>
      <c r="B11181" s="2" t="str">
        <f>IFERROR(__xludf.DUMMYFUNCTION("""COMPUTED_VALUE"""),"어란")</f>
        <v>어란</v>
      </c>
    </row>
    <row r="11182">
      <c r="A11182" s="2" t="str">
        <f>IFERROR(__xludf.DUMMYFUNCTION("""COMPUTED_VALUE"""),"대박나새우")</f>
        <v>대박나새우</v>
      </c>
      <c r="B11182" s="2" t="str">
        <f>IFERROR(__xludf.DUMMYFUNCTION("""COMPUTED_VALUE"""),"떡볶이 떡")</f>
        <v>떡볶이 떡</v>
      </c>
    </row>
    <row r="11183">
      <c r="A11183" s="2" t="str">
        <f>IFERROR(__xludf.DUMMYFUNCTION("""COMPUTED_VALUE"""),"대박나새우")</f>
        <v>대박나새우</v>
      </c>
      <c r="B11183" s="2" t="str">
        <f>IFERROR(__xludf.DUMMYFUNCTION("""COMPUTED_VALUE"""),"칠리소스")</f>
        <v>칠리소스</v>
      </c>
    </row>
    <row r="11184">
      <c r="A11184" s="2" t="str">
        <f>IFERROR(__xludf.DUMMYFUNCTION("""COMPUTED_VALUE"""),"대박나새우")</f>
        <v>대박나새우</v>
      </c>
      <c r="B11184" s="2" t="str">
        <f>IFERROR(__xludf.DUMMYFUNCTION("""COMPUTED_VALUE"""),"다진 생강")</f>
        <v>다진 생강</v>
      </c>
    </row>
    <row r="11185">
      <c r="A11185" s="2" t="str">
        <f>IFERROR(__xludf.DUMMYFUNCTION("""COMPUTED_VALUE"""),"대박나새우")</f>
        <v>대박나새우</v>
      </c>
      <c r="B11185" s="2" t="str">
        <f>IFERROR(__xludf.DUMMYFUNCTION("""COMPUTED_VALUE"""),"청주")</f>
        <v>청주</v>
      </c>
    </row>
    <row r="11186">
      <c r="A11186" s="2" t="str">
        <f>IFERROR(__xludf.DUMMYFUNCTION("""COMPUTED_VALUE"""),"대박나새우")</f>
        <v>대박나새우</v>
      </c>
      <c r="B11186" s="2" t="str">
        <f>IFERROR(__xludf.DUMMYFUNCTION("""COMPUTED_VALUE"""),"전분")</f>
        <v>전분</v>
      </c>
    </row>
    <row r="11187">
      <c r="A11187" s="2" t="str">
        <f>IFERROR(__xludf.DUMMYFUNCTION("""COMPUTED_VALUE"""),"대박나새우")</f>
        <v>대박나새우</v>
      </c>
      <c r="B11187" s="2" t="str">
        <f>IFERROR(__xludf.DUMMYFUNCTION("""COMPUTED_VALUE"""),"버터")</f>
        <v>버터</v>
      </c>
    </row>
    <row r="11188">
      <c r="A11188" s="2" t="str">
        <f>IFERROR(__xludf.DUMMYFUNCTION("""COMPUTED_VALUE"""),"대박나새우")</f>
        <v>대박나새우</v>
      </c>
      <c r="B11188" s="2" t="str">
        <f>IFERROR(__xludf.DUMMYFUNCTION("""COMPUTED_VALUE"""),"달걀")</f>
        <v>달걀</v>
      </c>
    </row>
    <row r="11189">
      <c r="A11189" s="2" t="str">
        <f>IFERROR(__xludf.DUMMYFUNCTION("""COMPUTED_VALUE"""),"대박나새우")</f>
        <v>대박나새우</v>
      </c>
      <c r="B11189" s="2" t="str">
        <f>IFERROR(__xludf.DUMMYFUNCTION("""COMPUTED_VALUE"""),"청양고추")</f>
        <v>청양고추</v>
      </c>
    </row>
    <row r="11190">
      <c r="A11190" s="2" t="str">
        <f>IFERROR(__xludf.DUMMYFUNCTION("""COMPUTED_VALUE"""),"대박나새우")</f>
        <v>대박나새우</v>
      </c>
      <c r="B11190" s="2" t="str">
        <f>IFERROR(__xludf.DUMMYFUNCTION("""COMPUTED_VALUE"""),"홍고추")</f>
        <v>홍고추</v>
      </c>
    </row>
    <row r="11191">
      <c r="A11191" s="2" t="str">
        <f>IFERROR(__xludf.DUMMYFUNCTION("""COMPUTED_VALUE"""),"대박나새우")</f>
        <v>대박나새우</v>
      </c>
      <c r="B11191" s="2" t="str">
        <f>IFERROR(__xludf.DUMMYFUNCTION("""COMPUTED_VALUE"""),"케첩")</f>
        <v>케첩</v>
      </c>
    </row>
    <row r="11192">
      <c r="A11192" s="2" t="str">
        <f>IFERROR(__xludf.DUMMYFUNCTION("""COMPUTED_VALUE"""),"대박나새우")</f>
        <v>대박나새우</v>
      </c>
      <c r="B11192" s="2" t="str">
        <f>IFERROR(__xludf.DUMMYFUNCTION("""COMPUTED_VALUE"""),"레몬")</f>
        <v>레몬</v>
      </c>
    </row>
    <row r="11193">
      <c r="A11193" s="2" t="str">
        <f>IFERROR(__xludf.DUMMYFUNCTION("""COMPUTED_VALUE"""),"대박나새우")</f>
        <v>대박나새우</v>
      </c>
      <c r="B11193" s="2" t="str">
        <f>IFERROR(__xludf.DUMMYFUNCTION("""COMPUTED_VALUE"""),"설탕")</f>
        <v>설탕</v>
      </c>
    </row>
    <row r="11194">
      <c r="A11194" s="2" t="str">
        <f>IFERROR(__xludf.DUMMYFUNCTION("""COMPUTED_VALUE"""),"우리집에 와규~")</f>
        <v>우리집에 와규~</v>
      </c>
      <c r="B11194" s="2" t="str">
        <f>IFERROR(__xludf.DUMMYFUNCTION("""COMPUTED_VALUE"""),"생강")</f>
        <v>생강</v>
      </c>
    </row>
    <row r="11195">
      <c r="A11195" s="2" t="str">
        <f>IFERROR(__xludf.DUMMYFUNCTION("""COMPUTED_VALUE"""),"우리집에 와규~")</f>
        <v>우리집에 와규~</v>
      </c>
      <c r="B11195" s="2" t="str">
        <f>IFERROR(__xludf.DUMMYFUNCTION("""COMPUTED_VALUE"""),"와규등심")</f>
        <v>와규등심</v>
      </c>
    </row>
    <row r="11196">
      <c r="A11196" s="2" t="str">
        <f>IFERROR(__xludf.DUMMYFUNCTION("""COMPUTED_VALUE"""),"우리집에 와규~")</f>
        <v>우리집에 와규~</v>
      </c>
      <c r="B11196" s="2" t="str">
        <f>IFERROR(__xludf.DUMMYFUNCTION("""COMPUTED_VALUE"""),"감귤")</f>
        <v>감귤</v>
      </c>
    </row>
    <row r="11197">
      <c r="A11197" s="2" t="str">
        <f>IFERROR(__xludf.DUMMYFUNCTION("""COMPUTED_VALUE"""),"우리집에 와규~")</f>
        <v>우리집에 와규~</v>
      </c>
      <c r="B11197" s="2" t="str">
        <f>IFERROR(__xludf.DUMMYFUNCTION("""COMPUTED_VALUE"""),"다진마늘")</f>
        <v>다진마늘</v>
      </c>
    </row>
    <row r="11198">
      <c r="A11198" s="2" t="str">
        <f>IFERROR(__xludf.DUMMYFUNCTION("""COMPUTED_VALUE"""),"우리집에 와규~")</f>
        <v>우리집에 와규~</v>
      </c>
      <c r="B11198" s="2" t="str">
        <f>IFERROR(__xludf.DUMMYFUNCTION("""COMPUTED_VALUE"""),"팽이버섯")</f>
        <v>팽이버섯</v>
      </c>
    </row>
    <row r="11199">
      <c r="A11199" s="2" t="str">
        <f>IFERROR(__xludf.DUMMYFUNCTION("""COMPUTED_VALUE"""),"우리집에 와규~")</f>
        <v>우리집에 와규~</v>
      </c>
      <c r="B11199" s="2" t="str">
        <f>IFERROR(__xludf.DUMMYFUNCTION("""COMPUTED_VALUE"""),"파프리카")</f>
        <v>파프리카</v>
      </c>
    </row>
    <row r="11200">
      <c r="A11200" s="2" t="str">
        <f>IFERROR(__xludf.DUMMYFUNCTION("""COMPUTED_VALUE"""),"우리집에 와규~")</f>
        <v>우리집에 와규~</v>
      </c>
      <c r="B11200" s="2" t="str">
        <f>IFERROR(__xludf.DUMMYFUNCTION("""COMPUTED_VALUE"""),"시금치")</f>
        <v>시금치</v>
      </c>
    </row>
    <row r="11201">
      <c r="A11201" s="2" t="str">
        <f>IFERROR(__xludf.DUMMYFUNCTION("""COMPUTED_VALUE"""),"우리집에 와규~")</f>
        <v>우리집에 와규~</v>
      </c>
      <c r="B11201" s="2" t="str">
        <f>IFERROR(__xludf.DUMMYFUNCTION("""COMPUTED_VALUE"""),"대파")</f>
        <v>대파</v>
      </c>
    </row>
    <row r="11202">
      <c r="A11202" s="2" t="str">
        <f>IFERROR(__xludf.DUMMYFUNCTION("""COMPUTED_VALUE"""),"우리집에 와규~")</f>
        <v>우리집에 와규~</v>
      </c>
      <c r="B11202" s="2" t="str">
        <f>IFERROR(__xludf.DUMMYFUNCTION("""COMPUTED_VALUE"""),"후추")</f>
        <v>후추</v>
      </c>
    </row>
    <row r="11203">
      <c r="A11203" s="2" t="str">
        <f>IFERROR(__xludf.DUMMYFUNCTION("""COMPUTED_VALUE"""),"우리집에 와규~")</f>
        <v>우리집에 와규~</v>
      </c>
      <c r="B11203" s="2" t="str">
        <f>IFERROR(__xludf.DUMMYFUNCTION("""COMPUTED_VALUE"""),"소금")</f>
        <v>소금</v>
      </c>
    </row>
    <row r="11204">
      <c r="A11204" s="2" t="str">
        <f>IFERROR(__xludf.DUMMYFUNCTION("""COMPUTED_VALUE"""),"우리집에 와규~")</f>
        <v>우리집에 와규~</v>
      </c>
      <c r="B11204" s="2" t="str">
        <f>IFERROR(__xludf.DUMMYFUNCTION("""COMPUTED_VALUE"""),"간장")</f>
        <v>간장</v>
      </c>
    </row>
    <row r="11205">
      <c r="A11205" s="2" t="str">
        <f>IFERROR(__xludf.DUMMYFUNCTION("""COMPUTED_VALUE"""),"우리집에 와규~")</f>
        <v>우리집에 와규~</v>
      </c>
      <c r="B11205" s="2" t="str">
        <f>IFERROR(__xludf.DUMMYFUNCTION("""COMPUTED_VALUE"""),"식초")</f>
        <v>식초</v>
      </c>
    </row>
    <row r="11206">
      <c r="A11206" s="2" t="str">
        <f>IFERROR(__xludf.DUMMYFUNCTION("""COMPUTED_VALUE"""),"우리집에 와규~")</f>
        <v>우리집에 와규~</v>
      </c>
      <c r="B11206" s="2" t="str">
        <f>IFERROR(__xludf.DUMMYFUNCTION("""COMPUTED_VALUE"""),"청주")</f>
        <v>청주</v>
      </c>
    </row>
    <row r="11207">
      <c r="A11207" s="2" t="str">
        <f>IFERROR(__xludf.DUMMYFUNCTION("""COMPUTED_VALUE"""),"우리집에 와규~")</f>
        <v>우리집에 와규~</v>
      </c>
      <c r="B11207" s="2" t="str">
        <f>IFERROR(__xludf.DUMMYFUNCTION("""COMPUTED_VALUE"""),"맛술")</f>
        <v>맛술</v>
      </c>
    </row>
    <row r="11208">
      <c r="A11208" s="2" t="str">
        <f>IFERROR(__xludf.DUMMYFUNCTION("""COMPUTED_VALUE"""),"우리집에 와규~")</f>
        <v>우리집에 와규~</v>
      </c>
      <c r="B11208" s="2" t="str">
        <f>IFERROR(__xludf.DUMMYFUNCTION("""COMPUTED_VALUE"""),"올리브오일")</f>
        <v>올리브오일</v>
      </c>
    </row>
    <row r="11209">
      <c r="A11209" s="2" t="str">
        <f>IFERROR(__xludf.DUMMYFUNCTION("""COMPUTED_VALUE"""),"우리집에 와규~")</f>
        <v>우리집에 와규~</v>
      </c>
      <c r="B11209" s="2" t="str">
        <f>IFERROR(__xludf.DUMMYFUNCTION("""COMPUTED_VALUE"""),"참기름")</f>
        <v>참기름</v>
      </c>
    </row>
    <row r="11210">
      <c r="A11210" s="2" t="str">
        <f>IFERROR(__xludf.DUMMYFUNCTION("""COMPUTED_VALUE"""),"최고양")</f>
        <v>최고양</v>
      </c>
      <c r="B11210" s="2" t="str">
        <f>IFERROR(__xludf.DUMMYFUNCTION("""COMPUTED_VALUE"""),"양갈비")</f>
        <v>양갈비</v>
      </c>
    </row>
    <row r="11211">
      <c r="A11211" s="2" t="str">
        <f>IFERROR(__xludf.DUMMYFUNCTION("""COMPUTED_VALUE"""),"최고양")</f>
        <v>최고양</v>
      </c>
      <c r="B11211" s="2" t="str">
        <f>IFERROR(__xludf.DUMMYFUNCTION("""COMPUTED_VALUE"""),"레몬그라스")</f>
        <v>레몬그라스</v>
      </c>
    </row>
    <row r="11212">
      <c r="A11212" s="2" t="str">
        <f>IFERROR(__xludf.DUMMYFUNCTION("""COMPUTED_VALUE"""),"최고양")</f>
        <v>최고양</v>
      </c>
      <c r="B11212" s="2" t="str">
        <f>IFERROR(__xludf.DUMMYFUNCTION("""COMPUTED_VALUE"""),"커민")</f>
        <v>커민</v>
      </c>
    </row>
    <row r="11213">
      <c r="A11213" s="2" t="str">
        <f>IFERROR(__xludf.DUMMYFUNCTION("""COMPUTED_VALUE"""),"최고양")</f>
        <v>최고양</v>
      </c>
      <c r="B11213" s="2" t="str">
        <f>IFERROR(__xludf.DUMMYFUNCTION("""COMPUTED_VALUE"""),"파프리카가루")</f>
        <v>파프리카가루</v>
      </c>
    </row>
    <row r="11214">
      <c r="A11214" s="2" t="str">
        <f>IFERROR(__xludf.DUMMYFUNCTION("""COMPUTED_VALUE"""),"최고양")</f>
        <v>최고양</v>
      </c>
      <c r="B11214" s="2" t="str">
        <f>IFERROR(__xludf.DUMMYFUNCTION("""COMPUTED_VALUE"""),"고수가루")</f>
        <v>고수가루</v>
      </c>
    </row>
    <row r="11215">
      <c r="A11215" s="2" t="str">
        <f>IFERROR(__xludf.DUMMYFUNCTION("""COMPUTED_VALUE"""),"최고양")</f>
        <v>최고양</v>
      </c>
      <c r="B11215" s="2" t="str">
        <f>IFERROR(__xludf.DUMMYFUNCTION("""COMPUTED_VALUE"""),"딸기")</f>
        <v>딸기</v>
      </c>
    </row>
    <row r="11216">
      <c r="A11216" s="2" t="str">
        <f>IFERROR(__xludf.DUMMYFUNCTION("""COMPUTED_VALUE"""),"최고양")</f>
        <v>최고양</v>
      </c>
      <c r="B11216" s="2" t="str">
        <f>IFERROR(__xludf.DUMMYFUNCTION("""COMPUTED_VALUE"""),"녹차 아이스크림")</f>
        <v>녹차 아이스크림</v>
      </c>
    </row>
    <row r="11217">
      <c r="A11217" s="2" t="str">
        <f>IFERROR(__xludf.DUMMYFUNCTION("""COMPUTED_VALUE"""),"최고양")</f>
        <v>최고양</v>
      </c>
      <c r="B11217" s="2" t="str">
        <f>IFERROR(__xludf.DUMMYFUNCTION("""COMPUTED_VALUE"""),"민트젤리")</f>
        <v>민트젤리</v>
      </c>
    </row>
    <row r="11218">
      <c r="A11218" s="2" t="str">
        <f>IFERROR(__xludf.DUMMYFUNCTION("""COMPUTED_VALUE"""),"최고양")</f>
        <v>최고양</v>
      </c>
      <c r="B11218" s="2" t="str">
        <f>IFERROR(__xludf.DUMMYFUNCTION("""COMPUTED_VALUE"""),"새우젓")</f>
        <v>새우젓</v>
      </c>
    </row>
    <row r="11219">
      <c r="A11219" s="2" t="str">
        <f>IFERROR(__xludf.DUMMYFUNCTION("""COMPUTED_VALUE"""),"최고양")</f>
        <v>최고양</v>
      </c>
      <c r="B11219" s="2" t="str">
        <f>IFERROR(__xludf.DUMMYFUNCTION("""COMPUTED_VALUE"""),"케이퍼")</f>
        <v>케이퍼</v>
      </c>
    </row>
    <row r="11220">
      <c r="A11220" s="2" t="str">
        <f>IFERROR(__xludf.DUMMYFUNCTION("""COMPUTED_VALUE"""),"최고양")</f>
        <v>최고양</v>
      </c>
      <c r="B11220" s="2" t="str">
        <f>IFERROR(__xludf.DUMMYFUNCTION("""COMPUTED_VALUE"""),"올리브")</f>
        <v>올리브</v>
      </c>
    </row>
    <row r="11221">
      <c r="A11221" s="2" t="str">
        <f>IFERROR(__xludf.DUMMYFUNCTION("""COMPUTED_VALUE"""),"최고양")</f>
        <v>최고양</v>
      </c>
      <c r="B11221" s="2" t="str">
        <f>IFERROR(__xludf.DUMMYFUNCTION("""COMPUTED_VALUE"""),"마늘")</f>
        <v>마늘</v>
      </c>
    </row>
    <row r="11222">
      <c r="A11222" s="2" t="str">
        <f>IFERROR(__xludf.DUMMYFUNCTION("""COMPUTED_VALUE"""),"최고양")</f>
        <v>최고양</v>
      </c>
      <c r="B11222" s="2" t="str">
        <f>IFERROR(__xludf.DUMMYFUNCTION("""COMPUTED_VALUE"""),"올리브오일")</f>
        <v>올리브오일</v>
      </c>
    </row>
    <row r="11223">
      <c r="A11223" s="2" t="str">
        <f>IFERROR(__xludf.DUMMYFUNCTION("""COMPUTED_VALUE"""),"최고양")</f>
        <v>최고양</v>
      </c>
      <c r="B11223" s="2" t="str">
        <f>IFERROR(__xludf.DUMMYFUNCTION("""COMPUTED_VALUE"""),"레몬")</f>
        <v>레몬</v>
      </c>
    </row>
    <row r="11224">
      <c r="A11224" s="2" t="str">
        <f>IFERROR(__xludf.DUMMYFUNCTION("""COMPUTED_VALUE"""),"최고양")</f>
        <v>최고양</v>
      </c>
      <c r="B11224" s="2" t="str">
        <f>IFERROR(__xludf.DUMMYFUNCTION("""COMPUTED_VALUE"""),"청양고추")</f>
        <v>청양고추</v>
      </c>
    </row>
    <row r="11225">
      <c r="A11225" s="2" t="str">
        <f>IFERROR(__xludf.DUMMYFUNCTION("""COMPUTED_VALUE"""),"최고양")</f>
        <v>최고양</v>
      </c>
      <c r="B11225" s="2" t="str">
        <f>IFERROR(__xludf.DUMMYFUNCTION("""COMPUTED_VALUE"""),"양파")</f>
        <v>양파</v>
      </c>
    </row>
    <row r="11226">
      <c r="A11226" s="2" t="str">
        <f>IFERROR(__xludf.DUMMYFUNCTION("""COMPUTED_VALUE"""),"최고양")</f>
        <v>최고양</v>
      </c>
      <c r="B11226" s="2" t="str">
        <f>IFERROR(__xludf.DUMMYFUNCTION("""COMPUTED_VALUE"""),"대파")</f>
        <v>대파</v>
      </c>
    </row>
    <row r="11227">
      <c r="A11227" s="2" t="str">
        <f>IFERROR(__xludf.DUMMYFUNCTION("""COMPUTED_VALUE"""),"최고양")</f>
        <v>최고양</v>
      </c>
      <c r="B11227" s="2" t="str">
        <f>IFERROR(__xludf.DUMMYFUNCTION("""COMPUTED_VALUE"""),"소금")</f>
        <v>소금</v>
      </c>
    </row>
    <row r="11228">
      <c r="A11228" s="2" t="str">
        <f>IFERROR(__xludf.DUMMYFUNCTION("""COMPUTED_VALUE"""),"오케이 마초샌드")</f>
        <v>오케이 마초샌드</v>
      </c>
      <c r="B11228" s="2" t="str">
        <f>IFERROR(__xludf.DUMMYFUNCTION("""COMPUTED_VALUE"""),"페페론치노")</f>
        <v>페페론치노</v>
      </c>
    </row>
    <row r="11229">
      <c r="A11229" s="2" t="str">
        <f>IFERROR(__xludf.DUMMYFUNCTION("""COMPUTED_VALUE"""),"오케이 마초샌드")</f>
        <v>오케이 마초샌드</v>
      </c>
      <c r="B11229" s="2" t="str">
        <f>IFERROR(__xludf.DUMMYFUNCTION("""COMPUTED_VALUE"""),"듀록 삼겹살")</f>
        <v>듀록 삼겹살</v>
      </c>
    </row>
    <row r="11230">
      <c r="A11230" s="2" t="str">
        <f>IFERROR(__xludf.DUMMYFUNCTION("""COMPUTED_VALUE"""),"오케이 마초샌드")</f>
        <v>오케이 마초샌드</v>
      </c>
      <c r="B11230" s="2" t="str">
        <f>IFERROR(__xludf.DUMMYFUNCTION("""COMPUTED_VALUE"""),"쯔유")</f>
        <v>쯔유</v>
      </c>
    </row>
    <row r="11231">
      <c r="A11231" s="2" t="str">
        <f>IFERROR(__xludf.DUMMYFUNCTION("""COMPUTED_VALUE"""),"오케이 마초샌드")</f>
        <v>오케이 마초샌드</v>
      </c>
      <c r="B11231" s="2" t="str">
        <f>IFERROR(__xludf.DUMMYFUNCTION("""COMPUTED_VALUE"""),"커민")</f>
        <v>커민</v>
      </c>
    </row>
    <row r="11232">
      <c r="A11232" s="2" t="str">
        <f>IFERROR(__xludf.DUMMYFUNCTION("""COMPUTED_VALUE"""),"오케이 마초샌드")</f>
        <v>오케이 마초샌드</v>
      </c>
      <c r="B11232" s="2" t="str">
        <f>IFERROR(__xludf.DUMMYFUNCTION("""COMPUTED_VALUE"""),"파프리카가루")</f>
        <v>파프리카가루</v>
      </c>
    </row>
    <row r="11233">
      <c r="A11233" s="2" t="str">
        <f>IFERROR(__xludf.DUMMYFUNCTION("""COMPUTED_VALUE"""),"오케이 마초샌드")</f>
        <v>오케이 마초샌드</v>
      </c>
      <c r="B11233" s="2" t="str">
        <f>IFERROR(__xludf.DUMMYFUNCTION("""COMPUTED_VALUE"""),"오렌지주스")</f>
        <v>오렌지주스</v>
      </c>
    </row>
    <row r="11234">
      <c r="A11234" s="2" t="str">
        <f>IFERROR(__xludf.DUMMYFUNCTION("""COMPUTED_VALUE"""),"오케이 마초샌드")</f>
        <v>오케이 마초샌드</v>
      </c>
      <c r="B11234" s="2" t="str">
        <f>IFERROR(__xludf.DUMMYFUNCTION("""COMPUTED_VALUE"""),"케이퍼")</f>
        <v>케이퍼</v>
      </c>
    </row>
    <row r="11235">
      <c r="A11235" s="2" t="str">
        <f>IFERROR(__xludf.DUMMYFUNCTION("""COMPUTED_VALUE"""),"오케이 마초샌드")</f>
        <v>오케이 마초샌드</v>
      </c>
      <c r="B11235" s="2" t="str">
        <f>IFERROR(__xludf.DUMMYFUNCTION("""COMPUTED_VALUE"""),"코코아가루")</f>
        <v>코코아가루</v>
      </c>
    </row>
    <row r="11236">
      <c r="A11236" s="2" t="str">
        <f>IFERROR(__xludf.DUMMYFUNCTION("""COMPUTED_VALUE"""),"오케이 마초샌드")</f>
        <v>오케이 마초샌드</v>
      </c>
      <c r="B11236" s="2" t="str">
        <f>IFERROR(__xludf.DUMMYFUNCTION("""COMPUTED_VALUE"""),"에멘탈치즈")</f>
        <v>에멘탈치즈</v>
      </c>
    </row>
    <row r="11237">
      <c r="A11237" s="2" t="str">
        <f>IFERROR(__xludf.DUMMYFUNCTION("""COMPUTED_VALUE"""),"오케이 마초샌드")</f>
        <v>오케이 마초샌드</v>
      </c>
      <c r="B11237" s="2" t="str">
        <f>IFERROR(__xludf.DUMMYFUNCTION("""COMPUTED_VALUE"""),"대파")</f>
        <v>대파</v>
      </c>
    </row>
    <row r="11238">
      <c r="A11238" s="2" t="str">
        <f>IFERROR(__xludf.DUMMYFUNCTION("""COMPUTED_VALUE"""),"오케이 마초샌드")</f>
        <v>오케이 마초샌드</v>
      </c>
      <c r="B11238" s="2" t="str">
        <f>IFERROR(__xludf.DUMMYFUNCTION("""COMPUTED_VALUE"""),"고춧가루")</f>
        <v>고춧가루</v>
      </c>
    </row>
    <row r="11239">
      <c r="A11239" s="2" t="str">
        <f>IFERROR(__xludf.DUMMYFUNCTION("""COMPUTED_VALUE"""),"오케이 마초샌드")</f>
        <v>오케이 마초샌드</v>
      </c>
      <c r="B11239" s="2" t="str">
        <f>IFERROR(__xludf.DUMMYFUNCTION("""COMPUTED_VALUE"""),"라면")</f>
        <v>라면</v>
      </c>
    </row>
    <row r="11240">
      <c r="A11240" s="2" t="str">
        <f>IFERROR(__xludf.DUMMYFUNCTION("""COMPUTED_VALUE"""),"오케이 마초샌드")</f>
        <v>오케이 마초샌드</v>
      </c>
      <c r="B11240" s="2" t="str">
        <f>IFERROR(__xludf.DUMMYFUNCTION("""COMPUTED_VALUE"""),"맛술")</f>
        <v>맛술</v>
      </c>
    </row>
    <row r="11241">
      <c r="A11241" s="2" t="str">
        <f>IFERROR(__xludf.DUMMYFUNCTION("""COMPUTED_VALUE"""),"오케이 마초샌드")</f>
        <v>오케이 마초샌드</v>
      </c>
      <c r="B11241" s="2" t="str">
        <f>IFERROR(__xludf.DUMMYFUNCTION("""COMPUTED_VALUE"""),"후추")</f>
        <v>후추</v>
      </c>
    </row>
    <row r="11242">
      <c r="A11242" s="2" t="str">
        <f>IFERROR(__xludf.DUMMYFUNCTION("""COMPUTED_VALUE"""),"오케이 마초샌드")</f>
        <v>오케이 마초샌드</v>
      </c>
      <c r="B11242" s="2" t="str">
        <f>IFERROR(__xludf.DUMMYFUNCTION("""COMPUTED_VALUE"""),"전분")</f>
        <v>전분</v>
      </c>
    </row>
    <row r="11243">
      <c r="A11243" s="2" t="str">
        <f>IFERROR(__xludf.DUMMYFUNCTION("""COMPUTED_VALUE"""),"오케이 마초샌드")</f>
        <v>오케이 마초샌드</v>
      </c>
      <c r="B11243" s="2" t="str">
        <f>IFERROR(__xludf.DUMMYFUNCTION("""COMPUTED_VALUE"""),"양파")</f>
        <v>양파</v>
      </c>
    </row>
    <row r="11244">
      <c r="A11244" s="2" t="str">
        <f>IFERROR(__xludf.DUMMYFUNCTION("""COMPUTED_VALUE"""),"오케이 마초샌드")</f>
        <v>오케이 마초샌드</v>
      </c>
      <c r="B11244" s="2" t="str">
        <f>IFERROR(__xludf.DUMMYFUNCTION("""COMPUTED_VALUE"""),"버터")</f>
        <v>버터</v>
      </c>
    </row>
    <row r="11245">
      <c r="A11245" s="2" t="str">
        <f>IFERROR(__xludf.DUMMYFUNCTION("""COMPUTED_VALUE"""),"오케이 마초샌드")</f>
        <v>오케이 마초샌드</v>
      </c>
      <c r="B11245" s="2" t="str">
        <f>IFERROR(__xludf.DUMMYFUNCTION("""COMPUTED_VALUE"""),"레몬")</f>
        <v>레몬</v>
      </c>
    </row>
    <row r="11246">
      <c r="A11246" s="2" t="str">
        <f>IFERROR(__xludf.DUMMYFUNCTION("""COMPUTED_VALUE"""),"오케이 마초샌드")</f>
        <v>오케이 마초샌드</v>
      </c>
      <c r="B11246" s="2" t="str">
        <f>IFERROR(__xludf.DUMMYFUNCTION("""COMPUTED_VALUE"""),"설탕")</f>
        <v>설탕</v>
      </c>
    </row>
    <row r="11247">
      <c r="A11247" s="2" t="str">
        <f>IFERROR(__xludf.DUMMYFUNCTION("""COMPUTED_VALUE"""),"오케이 마초샌드")</f>
        <v>오케이 마초샌드</v>
      </c>
      <c r="B11247" s="2" t="str">
        <f>IFERROR(__xludf.DUMMYFUNCTION("""COMPUTED_VALUE"""),"마요네즈")</f>
        <v>마요네즈</v>
      </c>
    </row>
    <row r="11248">
      <c r="A11248" s="2" t="str">
        <f>IFERROR(__xludf.DUMMYFUNCTION("""COMPUTED_VALUE"""),"타코 판타지아♬")</f>
        <v>타코 판타지아♬</v>
      </c>
      <c r="B11248" s="2" t="str">
        <f>IFERROR(__xludf.DUMMYFUNCTION("""COMPUTED_VALUE"""),"할라페뇨라임원액")</f>
        <v>할라페뇨라임원액</v>
      </c>
    </row>
    <row r="11249">
      <c r="A11249" s="2" t="str">
        <f>IFERROR(__xludf.DUMMYFUNCTION("""COMPUTED_VALUE"""),"타코 판타지아♬")</f>
        <v>타코 판타지아♬</v>
      </c>
      <c r="B11249" s="2" t="str">
        <f>IFERROR(__xludf.DUMMYFUNCTION("""COMPUTED_VALUE"""),"고수")</f>
        <v>고수</v>
      </c>
    </row>
    <row r="11250">
      <c r="A11250" s="2" t="str">
        <f>IFERROR(__xludf.DUMMYFUNCTION("""COMPUTED_VALUE"""),"타코 판타지아♬")</f>
        <v>타코 판타지아♬</v>
      </c>
      <c r="B11250" s="2" t="str">
        <f>IFERROR(__xludf.DUMMYFUNCTION("""COMPUTED_VALUE"""),"커민")</f>
        <v>커민</v>
      </c>
    </row>
    <row r="11251">
      <c r="A11251" s="2" t="str">
        <f>IFERROR(__xludf.DUMMYFUNCTION("""COMPUTED_VALUE"""),"타코 판타지아♬")</f>
        <v>타코 판타지아♬</v>
      </c>
      <c r="B11251" s="2" t="str">
        <f>IFERROR(__xludf.DUMMYFUNCTION("""COMPUTED_VALUE"""),"라임")</f>
        <v>라임</v>
      </c>
    </row>
    <row r="11252">
      <c r="A11252" s="2" t="str">
        <f>IFERROR(__xludf.DUMMYFUNCTION("""COMPUTED_VALUE"""),"타코 판타지아♬")</f>
        <v>타코 판타지아♬</v>
      </c>
      <c r="B11252" s="2" t="str">
        <f>IFERROR(__xludf.DUMMYFUNCTION("""COMPUTED_VALUE"""),"사워크림")</f>
        <v>사워크림</v>
      </c>
    </row>
    <row r="11253">
      <c r="A11253" s="2" t="str">
        <f>IFERROR(__xludf.DUMMYFUNCTION("""COMPUTED_VALUE"""),"타코 판타지아♬")</f>
        <v>타코 판타지아♬</v>
      </c>
      <c r="B11253" s="2" t="str">
        <f>IFERROR(__xludf.DUMMYFUNCTION("""COMPUTED_VALUE"""),"렐리시")</f>
        <v>렐리시</v>
      </c>
    </row>
    <row r="11254">
      <c r="A11254" s="2" t="str">
        <f>IFERROR(__xludf.DUMMYFUNCTION("""COMPUTED_VALUE"""),"타코 판타지아♬")</f>
        <v>타코 판타지아♬</v>
      </c>
      <c r="B11254" s="2" t="str">
        <f>IFERROR(__xludf.DUMMYFUNCTION("""COMPUTED_VALUE"""),"케이퍼")</f>
        <v>케이퍼</v>
      </c>
    </row>
    <row r="11255">
      <c r="A11255" s="2" t="str">
        <f>IFERROR(__xludf.DUMMYFUNCTION("""COMPUTED_VALUE"""),"타코 판타지아♬")</f>
        <v>타코 판타지아♬</v>
      </c>
      <c r="B11255" s="2" t="str">
        <f>IFERROR(__xludf.DUMMYFUNCTION("""COMPUTED_VALUE"""),"토마토")</f>
        <v>토마토</v>
      </c>
    </row>
    <row r="11256">
      <c r="A11256" s="2" t="str">
        <f>IFERROR(__xludf.DUMMYFUNCTION("""COMPUTED_VALUE"""),"타코 판타지아♬")</f>
        <v>타코 판타지아♬</v>
      </c>
      <c r="B11256" s="2" t="str">
        <f>IFERROR(__xludf.DUMMYFUNCTION("""COMPUTED_VALUE"""),"아보카도")</f>
        <v>아보카도</v>
      </c>
    </row>
    <row r="11257">
      <c r="A11257" s="2" t="str">
        <f>IFERROR(__xludf.DUMMYFUNCTION("""COMPUTED_VALUE"""),"타코 판타지아♬")</f>
        <v>타코 판타지아♬</v>
      </c>
      <c r="B11257" s="2" t="str">
        <f>IFERROR(__xludf.DUMMYFUNCTION("""COMPUTED_VALUE"""),"파프리카가루")</f>
        <v>파프리카가루</v>
      </c>
    </row>
    <row r="11258">
      <c r="A11258" s="2" t="str">
        <f>IFERROR(__xludf.DUMMYFUNCTION("""COMPUTED_VALUE"""),"타코 판타지아♬")</f>
        <v>타코 판타지아♬</v>
      </c>
      <c r="B11258" s="2" t="str">
        <f>IFERROR(__xludf.DUMMYFUNCTION("""COMPUTED_VALUE"""),"틸라피아")</f>
        <v>틸라피아</v>
      </c>
    </row>
    <row r="11259">
      <c r="A11259" s="2" t="str">
        <f>IFERROR(__xludf.DUMMYFUNCTION("""COMPUTED_VALUE"""),"타코 판타지아♬")</f>
        <v>타코 판타지아♬</v>
      </c>
      <c r="B11259" s="2" t="str">
        <f>IFERROR(__xludf.DUMMYFUNCTION("""COMPUTED_VALUE"""),"블랙올리브")</f>
        <v>블랙올리브</v>
      </c>
    </row>
    <row r="11260">
      <c r="A11260" s="2" t="str">
        <f>IFERROR(__xludf.DUMMYFUNCTION("""COMPUTED_VALUE"""),"타코 판타지아♬")</f>
        <v>타코 판타지아♬</v>
      </c>
      <c r="B11260" s="2" t="str">
        <f>IFERROR(__xludf.DUMMYFUNCTION("""COMPUTED_VALUE"""),"샬롯")</f>
        <v>샬롯</v>
      </c>
    </row>
    <row r="11261">
      <c r="A11261" s="2" t="str">
        <f>IFERROR(__xludf.DUMMYFUNCTION("""COMPUTED_VALUE"""),"타코 판타지아♬")</f>
        <v>타코 판타지아♬</v>
      </c>
      <c r="B11261" s="2" t="str">
        <f>IFERROR(__xludf.DUMMYFUNCTION("""COMPUTED_VALUE"""),"토르티야")</f>
        <v>토르티야</v>
      </c>
    </row>
    <row r="11262">
      <c r="A11262" s="2" t="str">
        <f>IFERROR(__xludf.DUMMYFUNCTION("""COMPUTED_VALUE"""),"타코 판타지아♬")</f>
        <v>타코 판타지아♬</v>
      </c>
      <c r="B11262" s="2" t="str">
        <f>IFERROR(__xludf.DUMMYFUNCTION("""COMPUTED_VALUE"""),"루콜라")</f>
        <v>루콜라</v>
      </c>
    </row>
    <row r="11263">
      <c r="A11263" s="2" t="str">
        <f>IFERROR(__xludf.DUMMYFUNCTION("""COMPUTED_VALUE"""),"타코 판타지아♬")</f>
        <v>타코 판타지아♬</v>
      </c>
      <c r="B11263" s="2" t="str">
        <f>IFERROR(__xludf.DUMMYFUNCTION("""COMPUTED_VALUE"""),"양상추")</f>
        <v>양상추</v>
      </c>
    </row>
    <row r="11264">
      <c r="A11264" s="2" t="str">
        <f>IFERROR(__xludf.DUMMYFUNCTION("""COMPUTED_VALUE"""),"타코 판타지아♬")</f>
        <v>타코 판타지아♬</v>
      </c>
      <c r="B11264" s="2" t="str">
        <f>IFERROR(__xludf.DUMMYFUNCTION("""COMPUTED_VALUE"""),"설탕")</f>
        <v>설탕</v>
      </c>
    </row>
    <row r="11265">
      <c r="A11265" s="2" t="str">
        <f>IFERROR(__xludf.DUMMYFUNCTION("""COMPUTED_VALUE"""),"타코 판타지아♬")</f>
        <v>타코 판타지아♬</v>
      </c>
      <c r="B11265" s="2" t="str">
        <f>IFERROR(__xludf.DUMMYFUNCTION("""COMPUTED_VALUE"""),"고춧가루")</f>
        <v>고춧가루</v>
      </c>
    </row>
    <row r="11266">
      <c r="A11266" s="2" t="str">
        <f>IFERROR(__xludf.DUMMYFUNCTION("""COMPUTED_VALUE"""),"타코 판타지아♬")</f>
        <v>타코 판타지아♬</v>
      </c>
      <c r="B11266" s="2" t="str">
        <f>IFERROR(__xludf.DUMMYFUNCTION("""COMPUTED_VALUE"""),"다진 마늘")</f>
        <v>다진 마늘</v>
      </c>
    </row>
    <row r="11267">
      <c r="A11267" s="2" t="str">
        <f>IFERROR(__xludf.DUMMYFUNCTION("""COMPUTED_VALUE"""),"타코 판타지아♬")</f>
        <v>타코 판타지아♬</v>
      </c>
      <c r="B11267" s="2" t="str">
        <f>IFERROR(__xludf.DUMMYFUNCTION("""COMPUTED_VALUE"""),"간장")</f>
        <v>간장</v>
      </c>
    </row>
    <row r="11268">
      <c r="A11268" s="2" t="str">
        <f>IFERROR(__xludf.DUMMYFUNCTION("""COMPUTED_VALUE"""),"타코 판타지아♬")</f>
        <v>타코 판타지아♬</v>
      </c>
      <c r="B11268" s="2" t="str">
        <f>IFERROR(__xludf.DUMMYFUNCTION("""COMPUTED_VALUE"""),"대파")</f>
        <v>대파</v>
      </c>
    </row>
    <row r="11269">
      <c r="A11269" s="2" t="str">
        <f>IFERROR(__xludf.DUMMYFUNCTION("""COMPUTED_VALUE"""),"타코 판타지아♬")</f>
        <v>타코 판타지아♬</v>
      </c>
      <c r="B11269" s="2" t="str">
        <f>IFERROR(__xludf.DUMMYFUNCTION("""COMPUTED_VALUE"""),"양파")</f>
        <v>양파</v>
      </c>
    </row>
    <row r="11270">
      <c r="A11270" s="2" t="str">
        <f>IFERROR(__xludf.DUMMYFUNCTION("""COMPUTED_VALUE"""),"타코 판타지아♬")</f>
        <v>타코 판타지아♬</v>
      </c>
      <c r="B11270" s="2" t="str">
        <f>IFERROR(__xludf.DUMMYFUNCTION("""COMPUTED_VALUE"""),"청양고추")</f>
        <v>청양고추</v>
      </c>
    </row>
    <row r="11271">
      <c r="A11271" s="2" t="str">
        <f>IFERROR(__xludf.DUMMYFUNCTION("""COMPUTED_VALUE"""),"타코 판타지아♬")</f>
        <v>타코 판타지아♬</v>
      </c>
      <c r="B11271" s="2" t="str">
        <f>IFERROR(__xludf.DUMMYFUNCTION("""COMPUTED_VALUE"""),"소금")</f>
        <v>소금</v>
      </c>
    </row>
    <row r="11272">
      <c r="A11272" s="2" t="str">
        <f>IFERROR(__xludf.DUMMYFUNCTION("""COMPUTED_VALUE"""),"타코 판타지아♬")</f>
        <v>타코 판타지아♬</v>
      </c>
      <c r="B11272" s="2" t="str">
        <f>IFERROR(__xludf.DUMMYFUNCTION("""COMPUTED_VALUE"""),"레몬")</f>
        <v>레몬</v>
      </c>
    </row>
    <row r="11273">
      <c r="A11273" s="2" t="str">
        <f>IFERROR(__xludf.DUMMYFUNCTION("""COMPUTED_VALUE"""),"타코 판타지아♬")</f>
        <v>타코 판타지아♬</v>
      </c>
      <c r="B11273" s="2" t="str">
        <f>IFERROR(__xludf.DUMMYFUNCTION("""COMPUTED_VALUE"""),"올리브오일")</f>
        <v>올리브오일</v>
      </c>
    </row>
    <row r="11274">
      <c r="A11274" s="2" t="str">
        <f>IFERROR(__xludf.DUMMYFUNCTION("""COMPUTED_VALUE"""),"타코 판타지아♬")</f>
        <v>타코 판타지아♬</v>
      </c>
      <c r="B11274" s="2" t="str">
        <f>IFERROR(__xludf.DUMMYFUNCTION("""COMPUTED_VALUE"""),"밀가루")</f>
        <v>밀가루</v>
      </c>
    </row>
    <row r="11275">
      <c r="A11275" s="2" t="str">
        <f>IFERROR(__xludf.DUMMYFUNCTION("""COMPUTED_VALUE"""),"타코 판타지아♬")</f>
        <v>타코 판타지아♬</v>
      </c>
      <c r="B11275" s="2" t="str">
        <f>IFERROR(__xludf.DUMMYFUNCTION("""COMPUTED_VALUE"""),"달걀")</f>
        <v>달걀</v>
      </c>
    </row>
    <row r="11276">
      <c r="A11276" s="2" t="str">
        <f>IFERROR(__xludf.DUMMYFUNCTION("""COMPUTED_VALUE"""),"타코 판타지아♬")</f>
        <v>타코 판타지아♬</v>
      </c>
      <c r="B11276" s="2" t="str">
        <f>IFERROR(__xludf.DUMMYFUNCTION("""COMPUTED_VALUE"""),"후추")</f>
        <v>후추</v>
      </c>
    </row>
    <row r="11277">
      <c r="A11277" s="2" t="str">
        <f>IFERROR(__xludf.DUMMYFUNCTION("""COMPUTED_VALUE"""),"살몬 판타지아♬")</f>
        <v>살몬 판타지아♬</v>
      </c>
      <c r="B11277" s="2" t="str">
        <f>IFERROR(__xludf.DUMMYFUNCTION("""COMPUTED_VALUE"""),"연어")</f>
        <v>연어</v>
      </c>
    </row>
    <row r="11278">
      <c r="A11278" s="2" t="str">
        <f>IFERROR(__xludf.DUMMYFUNCTION("""COMPUTED_VALUE"""),"살몬 판타지아♬")</f>
        <v>살몬 판타지아♬</v>
      </c>
      <c r="B11278" s="2" t="str">
        <f>IFERROR(__xludf.DUMMYFUNCTION("""COMPUTED_VALUE"""),"오미자원액")</f>
        <v>오미자원액</v>
      </c>
    </row>
    <row r="11279">
      <c r="A11279" s="2" t="str">
        <f>IFERROR(__xludf.DUMMYFUNCTION("""COMPUTED_VALUE"""),"살몬 판타지아♬")</f>
        <v>살몬 판타지아♬</v>
      </c>
      <c r="B11279" s="2" t="str">
        <f>IFERROR(__xludf.DUMMYFUNCTION("""COMPUTED_VALUE"""),"너트메그홀")</f>
        <v>너트메그홀</v>
      </c>
    </row>
    <row r="11280">
      <c r="A11280" s="2" t="str">
        <f>IFERROR(__xludf.DUMMYFUNCTION("""COMPUTED_VALUE"""),"살몬 판타지아♬")</f>
        <v>살몬 판타지아♬</v>
      </c>
      <c r="B11280" s="2" t="str">
        <f>IFERROR(__xludf.DUMMYFUNCTION("""COMPUTED_VALUE"""),"사프란")</f>
        <v>사프란</v>
      </c>
    </row>
    <row r="11281">
      <c r="A11281" s="2" t="str">
        <f>IFERROR(__xludf.DUMMYFUNCTION("""COMPUTED_VALUE"""),"살몬 판타지아♬")</f>
        <v>살몬 판타지아♬</v>
      </c>
      <c r="B11281" s="2" t="str">
        <f>IFERROR(__xludf.DUMMYFUNCTION("""COMPUTED_VALUE"""),"월계수잎")</f>
        <v>월계수잎</v>
      </c>
    </row>
    <row r="11282">
      <c r="A11282" s="2" t="str">
        <f>IFERROR(__xludf.DUMMYFUNCTION("""COMPUTED_VALUE"""),"살몬 판타지아♬")</f>
        <v>살몬 판타지아♬</v>
      </c>
      <c r="B11282" s="2" t="str">
        <f>IFERROR(__xludf.DUMMYFUNCTION("""COMPUTED_VALUE"""),"샬롯")</f>
        <v>샬롯</v>
      </c>
    </row>
    <row r="11283">
      <c r="A11283" s="2" t="str">
        <f>IFERROR(__xludf.DUMMYFUNCTION("""COMPUTED_VALUE"""),"살몬 판타지아♬")</f>
        <v>살몬 판타지아♬</v>
      </c>
      <c r="B11283" s="2" t="str">
        <f>IFERROR(__xludf.DUMMYFUNCTION("""COMPUTED_VALUE"""),"오레가노홀")</f>
        <v>오레가노홀</v>
      </c>
    </row>
    <row r="11284">
      <c r="A11284" s="2" t="str">
        <f>IFERROR(__xludf.DUMMYFUNCTION("""COMPUTED_VALUE"""),"살몬 판타지아♬")</f>
        <v>살몬 판타지아♬</v>
      </c>
      <c r="B11284" s="2" t="str">
        <f>IFERROR(__xludf.DUMMYFUNCTION("""COMPUTED_VALUE"""),"냉동 콜리플라워")</f>
        <v>냉동 콜리플라워</v>
      </c>
    </row>
    <row r="11285">
      <c r="A11285" s="2" t="str">
        <f>IFERROR(__xludf.DUMMYFUNCTION("""COMPUTED_VALUE"""),"살몬 판타지아♬")</f>
        <v>살몬 판타지아♬</v>
      </c>
      <c r="B11285" s="2" t="str">
        <f>IFERROR(__xludf.DUMMYFUNCTION("""COMPUTED_VALUE"""),"냉동 아스파라거스")</f>
        <v>냉동 아스파라거스</v>
      </c>
    </row>
    <row r="11286">
      <c r="A11286" s="2" t="str">
        <f>IFERROR(__xludf.DUMMYFUNCTION("""COMPUTED_VALUE"""),"살몬 판타지아♬")</f>
        <v>살몬 판타지아♬</v>
      </c>
      <c r="B11286" s="2" t="str">
        <f>IFERROR(__xludf.DUMMYFUNCTION("""COMPUTED_VALUE"""),"냉동 그린빈")</f>
        <v>냉동 그린빈</v>
      </c>
    </row>
    <row r="11287">
      <c r="A11287" s="2" t="str">
        <f>IFERROR(__xludf.DUMMYFUNCTION("""COMPUTED_VALUE"""),"살몬 판타지아♬")</f>
        <v>살몬 판타지아♬</v>
      </c>
      <c r="B11287" s="2" t="str">
        <f>IFERROR(__xludf.DUMMYFUNCTION("""COMPUTED_VALUE"""),"냉동 브로콜리")</f>
        <v>냉동 브로콜리</v>
      </c>
    </row>
    <row r="11288">
      <c r="A11288" s="2" t="str">
        <f>IFERROR(__xludf.DUMMYFUNCTION("""COMPUTED_VALUE"""),"살몬 판타지아♬")</f>
        <v>살몬 판타지아♬</v>
      </c>
      <c r="B11288" s="2" t="str">
        <f>IFERROR(__xludf.DUMMYFUNCTION("""COMPUTED_VALUE"""),"래디시")</f>
        <v>래디시</v>
      </c>
    </row>
    <row r="11289">
      <c r="A11289" s="2" t="str">
        <f>IFERROR(__xludf.DUMMYFUNCTION("""COMPUTED_VALUE"""),"살몬 판타지아♬")</f>
        <v>살몬 판타지아♬</v>
      </c>
      <c r="B11289" s="2" t="str">
        <f>IFERROR(__xludf.DUMMYFUNCTION("""COMPUTED_VALUE"""),"애플민트")</f>
        <v>애플민트</v>
      </c>
    </row>
    <row r="11290">
      <c r="A11290" s="2" t="str">
        <f>IFERROR(__xludf.DUMMYFUNCTION("""COMPUTED_VALUE"""),"살몬 판타지아♬")</f>
        <v>살몬 판타지아♬</v>
      </c>
      <c r="B11290" s="2" t="str">
        <f>IFERROR(__xludf.DUMMYFUNCTION("""COMPUTED_VALUE"""),"아보카도")</f>
        <v>아보카도</v>
      </c>
    </row>
    <row r="11291">
      <c r="A11291" s="2" t="str">
        <f>IFERROR(__xludf.DUMMYFUNCTION("""COMPUTED_VALUE"""),"살몬 판타지아♬")</f>
        <v>살몬 판타지아♬</v>
      </c>
      <c r="B11291" s="2" t="str">
        <f>IFERROR(__xludf.DUMMYFUNCTION("""COMPUTED_VALUE"""),"케이퍼")</f>
        <v>케이퍼</v>
      </c>
    </row>
    <row r="11292">
      <c r="A11292" s="2" t="str">
        <f>IFERROR(__xludf.DUMMYFUNCTION("""COMPUTED_VALUE"""),"살몬 판타지아♬")</f>
        <v>살몬 판타지아♬</v>
      </c>
      <c r="B11292" s="2" t="str">
        <f>IFERROR(__xludf.DUMMYFUNCTION("""COMPUTED_VALUE"""),"크림치즈")</f>
        <v>크림치즈</v>
      </c>
    </row>
    <row r="11293">
      <c r="A11293" s="2" t="str">
        <f>IFERROR(__xludf.DUMMYFUNCTION("""COMPUTED_VALUE"""),"살몬 판타지아♬")</f>
        <v>살몬 판타지아♬</v>
      </c>
      <c r="B11293" s="2" t="str">
        <f>IFERROR(__xludf.DUMMYFUNCTION("""COMPUTED_VALUE"""),"엔다이브")</f>
        <v>엔다이브</v>
      </c>
    </row>
    <row r="11294">
      <c r="A11294" s="2" t="str">
        <f>IFERROR(__xludf.DUMMYFUNCTION("""COMPUTED_VALUE"""),"살몬 판타지아♬")</f>
        <v>살몬 판타지아♬</v>
      </c>
      <c r="B11294" s="2" t="str">
        <f>IFERROR(__xludf.DUMMYFUNCTION("""COMPUTED_VALUE"""),"사워크림")</f>
        <v>사워크림</v>
      </c>
    </row>
    <row r="11295">
      <c r="A11295" s="2" t="str">
        <f>IFERROR(__xludf.DUMMYFUNCTION("""COMPUTED_VALUE"""),"살몬 판타지아♬")</f>
        <v>살몬 판타지아♬</v>
      </c>
      <c r="B11295" s="2" t="str">
        <f>IFERROR(__xludf.DUMMYFUNCTION("""COMPUTED_VALUE"""),"소금")</f>
        <v>소금</v>
      </c>
    </row>
    <row r="11296">
      <c r="A11296" s="2" t="str">
        <f>IFERROR(__xludf.DUMMYFUNCTION("""COMPUTED_VALUE"""),"살몬 판타지아♬")</f>
        <v>살몬 판타지아♬</v>
      </c>
      <c r="B11296" s="2" t="str">
        <f>IFERROR(__xludf.DUMMYFUNCTION("""COMPUTED_VALUE"""),"라임")</f>
        <v>라임</v>
      </c>
    </row>
    <row r="11297">
      <c r="A11297" s="2" t="str">
        <f>IFERROR(__xludf.DUMMYFUNCTION("""COMPUTED_VALUE"""),"살몬 판타지아♬")</f>
        <v>살몬 판타지아♬</v>
      </c>
      <c r="B11297" s="2" t="str">
        <f>IFERROR(__xludf.DUMMYFUNCTION("""COMPUTED_VALUE"""),"후추")</f>
        <v>후추</v>
      </c>
    </row>
    <row r="11298">
      <c r="A11298" s="2" t="str">
        <f>IFERROR(__xludf.DUMMYFUNCTION("""COMPUTED_VALUE"""),"살몬 판타지아♬")</f>
        <v>살몬 판타지아♬</v>
      </c>
      <c r="B11298" s="2" t="str">
        <f>IFERROR(__xludf.DUMMYFUNCTION("""COMPUTED_VALUE"""),"화이트와인")</f>
        <v>화이트와인</v>
      </c>
    </row>
    <row r="11299">
      <c r="A11299" s="2" t="str">
        <f>IFERROR(__xludf.DUMMYFUNCTION("""COMPUTED_VALUE"""),"살몬 판타지아♬")</f>
        <v>살몬 판타지아♬</v>
      </c>
      <c r="B11299" s="2" t="str">
        <f>IFERROR(__xludf.DUMMYFUNCTION("""COMPUTED_VALUE"""),"사프란")</f>
        <v>사프란</v>
      </c>
    </row>
    <row r="11300">
      <c r="A11300" s="2" t="str">
        <f>IFERROR(__xludf.DUMMYFUNCTION("""COMPUTED_VALUE"""),"살몬 판타지아♬")</f>
        <v>살몬 판타지아♬</v>
      </c>
      <c r="B11300" s="2" t="str">
        <f>IFERROR(__xludf.DUMMYFUNCTION("""COMPUTED_VALUE"""),"당근")</f>
        <v>당근</v>
      </c>
    </row>
    <row r="11301">
      <c r="A11301" s="2" t="str">
        <f>IFERROR(__xludf.DUMMYFUNCTION("""COMPUTED_VALUE"""),"살몬 판타지아♬")</f>
        <v>살몬 판타지아♬</v>
      </c>
      <c r="B11301" s="2" t="str">
        <f>IFERROR(__xludf.DUMMYFUNCTION("""COMPUTED_VALUE"""),"버터")</f>
        <v>버터</v>
      </c>
    </row>
    <row r="11302">
      <c r="A11302" s="2" t="str">
        <f>IFERROR(__xludf.DUMMYFUNCTION("""COMPUTED_VALUE"""),"살몬 판타지아♬")</f>
        <v>살몬 판타지아♬</v>
      </c>
      <c r="B11302" s="2" t="str">
        <f>IFERROR(__xludf.DUMMYFUNCTION("""COMPUTED_VALUE"""),"마늘")</f>
        <v>마늘</v>
      </c>
    </row>
    <row r="11303">
      <c r="A11303" s="2" t="str">
        <f>IFERROR(__xludf.DUMMYFUNCTION("""COMPUTED_VALUE"""),"캡틴 아메리카")</f>
        <v>캡틴 아메리카</v>
      </c>
      <c r="B11303" s="2" t="str">
        <f>IFERROR(__xludf.DUMMYFUNCTION("""COMPUTED_VALUE"""),"닭고기")</f>
        <v>닭고기</v>
      </c>
    </row>
    <row r="11304">
      <c r="A11304" s="2" t="str">
        <f>IFERROR(__xludf.DUMMYFUNCTION("""COMPUTED_VALUE"""),"캡틴 아메리카")</f>
        <v>캡틴 아메리카</v>
      </c>
      <c r="B11304" s="2" t="str">
        <f>IFERROR(__xludf.DUMMYFUNCTION("""COMPUTED_VALUE"""),"셀러리")</f>
        <v>셀러리</v>
      </c>
    </row>
    <row r="11305">
      <c r="A11305" s="2" t="str">
        <f>IFERROR(__xludf.DUMMYFUNCTION("""COMPUTED_VALUE"""),"캡틴 아메리카")</f>
        <v>캡틴 아메리카</v>
      </c>
      <c r="B11305" s="2" t="str">
        <f>IFERROR(__xludf.DUMMYFUNCTION("""COMPUTED_VALUE"""),"우유")</f>
        <v>우유</v>
      </c>
    </row>
    <row r="11306">
      <c r="A11306" s="2" t="str">
        <f>IFERROR(__xludf.DUMMYFUNCTION("""COMPUTED_VALUE"""),"캡틴 아메리카")</f>
        <v>캡틴 아메리카</v>
      </c>
      <c r="B11306" s="2" t="str">
        <f>IFERROR(__xludf.DUMMYFUNCTION("""COMPUTED_VALUE"""),"월계수잎")</f>
        <v>월계수잎</v>
      </c>
    </row>
    <row r="11307">
      <c r="A11307" s="2" t="str">
        <f>IFERROR(__xludf.DUMMYFUNCTION("""COMPUTED_VALUE"""),"캡틴 아메리카")</f>
        <v>캡틴 아메리카</v>
      </c>
      <c r="B11307" s="2" t="str">
        <f>IFERROR(__xludf.DUMMYFUNCTION("""COMPUTED_VALUE"""),"오레가노홀")</f>
        <v>오레가노홀</v>
      </c>
    </row>
    <row r="11308">
      <c r="A11308" s="2" t="str">
        <f>IFERROR(__xludf.DUMMYFUNCTION("""COMPUTED_VALUE"""),"캡틴 아메리카")</f>
        <v>캡틴 아메리카</v>
      </c>
      <c r="B11308" s="2" t="str">
        <f>IFERROR(__xludf.DUMMYFUNCTION("""COMPUTED_VALUE"""),"파슬리")</f>
        <v>파슬리</v>
      </c>
    </row>
    <row r="11309">
      <c r="A11309" s="2" t="str">
        <f>IFERROR(__xludf.DUMMYFUNCTION("""COMPUTED_VALUE"""),"캡틴 아메리카")</f>
        <v>캡틴 아메리카</v>
      </c>
      <c r="B11309" s="2" t="str">
        <f>IFERROR(__xludf.DUMMYFUNCTION("""COMPUTED_VALUE"""),"스파게티면")</f>
        <v>스파게티면</v>
      </c>
    </row>
    <row r="11310">
      <c r="A11310" s="2" t="str">
        <f>IFERROR(__xludf.DUMMYFUNCTION("""COMPUTED_VALUE"""),"캡틴 아메리카")</f>
        <v>캡틴 아메리카</v>
      </c>
      <c r="B11310" s="2" t="str">
        <f>IFERROR(__xludf.DUMMYFUNCTION("""COMPUTED_VALUE"""),"베이킹파우더")</f>
        <v>베이킹파우더</v>
      </c>
    </row>
    <row r="11311">
      <c r="A11311" s="2" t="str">
        <f>IFERROR(__xludf.DUMMYFUNCTION("""COMPUTED_VALUE"""),"캡틴 아메리카")</f>
        <v>캡틴 아메리카</v>
      </c>
      <c r="B11311" s="2" t="str">
        <f>IFERROR(__xludf.DUMMYFUNCTION("""COMPUTED_VALUE"""),"라임")</f>
        <v>라임</v>
      </c>
    </row>
    <row r="11312">
      <c r="A11312" s="2" t="str">
        <f>IFERROR(__xludf.DUMMYFUNCTION("""COMPUTED_VALUE"""),"캡틴 아메리카")</f>
        <v>캡틴 아메리카</v>
      </c>
      <c r="B11312" s="2" t="str">
        <f>IFERROR(__xludf.DUMMYFUNCTION("""COMPUTED_VALUE"""),"옥수수전분")</f>
        <v>옥수수전분</v>
      </c>
    </row>
    <row r="11313">
      <c r="A11313" s="2" t="str">
        <f>IFERROR(__xludf.DUMMYFUNCTION("""COMPUTED_VALUE"""),"캡틴 아메리카")</f>
        <v>캡틴 아메리카</v>
      </c>
      <c r="B11313" s="2" t="str">
        <f>IFERROR(__xludf.DUMMYFUNCTION("""COMPUTED_VALUE"""),"냉동 애플망고")</f>
        <v>냉동 애플망고</v>
      </c>
    </row>
    <row r="11314">
      <c r="A11314" s="2" t="str">
        <f>IFERROR(__xludf.DUMMYFUNCTION("""COMPUTED_VALUE"""),"캡틴 아메리카")</f>
        <v>캡틴 아메리카</v>
      </c>
      <c r="B11314" s="2" t="str">
        <f>IFERROR(__xludf.DUMMYFUNCTION("""COMPUTED_VALUE"""),"링곤베리잼")</f>
        <v>링곤베리잼</v>
      </c>
    </row>
    <row r="11315">
      <c r="A11315" s="2" t="str">
        <f>IFERROR(__xludf.DUMMYFUNCTION("""COMPUTED_VALUE"""),"캡틴 아메리카")</f>
        <v>캡틴 아메리카</v>
      </c>
      <c r="B11315" s="2" t="str">
        <f>IFERROR(__xludf.DUMMYFUNCTION("""COMPUTED_VALUE"""),"애플민트")</f>
        <v>애플민트</v>
      </c>
    </row>
    <row r="11316">
      <c r="A11316" s="2" t="str">
        <f>IFERROR(__xludf.DUMMYFUNCTION("""COMPUTED_VALUE"""),"캡틴 아메리카")</f>
        <v>캡틴 아메리카</v>
      </c>
      <c r="B11316" s="2" t="str">
        <f>IFERROR(__xludf.DUMMYFUNCTION("""COMPUTED_VALUE"""),"양파")</f>
        <v>양파</v>
      </c>
    </row>
    <row r="11317">
      <c r="A11317" s="2" t="str">
        <f>IFERROR(__xludf.DUMMYFUNCTION("""COMPUTED_VALUE"""),"캡틴 아메리카")</f>
        <v>캡틴 아메리카</v>
      </c>
      <c r="B11317" s="2" t="str">
        <f>IFERROR(__xludf.DUMMYFUNCTION("""COMPUTED_VALUE"""),"당근")</f>
        <v>당근</v>
      </c>
    </row>
    <row r="11318">
      <c r="A11318" s="2" t="str">
        <f>IFERROR(__xludf.DUMMYFUNCTION("""COMPUTED_VALUE"""),"캡틴 아메리카")</f>
        <v>캡틴 아메리카</v>
      </c>
      <c r="B11318" s="2" t="str">
        <f>IFERROR(__xludf.DUMMYFUNCTION("""COMPUTED_VALUE"""),"맛술")</f>
        <v>맛술</v>
      </c>
    </row>
    <row r="11319">
      <c r="A11319" s="2" t="str">
        <f>IFERROR(__xludf.DUMMYFUNCTION("""COMPUTED_VALUE"""),"캡틴 아메리카")</f>
        <v>캡틴 아메리카</v>
      </c>
      <c r="B11319" s="2" t="str">
        <f>IFERROR(__xludf.DUMMYFUNCTION("""COMPUTED_VALUE"""),"밀가루")</f>
        <v>밀가루</v>
      </c>
    </row>
    <row r="11320">
      <c r="A11320" s="2" t="str">
        <f>IFERROR(__xludf.DUMMYFUNCTION("""COMPUTED_VALUE"""),"캡틴 아메리카")</f>
        <v>캡틴 아메리카</v>
      </c>
      <c r="B11320" s="2" t="str">
        <f>IFERROR(__xludf.DUMMYFUNCTION("""COMPUTED_VALUE"""),"소금")</f>
        <v>소금</v>
      </c>
    </row>
    <row r="11321">
      <c r="A11321" s="2" t="str">
        <f>IFERROR(__xludf.DUMMYFUNCTION("""COMPUTED_VALUE"""),"캡틴 아메리카")</f>
        <v>캡틴 아메리카</v>
      </c>
      <c r="B11321" s="2" t="str">
        <f>IFERROR(__xludf.DUMMYFUNCTION("""COMPUTED_VALUE"""),"설탕")</f>
        <v>설탕</v>
      </c>
    </row>
    <row r="11322">
      <c r="A11322" s="2" t="str">
        <f>IFERROR(__xludf.DUMMYFUNCTION("""COMPUTED_VALUE"""),"캡틴 아메리카")</f>
        <v>캡틴 아메리카</v>
      </c>
      <c r="B11322" s="2" t="str">
        <f>IFERROR(__xludf.DUMMYFUNCTION("""COMPUTED_VALUE"""),"버터")</f>
        <v>버터</v>
      </c>
    </row>
    <row r="11323">
      <c r="A11323" s="2" t="str">
        <f>IFERROR(__xludf.DUMMYFUNCTION("""COMPUTED_VALUE"""),"캡틴 아메리카")</f>
        <v>캡틴 아메리카</v>
      </c>
      <c r="B11323" s="2" t="str">
        <f>IFERROR(__xludf.DUMMYFUNCTION("""COMPUTED_VALUE"""),"달걀")</f>
        <v>달걀</v>
      </c>
    </row>
    <row r="11324">
      <c r="A11324" s="2" t="str">
        <f>IFERROR(__xludf.DUMMYFUNCTION("""COMPUTED_VALUE"""),"캡틴 아메리카")</f>
        <v>캡틴 아메리카</v>
      </c>
      <c r="B11324" s="2" t="str">
        <f>IFERROR(__xludf.DUMMYFUNCTION("""COMPUTED_VALUE"""),"청양고추")</f>
        <v>청양고추</v>
      </c>
    </row>
    <row r="11325">
      <c r="A11325" s="2" t="str">
        <f>IFERROR(__xludf.DUMMYFUNCTION("""COMPUTED_VALUE"""),"부산행")</f>
        <v>부산행</v>
      </c>
      <c r="B11325" s="2" t="str">
        <f>IFERROR(__xludf.DUMMYFUNCTION("""COMPUTED_VALUE"""),"조기")</f>
        <v>조기</v>
      </c>
    </row>
    <row r="11326">
      <c r="A11326" s="2" t="str">
        <f>IFERROR(__xludf.DUMMYFUNCTION("""COMPUTED_VALUE"""),"부산행")</f>
        <v>부산행</v>
      </c>
      <c r="B11326" s="2" t="str">
        <f>IFERROR(__xludf.DUMMYFUNCTION("""COMPUTED_VALUE"""),"백합")</f>
        <v>백합</v>
      </c>
    </row>
    <row r="11327">
      <c r="A11327" s="2" t="str">
        <f>IFERROR(__xludf.DUMMYFUNCTION("""COMPUTED_VALUE"""),"부산행")</f>
        <v>부산행</v>
      </c>
      <c r="B11327" s="2" t="str">
        <f>IFERROR(__xludf.DUMMYFUNCTION("""COMPUTED_VALUE"""),"건고사리")</f>
        <v>건고사리</v>
      </c>
    </row>
    <row r="11328">
      <c r="A11328" s="2" t="str">
        <f>IFERROR(__xludf.DUMMYFUNCTION("""COMPUTED_VALUE"""),"부산행")</f>
        <v>부산행</v>
      </c>
      <c r="B11328" s="2" t="str">
        <f>IFERROR(__xludf.DUMMYFUNCTION("""COMPUTED_VALUE"""),"다시마")</f>
        <v>다시마</v>
      </c>
    </row>
    <row r="11329">
      <c r="A11329" s="2" t="str">
        <f>IFERROR(__xludf.DUMMYFUNCTION("""COMPUTED_VALUE"""),"부산행")</f>
        <v>부산행</v>
      </c>
      <c r="B11329" s="2" t="str">
        <f>IFERROR(__xludf.DUMMYFUNCTION("""COMPUTED_VALUE"""),"무")</f>
        <v>무</v>
      </c>
    </row>
    <row r="11330">
      <c r="A11330" s="2" t="str">
        <f>IFERROR(__xludf.DUMMYFUNCTION("""COMPUTED_VALUE"""),"부산행")</f>
        <v>부산행</v>
      </c>
      <c r="B11330" s="2" t="str">
        <f>IFERROR(__xludf.DUMMYFUNCTION("""COMPUTED_VALUE"""),"건표고버섯")</f>
        <v>건표고버섯</v>
      </c>
    </row>
    <row r="11331">
      <c r="A11331" s="2" t="str">
        <f>IFERROR(__xludf.DUMMYFUNCTION("""COMPUTED_VALUE"""),"부산행")</f>
        <v>부산행</v>
      </c>
      <c r="B11331" s="2" t="str">
        <f>IFERROR(__xludf.DUMMYFUNCTION("""COMPUTED_VALUE"""),"아프리카고추양념장")</f>
        <v>아프리카고추양념장</v>
      </c>
    </row>
    <row r="11332">
      <c r="A11332" s="2" t="str">
        <f>IFERROR(__xludf.DUMMYFUNCTION("""COMPUTED_VALUE"""),"부산행")</f>
        <v>부산행</v>
      </c>
      <c r="B11332" s="2" t="str">
        <f>IFERROR(__xludf.DUMMYFUNCTION("""COMPUTED_VALUE"""),"멸치액젓")</f>
        <v>멸치액젓</v>
      </c>
    </row>
    <row r="11333">
      <c r="A11333" s="2" t="str">
        <f>IFERROR(__xludf.DUMMYFUNCTION("""COMPUTED_VALUE"""),"부산행")</f>
        <v>부산행</v>
      </c>
      <c r="B11333" s="2" t="str">
        <f>IFERROR(__xludf.DUMMYFUNCTION("""COMPUTED_VALUE"""),"고수")</f>
        <v>고수</v>
      </c>
    </row>
    <row r="11334">
      <c r="A11334" s="2" t="str">
        <f>IFERROR(__xludf.DUMMYFUNCTION("""COMPUTED_VALUE"""),"부산행")</f>
        <v>부산행</v>
      </c>
      <c r="B11334" s="2" t="str">
        <f>IFERROR(__xludf.DUMMYFUNCTION("""COMPUTED_VALUE"""),"셀러리")</f>
        <v>셀러리</v>
      </c>
    </row>
    <row r="11335">
      <c r="A11335" s="2" t="str">
        <f>IFERROR(__xludf.DUMMYFUNCTION("""COMPUTED_VALUE"""),"부산행")</f>
        <v>부산행</v>
      </c>
      <c r="B11335" s="2" t="str">
        <f>IFERROR(__xludf.DUMMYFUNCTION("""COMPUTED_VALUE"""),"산초가루")</f>
        <v>산초가루</v>
      </c>
    </row>
    <row r="11336">
      <c r="A11336" s="2" t="str">
        <f>IFERROR(__xludf.DUMMYFUNCTION("""COMPUTED_VALUE"""),"부산행")</f>
        <v>부산행</v>
      </c>
      <c r="B11336" s="2" t="str">
        <f>IFERROR(__xludf.DUMMYFUNCTION("""COMPUTED_VALUE"""),"간장")</f>
        <v>간장</v>
      </c>
    </row>
    <row r="11337">
      <c r="A11337" s="2" t="str">
        <f>IFERROR(__xludf.DUMMYFUNCTION("""COMPUTED_VALUE"""),"부산행")</f>
        <v>부산행</v>
      </c>
      <c r="B11337" s="2" t="str">
        <f>IFERROR(__xludf.DUMMYFUNCTION("""COMPUTED_VALUE"""),"건새우")</f>
        <v>건새우</v>
      </c>
    </row>
    <row r="11338">
      <c r="A11338" s="2" t="str">
        <f>IFERROR(__xludf.DUMMYFUNCTION("""COMPUTED_VALUE"""),"부산행")</f>
        <v>부산행</v>
      </c>
      <c r="B11338" s="2" t="str">
        <f>IFERROR(__xludf.DUMMYFUNCTION("""COMPUTED_VALUE"""),"고춧가루")</f>
        <v>고춧가루</v>
      </c>
    </row>
    <row r="11339">
      <c r="A11339" s="2" t="str">
        <f>IFERROR(__xludf.DUMMYFUNCTION("""COMPUTED_VALUE"""),"부산행")</f>
        <v>부산행</v>
      </c>
      <c r="B11339" s="2" t="str">
        <f>IFERROR(__xludf.DUMMYFUNCTION("""COMPUTED_VALUE"""),"아사이베리가루")</f>
        <v>아사이베리가루</v>
      </c>
    </row>
    <row r="11340">
      <c r="A11340" s="2" t="str">
        <f>IFERROR(__xludf.DUMMYFUNCTION("""COMPUTED_VALUE"""),"부산행")</f>
        <v>부산행</v>
      </c>
      <c r="B11340" s="2" t="str">
        <f>IFERROR(__xludf.DUMMYFUNCTION("""COMPUTED_VALUE"""),"양파")</f>
        <v>양파</v>
      </c>
    </row>
    <row r="11341">
      <c r="A11341" s="2" t="str">
        <f>IFERROR(__xludf.DUMMYFUNCTION("""COMPUTED_VALUE"""),"부산행")</f>
        <v>부산행</v>
      </c>
      <c r="B11341" s="2" t="str">
        <f>IFERROR(__xludf.DUMMYFUNCTION("""COMPUTED_VALUE"""),"맛술")</f>
        <v>맛술</v>
      </c>
    </row>
    <row r="11342">
      <c r="A11342" s="2" t="str">
        <f>IFERROR(__xludf.DUMMYFUNCTION("""COMPUTED_VALUE"""),"부산행")</f>
        <v>부산행</v>
      </c>
      <c r="B11342" s="2" t="str">
        <f>IFERROR(__xludf.DUMMYFUNCTION("""COMPUTED_VALUE"""),"소금")</f>
        <v>소금</v>
      </c>
    </row>
    <row r="11343">
      <c r="A11343" s="2" t="str">
        <f>IFERROR(__xludf.DUMMYFUNCTION("""COMPUTED_VALUE"""),"부산행")</f>
        <v>부산행</v>
      </c>
      <c r="B11343" s="2" t="str">
        <f>IFERROR(__xludf.DUMMYFUNCTION("""COMPUTED_VALUE"""),"고추장")</f>
        <v>고추장</v>
      </c>
    </row>
    <row r="11344">
      <c r="A11344" s="2" t="str">
        <f>IFERROR(__xludf.DUMMYFUNCTION("""COMPUTED_VALUE"""),"부산행")</f>
        <v>부산행</v>
      </c>
      <c r="B11344" s="2" t="str">
        <f>IFERROR(__xludf.DUMMYFUNCTION("""COMPUTED_VALUE"""),"다진 마늘")</f>
        <v>다진 마늘</v>
      </c>
    </row>
    <row r="11345">
      <c r="A11345" s="2" t="str">
        <f>IFERROR(__xludf.DUMMYFUNCTION("""COMPUTED_VALUE"""),"부산행")</f>
        <v>부산행</v>
      </c>
      <c r="B11345" s="2" t="str">
        <f>IFERROR(__xludf.DUMMYFUNCTION("""COMPUTED_VALUE"""),"밀가루")</f>
        <v>밀가루</v>
      </c>
    </row>
    <row r="11346">
      <c r="A11346" s="2" t="str">
        <f>IFERROR(__xludf.DUMMYFUNCTION("""COMPUTED_VALUE"""),"부산행")</f>
        <v>부산행</v>
      </c>
      <c r="B11346" s="2" t="str">
        <f>IFERROR(__xludf.DUMMYFUNCTION("""COMPUTED_VALUE"""),"달걀")</f>
        <v>달걀</v>
      </c>
    </row>
    <row r="11347">
      <c r="A11347" s="2" t="str">
        <f>IFERROR(__xludf.DUMMYFUNCTION("""COMPUTED_VALUE"""),"부산행")</f>
        <v>부산행</v>
      </c>
      <c r="B11347" s="2" t="str">
        <f>IFERROR(__xludf.DUMMYFUNCTION("""COMPUTED_VALUE"""),"간장")</f>
        <v>간장</v>
      </c>
    </row>
    <row r="11348">
      <c r="A11348" s="2" t="str">
        <f>IFERROR(__xludf.DUMMYFUNCTION("""COMPUTED_VALUE"""),"부산행")</f>
        <v>부산행</v>
      </c>
      <c r="B11348" s="2" t="str">
        <f>IFERROR(__xludf.DUMMYFUNCTION("""COMPUTED_VALUE"""),"식초")</f>
        <v>식초</v>
      </c>
    </row>
    <row r="11349">
      <c r="A11349" s="2" t="str">
        <f>IFERROR(__xludf.DUMMYFUNCTION("""COMPUTED_VALUE"""),"부산행")</f>
        <v>부산행</v>
      </c>
      <c r="B11349" s="2" t="str">
        <f>IFERROR(__xludf.DUMMYFUNCTION("""COMPUTED_VALUE"""),"물엿")</f>
        <v>물엿</v>
      </c>
    </row>
    <row r="11350">
      <c r="A11350" s="2" t="str">
        <f>IFERROR(__xludf.DUMMYFUNCTION("""COMPUTED_VALUE"""),"부산행")</f>
        <v>부산행</v>
      </c>
      <c r="B11350" s="2" t="str">
        <f>IFERROR(__xludf.DUMMYFUNCTION("""COMPUTED_VALUE"""),"즉석밥")</f>
        <v>즉석밥</v>
      </c>
    </row>
    <row r="11351">
      <c r="A11351" s="2" t="str">
        <f>IFERROR(__xludf.DUMMYFUNCTION("""COMPUTED_VALUE"""),"부산행")</f>
        <v>부산행</v>
      </c>
      <c r="B11351" s="2" t="str">
        <f>IFERROR(__xludf.DUMMYFUNCTION("""COMPUTED_VALUE"""),"레몬")</f>
        <v>레몬</v>
      </c>
    </row>
    <row r="11352">
      <c r="A11352" s="2" t="str">
        <f>IFERROR(__xludf.DUMMYFUNCTION("""COMPUTED_VALUE"""),"풍식 두비두밥♬")</f>
        <v>풍식 두비두밥♬</v>
      </c>
      <c r="B11352" s="2" t="str">
        <f>IFERROR(__xludf.DUMMYFUNCTION("""COMPUTED_VALUE"""),"해물육수팩")</f>
        <v>해물육수팩</v>
      </c>
    </row>
    <row r="11353">
      <c r="A11353" s="2" t="str">
        <f>IFERROR(__xludf.DUMMYFUNCTION("""COMPUTED_VALUE"""),"풍식 두비두밥♬")</f>
        <v>풍식 두비두밥♬</v>
      </c>
      <c r="B11353" s="2" t="str">
        <f>IFERROR(__xludf.DUMMYFUNCTION("""COMPUTED_VALUE"""),"돼지목살")</f>
        <v>돼지목살</v>
      </c>
    </row>
    <row r="11354">
      <c r="A11354" s="2" t="str">
        <f>IFERROR(__xludf.DUMMYFUNCTION("""COMPUTED_VALUE"""),"풍식 두비두밥♬")</f>
        <v>풍식 두비두밥♬</v>
      </c>
      <c r="B11354" s="2" t="str">
        <f>IFERROR(__xludf.DUMMYFUNCTION("""COMPUTED_VALUE"""),"굴소스")</f>
        <v>굴소스</v>
      </c>
    </row>
    <row r="11355">
      <c r="A11355" s="2" t="str">
        <f>IFERROR(__xludf.DUMMYFUNCTION("""COMPUTED_VALUE"""),"풍식 두비두밥♬")</f>
        <v>풍식 두비두밥♬</v>
      </c>
      <c r="B11355" s="2" t="str">
        <f>IFERROR(__xludf.DUMMYFUNCTION("""COMPUTED_VALUE"""),"두부")</f>
        <v>두부</v>
      </c>
    </row>
    <row r="11356">
      <c r="A11356" s="2" t="str">
        <f>IFERROR(__xludf.DUMMYFUNCTION("""COMPUTED_VALUE"""),"풍식 두비두밥♬")</f>
        <v>풍식 두비두밥♬</v>
      </c>
      <c r="B11356" s="2" t="str">
        <f>IFERROR(__xludf.DUMMYFUNCTION("""COMPUTED_VALUE"""),"건새우")</f>
        <v>건새우</v>
      </c>
    </row>
    <row r="11357">
      <c r="A11357" s="2" t="str">
        <f>IFERROR(__xludf.DUMMYFUNCTION("""COMPUTED_VALUE"""),"풍식 두비두밥♬")</f>
        <v>풍식 두비두밥♬</v>
      </c>
      <c r="B11357" s="2" t="str">
        <f>IFERROR(__xludf.DUMMYFUNCTION("""COMPUTED_VALUE"""),"오이")</f>
        <v>오이</v>
      </c>
    </row>
    <row r="11358">
      <c r="A11358" s="2" t="str">
        <f>IFERROR(__xludf.DUMMYFUNCTION("""COMPUTED_VALUE"""),"풍식 두비두밥♬")</f>
        <v>풍식 두비두밥♬</v>
      </c>
      <c r="B11358" s="2" t="str">
        <f>IFERROR(__xludf.DUMMYFUNCTION("""COMPUTED_VALUE"""),"홍고추")</f>
        <v>홍고추</v>
      </c>
    </row>
    <row r="11359">
      <c r="A11359" s="2" t="str">
        <f>IFERROR(__xludf.DUMMYFUNCTION("""COMPUTED_VALUE"""),"풍식 두비두밥♬")</f>
        <v>풍식 두비두밥♬</v>
      </c>
      <c r="B11359" s="2" t="str">
        <f>IFERROR(__xludf.DUMMYFUNCTION("""COMPUTED_VALUE"""),"청양고추")</f>
        <v>청양고추</v>
      </c>
    </row>
    <row r="11360">
      <c r="A11360" s="2" t="str">
        <f>IFERROR(__xludf.DUMMYFUNCTION("""COMPUTED_VALUE"""),"풍식 두비두밥♬")</f>
        <v>풍식 두비두밥♬</v>
      </c>
      <c r="B11360" s="2" t="str">
        <f>IFERROR(__xludf.DUMMYFUNCTION("""COMPUTED_VALUE"""),"마늘")</f>
        <v>마늘</v>
      </c>
    </row>
    <row r="11361">
      <c r="A11361" s="2" t="str">
        <f>IFERROR(__xludf.DUMMYFUNCTION("""COMPUTED_VALUE"""),"풍식 두비두밥♬")</f>
        <v>풍식 두비두밥♬</v>
      </c>
      <c r="B11361" s="2" t="str">
        <f>IFERROR(__xludf.DUMMYFUNCTION("""COMPUTED_VALUE"""),"대파")</f>
        <v>대파</v>
      </c>
    </row>
    <row r="11362">
      <c r="A11362" s="2" t="str">
        <f>IFERROR(__xludf.DUMMYFUNCTION("""COMPUTED_VALUE"""),"풍식 두비두밥♬")</f>
        <v>풍식 두비두밥♬</v>
      </c>
      <c r="B11362" s="2" t="str">
        <f>IFERROR(__xludf.DUMMYFUNCTION("""COMPUTED_VALUE"""),"가장")</f>
        <v>가장</v>
      </c>
    </row>
    <row r="11363">
      <c r="A11363" s="2" t="str">
        <f>IFERROR(__xludf.DUMMYFUNCTION("""COMPUTED_VALUE"""),"풍식 두비두밥♬")</f>
        <v>풍식 두비두밥♬</v>
      </c>
      <c r="B11363" s="2" t="str">
        <f>IFERROR(__xludf.DUMMYFUNCTION("""COMPUTED_VALUE"""),"설탕")</f>
        <v>설탕</v>
      </c>
    </row>
    <row r="11364">
      <c r="A11364" s="2" t="str">
        <f>IFERROR(__xludf.DUMMYFUNCTION("""COMPUTED_VALUE"""),"풍식 두비두밥♬")</f>
        <v>풍식 두비두밥♬</v>
      </c>
      <c r="B11364" s="2" t="str">
        <f>IFERROR(__xludf.DUMMYFUNCTION("""COMPUTED_VALUE"""),"고춧가루")</f>
        <v>고춧가루</v>
      </c>
    </row>
    <row r="11365">
      <c r="A11365" s="2" t="str">
        <f>IFERROR(__xludf.DUMMYFUNCTION("""COMPUTED_VALUE"""),"풍식 두비두밥♬")</f>
        <v>풍식 두비두밥♬</v>
      </c>
      <c r="B11365" s="2" t="str">
        <f>IFERROR(__xludf.DUMMYFUNCTION("""COMPUTED_VALUE"""),"식초")</f>
        <v>식초</v>
      </c>
    </row>
    <row r="11366">
      <c r="A11366" s="2" t="str">
        <f>IFERROR(__xludf.DUMMYFUNCTION("""COMPUTED_VALUE"""),"풍식 두비두밥♬")</f>
        <v>풍식 두비두밥♬</v>
      </c>
      <c r="B11366" s="2" t="str">
        <f>IFERROR(__xludf.DUMMYFUNCTION("""COMPUTED_VALUE"""),"소금")</f>
        <v>소금</v>
      </c>
    </row>
    <row r="11367">
      <c r="A11367" s="2" t="str">
        <f>IFERROR(__xludf.DUMMYFUNCTION("""COMPUTED_VALUE"""),"풍식 두비두밥♬")</f>
        <v>풍식 두비두밥♬</v>
      </c>
      <c r="B11367" s="2" t="str">
        <f>IFERROR(__xludf.DUMMYFUNCTION("""COMPUTED_VALUE"""),"후추")</f>
        <v>후추</v>
      </c>
    </row>
    <row r="11368">
      <c r="A11368" s="2" t="str">
        <f>IFERROR(__xludf.DUMMYFUNCTION("""COMPUTED_VALUE"""),"풍식 두비두밥♬")</f>
        <v>풍식 두비두밥♬</v>
      </c>
      <c r="B11368" s="2" t="str">
        <f>IFERROR(__xludf.DUMMYFUNCTION("""COMPUTED_VALUE"""),"즉석밥")</f>
        <v>즉석밥</v>
      </c>
    </row>
    <row r="11369">
      <c r="A11369" s="2" t="str">
        <f>IFERROR(__xludf.DUMMYFUNCTION("""COMPUTED_VALUE"""),"한현민 Go! 현민 Go!")</f>
        <v>한현민 Go! 현민 Go!</v>
      </c>
      <c r="B11369" s="2" t="str">
        <f>IFERROR(__xludf.DUMMYFUNCTION("""COMPUTED_VALUE"""),"고사리무침")</f>
        <v>고사리무침</v>
      </c>
    </row>
    <row r="11370">
      <c r="A11370" s="2" t="str">
        <f>IFERROR(__xludf.DUMMYFUNCTION("""COMPUTED_VALUE"""),"한현민 Go! 현민 Go!")</f>
        <v>한현민 Go! 현민 Go!</v>
      </c>
      <c r="B11370" s="2" t="str">
        <f>IFERROR(__xludf.DUMMYFUNCTION("""COMPUTED_VALUE"""),"돼지 뒷다리살")</f>
        <v>돼지 뒷다리살</v>
      </c>
    </row>
    <row r="11371">
      <c r="A11371" s="2" t="str">
        <f>IFERROR(__xludf.DUMMYFUNCTION("""COMPUTED_VALUE"""),"한현민 Go! 현민 Go!")</f>
        <v>한현민 Go! 현민 Go!</v>
      </c>
      <c r="B11371" s="2" t="str">
        <f>IFERROR(__xludf.DUMMYFUNCTION("""COMPUTED_VALUE"""),"조미료")</f>
        <v>조미료</v>
      </c>
    </row>
    <row r="11372">
      <c r="A11372" s="2" t="str">
        <f>IFERROR(__xludf.DUMMYFUNCTION("""COMPUTED_VALUE"""),"한현민 Go! 현민 Go!")</f>
        <v>한현민 Go! 현민 Go!</v>
      </c>
      <c r="B11372" s="2" t="str">
        <f>IFERROR(__xludf.DUMMYFUNCTION("""COMPUTED_VALUE"""),"만두")</f>
        <v>만두</v>
      </c>
    </row>
    <row r="11373">
      <c r="A11373" s="2" t="str">
        <f>IFERROR(__xludf.DUMMYFUNCTION("""COMPUTED_VALUE"""),"한현민 Go! 현민 Go!")</f>
        <v>한현민 Go! 현민 Go!</v>
      </c>
      <c r="B11373" s="2" t="str">
        <f>IFERROR(__xludf.DUMMYFUNCTION("""COMPUTED_VALUE"""),"고등어")</f>
        <v>고등어</v>
      </c>
    </row>
    <row r="11374">
      <c r="A11374" s="2" t="str">
        <f>IFERROR(__xludf.DUMMYFUNCTION("""COMPUTED_VALUE"""),"한현민 Go! 현민 Go!")</f>
        <v>한현민 Go! 현민 Go!</v>
      </c>
      <c r="B11374" s="2" t="str">
        <f>IFERROR(__xludf.DUMMYFUNCTION("""COMPUTED_VALUE"""),"애호박")</f>
        <v>애호박</v>
      </c>
    </row>
    <row r="11375">
      <c r="A11375" s="2" t="str">
        <f>IFERROR(__xludf.DUMMYFUNCTION("""COMPUTED_VALUE"""),"한현민 Go! 현민 Go!")</f>
        <v>한현민 Go! 현민 Go!</v>
      </c>
      <c r="B11375" s="2" t="str">
        <f>IFERROR(__xludf.DUMMYFUNCTION("""COMPUTED_VALUE"""),"굴소스")</f>
        <v>굴소스</v>
      </c>
    </row>
    <row r="11376">
      <c r="A11376" s="2" t="str">
        <f>IFERROR(__xludf.DUMMYFUNCTION("""COMPUTED_VALUE"""),"한현민 Go! 현민 Go!")</f>
        <v>한현민 Go! 현민 Go!</v>
      </c>
      <c r="B11376" s="2" t="str">
        <f>IFERROR(__xludf.DUMMYFUNCTION("""COMPUTED_VALUE"""),"대파")</f>
        <v>대파</v>
      </c>
    </row>
    <row r="11377">
      <c r="A11377" s="2" t="str">
        <f>IFERROR(__xludf.DUMMYFUNCTION("""COMPUTED_VALUE"""),"한현민 Go! 현민 Go!")</f>
        <v>한현민 Go! 현민 Go!</v>
      </c>
      <c r="B11377" s="2" t="str">
        <f>IFERROR(__xludf.DUMMYFUNCTION("""COMPUTED_VALUE"""),"고춧가루")</f>
        <v>고춧가루</v>
      </c>
    </row>
    <row r="11378">
      <c r="A11378" s="2" t="str">
        <f>IFERROR(__xludf.DUMMYFUNCTION("""COMPUTED_VALUE"""),"한현민 Go! 현민 Go!")</f>
        <v>한현민 Go! 현민 Go!</v>
      </c>
      <c r="B11378" s="2" t="str">
        <f>IFERROR(__xludf.DUMMYFUNCTION("""COMPUTED_VALUE"""),"청주")</f>
        <v>청주</v>
      </c>
    </row>
    <row r="11379">
      <c r="A11379" s="2" t="str">
        <f>IFERROR(__xludf.DUMMYFUNCTION("""COMPUTED_VALUE"""),"한현민 Go! 현민 Go!")</f>
        <v>한현민 Go! 현민 Go!</v>
      </c>
      <c r="B11379" s="2" t="str">
        <f>IFERROR(__xludf.DUMMYFUNCTION("""COMPUTED_VALUE"""),"양파")</f>
        <v>양파</v>
      </c>
    </row>
    <row r="11380">
      <c r="A11380" s="2" t="str">
        <f>IFERROR(__xludf.DUMMYFUNCTION("""COMPUTED_VALUE"""),"한현민 Go! 현민 Go!")</f>
        <v>한현민 Go! 현민 Go!</v>
      </c>
      <c r="B11380" s="2" t="str">
        <f>IFERROR(__xludf.DUMMYFUNCTION("""COMPUTED_VALUE"""),"즉석밥")</f>
        <v>즉석밥</v>
      </c>
    </row>
    <row r="11381">
      <c r="A11381" s="2" t="str">
        <f>IFERROR(__xludf.DUMMYFUNCTION("""COMPUTED_VALUE"""),"한현민 Go! 현민 Go!")</f>
        <v>한현민 Go! 현민 Go!</v>
      </c>
      <c r="B11381" s="2" t="str">
        <f>IFERROR(__xludf.DUMMYFUNCTION("""COMPUTED_VALUE"""),"청양고추")</f>
        <v>청양고추</v>
      </c>
    </row>
    <row r="11382">
      <c r="A11382" s="2" t="str">
        <f>IFERROR(__xludf.DUMMYFUNCTION("""COMPUTED_VALUE"""),"한현민 Go! 현민 Go!")</f>
        <v>한현민 Go! 현민 Go!</v>
      </c>
      <c r="B11382" s="2" t="str">
        <f>IFERROR(__xludf.DUMMYFUNCTION("""COMPUTED_VALUE"""),"간장")</f>
        <v>간장</v>
      </c>
    </row>
    <row r="11383">
      <c r="A11383" s="2" t="str">
        <f>IFERROR(__xludf.DUMMYFUNCTION("""COMPUTED_VALUE"""),"한현민 Go! 현민 Go!")</f>
        <v>한현민 Go! 현민 Go!</v>
      </c>
      <c r="B11383" s="2" t="str">
        <f>IFERROR(__xludf.DUMMYFUNCTION("""COMPUTED_VALUE"""),"달걀")</f>
        <v>달걀</v>
      </c>
    </row>
    <row r="11384">
      <c r="A11384" s="2" t="str">
        <f>IFERROR(__xludf.DUMMYFUNCTION("""COMPUTED_VALUE"""),"한현민 Go! 현민 Go!")</f>
        <v>한현민 Go! 현민 Go!</v>
      </c>
      <c r="B11384" s="2" t="str">
        <f>IFERROR(__xludf.DUMMYFUNCTION("""COMPUTED_VALUE"""),"전분")</f>
        <v>전분</v>
      </c>
    </row>
    <row r="11385">
      <c r="A11385" s="2" t="str">
        <f>IFERROR(__xludf.DUMMYFUNCTION("""COMPUTED_VALUE"""),"한국인의 밥상")</f>
        <v>한국인의 밥상</v>
      </c>
      <c r="B11385" s="2" t="str">
        <f>IFERROR(__xludf.DUMMYFUNCTION("""COMPUTED_VALUE"""),"김치")</f>
        <v>김치</v>
      </c>
    </row>
    <row r="11386">
      <c r="A11386" s="2" t="str">
        <f>IFERROR(__xludf.DUMMYFUNCTION("""COMPUTED_VALUE"""),"한국인의 밥상")</f>
        <v>한국인의 밥상</v>
      </c>
      <c r="B11386" s="2" t="str">
        <f>IFERROR(__xludf.DUMMYFUNCTION("""COMPUTED_VALUE"""),"양파즙")</f>
        <v>양파즙</v>
      </c>
    </row>
    <row r="11387">
      <c r="A11387" s="2" t="str">
        <f>IFERROR(__xludf.DUMMYFUNCTION("""COMPUTED_VALUE"""),"한국인의 밥상")</f>
        <v>한국인의 밥상</v>
      </c>
      <c r="B11387" s="2" t="str">
        <f>IFERROR(__xludf.DUMMYFUNCTION("""COMPUTED_VALUE"""),"해물육수팩")</f>
        <v>해물육수팩</v>
      </c>
    </row>
    <row r="11388">
      <c r="A11388" s="2" t="str">
        <f>IFERROR(__xludf.DUMMYFUNCTION("""COMPUTED_VALUE"""),"한국인의 밥상")</f>
        <v>한국인의 밥상</v>
      </c>
      <c r="B11388" s="2" t="str">
        <f>IFERROR(__xludf.DUMMYFUNCTION("""COMPUTED_VALUE"""),"고추장아찌")</f>
        <v>고추장아찌</v>
      </c>
    </row>
    <row r="11389">
      <c r="A11389" s="2" t="str">
        <f>IFERROR(__xludf.DUMMYFUNCTION("""COMPUTED_VALUE"""),"한국인의 밥상")</f>
        <v>한국인의 밥상</v>
      </c>
      <c r="B11389" s="2" t="str">
        <f>IFERROR(__xludf.DUMMYFUNCTION("""COMPUTED_VALUE"""),"조미료")</f>
        <v>조미료</v>
      </c>
    </row>
    <row r="11390">
      <c r="A11390" s="2" t="str">
        <f>IFERROR(__xludf.DUMMYFUNCTION("""COMPUTED_VALUE"""),"한국인의 밥상")</f>
        <v>한국인의 밥상</v>
      </c>
      <c r="B11390" s="2" t="str">
        <f>IFERROR(__xludf.DUMMYFUNCTION("""COMPUTED_VALUE"""),"돼지목살")</f>
        <v>돼지목살</v>
      </c>
    </row>
    <row r="11391">
      <c r="A11391" s="2" t="str">
        <f>IFERROR(__xludf.DUMMYFUNCTION("""COMPUTED_VALUE"""),"한국인의 밥상")</f>
        <v>한국인의 밥상</v>
      </c>
      <c r="B11391" s="2" t="str">
        <f>IFERROR(__xludf.DUMMYFUNCTION("""COMPUTED_VALUE"""),"닭가슴살")</f>
        <v>닭가슴살</v>
      </c>
    </row>
    <row r="11392">
      <c r="A11392" s="2" t="str">
        <f>IFERROR(__xludf.DUMMYFUNCTION("""COMPUTED_VALUE"""),"한국인의 밥상")</f>
        <v>한국인의 밥상</v>
      </c>
      <c r="B11392" s="2" t="str">
        <f>IFERROR(__xludf.DUMMYFUNCTION("""COMPUTED_VALUE"""),"훈제오리")</f>
        <v>훈제오리</v>
      </c>
    </row>
    <row r="11393">
      <c r="A11393" s="2" t="str">
        <f>IFERROR(__xludf.DUMMYFUNCTION("""COMPUTED_VALUE"""),"한국인의 밥상")</f>
        <v>한국인의 밥상</v>
      </c>
      <c r="B11393" s="2" t="str">
        <f>IFERROR(__xludf.DUMMYFUNCTION("""COMPUTED_VALUE"""),"인스턴트 동그랑땡")</f>
        <v>인스턴트 동그랑땡</v>
      </c>
    </row>
    <row r="11394">
      <c r="A11394" s="2" t="str">
        <f>IFERROR(__xludf.DUMMYFUNCTION("""COMPUTED_VALUE"""),"한국인의 밥상")</f>
        <v>한국인의 밥상</v>
      </c>
      <c r="B11394" s="2" t="str">
        <f>IFERROR(__xludf.DUMMYFUNCTION("""COMPUTED_VALUE"""),"낙지젓")</f>
        <v>낙지젓</v>
      </c>
    </row>
    <row r="11395">
      <c r="A11395" s="2" t="str">
        <f>IFERROR(__xludf.DUMMYFUNCTION("""COMPUTED_VALUE"""),"한국인의 밥상")</f>
        <v>한국인의 밥상</v>
      </c>
      <c r="B11395" s="2" t="str">
        <f>IFERROR(__xludf.DUMMYFUNCTION("""COMPUTED_VALUE"""),"어묵")</f>
        <v>어묵</v>
      </c>
    </row>
    <row r="11396">
      <c r="A11396" s="2" t="str">
        <f>IFERROR(__xludf.DUMMYFUNCTION("""COMPUTED_VALUE"""),"한국인의 밥상")</f>
        <v>한국인의 밥상</v>
      </c>
      <c r="B11396" s="2" t="str">
        <f>IFERROR(__xludf.DUMMYFUNCTION("""COMPUTED_VALUE"""),"라이스페이퍼")</f>
        <v>라이스페이퍼</v>
      </c>
    </row>
    <row r="11397">
      <c r="A11397" s="2" t="str">
        <f>IFERROR(__xludf.DUMMYFUNCTION("""COMPUTED_VALUE"""),"한국인의 밥상")</f>
        <v>한국인의 밥상</v>
      </c>
      <c r="B11397" s="2" t="str">
        <f>IFERROR(__xludf.DUMMYFUNCTION("""COMPUTED_VALUE"""),"설탕")</f>
        <v>설탕</v>
      </c>
    </row>
    <row r="11398">
      <c r="A11398" s="2" t="str">
        <f>IFERROR(__xludf.DUMMYFUNCTION("""COMPUTED_VALUE"""),"한국인의 밥상")</f>
        <v>한국인의 밥상</v>
      </c>
      <c r="B11398" s="2" t="str">
        <f>IFERROR(__xludf.DUMMYFUNCTION("""COMPUTED_VALUE"""),"식초")</f>
        <v>식초</v>
      </c>
    </row>
    <row r="11399">
      <c r="A11399" s="2" t="str">
        <f>IFERROR(__xludf.DUMMYFUNCTION("""COMPUTED_VALUE"""),"한국인의 밥상")</f>
        <v>한국인의 밥상</v>
      </c>
      <c r="B11399" s="2" t="str">
        <f>IFERROR(__xludf.DUMMYFUNCTION("""COMPUTED_VALUE"""),"즉석밥")</f>
        <v>즉석밥</v>
      </c>
    </row>
    <row r="11400">
      <c r="A11400" s="2" t="str">
        <f>IFERROR(__xludf.DUMMYFUNCTION("""COMPUTED_VALUE"""),"한국인의 밥상")</f>
        <v>한국인의 밥상</v>
      </c>
      <c r="B11400" s="2" t="str">
        <f>IFERROR(__xludf.DUMMYFUNCTION("""COMPUTED_VALUE"""),"간장")</f>
        <v>간장</v>
      </c>
    </row>
    <row r="11401">
      <c r="A11401" s="2" t="str">
        <f>IFERROR(__xludf.DUMMYFUNCTION("""COMPUTED_VALUE"""),"한국인의 밥상")</f>
        <v>한국인의 밥상</v>
      </c>
      <c r="B11401" s="2" t="str">
        <f>IFERROR(__xludf.DUMMYFUNCTION("""COMPUTED_VALUE"""),"청양고추")</f>
        <v>청양고추</v>
      </c>
    </row>
    <row r="11402">
      <c r="A11402" s="2" t="str">
        <f>IFERROR(__xludf.DUMMYFUNCTION("""COMPUTED_VALUE"""),"한국인의 밥상")</f>
        <v>한국인의 밥상</v>
      </c>
      <c r="B11402" s="2" t="str">
        <f>IFERROR(__xludf.DUMMYFUNCTION("""COMPUTED_VALUE"""),"대파")</f>
        <v>대파</v>
      </c>
    </row>
    <row r="11403">
      <c r="A11403" s="2" t="str">
        <f>IFERROR(__xludf.DUMMYFUNCTION("""COMPUTED_VALUE"""),"한국인의 밥상")</f>
        <v>한국인의 밥상</v>
      </c>
      <c r="B11403" s="2" t="str">
        <f>IFERROR(__xludf.DUMMYFUNCTION("""COMPUTED_VALUE"""),"마늘")</f>
        <v>마늘</v>
      </c>
    </row>
    <row r="11404">
      <c r="A11404" s="2" t="str">
        <f>IFERROR(__xludf.DUMMYFUNCTION("""COMPUTED_VALUE"""),"한국인의 밥상")</f>
        <v>한국인의 밥상</v>
      </c>
      <c r="B11404" s="2" t="str">
        <f>IFERROR(__xludf.DUMMYFUNCTION("""COMPUTED_VALUE"""),"고춧가루")</f>
        <v>고춧가루</v>
      </c>
    </row>
    <row r="11405">
      <c r="A11405" s="2" t="str">
        <f>IFERROR(__xludf.DUMMYFUNCTION("""COMPUTED_VALUE"""),"한국인의 밥상")</f>
        <v>한국인의 밥상</v>
      </c>
      <c r="B11405" s="2" t="str">
        <f>IFERROR(__xludf.DUMMYFUNCTION("""COMPUTED_VALUE"""),"다진 마늘")</f>
        <v>다진 마늘</v>
      </c>
    </row>
    <row r="11406">
      <c r="A11406" s="2" t="str">
        <f>IFERROR(__xludf.DUMMYFUNCTION("""COMPUTED_VALUE"""),"한국인의 밥상")</f>
        <v>한국인의 밥상</v>
      </c>
      <c r="B11406" s="2" t="str">
        <f>IFERROR(__xludf.DUMMYFUNCTION("""COMPUTED_VALUE"""),"홍고추")</f>
        <v>홍고추</v>
      </c>
    </row>
    <row r="11407">
      <c r="A11407" s="2" t="str">
        <f>IFERROR(__xludf.DUMMYFUNCTION("""COMPUTED_VALUE"""),"아재볼")</f>
        <v>아재볼</v>
      </c>
      <c r="B11407" s="2" t="str">
        <f>IFERROR(__xludf.DUMMYFUNCTION("""COMPUTED_VALUE"""),"느타리버섯")</f>
        <v>느타리버섯</v>
      </c>
    </row>
    <row r="11408">
      <c r="A11408" s="2" t="str">
        <f>IFERROR(__xludf.DUMMYFUNCTION("""COMPUTED_VALUE"""),"아재볼")</f>
        <v>아재볼</v>
      </c>
      <c r="B11408" s="2" t="str">
        <f>IFERROR(__xludf.DUMMYFUNCTION("""COMPUTED_VALUE"""),"양송이수프 분말")</f>
        <v>양송이수프 분말</v>
      </c>
    </row>
    <row r="11409">
      <c r="A11409" s="2" t="str">
        <f>IFERROR(__xludf.DUMMYFUNCTION("""COMPUTED_VALUE"""),"아재볼")</f>
        <v>아재볼</v>
      </c>
      <c r="B11409" s="2" t="str">
        <f>IFERROR(__xludf.DUMMYFUNCTION("""COMPUTED_VALUE"""),"다진 돼지고기")</f>
        <v>다진 돼지고기</v>
      </c>
    </row>
    <row r="11410">
      <c r="A11410" s="2" t="str">
        <f>IFERROR(__xludf.DUMMYFUNCTION("""COMPUTED_VALUE"""),"아재볼")</f>
        <v>아재볼</v>
      </c>
      <c r="B11410" s="2" t="str">
        <f>IFERROR(__xludf.DUMMYFUNCTION("""COMPUTED_VALUE"""),"다진 소고기")</f>
        <v>다진 소고기</v>
      </c>
    </row>
    <row r="11411">
      <c r="A11411" s="2" t="str">
        <f>IFERROR(__xludf.DUMMYFUNCTION("""COMPUTED_VALUE"""),"아재볼")</f>
        <v>아재볼</v>
      </c>
      <c r="B11411" s="2" t="str">
        <f>IFERROR(__xludf.DUMMYFUNCTION("""COMPUTED_VALUE"""),"양파즙")</f>
        <v>양파즙</v>
      </c>
    </row>
    <row r="11412">
      <c r="A11412" s="2" t="str">
        <f>IFERROR(__xludf.DUMMYFUNCTION("""COMPUTED_VALUE"""),"아재볼")</f>
        <v>아재볼</v>
      </c>
      <c r="B11412" s="2" t="str">
        <f>IFERROR(__xludf.DUMMYFUNCTION("""COMPUTED_VALUE"""),"애호박")</f>
        <v>애호박</v>
      </c>
    </row>
    <row r="11413">
      <c r="A11413" s="2" t="str">
        <f>IFERROR(__xludf.DUMMYFUNCTION("""COMPUTED_VALUE"""),"아재볼")</f>
        <v>아재볼</v>
      </c>
      <c r="B11413" s="2" t="str">
        <f>IFERROR(__xludf.DUMMYFUNCTION("""COMPUTED_VALUE"""),"토마토소스")</f>
        <v>토마토소스</v>
      </c>
    </row>
    <row r="11414">
      <c r="A11414" s="2" t="str">
        <f>IFERROR(__xludf.DUMMYFUNCTION("""COMPUTED_VALUE"""),"아재볼")</f>
        <v>아재볼</v>
      </c>
      <c r="B11414" s="2" t="str">
        <f>IFERROR(__xludf.DUMMYFUNCTION("""COMPUTED_VALUE"""),"고추장아찌")</f>
        <v>고추장아찌</v>
      </c>
    </row>
    <row r="11415">
      <c r="A11415" s="2" t="str">
        <f>IFERROR(__xludf.DUMMYFUNCTION("""COMPUTED_VALUE"""),"아재볼")</f>
        <v>아재볼</v>
      </c>
      <c r="B11415" s="2" t="str">
        <f>IFERROR(__xludf.DUMMYFUNCTION("""COMPUTED_VALUE"""),"튀김가루")</f>
        <v>튀김가루</v>
      </c>
    </row>
    <row r="11416">
      <c r="A11416" s="2" t="str">
        <f>IFERROR(__xludf.DUMMYFUNCTION("""COMPUTED_VALUE"""),"아재볼")</f>
        <v>아재볼</v>
      </c>
      <c r="B11416" s="2" t="str">
        <f>IFERROR(__xludf.DUMMYFUNCTION("""COMPUTED_VALUE"""),"양파")</f>
        <v>양파</v>
      </c>
    </row>
    <row r="11417">
      <c r="A11417" s="2" t="str">
        <f>IFERROR(__xludf.DUMMYFUNCTION("""COMPUTED_VALUE"""),"아재볼")</f>
        <v>아재볼</v>
      </c>
      <c r="B11417" s="2" t="str">
        <f>IFERROR(__xludf.DUMMYFUNCTION("""COMPUTED_VALUE"""),"달걀")</f>
        <v>달걀</v>
      </c>
    </row>
    <row r="11418">
      <c r="A11418" s="2" t="str">
        <f>IFERROR(__xludf.DUMMYFUNCTION("""COMPUTED_VALUE"""),"아재볼")</f>
        <v>아재볼</v>
      </c>
      <c r="B11418" s="2" t="str">
        <f>IFERROR(__xludf.DUMMYFUNCTION("""COMPUTED_VALUE"""),"청양고추")</f>
        <v>청양고추</v>
      </c>
    </row>
    <row r="11419">
      <c r="A11419" s="2" t="str">
        <f>IFERROR(__xludf.DUMMYFUNCTION("""COMPUTED_VALUE"""),"아재볼")</f>
        <v>아재볼</v>
      </c>
      <c r="B11419" s="2" t="str">
        <f>IFERROR(__xludf.DUMMYFUNCTION("""COMPUTED_VALUE"""),"후추")</f>
        <v>후추</v>
      </c>
    </row>
    <row r="11420">
      <c r="A11420" s="2" t="str">
        <f>IFERROR(__xludf.DUMMYFUNCTION("""COMPUTED_VALUE"""),"아재볼")</f>
        <v>아재볼</v>
      </c>
      <c r="B11420" s="2" t="str">
        <f>IFERROR(__xludf.DUMMYFUNCTION("""COMPUTED_VALUE"""),"소금")</f>
        <v>소금</v>
      </c>
    </row>
    <row r="11421">
      <c r="A11421" s="2" t="str">
        <f>IFERROR(__xludf.DUMMYFUNCTION("""COMPUTED_VALUE"""),"아재볼")</f>
        <v>아재볼</v>
      </c>
      <c r="B11421" s="2" t="str">
        <f>IFERROR(__xludf.DUMMYFUNCTION("""COMPUTED_VALUE"""),"고춧가루")</f>
        <v>고춧가루</v>
      </c>
    </row>
    <row r="11422">
      <c r="A11422" s="2" t="str">
        <f>IFERROR(__xludf.DUMMYFUNCTION("""COMPUTED_VALUE"""),"아재볼")</f>
        <v>아재볼</v>
      </c>
      <c r="B11422" s="2" t="str">
        <f>IFERROR(__xludf.DUMMYFUNCTION("""COMPUTED_VALUE"""),"고추장")</f>
        <v>고추장</v>
      </c>
    </row>
    <row r="11423">
      <c r="A11423" s="2" t="str">
        <f>IFERROR(__xludf.DUMMYFUNCTION("""COMPUTED_VALUE"""),"원 펀치 쓰리 코스")</f>
        <v>원 펀치 쓰리 코스</v>
      </c>
      <c r="B11423" s="2" t="str">
        <f>IFERROR(__xludf.DUMMYFUNCTION("""COMPUTED_VALUE"""),"가지")</f>
        <v>가지</v>
      </c>
    </row>
    <row r="11424">
      <c r="A11424" s="2" t="str">
        <f>IFERROR(__xludf.DUMMYFUNCTION("""COMPUTED_VALUE"""),"원 펀치 쓰리 코스")</f>
        <v>원 펀치 쓰리 코스</v>
      </c>
      <c r="B11424" s="2" t="str">
        <f>IFERROR(__xludf.DUMMYFUNCTION("""COMPUTED_VALUE"""),"토마토소스")</f>
        <v>토마토소스</v>
      </c>
    </row>
    <row r="11425">
      <c r="A11425" s="2" t="str">
        <f>IFERROR(__xludf.DUMMYFUNCTION("""COMPUTED_VALUE"""),"원 펀치 쓰리 코스")</f>
        <v>원 펀치 쓰리 코스</v>
      </c>
      <c r="B11425" s="2" t="str">
        <f>IFERROR(__xludf.DUMMYFUNCTION("""COMPUTED_VALUE"""),"오레가노")</f>
        <v>오레가노</v>
      </c>
    </row>
    <row r="11426">
      <c r="A11426" s="2" t="str">
        <f>IFERROR(__xludf.DUMMYFUNCTION("""COMPUTED_VALUE"""),"원 펀치 쓰리 코스")</f>
        <v>원 펀치 쓰리 코스</v>
      </c>
      <c r="B11426" s="2" t="str">
        <f>IFERROR(__xludf.DUMMYFUNCTION("""COMPUTED_VALUE"""),"생모차렐라치즈")</f>
        <v>생모차렐라치즈</v>
      </c>
    </row>
    <row r="11427">
      <c r="A11427" s="2" t="str">
        <f>IFERROR(__xludf.DUMMYFUNCTION("""COMPUTED_VALUE"""),"원 펀치 쓰리 코스")</f>
        <v>원 펀치 쓰리 코스</v>
      </c>
      <c r="B11427" s="2" t="str">
        <f>IFERROR(__xludf.DUMMYFUNCTION("""COMPUTED_VALUE"""),"파르메산치즈")</f>
        <v>파르메산치즈</v>
      </c>
    </row>
    <row r="11428">
      <c r="A11428" s="2" t="str">
        <f>IFERROR(__xludf.DUMMYFUNCTION("""COMPUTED_VALUE"""),"원 펀치 쓰리 코스")</f>
        <v>원 펀치 쓰리 코스</v>
      </c>
      <c r="B11428" s="2" t="str">
        <f>IFERROR(__xludf.DUMMYFUNCTION("""COMPUTED_VALUE"""),"방울토마토")</f>
        <v>방울토마토</v>
      </c>
    </row>
    <row r="11429">
      <c r="A11429" s="2" t="str">
        <f>IFERROR(__xludf.DUMMYFUNCTION("""COMPUTED_VALUE"""),"원 펀치 쓰리 코스")</f>
        <v>원 펀치 쓰리 코스</v>
      </c>
      <c r="B11429" s="2" t="str">
        <f>IFERROR(__xludf.DUMMYFUNCTION("""COMPUTED_VALUE"""),"칵테일새우")</f>
        <v>칵테일새우</v>
      </c>
    </row>
    <row r="11430">
      <c r="A11430" s="2" t="str">
        <f>IFERROR(__xludf.DUMMYFUNCTION("""COMPUTED_VALUE"""),"원 펀치 쓰리 코스")</f>
        <v>원 펀치 쓰리 코스</v>
      </c>
      <c r="B11430" s="2" t="str">
        <f>IFERROR(__xludf.DUMMYFUNCTION("""COMPUTED_VALUE"""),"바질페스토")</f>
        <v>바질페스토</v>
      </c>
    </row>
    <row r="11431">
      <c r="A11431" s="2" t="str">
        <f>IFERROR(__xludf.DUMMYFUNCTION("""COMPUTED_VALUE"""),"원 펀치 쓰리 코스")</f>
        <v>원 펀치 쓰리 코스</v>
      </c>
      <c r="B11431" s="2" t="str">
        <f>IFERROR(__xludf.DUMMYFUNCTION("""COMPUTED_VALUE"""),"소고기채끝")</f>
        <v>소고기채끝</v>
      </c>
    </row>
    <row r="11432">
      <c r="A11432" s="2" t="str">
        <f>IFERROR(__xludf.DUMMYFUNCTION("""COMPUTED_VALUE"""),"원 펀치 쓰리 코스")</f>
        <v>원 펀치 쓰리 코스</v>
      </c>
      <c r="B11432" s="2" t="str">
        <f>IFERROR(__xludf.DUMMYFUNCTION("""COMPUTED_VALUE"""),"아보카도")</f>
        <v>아보카도</v>
      </c>
    </row>
    <row r="11433">
      <c r="A11433" s="2" t="str">
        <f>IFERROR(__xludf.DUMMYFUNCTION("""COMPUTED_VALUE"""),"원 펀치 쓰리 코스")</f>
        <v>원 펀치 쓰리 코스</v>
      </c>
      <c r="B11433" s="2" t="str">
        <f>IFERROR(__xludf.DUMMYFUNCTION("""COMPUTED_VALUE"""),"블랙트러플")</f>
        <v>블랙트러플</v>
      </c>
    </row>
    <row r="11434">
      <c r="A11434" s="2" t="str">
        <f>IFERROR(__xludf.DUMMYFUNCTION("""COMPUTED_VALUE"""),"원 펀치 쓰리 코스")</f>
        <v>원 펀치 쓰리 코스</v>
      </c>
      <c r="B11434" s="2" t="str">
        <f>IFERROR(__xludf.DUMMYFUNCTION("""COMPUTED_VALUE"""),"프로슈토")</f>
        <v>프로슈토</v>
      </c>
    </row>
    <row r="11435">
      <c r="A11435" s="2" t="str">
        <f>IFERROR(__xludf.DUMMYFUNCTION("""COMPUTED_VALUE"""),"원 펀치 쓰리 코스")</f>
        <v>원 펀치 쓰리 코스</v>
      </c>
      <c r="B11435" s="2" t="str">
        <f>IFERROR(__xludf.DUMMYFUNCTION("""COMPUTED_VALUE"""),"트러플 오일")</f>
        <v>트러플 오일</v>
      </c>
    </row>
    <row r="11436">
      <c r="A11436" s="2" t="str">
        <f>IFERROR(__xludf.DUMMYFUNCTION("""COMPUTED_VALUE"""),"원 펀치 쓰리 코스")</f>
        <v>원 펀치 쓰리 코스</v>
      </c>
      <c r="B11436" s="2" t="str">
        <f>IFERROR(__xludf.DUMMYFUNCTION("""COMPUTED_VALUE"""),"밀가루")</f>
        <v>밀가루</v>
      </c>
    </row>
    <row r="11437">
      <c r="A11437" s="2" t="str">
        <f>IFERROR(__xludf.DUMMYFUNCTION("""COMPUTED_VALUE"""),"원 펀치 쓰리 코스")</f>
        <v>원 펀치 쓰리 코스</v>
      </c>
      <c r="B11437" s="2" t="str">
        <f>IFERROR(__xludf.DUMMYFUNCTION("""COMPUTED_VALUE"""),"당근")</f>
        <v>당근</v>
      </c>
    </row>
    <row r="11438">
      <c r="A11438" s="2" t="str">
        <f>IFERROR(__xludf.DUMMYFUNCTION("""COMPUTED_VALUE"""),"원 펀치 쓰리 코스")</f>
        <v>원 펀치 쓰리 코스</v>
      </c>
      <c r="B11438" s="2" t="str">
        <f>IFERROR(__xludf.DUMMYFUNCTION("""COMPUTED_VALUE"""),"양파")</f>
        <v>양파</v>
      </c>
    </row>
    <row r="11439">
      <c r="A11439" s="2" t="str">
        <f>IFERROR(__xludf.DUMMYFUNCTION("""COMPUTED_VALUE"""),"원 펀치 쓰리 코스")</f>
        <v>원 펀치 쓰리 코스</v>
      </c>
      <c r="B11439" s="2" t="str">
        <f>IFERROR(__xludf.DUMMYFUNCTION("""COMPUTED_VALUE"""),"소금")</f>
        <v>소금</v>
      </c>
    </row>
    <row r="11440">
      <c r="A11440" s="2" t="str">
        <f>IFERROR(__xludf.DUMMYFUNCTION("""COMPUTED_VALUE"""),"원 펀치 쓰리 코스")</f>
        <v>원 펀치 쓰리 코스</v>
      </c>
      <c r="B11440" s="2" t="str">
        <f>IFERROR(__xludf.DUMMYFUNCTION("""COMPUTED_VALUE"""),"마늘")</f>
        <v>마늘</v>
      </c>
    </row>
    <row r="11441">
      <c r="A11441" s="2" t="str">
        <f>IFERROR(__xludf.DUMMYFUNCTION("""COMPUTED_VALUE"""),"원 펀치 쓰리 코스")</f>
        <v>원 펀치 쓰리 코스</v>
      </c>
      <c r="B11441" s="2" t="str">
        <f>IFERROR(__xludf.DUMMYFUNCTION("""COMPUTED_VALUE"""),"식초")</f>
        <v>식초</v>
      </c>
    </row>
    <row r="11442">
      <c r="A11442" s="2" t="str">
        <f>IFERROR(__xludf.DUMMYFUNCTION("""COMPUTED_VALUE"""),"원 펀치 쓰리 코스")</f>
        <v>원 펀치 쓰리 코스</v>
      </c>
      <c r="B11442" s="2" t="str">
        <f>IFERROR(__xludf.DUMMYFUNCTION("""COMPUTED_VALUE"""),"설탕")</f>
        <v>설탕</v>
      </c>
    </row>
    <row r="11443">
      <c r="A11443" s="2" t="str">
        <f>IFERROR(__xludf.DUMMYFUNCTION("""COMPUTED_VALUE"""),"원 펀치 쓰리 코스")</f>
        <v>원 펀치 쓰리 코스</v>
      </c>
      <c r="B11443" s="2" t="str">
        <f>IFERROR(__xludf.DUMMYFUNCTION("""COMPUTED_VALUE"""),"전분")</f>
        <v>전분</v>
      </c>
    </row>
    <row r="11444">
      <c r="A11444" s="2" t="str">
        <f>IFERROR(__xludf.DUMMYFUNCTION("""COMPUTED_VALUE"""),"원 펀치 쓰리 코스")</f>
        <v>원 펀치 쓰리 코스</v>
      </c>
      <c r="B11444" s="2" t="str">
        <f>IFERROR(__xludf.DUMMYFUNCTION("""COMPUTED_VALUE"""),"즉석밥")</f>
        <v>즉석밥</v>
      </c>
    </row>
    <row r="11445">
      <c r="A11445" s="2" t="str">
        <f>IFERROR(__xludf.DUMMYFUNCTION("""COMPUTED_VALUE"""),"원 펀치 쓰리 코스")</f>
        <v>원 펀치 쓰리 코스</v>
      </c>
      <c r="B11445" s="2" t="str">
        <f>IFERROR(__xludf.DUMMYFUNCTION("""COMPUTED_VALUE"""),"후추")</f>
        <v>후추</v>
      </c>
    </row>
    <row r="11446">
      <c r="A11446" s="2" t="str">
        <f>IFERROR(__xludf.DUMMYFUNCTION("""COMPUTED_VALUE"""),"원 펀치 쓰리 코스")</f>
        <v>원 펀치 쓰리 코스</v>
      </c>
      <c r="B11446" s="2" t="str">
        <f>IFERROR(__xludf.DUMMYFUNCTION("""COMPUTED_VALUE"""),"대파")</f>
        <v>대파</v>
      </c>
    </row>
    <row r="11447">
      <c r="A11447" s="2" t="str">
        <f>IFERROR(__xludf.DUMMYFUNCTION("""COMPUTED_VALUE"""),"아임 파인다이닝, 앤드 유?")</f>
        <v>아임 파인다이닝, 앤드 유?</v>
      </c>
      <c r="B11447" s="2" t="str">
        <f>IFERROR(__xludf.DUMMYFUNCTION("""COMPUTED_VALUE"""),"바질페스토")</f>
        <v>바질페스토</v>
      </c>
    </row>
    <row r="11448">
      <c r="A11448" s="2" t="str">
        <f>IFERROR(__xludf.DUMMYFUNCTION("""COMPUTED_VALUE"""),"아임 파인다이닝, 앤드 유?")</f>
        <v>아임 파인다이닝, 앤드 유?</v>
      </c>
      <c r="B11448" s="2" t="str">
        <f>IFERROR(__xludf.DUMMYFUNCTION("""COMPUTED_VALUE"""),"피스타치오페스토")</f>
        <v>피스타치오페스토</v>
      </c>
    </row>
    <row r="11449">
      <c r="A11449" s="2" t="str">
        <f>IFERROR(__xludf.DUMMYFUNCTION("""COMPUTED_VALUE"""),"아임 파인다이닝, 앤드 유?")</f>
        <v>아임 파인다이닝, 앤드 유?</v>
      </c>
      <c r="B11449" s="2" t="str">
        <f>IFERROR(__xludf.DUMMYFUNCTION("""COMPUTED_VALUE"""),"코코넛워터")</f>
        <v>코코넛워터</v>
      </c>
    </row>
    <row r="11450">
      <c r="A11450" s="2" t="str">
        <f>IFERROR(__xludf.DUMMYFUNCTION("""COMPUTED_VALUE"""),"아임 파인다이닝, 앤드 유?")</f>
        <v>아임 파인다이닝, 앤드 유?</v>
      </c>
      <c r="B11450" s="2" t="str">
        <f>IFERROR(__xludf.DUMMYFUNCTION("""COMPUTED_VALUE"""),"소고기등심")</f>
        <v>소고기등심</v>
      </c>
    </row>
    <row r="11451">
      <c r="A11451" s="2" t="str">
        <f>IFERROR(__xludf.DUMMYFUNCTION("""COMPUTED_VALUE"""),"아임 파인다이닝, 앤드 유?")</f>
        <v>아임 파인다이닝, 앤드 유?</v>
      </c>
      <c r="B11451" s="2" t="str">
        <f>IFERROR(__xludf.DUMMYFUNCTION("""COMPUTED_VALUE"""),"블루베리잼")</f>
        <v>블루베리잼</v>
      </c>
    </row>
    <row r="11452">
      <c r="A11452" s="2" t="str">
        <f>IFERROR(__xludf.DUMMYFUNCTION("""COMPUTED_VALUE"""),"아임 파인다이닝, 앤드 유?")</f>
        <v>아임 파인다이닝, 앤드 유?</v>
      </c>
      <c r="B11452" s="2" t="str">
        <f>IFERROR(__xludf.DUMMYFUNCTION("""COMPUTED_VALUE"""),"아보카도")</f>
        <v>아보카도</v>
      </c>
    </row>
    <row r="11453">
      <c r="A11453" s="2" t="str">
        <f>IFERROR(__xludf.DUMMYFUNCTION("""COMPUTED_VALUE"""),"아임 파인다이닝, 앤드 유?")</f>
        <v>아임 파인다이닝, 앤드 유?</v>
      </c>
      <c r="B11453" s="2" t="str">
        <f>IFERROR(__xludf.DUMMYFUNCTION("""COMPUTED_VALUE"""),"방울토마토")</f>
        <v>방울토마토</v>
      </c>
    </row>
    <row r="11454">
      <c r="A11454" s="2" t="str">
        <f>IFERROR(__xludf.DUMMYFUNCTION("""COMPUTED_VALUE"""),"아임 파인다이닝, 앤드 유?")</f>
        <v>아임 파인다이닝, 앤드 유?</v>
      </c>
      <c r="B11454" s="2" t="str">
        <f>IFERROR(__xludf.DUMMYFUNCTION("""COMPUTED_VALUE"""),"스리라차소스")</f>
        <v>스리라차소스</v>
      </c>
    </row>
    <row r="11455">
      <c r="A11455" s="2" t="str">
        <f>IFERROR(__xludf.DUMMYFUNCTION("""COMPUTED_VALUE"""),"아임 파인다이닝, 앤드 유?")</f>
        <v>아임 파인다이닝, 앤드 유?</v>
      </c>
      <c r="B11455" s="2" t="str">
        <f>IFERROR(__xludf.DUMMYFUNCTION("""COMPUTED_VALUE"""),"커민")</f>
        <v>커민</v>
      </c>
    </row>
    <row r="11456">
      <c r="A11456" s="2" t="str">
        <f>IFERROR(__xludf.DUMMYFUNCTION("""COMPUTED_VALUE"""),"아임 파인다이닝, 앤드 유?")</f>
        <v>아임 파인다이닝, 앤드 유?</v>
      </c>
      <c r="B11456" s="2" t="str">
        <f>IFERROR(__xludf.DUMMYFUNCTION("""COMPUTED_VALUE"""),"코리앤더")</f>
        <v>코리앤더</v>
      </c>
    </row>
    <row r="11457">
      <c r="A11457" s="2" t="str">
        <f>IFERROR(__xludf.DUMMYFUNCTION("""COMPUTED_VALUE"""),"아임 파인다이닝, 앤드 유?")</f>
        <v>아임 파인다이닝, 앤드 유?</v>
      </c>
      <c r="B11457" s="2" t="str">
        <f>IFERROR(__xludf.DUMMYFUNCTION("""COMPUTED_VALUE"""),"통밀식빵")</f>
        <v>통밀식빵</v>
      </c>
    </row>
    <row r="11458">
      <c r="A11458" s="2" t="str">
        <f>IFERROR(__xludf.DUMMYFUNCTION("""COMPUTED_VALUE"""),"아임 파인다이닝, 앤드 유?")</f>
        <v>아임 파인다이닝, 앤드 유?</v>
      </c>
      <c r="B11458" s="2" t="str">
        <f>IFERROR(__xludf.DUMMYFUNCTION("""COMPUTED_VALUE"""),"블랙트러플")</f>
        <v>블랙트러플</v>
      </c>
    </row>
    <row r="11459">
      <c r="A11459" s="2" t="str">
        <f>IFERROR(__xludf.DUMMYFUNCTION("""COMPUTED_VALUE"""),"아임 파인다이닝, 앤드 유?")</f>
        <v>아임 파인다이닝, 앤드 유?</v>
      </c>
      <c r="B11459" s="2" t="str">
        <f>IFERROR(__xludf.DUMMYFUNCTION("""COMPUTED_VALUE"""),"셀러리")</f>
        <v>셀러리</v>
      </c>
    </row>
    <row r="11460">
      <c r="A11460" s="2" t="str">
        <f>IFERROR(__xludf.DUMMYFUNCTION("""COMPUTED_VALUE"""),"아임 파인다이닝, 앤드 유?")</f>
        <v>아임 파인다이닝, 앤드 유?</v>
      </c>
      <c r="B11460" s="2" t="str">
        <f>IFERROR(__xludf.DUMMYFUNCTION("""COMPUTED_VALUE"""),"달걀")</f>
        <v>달걀</v>
      </c>
    </row>
    <row r="11461">
      <c r="A11461" s="2" t="str">
        <f>IFERROR(__xludf.DUMMYFUNCTION("""COMPUTED_VALUE"""),"아임 파인다이닝, 앤드 유?")</f>
        <v>아임 파인다이닝, 앤드 유?</v>
      </c>
      <c r="B11461" s="2" t="str">
        <f>IFERROR(__xludf.DUMMYFUNCTION("""COMPUTED_VALUE"""),"레몬")</f>
        <v>레몬</v>
      </c>
    </row>
    <row r="11462">
      <c r="A11462" s="2" t="str">
        <f>IFERROR(__xludf.DUMMYFUNCTION("""COMPUTED_VALUE"""),"아임 파인다이닝, 앤드 유?")</f>
        <v>아임 파인다이닝, 앤드 유?</v>
      </c>
      <c r="B11462" s="2" t="str">
        <f>IFERROR(__xludf.DUMMYFUNCTION("""COMPUTED_VALUE"""),"소금")</f>
        <v>소금</v>
      </c>
    </row>
    <row r="11463">
      <c r="A11463" s="2" t="str">
        <f>IFERROR(__xludf.DUMMYFUNCTION("""COMPUTED_VALUE"""),"아임 파인다이닝, 앤드 유?")</f>
        <v>아임 파인다이닝, 앤드 유?</v>
      </c>
      <c r="B11463" s="2" t="str">
        <f>IFERROR(__xludf.DUMMYFUNCTION("""COMPUTED_VALUE"""),"버터")</f>
        <v>버터</v>
      </c>
    </row>
    <row r="11464">
      <c r="A11464" s="2" t="str">
        <f>IFERROR(__xludf.DUMMYFUNCTION("""COMPUTED_VALUE"""),"아임 파인다이닝, 앤드 유?")</f>
        <v>아임 파인다이닝, 앤드 유?</v>
      </c>
      <c r="B11464" s="2" t="str">
        <f>IFERROR(__xludf.DUMMYFUNCTION("""COMPUTED_VALUE"""),"당근")</f>
        <v>당근</v>
      </c>
    </row>
    <row r="11465">
      <c r="A11465" s="2" t="str">
        <f>IFERROR(__xludf.DUMMYFUNCTION("""COMPUTED_VALUE"""),"아임 파인다이닝, 앤드 유?")</f>
        <v>아임 파인다이닝, 앤드 유?</v>
      </c>
      <c r="B11465" s="2" t="str">
        <f>IFERROR(__xludf.DUMMYFUNCTION("""COMPUTED_VALUE"""),"즉석밥")</f>
        <v>즉석밥</v>
      </c>
    </row>
    <row r="11466">
      <c r="A11466" s="2" t="str">
        <f>IFERROR(__xludf.DUMMYFUNCTION("""COMPUTED_VALUE"""),"아임 파인다이닝, 앤드 유?")</f>
        <v>아임 파인다이닝, 앤드 유?</v>
      </c>
      <c r="B11466" s="2" t="str">
        <f>IFERROR(__xludf.DUMMYFUNCTION("""COMPUTED_VALUE"""),"양파")</f>
        <v>양파</v>
      </c>
    </row>
    <row r="11467">
      <c r="A11467" s="2" t="str">
        <f>IFERROR(__xludf.DUMMYFUNCTION("""COMPUTED_VALUE"""),"아임 파인다이닝, 앤드 유?")</f>
        <v>아임 파인다이닝, 앤드 유?</v>
      </c>
      <c r="B11467" s="2" t="str">
        <f>IFERROR(__xludf.DUMMYFUNCTION("""COMPUTED_VALUE"""),"레드와인")</f>
        <v>레드와인</v>
      </c>
    </row>
    <row r="11468">
      <c r="A11468" s="2" t="str">
        <f>IFERROR(__xludf.DUMMYFUNCTION("""COMPUTED_VALUE"""),"아임 파인다이닝, 앤드 유?")</f>
        <v>아임 파인다이닝, 앤드 유?</v>
      </c>
      <c r="B11468" s="2" t="str">
        <f>IFERROR(__xludf.DUMMYFUNCTION("""COMPUTED_VALUE"""),"맛술")</f>
        <v>맛술</v>
      </c>
    </row>
    <row r="11469">
      <c r="A11469" s="2" t="str">
        <f>IFERROR(__xludf.DUMMYFUNCTION("""COMPUTED_VALUE"""),"아임 파인다이닝, 앤드 유?")</f>
        <v>아임 파인다이닝, 앤드 유?</v>
      </c>
      <c r="B11469" s="2" t="str">
        <f>IFERROR(__xludf.DUMMYFUNCTION("""COMPUTED_VALUE"""),"연겨자")</f>
        <v>연겨자</v>
      </c>
    </row>
    <row r="11470">
      <c r="A11470" s="2" t="str">
        <f>IFERROR(__xludf.DUMMYFUNCTION("""COMPUTED_VALUE"""),"아임 파인다이닝, 앤드 유?")</f>
        <v>아임 파인다이닝, 앤드 유?</v>
      </c>
      <c r="B11470" s="2" t="str">
        <f>IFERROR(__xludf.DUMMYFUNCTION("""COMPUTED_VALUE"""),"후추")</f>
        <v>후추</v>
      </c>
    </row>
    <row r="11471">
      <c r="A11471" s="2" t="str">
        <f>IFERROR(__xludf.DUMMYFUNCTION("""COMPUTED_VALUE"""),"으라차차찜")</f>
        <v>으라차차찜</v>
      </c>
      <c r="B11471" s="2" t="str">
        <f>IFERROR(__xludf.DUMMYFUNCTION("""COMPUTED_VALUE"""),"소고기등심")</f>
        <v>소고기등심</v>
      </c>
    </row>
    <row r="11472">
      <c r="A11472" s="2" t="str">
        <f>IFERROR(__xludf.DUMMYFUNCTION("""COMPUTED_VALUE"""),"으라차차찜")</f>
        <v>으라차차찜</v>
      </c>
      <c r="B11472" s="2" t="str">
        <f>IFERROR(__xludf.DUMMYFUNCTION("""COMPUTED_VALUE"""),"스리라차소스")</f>
        <v>스리라차소스</v>
      </c>
    </row>
    <row r="11473">
      <c r="A11473" s="2" t="str">
        <f>IFERROR(__xludf.DUMMYFUNCTION("""COMPUTED_VALUE"""),"으라차차찜")</f>
        <v>으라차차찜</v>
      </c>
      <c r="B11473" s="2" t="str">
        <f>IFERROR(__xludf.DUMMYFUNCTION("""COMPUTED_VALUE"""),"굴소스")</f>
        <v>굴소스</v>
      </c>
    </row>
    <row r="11474">
      <c r="A11474" s="2" t="str">
        <f>IFERROR(__xludf.DUMMYFUNCTION("""COMPUTED_VALUE"""),"으라차차찜")</f>
        <v>으라차차찜</v>
      </c>
      <c r="B11474" s="2" t="str">
        <f>IFERROR(__xludf.DUMMYFUNCTION("""COMPUTED_VALUE"""),"방울토마토")</f>
        <v>방울토마토</v>
      </c>
    </row>
    <row r="11475">
      <c r="A11475" s="2" t="str">
        <f>IFERROR(__xludf.DUMMYFUNCTION("""COMPUTED_VALUE"""),"으라차차찜")</f>
        <v>으라차차찜</v>
      </c>
      <c r="B11475" s="2" t="str">
        <f>IFERROR(__xludf.DUMMYFUNCTION("""COMPUTED_VALUE"""),"가지")</f>
        <v>가지</v>
      </c>
    </row>
    <row r="11476">
      <c r="A11476" s="2" t="str">
        <f>IFERROR(__xludf.DUMMYFUNCTION("""COMPUTED_VALUE"""),"으라차차찜")</f>
        <v>으라차차찜</v>
      </c>
      <c r="B11476" s="2" t="str">
        <f>IFERROR(__xludf.DUMMYFUNCTION("""COMPUTED_VALUE"""),"대파")</f>
        <v>대파</v>
      </c>
    </row>
    <row r="11477">
      <c r="A11477" s="2" t="str">
        <f>IFERROR(__xludf.DUMMYFUNCTION("""COMPUTED_VALUE"""),"으라차차찜")</f>
        <v>으라차차찜</v>
      </c>
      <c r="B11477" s="2" t="str">
        <f>IFERROR(__xludf.DUMMYFUNCTION("""COMPUTED_VALUE"""),"고춧가루")</f>
        <v>고춧가루</v>
      </c>
    </row>
    <row r="11478">
      <c r="A11478" s="2" t="str">
        <f>IFERROR(__xludf.DUMMYFUNCTION("""COMPUTED_VALUE"""),"으라차차찜")</f>
        <v>으라차차찜</v>
      </c>
      <c r="B11478" s="2" t="str">
        <f>IFERROR(__xludf.DUMMYFUNCTION("""COMPUTED_VALUE"""),"마늘")</f>
        <v>마늘</v>
      </c>
    </row>
    <row r="11479">
      <c r="A11479" s="2" t="str">
        <f>IFERROR(__xludf.DUMMYFUNCTION("""COMPUTED_VALUE"""),"으라차차찜")</f>
        <v>으라차차찜</v>
      </c>
      <c r="B11479" s="2" t="str">
        <f>IFERROR(__xludf.DUMMYFUNCTION("""COMPUTED_VALUE"""),"양파")</f>
        <v>양파</v>
      </c>
    </row>
    <row r="11480">
      <c r="A11480" s="2" t="str">
        <f>IFERROR(__xludf.DUMMYFUNCTION("""COMPUTED_VALUE"""),"으라차차찜")</f>
        <v>으라차차찜</v>
      </c>
      <c r="B11480" s="2" t="str">
        <f>IFERROR(__xludf.DUMMYFUNCTION("""COMPUTED_VALUE"""),"간장")</f>
        <v>간장</v>
      </c>
    </row>
    <row r="11481">
      <c r="A11481" s="2" t="str">
        <f>IFERROR(__xludf.DUMMYFUNCTION("""COMPUTED_VALUE"""),"으라차차찜")</f>
        <v>으라차차찜</v>
      </c>
      <c r="B11481" s="2" t="str">
        <f>IFERROR(__xludf.DUMMYFUNCTION("""COMPUTED_VALUE"""),"설탕")</f>
        <v>설탕</v>
      </c>
    </row>
    <row r="11482">
      <c r="A11482" s="2" t="str">
        <f>IFERROR(__xludf.DUMMYFUNCTION("""COMPUTED_VALUE"""),"으라차차찜")</f>
        <v>으라차차찜</v>
      </c>
      <c r="B11482" s="2" t="str">
        <f>IFERROR(__xludf.DUMMYFUNCTION("""COMPUTED_VALUE"""),"화이트와인")</f>
        <v>화이트와인</v>
      </c>
    </row>
    <row r="11483">
      <c r="A11483" s="2" t="str">
        <f>IFERROR(__xludf.DUMMYFUNCTION("""COMPUTED_VALUE"""),"으라차차찜")</f>
        <v>으라차차찜</v>
      </c>
      <c r="B11483" s="2" t="str">
        <f>IFERROR(__xludf.DUMMYFUNCTION("""COMPUTED_VALUE"""),"청양고추")</f>
        <v>청양고추</v>
      </c>
    </row>
    <row r="11484">
      <c r="A11484" s="2" t="str">
        <f>IFERROR(__xludf.DUMMYFUNCTION("""COMPUTED_VALUE"""),"으라차차찜")</f>
        <v>으라차차찜</v>
      </c>
      <c r="B11484" s="2" t="str">
        <f>IFERROR(__xludf.DUMMYFUNCTION("""COMPUTED_VALUE"""),"밀가루")</f>
        <v>밀가루</v>
      </c>
    </row>
    <row r="11485">
      <c r="A11485" s="2" t="str">
        <f>IFERROR(__xludf.DUMMYFUNCTION("""COMPUTED_VALUE"""),"으라차차찜")</f>
        <v>으라차차찜</v>
      </c>
      <c r="B11485" s="2" t="str">
        <f>IFERROR(__xludf.DUMMYFUNCTION("""COMPUTED_VALUE"""),"전분")</f>
        <v>전분</v>
      </c>
    </row>
    <row r="11486">
      <c r="A11486" s="2" t="str">
        <f>IFERROR(__xludf.DUMMYFUNCTION("""COMPUTED_VALUE"""),"으라차차찜")</f>
        <v>으라차차찜</v>
      </c>
      <c r="B11486" s="2" t="str">
        <f>IFERROR(__xludf.DUMMYFUNCTION("""COMPUTED_VALUE"""),"달걀")</f>
        <v>달걀</v>
      </c>
    </row>
    <row r="11487">
      <c r="A11487" s="2" t="str">
        <f>IFERROR(__xludf.DUMMYFUNCTION("""COMPUTED_VALUE"""),"맛있스리라~")</f>
        <v>맛있스리라~</v>
      </c>
      <c r="B11487" s="2" t="str">
        <f>IFERROR(__xludf.DUMMYFUNCTION("""COMPUTED_VALUE"""),"소고기채끝")</f>
        <v>소고기채끝</v>
      </c>
    </row>
    <row r="11488">
      <c r="A11488" s="2" t="str">
        <f>IFERROR(__xludf.DUMMYFUNCTION("""COMPUTED_VALUE"""),"맛있스리라~")</f>
        <v>맛있스리라~</v>
      </c>
      <c r="B11488" s="2" t="str">
        <f>IFERROR(__xludf.DUMMYFUNCTION("""COMPUTED_VALUE"""),"갈릭솔트")</f>
        <v>갈릭솔트</v>
      </c>
    </row>
    <row r="11489">
      <c r="A11489" s="2" t="str">
        <f>IFERROR(__xludf.DUMMYFUNCTION("""COMPUTED_VALUE"""),"맛있스리라~")</f>
        <v>맛있스리라~</v>
      </c>
      <c r="B11489" s="2" t="str">
        <f>IFERROR(__xludf.DUMMYFUNCTION("""COMPUTED_VALUE"""),"머스터드파우더")</f>
        <v>머스터드파우더</v>
      </c>
    </row>
    <row r="11490">
      <c r="A11490" s="2" t="str">
        <f>IFERROR(__xludf.DUMMYFUNCTION("""COMPUTED_VALUE"""),"맛있스리라~")</f>
        <v>맛있스리라~</v>
      </c>
      <c r="B11490" s="2" t="str">
        <f>IFERROR(__xludf.DUMMYFUNCTION("""COMPUTED_VALUE"""),"칵테일새우")</f>
        <v>칵테일새우</v>
      </c>
    </row>
    <row r="11491">
      <c r="A11491" s="2" t="str">
        <f>IFERROR(__xludf.DUMMYFUNCTION("""COMPUTED_VALUE"""),"맛있스리라~")</f>
        <v>맛있스리라~</v>
      </c>
      <c r="B11491" s="2" t="str">
        <f>IFERROR(__xludf.DUMMYFUNCTION("""COMPUTED_VALUE"""),"우유")</f>
        <v>우유</v>
      </c>
    </row>
    <row r="11492">
      <c r="A11492" s="2" t="str">
        <f>IFERROR(__xludf.DUMMYFUNCTION("""COMPUTED_VALUE"""),"맛있스리라~")</f>
        <v>맛있스리라~</v>
      </c>
      <c r="B11492" s="2" t="str">
        <f>IFERROR(__xludf.DUMMYFUNCTION("""COMPUTED_VALUE"""),"스리라차소스")</f>
        <v>스리라차소스</v>
      </c>
    </row>
    <row r="11493">
      <c r="A11493" s="2" t="str">
        <f>IFERROR(__xludf.DUMMYFUNCTION("""COMPUTED_VALUE"""),"맛있스리라~")</f>
        <v>맛있스리라~</v>
      </c>
      <c r="B11493" s="2" t="str">
        <f>IFERROR(__xludf.DUMMYFUNCTION("""COMPUTED_VALUE"""),"살라미")</f>
        <v>살라미</v>
      </c>
    </row>
    <row r="11494">
      <c r="A11494" s="2" t="str">
        <f>IFERROR(__xludf.DUMMYFUNCTION("""COMPUTED_VALUE"""),"맛있스리라~")</f>
        <v>맛있스리라~</v>
      </c>
      <c r="B11494" s="2" t="str">
        <f>IFERROR(__xludf.DUMMYFUNCTION("""COMPUTED_VALUE"""),"양송이버섯")</f>
        <v>양송이버섯</v>
      </c>
    </row>
    <row r="11495">
      <c r="A11495" s="2" t="str">
        <f>IFERROR(__xludf.DUMMYFUNCTION("""COMPUTED_VALUE"""),"맛있스리라~")</f>
        <v>맛있스리라~</v>
      </c>
      <c r="B11495" s="2" t="str">
        <f>IFERROR(__xludf.DUMMYFUNCTION("""COMPUTED_VALUE"""),"어니언파우더")</f>
        <v>어니언파우더</v>
      </c>
    </row>
    <row r="11496">
      <c r="A11496" s="2" t="str">
        <f>IFERROR(__xludf.DUMMYFUNCTION("""COMPUTED_VALUE"""),"맛있스리라~")</f>
        <v>맛있스리라~</v>
      </c>
      <c r="B11496" s="2" t="str">
        <f>IFERROR(__xludf.DUMMYFUNCTION("""COMPUTED_VALUE"""),"방울토마토")</f>
        <v>방울토마토</v>
      </c>
    </row>
    <row r="11497">
      <c r="A11497" s="2" t="str">
        <f>IFERROR(__xludf.DUMMYFUNCTION("""COMPUTED_VALUE"""),"맛있스리라~")</f>
        <v>맛있스리라~</v>
      </c>
      <c r="B11497" s="2" t="str">
        <f>IFERROR(__xludf.DUMMYFUNCTION("""COMPUTED_VALUE"""),"오렌지")</f>
        <v>오렌지</v>
      </c>
    </row>
    <row r="11498">
      <c r="A11498" s="2" t="str">
        <f>IFERROR(__xludf.DUMMYFUNCTION("""COMPUTED_VALUE"""),"맛있스리라~")</f>
        <v>맛있스리라~</v>
      </c>
      <c r="B11498" s="2" t="str">
        <f>IFERROR(__xludf.DUMMYFUNCTION("""COMPUTED_VALUE"""),"유자음료")</f>
        <v>유자음료</v>
      </c>
    </row>
    <row r="11499">
      <c r="A11499" s="2" t="str">
        <f>IFERROR(__xludf.DUMMYFUNCTION("""COMPUTED_VALUE"""),"맛있스리라~")</f>
        <v>맛있스리라~</v>
      </c>
      <c r="B11499" s="2" t="str">
        <f>IFERROR(__xludf.DUMMYFUNCTION("""COMPUTED_VALUE"""),"진")</f>
        <v>진</v>
      </c>
    </row>
    <row r="11500">
      <c r="A11500" s="2" t="str">
        <f>IFERROR(__xludf.DUMMYFUNCTION("""COMPUTED_VALUE"""),"맛있스리라~")</f>
        <v>맛있스리라~</v>
      </c>
      <c r="B11500" s="2" t="str">
        <f>IFERROR(__xludf.DUMMYFUNCTION("""COMPUTED_VALUE"""),"밀가루")</f>
        <v>밀가루</v>
      </c>
    </row>
    <row r="11501">
      <c r="A11501" s="2" t="str">
        <f>IFERROR(__xludf.DUMMYFUNCTION("""COMPUTED_VALUE"""),"맛있스리라~")</f>
        <v>맛있스리라~</v>
      </c>
      <c r="B11501" s="2" t="str">
        <f>IFERROR(__xludf.DUMMYFUNCTION("""COMPUTED_VALUE"""),"달걀")</f>
        <v>달걀</v>
      </c>
    </row>
    <row r="11502">
      <c r="A11502" s="2" t="str">
        <f>IFERROR(__xludf.DUMMYFUNCTION("""COMPUTED_VALUE"""),"맛있스리라~")</f>
        <v>맛있스리라~</v>
      </c>
      <c r="B11502" s="2" t="str">
        <f>IFERROR(__xludf.DUMMYFUNCTION("""COMPUTED_VALUE"""),"양파")</f>
        <v>양파</v>
      </c>
    </row>
    <row r="11503">
      <c r="A11503" s="2" t="str">
        <f>IFERROR(__xludf.DUMMYFUNCTION("""COMPUTED_VALUE"""),"맛있스리라~")</f>
        <v>맛있스리라~</v>
      </c>
      <c r="B11503" s="2" t="str">
        <f>IFERROR(__xludf.DUMMYFUNCTION("""COMPUTED_VALUE"""),"버터")</f>
        <v>버터</v>
      </c>
    </row>
    <row r="11504">
      <c r="A11504" s="2" t="str">
        <f>IFERROR(__xludf.DUMMYFUNCTION("""COMPUTED_VALUE"""),"맛있스리라~")</f>
        <v>맛있스리라~</v>
      </c>
      <c r="B11504" s="2" t="str">
        <f>IFERROR(__xludf.DUMMYFUNCTION("""COMPUTED_VALUE"""),"후추")</f>
        <v>후추</v>
      </c>
    </row>
    <row r="11505">
      <c r="A11505" s="2" t="str">
        <f>IFERROR(__xludf.DUMMYFUNCTION("""COMPUTED_VALUE"""),"맛있스리라~")</f>
        <v>맛있스리라~</v>
      </c>
      <c r="B11505" s="2" t="str">
        <f>IFERROR(__xludf.DUMMYFUNCTION("""COMPUTED_VALUE"""),"소금")</f>
        <v>소금</v>
      </c>
    </row>
    <row r="11506">
      <c r="A11506" s="2" t="str">
        <f>IFERROR(__xludf.DUMMYFUNCTION("""COMPUTED_VALUE"""),"맛있스리라~")</f>
        <v>맛있스리라~</v>
      </c>
      <c r="B11506" s="2" t="str">
        <f>IFERROR(__xludf.DUMMYFUNCTION("""COMPUTED_VALUE"""),"설탕")</f>
        <v>설탕</v>
      </c>
    </row>
    <row r="11507">
      <c r="A11507" s="2" t="str">
        <f>IFERROR(__xludf.DUMMYFUNCTION("""COMPUTED_VALUE"""),"맛있스리라~")</f>
        <v>맛있스리라~</v>
      </c>
      <c r="B11507" s="2" t="str">
        <f>IFERROR(__xludf.DUMMYFUNCTION("""COMPUTED_VALUE"""),"레몬")</f>
        <v>레몬</v>
      </c>
    </row>
    <row r="11508">
      <c r="A11508" s="2" t="str">
        <f>IFERROR(__xludf.DUMMYFUNCTION("""COMPUTED_VALUE"""),"맛있스리라~")</f>
        <v>맛있스리라~</v>
      </c>
      <c r="B11508" s="2" t="str">
        <f>IFERROR(__xludf.DUMMYFUNCTION("""COMPUTED_VALUE"""),"대파")</f>
        <v>대파</v>
      </c>
    </row>
    <row r="11509">
      <c r="A11509" s="2" t="str">
        <f>IFERROR(__xludf.DUMMYFUNCTION("""COMPUTED_VALUE"""),"요~으리의 고수")</f>
        <v>요~으리의 고수</v>
      </c>
      <c r="B11509" s="2" t="str">
        <f>IFERROR(__xludf.DUMMYFUNCTION("""COMPUTED_VALUE"""),"곤약면")</f>
        <v>곤약면</v>
      </c>
    </row>
    <row r="11510">
      <c r="A11510" s="2" t="str">
        <f>IFERROR(__xludf.DUMMYFUNCTION("""COMPUTED_VALUE"""),"요~으리의 고수")</f>
        <v>요~으리의 고수</v>
      </c>
      <c r="B11510" s="2" t="str">
        <f>IFERROR(__xludf.DUMMYFUNCTION("""COMPUTED_VALUE"""),"파스타면")</f>
        <v>파스타면</v>
      </c>
    </row>
    <row r="11511">
      <c r="A11511" s="2" t="str">
        <f>IFERROR(__xludf.DUMMYFUNCTION("""COMPUTED_VALUE"""),"요~으리의 고수")</f>
        <v>요~으리의 고수</v>
      </c>
      <c r="B11511" s="2" t="str">
        <f>IFERROR(__xludf.DUMMYFUNCTION("""COMPUTED_VALUE"""),"태국고추")</f>
        <v>태국고추</v>
      </c>
    </row>
    <row r="11512">
      <c r="A11512" s="2" t="str">
        <f>IFERROR(__xludf.DUMMYFUNCTION("""COMPUTED_VALUE"""),"요~으리의 고수")</f>
        <v>요~으리의 고수</v>
      </c>
      <c r="B11512" s="2" t="str">
        <f>IFERROR(__xludf.DUMMYFUNCTION("""COMPUTED_VALUE"""),"홍새우")</f>
        <v>홍새우</v>
      </c>
    </row>
    <row r="11513">
      <c r="A11513" s="2" t="str">
        <f>IFERROR(__xludf.DUMMYFUNCTION("""COMPUTED_VALUE"""),"요~으리의 고수")</f>
        <v>요~으리의 고수</v>
      </c>
      <c r="B11513" s="2" t="str">
        <f>IFERROR(__xludf.DUMMYFUNCTION("""COMPUTED_VALUE"""),"새우")</f>
        <v>새우</v>
      </c>
    </row>
    <row r="11514">
      <c r="A11514" s="2" t="str">
        <f>IFERROR(__xludf.DUMMYFUNCTION("""COMPUTED_VALUE"""),"요~으리의 고수")</f>
        <v>요~으리의 고수</v>
      </c>
      <c r="B11514" s="2" t="str">
        <f>IFERROR(__xludf.DUMMYFUNCTION("""COMPUTED_VALUE"""),"다진 돼지고기")</f>
        <v>다진 돼지고기</v>
      </c>
    </row>
    <row r="11515">
      <c r="A11515" s="2" t="str">
        <f>IFERROR(__xludf.DUMMYFUNCTION("""COMPUTED_VALUE"""),"요~으리의 고수")</f>
        <v>요~으리의 고수</v>
      </c>
      <c r="B11515" s="2" t="str">
        <f>IFERROR(__xludf.DUMMYFUNCTION("""COMPUTED_VALUE"""),"굴소스")</f>
        <v>굴소스</v>
      </c>
    </row>
    <row r="11516">
      <c r="A11516" s="2" t="str">
        <f>IFERROR(__xludf.DUMMYFUNCTION("""COMPUTED_VALUE"""),"요~으리의 고수")</f>
        <v>요~으리의 고수</v>
      </c>
      <c r="B11516" s="2" t="str">
        <f>IFERROR(__xludf.DUMMYFUNCTION("""COMPUTED_VALUE"""),"피시소스")</f>
        <v>피시소스</v>
      </c>
    </row>
    <row r="11517">
      <c r="A11517" s="2" t="str">
        <f>IFERROR(__xludf.DUMMYFUNCTION("""COMPUTED_VALUE"""),"요~으리의 고수")</f>
        <v>요~으리의 고수</v>
      </c>
      <c r="B11517" s="2" t="str">
        <f>IFERROR(__xludf.DUMMYFUNCTION("""COMPUTED_VALUE"""),"차돌박이")</f>
        <v>차돌박이</v>
      </c>
    </row>
    <row r="11518">
      <c r="A11518" s="2" t="str">
        <f>IFERROR(__xludf.DUMMYFUNCTION("""COMPUTED_VALUE"""),"요~으리의 고수")</f>
        <v>요~으리의 고수</v>
      </c>
      <c r="B11518" s="2" t="str">
        <f>IFERROR(__xludf.DUMMYFUNCTION("""COMPUTED_VALUE"""),"오이냉국")</f>
        <v>오이냉국</v>
      </c>
    </row>
    <row r="11519">
      <c r="A11519" s="2" t="str">
        <f>IFERROR(__xludf.DUMMYFUNCTION("""COMPUTED_VALUE"""),"요~으리의 고수")</f>
        <v>요~으리의 고수</v>
      </c>
      <c r="B11519" s="2" t="str">
        <f>IFERROR(__xludf.DUMMYFUNCTION("""COMPUTED_VALUE"""),"단무지")</f>
        <v>단무지</v>
      </c>
    </row>
    <row r="11520">
      <c r="A11520" s="2" t="str">
        <f>IFERROR(__xludf.DUMMYFUNCTION("""COMPUTED_VALUE"""),"요~으리의 고수")</f>
        <v>요~으리의 고수</v>
      </c>
      <c r="B11520" s="2" t="str">
        <f>IFERROR(__xludf.DUMMYFUNCTION("""COMPUTED_VALUE"""),"인스턴트 냉면육수")</f>
        <v>인스턴트 냉면육수</v>
      </c>
    </row>
    <row r="11521">
      <c r="A11521" s="2" t="str">
        <f>IFERROR(__xludf.DUMMYFUNCTION("""COMPUTED_VALUE"""),"요~으리의 고수")</f>
        <v>요~으리의 고수</v>
      </c>
      <c r="B11521" s="2" t="str">
        <f>IFERROR(__xludf.DUMMYFUNCTION("""COMPUTED_VALUE"""),"고수")</f>
        <v>고수</v>
      </c>
    </row>
    <row r="11522">
      <c r="A11522" s="2" t="str">
        <f>IFERROR(__xludf.DUMMYFUNCTION("""COMPUTED_VALUE"""),"요~으리의 고수")</f>
        <v>요~으리의 고수</v>
      </c>
      <c r="B11522" s="2" t="str">
        <f>IFERROR(__xludf.DUMMYFUNCTION("""COMPUTED_VALUE"""),"숙주")</f>
        <v>숙주</v>
      </c>
    </row>
    <row r="11523">
      <c r="A11523" s="2" t="str">
        <f>IFERROR(__xludf.DUMMYFUNCTION("""COMPUTED_VALUE"""),"요~으리의 고수")</f>
        <v>요~으리의 고수</v>
      </c>
      <c r="B11523" s="2" t="str">
        <f>IFERROR(__xludf.DUMMYFUNCTION("""COMPUTED_VALUE"""),"팟타이소스")</f>
        <v>팟타이소스</v>
      </c>
    </row>
    <row r="11524">
      <c r="A11524" s="2" t="str">
        <f>IFERROR(__xludf.DUMMYFUNCTION("""COMPUTED_VALUE"""),"요~으리의 고수")</f>
        <v>요~으리의 고수</v>
      </c>
      <c r="B11524" s="2" t="str">
        <f>IFERROR(__xludf.DUMMYFUNCTION("""COMPUTED_VALUE"""),"대파")</f>
        <v>대파</v>
      </c>
    </row>
    <row r="11525">
      <c r="A11525" s="2" t="str">
        <f>IFERROR(__xludf.DUMMYFUNCTION("""COMPUTED_VALUE"""),"요~으리의 고수")</f>
        <v>요~으리의 고수</v>
      </c>
      <c r="B11525" s="2" t="str">
        <f>IFERROR(__xludf.DUMMYFUNCTION("""COMPUTED_VALUE"""),"홍고추")</f>
        <v>홍고추</v>
      </c>
    </row>
    <row r="11526">
      <c r="A11526" s="2" t="str">
        <f>IFERROR(__xludf.DUMMYFUNCTION("""COMPUTED_VALUE"""),"요~으리의 고수")</f>
        <v>요~으리의 고수</v>
      </c>
      <c r="B11526" s="2" t="str">
        <f>IFERROR(__xludf.DUMMYFUNCTION("""COMPUTED_VALUE"""),"소금")</f>
        <v>소금</v>
      </c>
    </row>
    <row r="11527">
      <c r="A11527" s="2" t="str">
        <f>IFERROR(__xludf.DUMMYFUNCTION("""COMPUTED_VALUE"""),"요~으리의 고수")</f>
        <v>요~으리의 고수</v>
      </c>
      <c r="B11527" s="2" t="str">
        <f>IFERROR(__xludf.DUMMYFUNCTION("""COMPUTED_VALUE"""),"고춧가루")</f>
        <v>고춧가루</v>
      </c>
    </row>
    <row r="11528">
      <c r="A11528" s="2" t="str">
        <f>IFERROR(__xludf.DUMMYFUNCTION("""COMPUTED_VALUE"""),"요~으리의 고수")</f>
        <v>요~으리의 고수</v>
      </c>
      <c r="B11528" s="2" t="str">
        <f>IFERROR(__xludf.DUMMYFUNCTION("""COMPUTED_VALUE"""),"후추")</f>
        <v>후추</v>
      </c>
    </row>
    <row r="11529">
      <c r="A11529" s="2" t="str">
        <f>IFERROR(__xludf.DUMMYFUNCTION("""COMPUTED_VALUE"""),"요~으리의 고수")</f>
        <v>요~으리의 고수</v>
      </c>
      <c r="B11529" s="2" t="str">
        <f>IFERROR(__xludf.DUMMYFUNCTION("""COMPUTED_VALUE"""),"설탕")</f>
        <v>설탕</v>
      </c>
    </row>
    <row r="11530">
      <c r="A11530" s="2" t="str">
        <f>IFERROR(__xludf.DUMMYFUNCTION("""COMPUTED_VALUE"""),"요~으리의 고수")</f>
        <v>요~으리의 고수</v>
      </c>
      <c r="B11530" s="2" t="str">
        <f>IFERROR(__xludf.DUMMYFUNCTION("""COMPUTED_VALUE"""),"간장")</f>
        <v>간장</v>
      </c>
    </row>
    <row r="11531">
      <c r="A11531" s="2" t="str">
        <f>IFERROR(__xludf.DUMMYFUNCTION("""COMPUTED_VALUE"""),"요~으리의 고수")</f>
        <v>요~으리의 고수</v>
      </c>
      <c r="B11531" s="2" t="str">
        <f>IFERROR(__xludf.DUMMYFUNCTION("""COMPUTED_VALUE"""),"식초")</f>
        <v>식초</v>
      </c>
    </row>
    <row r="11532">
      <c r="A11532" s="2" t="str">
        <f>IFERROR(__xludf.DUMMYFUNCTION("""COMPUTED_VALUE"""),"요~으리의 고수")</f>
        <v>요~으리의 고수</v>
      </c>
      <c r="B11532" s="2" t="str">
        <f>IFERROR(__xludf.DUMMYFUNCTION("""COMPUTED_VALUE"""),"참기름")</f>
        <v>참기름</v>
      </c>
    </row>
    <row r="11533">
      <c r="A11533" s="2" t="str">
        <f>IFERROR(__xludf.DUMMYFUNCTION("""COMPUTED_VALUE"""),"요~으리의 고수")</f>
        <v>요~으리의 고수</v>
      </c>
      <c r="B11533" s="2" t="str">
        <f>IFERROR(__xludf.DUMMYFUNCTION("""COMPUTED_VALUE"""),"양파")</f>
        <v>양파</v>
      </c>
    </row>
    <row r="11534">
      <c r="A11534" s="2" t="str">
        <f>IFERROR(__xludf.DUMMYFUNCTION("""COMPUTED_VALUE"""),"요~으리의 고수")</f>
        <v>요~으리의 고수</v>
      </c>
      <c r="B11534" s="2" t="str">
        <f>IFERROR(__xludf.DUMMYFUNCTION("""COMPUTED_VALUE"""),"깨")</f>
        <v>깨</v>
      </c>
    </row>
    <row r="11535">
      <c r="A11535" s="2" t="str">
        <f>IFERROR(__xludf.DUMMYFUNCTION("""COMPUTED_VALUE"""),"요~으리의 고수")</f>
        <v>요~으리의 고수</v>
      </c>
      <c r="B11535" s="2" t="str">
        <f>IFERROR(__xludf.DUMMYFUNCTION("""COMPUTED_VALUE"""),"레몬")</f>
        <v>레몬</v>
      </c>
    </row>
    <row r="11536">
      <c r="A11536" s="2" t="str">
        <f>IFERROR(__xludf.DUMMYFUNCTION("""COMPUTED_VALUE"""),"으리으리한 항아~으리!")</f>
        <v>으리으리한 항아~으리!</v>
      </c>
      <c r="B11536" s="2" t="str">
        <f>IFERROR(__xludf.DUMMYFUNCTION("""COMPUTED_VALUE"""),"소갈비")</f>
        <v>소갈비</v>
      </c>
    </row>
    <row r="11537">
      <c r="A11537" s="2" t="str">
        <f>IFERROR(__xludf.DUMMYFUNCTION("""COMPUTED_VALUE"""),"으리으리한 항아~으리!")</f>
        <v>으리으리한 항아~으리!</v>
      </c>
      <c r="B11537" s="2" t="str">
        <f>IFERROR(__xludf.DUMMYFUNCTION("""COMPUTED_VALUE"""),"전복")</f>
        <v>전복</v>
      </c>
    </row>
    <row r="11538">
      <c r="A11538" s="2" t="str">
        <f>IFERROR(__xludf.DUMMYFUNCTION("""COMPUTED_VALUE"""),"으리으리한 항아~으리!")</f>
        <v>으리으리한 항아~으리!</v>
      </c>
      <c r="B11538" s="2" t="str">
        <f>IFERROR(__xludf.DUMMYFUNCTION("""COMPUTED_VALUE"""),"대추청")</f>
        <v>대추청</v>
      </c>
    </row>
    <row r="11539">
      <c r="A11539" s="2" t="str">
        <f>IFERROR(__xludf.DUMMYFUNCTION("""COMPUTED_VALUE"""),"으리으리한 항아~으리!")</f>
        <v>으리으리한 항아~으리!</v>
      </c>
      <c r="B11539" s="2" t="str">
        <f>IFERROR(__xludf.DUMMYFUNCTION("""COMPUTED_VALUE"""),"양지육수")</f>
        <v>양지육수</v>
      </c>
    </row>
    <row r="11540">
      <c r="A11540" s="2" t="str">
        <f>IFERROR(__xludf.DUMMYFUNCTION("""COMPUTED_VALUE"""),"으리으리한 항아~으리!")</f>
        <v>으리으리한 항아~으리!</v>
      </c>
      <c r="B11540" s="2" t="str">
        <f>IFERROR(__xludf.DUMMYFUNCTION("""COMPUTED_VALUE"""),"누룽지")</f>
        <v>누룽지</v>
      </c>
    </row>
    <row r="11541">
      <c r="A11541" s="2" t="str">
        <f>IFERROR(__xludf.DUMMYFUNCTION("""COMPUTED_VALUE"""),"으리으리한 항아~으리!")</f>
        <v>으리으리한 항아~으리!</v>
      </c>
      <c r="B11541" s="2" t="str">
        <f>IFERROR(__xludf.DUMMYFUNCTION("""COMPUTED_VALUE"""),"쌍화탕")</f>
        <v>쌍화탕</v>
      </c>
    </row>
    <row r="11542">
      <c r="A11542" s="2" t="str">
        <f>IFERROR(__xludf.DUMMYFUNCTION("""COMPUTED_VALUE"""),"으리으리한 항아~으리!")</f>
        <v>으리으리한 항아~으리!</v>
      </c>
      <c r="B11542" s="2" t="str">
        <f>IFERROR(__xludf.DUMMYFUNCTION("""COMPUTED_VALUE"""),"소고기장조림")</f>
        <v>소고기장조림</v>
      </c>
    </row>
    <row r="11543">
      <c r="A11543" s="2" t="str">
        <f>IFERROR(__xludf.DUMMYFUNCTION("""COMPUTED_VALUE"""),"으리으리한 항아~으리!")</f>
        <v>으리으리한 항아~으리!</v>
      </c>
      <c r="B11543" s="2" t="str">
        <f>IFERROR(__xludf.DUMMYFUNCTION("""COMPUTED_VALUE"""),"청양고춧가루")</f>
        <v>청양고춧가루</v>
      </c>
    </row>
    <row r="11544">
      <c r="A11544" s="2" t="str">
        <f>IFERROR(__xludf.DUMMYFUNCTION("""COMPUTED_VALUE"""),"으리으리한 항아~으리!")</f>
        <v>으리으리한 항아~으리!</v>
      </c>
      <c r="B11544" s="2" t="str">
        <f>IFERROR(__xludf.DUMMYFUNCTION("""COMPUTED_VALUE"""),"알배추")</f>
        <v>알배추</v>
      </c>
    </row>
    <row r="11545">
      <c r="A11545" s="2" t="str">
        <f>IFERROR(__xludf.DUMMYFUNCTION("""COMPUTED_VALUE"""),"으리으리한 항아~으리!")</f>
        <v>으리으리한 항아~으리!</v>
      </c>
      <c r="B11545" s="2" t="str">
        <f>IFERROR(__xludf.DUMMYFUNCTION("""COMPUTED_VALUE"""),"소면")</f>
        <v>소면</v>
      </c>
    </row>
    <row r="11546">
      <c r="A11546" s="2" t="str">
        <f>IFERROR(__xludf.DUMMYFUNCTION("""COMPUTED_VALUE"""),"으리으리한 항아~으리!")</f>
        <v>으리으리한 항아~으리!</v>
      </c>
      <c r="B11546" s="2" t="str">
        <f>IFERROR(__xludf.DUMMYFUNCTION("""COMPUTED_VALUE"""),"저염명란젓")</f>
        <v>저염명란젓</v>
      </c>
    </row>
    <row r="11547">
      <c r="A11547" s="2" t="str">
        <f>IFERROR(__xludf.DUMMYFUNCTION("""COMPUTED_VALUE"""),"으리으리한 항아~으리!")</f>
        <v>으리으리한 항아~으리!</v>
      </c>
      <c r="B11547" s="2" t="str">
        <f>IFERROR(__xludf.DUMMYFUNCTION("""COMPUTED_VALUE"""),"뱅어포")</f>
        <v>뱅어포</v>
      </c>
    </row>
    <row r="11548">
      <c r="A11548" s="2" t="str">
        <f>IFERROR(__xludf.DUMMYFUNCTION("""COMPUTED_VALUE"""),"으리으리한 항아~으리!")</f>
        <v>으리으리한 항아~으리!</v>
      </c>
      <c r="B11548" s="2" t="str">
        <f>IFERROR(__xludf.DUMMYFUNCTION("""COMPUTED_VALUE"""),"매운 냉면소스")</f>
        <v>매운 냉면소스</v>
      </c>
    </row>
    <row r="11549">
      <c r="A11549" s="2" t="str">
        <f>IFERROR(__xludf.DUMMYFUNCTION("""COMPUTED_VALUE"""),"으리으리한 항아~으리!")</f>
        <v>으리으리한 항아~으리!</v>
      </c>
      <c r="B11549" s="2" t="str">
        <f>IFERROR(__xludf.DUMMYFUNCTION("""COMPUTED_VALUE"""),"인스턴트 냉면육수")</f>
        <v>인스턴트 냉면육수</v>
      </c>
    </row>
    <row r="11550">
      <c r="A11550" s="2" t="str">
        <f>IFERROR(__xludf.DUMMYFUNCTION("""COMPUTED_VALUE"""),"으리으리한 항아~으리!")</f>
        <v>으리으리한 항아~으리!</v>
      </c>
      <c r="B11550" s="2" t="str">
        <f>IFERROR(__xludf.DUMMYFUNCTION("""COMPUTED_VALUE"""),"쪽파")</f>
        <v>쪽파</v>
      </c>
    </row>
    <row r="11551">
      <c r="A11551" s="2" t="str">
        <f>IFERROR(__xludf.DUMMYFUNCTION("""COMPUTED_VALUE"""),"으리으리한 항아~으리!")</f>
        <v>으리으리한 항아~으리!</v>
      </c>
      <c r="B11551" s="2" t="str">
        <f>IFERROR(__xludf.DUMMYFUNCTION("""COMPUTED_VALUE"""),"달걀노른자장")</f>
        <v>달걀노른자장</v>
      </c>
    </row>
    <row r="11552">
      <c r="A11552" s="2" t="str">
        <f>IFERROR(__xludf.DUMMYFUNCTION("""COMPUTED_VALUE"""),"으리으리한 항아~으리!")</f>
        <v>으리으리한 항아~으리!</v>
      </c>
      <c r="B11552" s="2" t="str">
        <f>IFERROR(__xludf.DUMMYFUNCTION("""COMPUTED_VALUE"""),"깻잎")</f>
        <v>깻잎</v>
      </c>
    </row>
    <row r="11553">
      <c r="A11553" s="2" t="str">
        <f>IFERROR(__xludf.DUMMYFUNCTION("""COMPUTED_VALUE"""),"으리으리한 항아~으리!")</f>
        <v>으리으리한 항아~으리!</v>
      </c>
      <c r="B11553" s="2" t="str">
        <f>IFERROR(__xludf.DUMMYFUNCTION("""COMPUTED_VALUE"""),"전분")</f>
        <v>전분</v>
      </c>
    </row>
    <row r="11554">
      <c r="A11554" s="2" t="str">
        <f>IFERROR(__xludf.DUMMYFUNCTION("""COMPUTED_VALUE"""),"으리으리한 항아~으리!")</f>
        <v>으리으리한 항아~으리!</v>
      </c>
      <c r="B11554" s="2" t="str">
        <f>IFERROR(__xludf.DUMMYFUNCTION("""COMPUTED_VALUE"""),"설탕")</f>
        <v>설탕</v>
      </c>
    </row>
    <row r="11555">
      <c r="A11555" s="2" t="str">
        <f>IFERROR(__xludf.DUMMYFUNCTION("""COMPUTED_VALUE"""),"으리으리한 항아~으리!")</f>
        <v>으리으리한 항아~으리!</v>
      </c>
      <c r="B11555" s="2" t="str">
        <f>IFERROR(__xludf.DUMMYFUNCTION("""COMPUTED_VALUE"""),"다진 마늘")</f>
        <v>다진 마늘</v>
      </c>
    </row>
    <row r="11556">
      <c r="A11556" s="2" t="str">
        <f>IFERROR(__xludf.DUMMYFUNCTION("""COMPUTED_VALUE"""),"으리으리한 항아~으리!")</f>
        <v>으리으리한 항아~으리!</v>
      </c>
      <c r="B11556" s="2" t="str">
        <f>IFERROR(__xludf.DUMMYFUNCTION("""COMPUTED_VALUE"""),"청양고추")</f>
        <v>청양고추</v>
      </c>
    </row>
    <row r="11557">
      <c r="A11557" s="2" t="str">
        <f>IFERROR(__xludf.DUMMYFUNCTION("""COMPUTED_VALUE"""),"으리으리한 항아~으리!")</f>
        <v>으리으리한 항아~으리!</v>
      </c>
      <c r="B11557" s="2" t="str">
        <f>IFERROR(__xludf.DUMMYFUNCTION("""COMPUTED_VALUE"""),"밀가루")</f>
        <v>밀가루</v>
      </c>
    </row>
    <row r="11558">
      <c r="A11558" s="2" t="str">
        <f>IFERROR(__xludf.DUMMYFUNCTION("""COMPUTED_VALUE"""),"으리으리한 항아~으리!")</f>
        <v>으리으리한 항아~으리!</v>
      </c>
      <c r="B11558" s="2" t="str">
        <f>IFERROR(__xludf.DUMMYFUNCTION("""COMPUTED_VALUE"""),"소금")</f>
        <v>소금</v>
      </c>
    </row>
    <row r="11559">
      <c r="A11559" s="2" t="str">
        <f>IFERROR(__xludf.DUMMYFUNCTION("""COMPUTED_VALUE"""),"으리으리한 항아~으리!")</f>
        <v>으리으리한 항아~으리!</v>
      </c>
      <c r="B11559" s="2" t="str">
        <f>IFERROR(__xludf.DUMMYFUNCTION("""COMPUTED_VALUE"""),"달걀")</f>
        <v>달걀</v>
      </c>
    </row>
    <row r="11560">
      <c r="A11560" s="2" t="str">
        <f>IFERROR(__xludf.DUMMYFUNCTION("""COMPUTED_VALUE"""),"사나이 가는 길에 기죽지 마라♬")</f>
        <v>사나이 가는 길에 기죽지 마라♬</v>
      </c>
      <c r="B11560" s="2" t="str">
        <f>IFERROR(__xludf.DUMMYFUNCTION("""COMPUTED_VALUE"""),"태국고추")</f>
        <v>태국고추</v>
      </c>
    </row>
    <row r="11561">
      <c r="A11561" s="2" t="str">
        <f>IFERROR(__xludf.DUMMYFUNCTION("""COMPUTED_VALUE"""),"사나이 가는 길에 기죽지 마라♬")</f>
        <v>사나이 가는 길에 기죽지 마라♬</v>
      </c>
      <c r="B11561" s="2" t="str">
        <f>IFERROR(__xludf.DUMMYFUNCTION("""COMPUTED_VALUE"""),"청양고춧가루")</f>
        <v>청양고춧가루</v>
      </c>
    </row>
    <row r="11562">
      <c r="A11562" s="2" t="str">
        <f>IFERROR(__xludf.DUMMYFUNCTION("""COMPUTED_VALUE"""),"사나이 가는 길에 기죽지 마라♬")</f>
        <v>사나이 가는 길에 기죽지 마라♬</v>
      </c>
      <c r="B11562" s="2" t="str">
        <f>IFERROR(__xludf.DUMMYFUNCTION("""COMPUTED_VALUE"""),"중국고춧가루")</f>
        <v>중국고춧가루</v>
      </c>
    </row>
    <row r="11563">
      <c r="A11563" s="2" t="str">
        <f>IFERROR(__xludf.DUMMYFUNCTION("""COMPUTED_VALUE"""),"사나이 가는 길에 기죽지 마라♬")</f>
        <v>사나이 가는 길에 기죽지 마라♬</v>
      </c>
      <c r="B11563" s="2" t="str">
        <f>IFERROR(__xludf.DUMMYFUNCTION("""COMPUTED_VALUE"""),"쯔유")</f>
        <v>쯔유</v>
      </c>
    </row>
    <row r="11564">
      <c r="A11564" s="2" t="str">
        <f>IFERROR(__xludf.DUMMYFUNCTION("""COMPUTED_VALUE"""),"사나이 가는 길에 기죽지 마라♬")</f>
        <v>사나이 가는 길에 기죽지 마라♬</v>
      </c>
      <c r="B11564" s="2" t="str">
        <f>IFERROR(__xludf.DUMMYFUNCTION("""COMPUTED_VALUE"""),"멸치")</f>
        <v>멸치</v>
      </c>
    </row>
    <row r="11565">
      <c r="A11565" s="2" t="str">
        <f>IFERROR(__xludf.DUMMYFUNCTION("""COMPUTED_VALUE"""),"사나이 가는 길에 기죽지 마라♬")</f>
        <v>사나이 가는 길에 기죽지 마라♬</v>
      </c>
      <c r="B11565" s="2" t="str">
        <f>IFERROR(__xludf.DUMMYFUNCTION("""COMPUTED_VALUE"""),"삼겹살")</f>
        <v>삼겹살</v>
      </c>
    </row>
    <row r="11566">
      <c r="A11566" s="2" t="str">
        <f>IFERROR(__xludf.DUMMYFUNCTION("""COMPUTED_VALUE"""),"사나이 가는 길에 기죽지 마라♬")</f>
        <v>사나이 가는 길에 기죽지 마라♬</v>
      </c>
      <c r="B11566" s="2" t="str">
        <f>IFERROR(__xludf.DUMMYFUNCTION("""COMPUTED_VALUE"""),"토마토")</f>
        <v>토마토</v>
      </c>
    </row>
    <row r="11567">
      <c r="A11567" s="2" t="str">
        <f>IFERROR(__xludf.DUMMYFUNCTION("""COMPUTED_VALUE"""),"사나이 가는 길에 기죽지 마라♬")</f>
        <v>사나이 가는 길에 기죽지 마라♬</v>
      </c>
      <c r="B11567" s="2" t="str">
        <f>IFERROR(__xludf.DUMMYFUNCTION("""COMPUTED_VALUE"""),"쌍화탕")</f>
        <v>쌍화탕</v>
      </c>
    </row>
    <row r="11568">
      <c r="A11568" s="2" t="str">
        <f>IFERROR(__xludf.DUMMYFUNCTION("""COMPUTED_VALUE"""),"사나이 가는 길에 기죽지 마라♬")</f>
        <v>사나이 가는 길에 기죽지 마라♬</v>
      </c>
      <c r="B11568" s="2" t="str">
        <f>IFERROR(__xludf.DUMMYFUNCTION("""COMPUTED_VALUE"""),"월계수잎")</f>
        <v>월계수잎</v>
      </c>
    </row>
    <row r="11569">
      <c r="A11569" s="2" t="str">
        <f>IFERROR(__xludf.DUMMYFUNCTION("""COMPUTED_VALUE"""),"사나이 가는 길에 기죽지 마라♬")</f>
        <v>사나이 가는 길에 기죽지 마라♬</v>
      </c>
      <c r="B11569" s="2" t="str">
        <f>IFERROR(__xludf.DUMMYFUNCTION("""COMPUTED_VALUE"""),"굴소스")</f>
        <v>굴소스</v>
      </c>
    </row>
    <row r="11570">
      <c r="A11570" s="2" t="str">
        <f>IFERROR(__xludf.DUMMYFUNCTION("""COMPUTED_VALUE"""),"사나이 가는 길에 기죽지 마라♬")</f>
        <v>사나이 가는 길에 기죽지 마라♬</v>
      </c>
      <c r="B11570" s="2" t="str">
        <f>IFERROR(__xludf.DUMMYFUNCTION("""COMPUTED_VALUE"""),"알배추")</f>
        <v>알배추</v>
      </c>
    </row>
    <row r="11571">
      <c r="A11571" s="2" t="str">
        <f>IFERROR(__xludf.DUMMYFUNCTION("""COMPUTED_VALUE"""),"사나이 가는 길에 기죽지 마라♬")</f>
        <v>사나이 가는 길에 기죽지 마라♬</v>
      </c>
      <c r="B11571" s="2" t="str">
        <f>IFERROR(__xludf.DUMMYFUNCTION("""COMPUTED_VALUE"""),"양송이버섯")</f>
        <v>양송이버섯</v>
      </c>
    </row>
    <row r="11572">
      <c r="A11572" s="2" t="str">
        <f>IFERROR(__xludf.DUMMYFUNCTION("""COMPUTED_VALUE"""),"사나이 가는 길에 기죽지 마라♬")</f>
        <v>사나이 가는 길에 기죽지 마라♬</v>
      </c>
      <c r="B11572" s="2" t="str">
        <f>IFERROR(__xludf.DUMMYFUNCTION("""COMPUTED_VALUE"""),"감자")</f>
        <v>감자</v>
      </c>
    </row>
    <row r="11573">
      <c r="A11573" s="2" t="str">
        <f>IFERROR(__xludf.DUMMYFUNCTION("""COMPUTED_VALUE"""),"사나이 가는 길에 기죽지 마라♬")</f>
        <v>사나이 가는 길에 기죽지 마라♬</v>
      </c>
      <c r="B11573" s="2" t="str">
        <f>IFERROR(__xludf.DUMMYFUNCTION("""COMPUTED_VALUE"""),"쌀국수면")</f>
        <v>쌀국수면</v>
      </c>
    </row>
    <row r="11574">
      <c r="A11574" s="2" t="str">
        <f>IFERROR(__xludf.DUMMYFUNCTION("""COMPUTED_VALUE"""),"사나이 가는 길에 기죽지 마라♬")</f>
        <v>사나이 가는 길에 기죽지 마라♬</v>
      </c>
      <c r="B11574" s="2" t="str">
        <f>IFERROR(__xludf.DUMMYFUNCTION("""COMPUTED_VALUE"""),"청경채")</f>
        <v>청경채</v>
      </c>
    </row>
    <row r="11575">
      <c r="A11575" s="2" t="str">
        <f>IFERROR(__xludf.DUMMYFUNCTION("""COMPUTED_VALUE"""),"사나이 가는 길에 기죽지 마라♬")</f>
        <v>사나이 가는 길에 기죽지 마라♬</v>
      </c>
      <c r="B11575" s="2" t="str">
        <f>IFERROR(__xludf.DUMMYFUNCTION("""COMPUTED_VALUE"""),"고수")</f>
        <v>고수</v>
      </c>
    </row>
    <row r="11576">
      <c r="A11576" s="2" t="str">
        <f>IFERROR(__xludf.DUMMYFUNCTION("""COMPUTED_VALUE"""),"사나이 가는 길에 기죽지 마라♬")</f>
        <v>사나이 가는 길에 기죽지 마라♬</v>
      </c>
      <c r="B11576" s="2" t="str">
        <f>IFERROR(__xludf.DUMMYFUNCTION("""COMPUTED_VALUE"""),"버터")</f>
        <v>버터</v>
      </c>
    </row>
    <row r="11577">
      <c r="A11577" s="2" t="str">
        <f>IFERROR(__xludf.DUMMYFUNCTION("""COMPUTED_VALUE"""),"사나이 가는 길에 기죽지 마라♬")</f>
        <v>사나이 가는 길에 기죽지 마라♬</v>
      </c>
      <c r="B11577" s="2" t="str">
        <f>IFERROR(__xludf.DUMMYFUNCTION("""COMPUTED_VALUE"""),"마늘")</f>
        <v>마늘</v>
      </c>
    </row>
    <row r="11578">
      <c r="A11578" s="2" t="str">
        <f>IFERROR(__xludf.DUMMYFUNCTION("""COMPUTED_VALUE"""),"사나이 가는 길에 기죽지 마라♬")</f>
        <v>사나이 가는 길에 기죽지 마라♬</v>
      </c>
      <c r="B11578" s="2" t="str">
        <f>IFERROR(__xludf.DUMMYFUNCTION("""COMPUTED_VALUE"""),"청양고추")</f>
        <v>청양고추</v>
      </c>
    </row>
    <row r="11579">
      <c r="A11579" s="2" t="str">
        <f>IFERROR(__xludf.DUMMYFUNCTION("""COMPUTED_VALUE"""),"사나이 가는 길에 기죽지 마라♬")</f>
        <v>사나이 가는 길에 기죽지 마라♬</v>
      </c>
      <c r="B11579" s="2" t="str">
        <f>IFERROR(__xludf.DUMMYFUNCTION("""COMPUTED_VALUE"""),"대파")</f>
        <v>대파</v>
      </c>
    </row>
    <row r="11580">
      <c r="A11580" s="2" t="str">
        <f>IFERROR(__xludf.DUMMYFUNCTION("""COMPUTED_VALUE"""),"사나이 가는 길에 기죽지 마라♬")</f>
        <v>사나이 가는 길에 기죽지 마라♬</v>
      </c>
      <c r="B11580" s="2" t="str">
        <f>IFERROR(__xludf.DUMMYFUNCTION("""COMPUTED_VALUE"""),"다진 생강")</f>
        <v>다진 생강</v>
      </c>
    </row>
    <row r="11581">
      <c r="A11581" s="2" t="str">
        <f>IFERROR(__xludf.DUMMYFUNCTION("""COMPUTED_VALUE"""),"사나이 가는 길에 기죽지 마라♬")</f>
        <v>사나이 가는 길에 기죽지 마라♬</v>
      </c>
      <c r="B11581" s="2" t="str">
        <f>IFERROR(__xludf.DUMMYFUNCTION("""COMPUTED_VALUE"""),"된장")</f>
        <v>된장</v>
      </c>
    </row>
    <row r="11582">
      <c r="A11582" s="2" t="str">
        <f>IFERROR(__xludf.DUMMYFUNCTION("""COMPUTED_VALUE"""),"사나이 가는 길에 기죽지 마라♬")</f>
        <v>사나이 가는 길에 기죽지 마라♬</v>
      </c>
      <c r="B11582" s="2" t="str">
        <f>IFERROR(__xludf.DUMMYFUNCTION("""COMPUTED_VALUE"""),"통후추")</f>
        <v>통후추</v>
      </c>
    </row>
    <row r="11583">
      <c r="A11583" s="2" t="str">
        <f>IFERROR(__xludf.DUMMYFUNCTION("""COMPUTED_VALUE"""),"사나이 가는 길에 기죽지 마라♬")</f>
        <v>사나이 가는 길에 기죽지 마라♬</v>
      </c>
      <c r="B11583" s="2" t="str">
        <f>IFERROR(__xludf.DUMMYFUNCTION("""COMPUTED_VALUE"""),"즉석밥")</f>
        <v>즉석밥</v>
      </c>
    </row>
    <row r="11584">
      <c r="A11584" s="2" t="str">
        <f>IFERROR(__xludf.DUMMYFUNCTION("""COMPUTED_VALUE"""),"사나이 가는 길에 기죽지 마라♬")</f>
        <v>사나이 가는 길에 기죽지 마라♬</v>
      </c>
      <c r="B11584" s="2" t="str">
        <f>IFERROR(__xludf.DUMMYFUNCTION("""COMPUTED_VALUE"""),"식초")</f>
        <v>식초</v>
      </c>
    </row>
    <row r="11585">
      <c r="A11585" s="2" t="str">
        <f>IFERROR(__xludf.DUMMYFUNCTION("""COMPUTED_VALUE"""),"불짬뽕 드새우")</f>
        <v>불짬뽕 드새우</v>
      </c>
      <c r="B11585" s="2" t="str">
        <f>IFERROR(__xludf.DUMMYFUNCTION("""COMPUTED_VALUE"""),"전복")</f>
        <v>전복</v>
      </c>
    </row>
    <row r="11586">
      <c r="A11586" s="2" t="str">
        <f>IFERROR(__xludf.DUMMYFUNCTION("""COMPUTED_VALUE"""),"불짬뽕 드새우")</f>
        <v>불짬뽕 드새우</v>
      </c>
      <c r="B11586" s="2" t="str">
        <f>IFERROR(__xludf.DUMMYFUNCTION("""COMPUTED_VALUE"""),"태국고추")</f>
        <v>태국고추</v>
      </c>
    </row>
    <row r="11587">
      <c r="A11587" s="2" t="str">
        <f>IFERROR(__xludf.DUMMYFUNCTION("""COMPUTED_VALUE"""),"불짬뽕 드새우")</f>
        <v>불짬뽕 드새우</v>
      </c>
      <c r="B11587" s="2" t="str">
        <f>IFERROR(__xludf.DUMMYFUNCTION("""COMPUTED_VALUE"""),"청양고춧가루")</f>
        <v>청양고춧가루</v>
      </c>
    </row>
    <row r="11588">
      <c r="A11588" s="2" t="str">
        <f>IFERROR(__xludf.DUMMYFUNCTION("""COMPUTED_VALUE"""),"불짬뽕 드새우")</f>
        <v>불짬뽕 드새우</v>
      </c>
      <c r="B11588" s="2" t="str">
        <f>IFERROR(__xludf.DUMMYFUNCTION("""COMPUTED_VALUE"""),"차돌박이")</f>
        <v>차돌박이</v>
      </c>
    </row>
    <row r="11589">
      <c r="A11589" s="2" t="str">
        <f>IFERROR(__xludf.DUMMYFUNCTION("""COMPUTED_VALUE"""),"불짬뽕 드새우")</f>
        <v>불짬뽕 드새우</v>
      </c>
      <c r="B11589" s="2" t="str">
        <f>IFERROR(__xludf.DUMMYFUNCTION("""COMPUTED_VALUE"""),"고추기름")</f>
        <v>고추기름</v>
      </c>
    </row>
    <row r="11590">
      <c r="A11590" s="2" t="str">
        <f>IFERROR(__xludf.DUMMYFUNCTION("""COMPUTED_VALUE"""),"불짬뽕 드새우")</f>
        <v>불짬뽕 드새우</v>
      </c>
      <c r="B11590" s="2" t="str">
        <f>IFERROR(__xludf.DUMMYFUNCTION("""COMPUTED_VALUE"""),"알배추")</f>
        <v>알배추</v>
      </c>
    </row>
    <row r="11591">
      <c r="A11591" s="2" t="str">
        <f>IFERROR(__xludf.DUMMYFUNCTION("""COMPUTED_VALUE"""),"불짬뽕 드새우")</f>
        <v>불짬뽕 드새우</v>
      </c>
      <c r="B11591" s="2" t="str">
        <f>IFERROR(__xludf.DUMMYFUNCTION("""COMPUTED_VALUE"""),"청경채")</f>
        <v>청경채</v>
      </c>
    </row>
    <row r="11592">
      <c r="A11592" s="2" t="str">
        <f>IFERROR(__xludf.DUMMYFUNCTION("""COMPUTED_VALUE"""),"불짬뽕 드새우")</f>
        <v>불짬뽕 드새우</v>
      </c>
      <c r="B11592" s="2" t="str">
        <f>IFERROR(__xludf.DUMMYFUNCTION("""COMPUTED_VALUE"""),"홍새우")</f>
        <v>홍새우</v>
      </c>
    </row>
    <row r="11593">
      <c r="A11593" s="2" t="str">
        <f>IFERROR(__xludf.DUMMYFUNCTION("""COMPUTED_VALUE"""),"불짬뽕 드새우")</f>
        <v>불짬뽕 드새우</v>
      </c>
      <c r="B11593" s="2" t="str">
        <f>IFERROR(__xludf.DUMMYFUNCTION("""COMPUTED_VALUE"""),"숙주")</f>
        <v>숙주</v>
      </c>
    </row>
    <row r="11594">
      <c r="A11594" s="2" t="str">
        <f>IFERROR(__xludf.DUMMYFUNCTION("""COMPUTED_VALUE"""),"불짬뽕 드새우")</f>
        <v>불짬뽕 드새우</v>
      </c>
      <c r="B11594" s="2" t="str">
        <f>IFERROR(__xludf.DUMMYFUNCTION("""COMPUTED_VALUE"""),"조갯살")</f>
        <v>조갯살</v>
      </c>
    </row>
    <row r="11595">
      <c r="A11595" s="2" t="str">
        <f>IFERROR(__xludf.DUMMYFUNCTION("""COMPUTED_VALUE"""),"불짬뽕 드새우")</f>
        <v>불짬뽕 드새우</v>
      </c>
      <c r="B11595" s="2" t="str">
        <f>IFERROR(__xludf.DUMMYFUNCTION("""COMPUTED_VALUE"""),"굴소스")</f>
        <v>굴소스</v>
      </c>
    </row>
    <row r="11596">
      <c r="A11596" s="2" t="str">
        <f>IFERROR(__xludf.DUMMYFUNCTION("""COMPUTED_VALUE"""),"불짬뽕 드새우")</f>
        <v>불짬뽕 드새우</v>
      </c>
      <c r="B11596" s="2" t="str">
        <f>IFERROR(__xludf.DUMMYFUNCTION("""COMPUTED_VALUE"""),"칼국수면")</f>
        <v>칼국수면</v>
      </c>
    </row>
    <row r="11597">
      <c r="A11597" s="2" t="str">
        <f>IFERROR(__xludf.DUMMYFUNCTION("""COMPUTED_VALUE"""),"불짬뽕 드새우")</f>
        <v>불짬뽕 드새우</v>
      </c>
      <c r="B11597" s="2" t="str">
        <f>IFERROR(__xludf.DUMMYFUNCTION("""COMPUTED_VALUE"""),"새우")</f>
        <v>새우</v>
      </c>
    </row>
    <row r="11598">
      <c r="A11598" s="2" t="str">
        <f>IFERROR(__xludf.DUMMYFUNCTION("""COMPUTED_VALUE"""),"불짬뽕 드새우")</f>
        <v>불짬뽕 드새우</v>
      </c>
      <c r="B11598" s="2" t="str">
        <f>IFERROR(__xludf.DUMMYFUNCTION("""COMPUTED_VALUE"""),"양지육수")</f>
        <v>양지육수</v>
      </c>
    </row>
    <row r="11599">
      <c r="A11599" s="2" t="str">
        <f>IFERROR(__xludf.DUMMYFUNCTION("""COMPUTED_VALUE"""),"불짬뽕 드새우")</f>
        <v>불짬뽕 드새우</v>
      </c>
      <c r="B11599" s="2" t="str">
        <f>IFERROR(__xludf.DUMMYFUNCTION("""COMPUTED_VALUE"""),"목이버섯")</f>
        <v>목이버섯</v>
      </c>
    </row>
    <row r="11600">
      <c r="A11600" s="2" t="str">
        <f>IFERROR(__xludf.DUMMYFUNCTION("""COMPUTED_VALUE"""),"불짬뽕 드새우")</f>
        <v>불짬뽕 드새우</v>
      </c>
      <c r="B11600" s="2" t="str">
        <f>IFERROR(__xludf.DUMMYFUNCTION("""COMPUTED_VALUE"""),"쪽파")</f>
        <v>쪽파</v>
      </c>
    </row>
    <row r="11601">
      <c r="A11601" s="2" t="str">
        <f>IFERROR(__xludf.DUMMYFUNCTION("""COMPUTED_VALUE"""),"불짬뽕 드새우")</f>
        <v>불짬뽕 드새우</v>
      </c>
      <c r="B11601" s="2" t="str">
        <f>IFERROR(__xludf.DUMMYFUNCTION("""COMPUTED_VALUE"""),"매운 냉면소스")</f>
        <v>매운 냉면소스</v>
      </c>
    </row>
    <row r="11602">
      <c r="A11602" s="2" t="str">
        <f>IFERROR(__xludf.DUMMYFUNCTION("""COMPUTED_VALUE"""),"불짬뽕 드새우")</f>
        <v>불짬뽕 드새우</v>
      </c>
      <c r="B11602" s="2" t="str">
        <f>IFERROR(__xludf.DUMMYFUNCTION("""COMPUTED_VALUE"""),"양상추")</f>
        <v>양상추</v>
      </c>
    </row>
    <row r="11603">
      <c r="A11603" s="2" t="str">
        <f>IFERROR(__xludf.DUMMYFUNCTION("""COMPUTED_VALUE"""),"불짬뽕 드새우")</f>
        <v>불짬뽕 드새우</v>
      </c>
      <c r="B11603" s="2" t="str">
        <f>IFERROR(__xludf.DUMMYFUNCTION("""COMPUTED_VALUE"""),"홍고추")</f>
        <v>홍고추</v>
      </c>
    </row>
    <row r="11604">
      <c r="A11604" s="2" t="str">
        <f>IFERROR(__xludf.DUMMYFUNCTION("""COMPUTED_VALUE"""),"불짬뽕 드새우")</f>
        <v>불짬뽕 드새우</v>
      </c>
      <c r="B11604" s="2" t="str">
        <f>IFERROR(__xludf.DUMMYFUNCTION("""COMPUTED_VALUE"""),"청양고추")</f>
        <v>청양고추</v>
      </c>
    </row>
    <row r="11605">
      <c r="A11605" s="2" t="str">
        <f>IFERROR(__xludf.DUMMYFUNCTION("""COMPUTED_VALUE"""),"불짬뽕 드새우")</f>
        <v>불짬뽕 드새우</v>
      </c>
      <c r="B11605" s="2" t="str">
        <f>IFERROR(__xludf.DUMMYFUNCTION("""COMPUTED_VALUE"""),"양파")</f>
        <v>양파</v>
      </c>
    </row>
    <row r="11606">
      <c r="A11606" s="2" t="str">
        <f>IFERROR(__xludf.DUMMYFUNCTION("""COMPUTED_VALUE"""),"불짬뽕 드새우")</f>
        <v>불짬뽕 드새우</v>
      </c>
      <c r="B11606" s="2" t="str">
        <f>IFERROR(__xludf.DUMMYFUNCTION("""COMPUTED_VALUE"""),"대파")</f>
        <v>대파</v>
      </c>
    </row>
    <row r="11607">
      <c r="A11607" s="2" t="str">
        <f>IFERROR(__xludf.DUMMYFUNCTION("""COMPUTED_VALUE"""),"불짬뽕 드새우")</f>
        <v>불짬뽕 드새우</v>
      </c>
      <c r="B11607" s="2" t="str">
        <f>IFERROR(__xludf.DUMMYFUNCTION("""COMPUTED_VALUE"""),"간장")</f>
        <v>간장</v>
      </c>
    </row>
    <row r="11608">
      <c r="A11608" s="2" t="str">
        <f>IFERROR(__xludf.DUMMYFUNCTION("""COMPUTED_VALUE"""),"불짬뽕 드새우")</f>
        <v>불짬뽕 드새우</v>
      </c>
      <c r="B11608" s="2" t="str">
        <f>IFERROR(__xludf.DUMMYFUNCTION("""COMPUTED_VALUE"""),"다진 마늘")</f>
        <v>다진 마늘</v>
      </c>
    </row>
    <row r="11609">
      <c r="A11609" s="2" t="str">
        <f>IFERROR(__xludf.DUMMYFUNCTION("""COMPUTED_VALUE"""),"불짬뽕 드새우")</f>
        <v>불짬뽕 드새우</v>
      </c>
      <c r="B11609" s="2" t="str">
        <f>IFERROR(__xludf.DUMMYFUNCTION("""COMPUTED_VALUE"""),"후추")</f>
        <v>후추</v>
      </c>
    </row>
    <row r="11610">
      <c r="A11610" s="2" t="str">
        <f>IFERROR(__xludf.DUMMYFUNCTION("""COMPUTED_VALUE"""),"불짬뽕 드새우")</f>
        <v>불짬뽕 드새우</v>
      </c>
      <c r="B11610" s="2" t="str">
        <f>IFERROR(__xludf.DUMMYFUNCTION("""COMPUTED_VALUE"""),"소금")</f>
        <v>소금</v>
      </c>
    </row>
    <row r="11611">
      <c r="A11611" s="2" t="str">
        <f>IFERROR(__xludf.DUMMYFUNCTION("""COMPUTED_VALUE"""),"불짬뽕 드새우")</f>
        <v>불짬뽕 드새우</v>
      </c>
      <c r="B11611" s="2" t="str">
        <f>IFERROR(__xludf.DUMMYFUNCTION("""COMPUTED_VALUE"""),"맛술")</f>
        <v>맛술</v>
      </c>
    </row>
    <row r="11612">
      <c r="A11612" s="2" t="str">
        <f>IFERROR(__xludf.DUMMYFUNCTION("""COMPUTED_VALUE"""),"불짬뽕 드새우")</f>
        <v>불짬뽕 드새우</v>
      </c>
      <c r="B11612" s="2" t="str">
        <f>IFERROR(__xludf.DUMMYFUNCTION("""COMPUTED_VALUE"""),"케첩")</f>
        <v>케첩</v>
      </c>
    </row>
    <row r="11613">
      <c r="A11613" s="2" t="str">
        <f>IFERROR(__xludf.DUMMYFUNCTION("""COMPUTED_VALUE"""),"불짬뽕 드새우")</f>
        <v>불짬뽕 드새우</v>
      </c>
      <c r="B11613" s="2" t="str">
        <f>IFERROR(__xludf.DUMMYFUNCTION("""COMPUTED_VALUE"""),"설탕")</f>
        <v>설탕</v>
      </c>
    </row>
    <row r="11614">
      <c r="A11614" s="2" t="str">
        <f>IFERROR(__xludf.DUMMYFUNCTION("""COMPUTED_VALUE"""),"원조 테리우스테이크")</f>
        <v>원조 테리우스테이크</v>
      </c>
      <c r="B11614" s="2" t="str">
        <f>IFERROR(__xludf.DUMMYFUNCTION("""COMPUTED_VALUE"""),"표고버섯")</f>
        <v>표고버섯</v>
      </c>
    </row>
    <row r="11615">
      <c r="A11615" s="2" t="str">
        <f>IFERROR(__xludf.DUMMYFUNCTION("""COMPUTED_VALUE"""),"원조 테리우스테이크")</f>
        <v>원조 테리우스테이크</v>
      </c>
      <c r="B11615" s="2" t="str">
        <f>IFERROR(__xludf.DUMMYFUNCTION("""COMPUTED_VALUE"""),"베이컨")</f>
        <v>베이컨</v>
      </c>
    </row>
    <row r="11616">
      <c r="A11616" s="2" t="str">
        <f>IFERROR(__xludf.DUMMYFUNCTION("""COMPUTED_VALUE"""),"원조 테리우스테이크")</f>
        <v>원조 테리우스테이크</v>
      </c>
      <c r="B11616" s="2" t="str">
        <f>IFERROR(__xludf.DUMMYFUNCTION("""COMPUTED_VALUE"""),"소고기등심")</f>
        <v>소고기등심</v>
      </c>
    </row>
    <row r="11617">
      <c r="A11617" s="2" t="str">
        <f>IFERROR(__xludf.DUMMYFUNCTION("""COMPUTED_VALUE"""),"원조 테리우스테이크")</f>
        <v>원조 테리우스테이크</v>
      </c>
      <c r="B11617" s="2" t="str">
        <f>IFERROR(__xludf.DUMMYFUNCTION("""COMPUTED_VALUE"""),"빵")</f>
        <v>빵</v>
      </c>
    </row>
    <row r="11618">
      <c r="A11618" s="2" t="str">
        <f>IFERROR(__xludf.DUMMYFUNCTION("""COMPUTED_VALUE"""),"원조 테리우스테이크")</f>
        <v>원조 테리우스테이크</v>
      </c>
      <c r="B11618" s="2" t="str">
        <f>IFERROR(__xludf.DUMMYFUNCTION("""COMPUTED_VALUE"""),"홀그레인머스터드")</f>
        <v>홀그레인머스터드</v>
      </c>
    </row>
    <row r="11619">
      <c r="A11619" s="2" t="str">
        <f>IFERROR(__xludf.DUMMYFUNCTION("""COMPUTED_VALUE"""),"원조 테리우스테이크")</f>
        <v>원조 테리우스테이크</v>
      </c>
      <c r="B11619" s="2" t="str">
        <f>IFERROR(__xludf.DUMMYFUNCTION("""COMPUTED_VALUE"""),"우스터소스")</f>
        <v>우스터소스</v>
      </c>
    </row>
    <row r="11620">
      <c r="A11620" s="2" t="str">
        <f>IFERROR(__xludf.DUMMYFUNCTION("""COMPUTED_VALUE"""),"원조 테리우스테이크")</f>
        <v>원조 테리우스테이크</v>
      </c>
      <c r="B11620" s="2" t="str">
        <f>IFERROR(__xludf.DUMMYFUNCTION("""COMPUTED_VALUE"""),"카옌페퍼")</f>
        <v>카옌페퍼</v>
      </c>
    </row>
    <row r="11621">
      <c r="A11621" s="2" t="str">
        <f>IFERROR(__xludf.DUMMYFUNCTION("""COMPUTED_VALUE"""),"원조 테리우스테이크")</f>
        <v>원조 테리우스테이크</v>
      </c>
      <c r="B11621" s="2" t="str">
        <f>IFERROR(__xludf.DUMMYFUNCTION("""COMPUTED_VALUE"""),"액상치킨스톡")</f>
        <v>액상치킨스톡</v>
      </c>
    </row>
    <row r="11622">
      <c r="A11622" s="2" t="str">
        <f>IFERROR(__xludf.DUMMYFUNCTION("""COMPUTED_VALUE"""),"원조 테리우스테이크")</f>
        <v>원조 테리우스테이크</v>
      </c>
      <c r="B11622" s="2" t="str">
        <f>IFERROR(__xludf.DUMMYFUNCTION("""COMPUTED_VALUE"""),"토마토소스")</f>
        <v>토마토소스</v>
      </c>
    </row>
    <row r="11623">
      <c r="A11623" s="2" t="str">
        <f>IFERROR(__xludf.DUMMYFUNCTION("""COMPUTED_VALUE"""),"원조 테리우스테이크")</f>
        <v>원조 테리우스테이크</v>
      </c>
      <c r="B11623" s="2" t="str">
        <f>IFERROR(__xludf.DUMMYFUNCTION("""COMPUTED_VALUE"""),"마스카포네치즈")</f>
        <v>마스카포네치즈</v>
      </c>
    </row>
    <row r="11624">
      <c r="A11624" s="2" t="str">
        <f>IFERROR(__xludf.DUMMYFUNCTION("""COMPUTED_VALUE"""),"원조 테리우스테이크")</f>
        <v>원조 테리우스테이크</v>
      </c>
      <c r="B11624" s="2" t="str">
        <f>IFERROR(__xludf.DUMMYFUNCTION("""COMPUTED_VALUE"""),"나라즈케")</f>
        <v>나라즈케</v>
      </c>
    </row>
    <row r="11625">
      <c r="A11625" s="2" t="str">
        <f>IFERROR(__xludf.DUMMYFUNCTION("""COMPUTED_VALUE"""),"원조 테리우스테이크")</f>
        <v>원조 테리우스테이크</v>
      </c>
      <c r="B11625" s="2" t="str">
        <f>IFERROR(__xludf.DUMMYFUNCTION("""COMPUTED_VALUE"""),"이탈리안파슬리")</f>
        <v>이탈리안파슬리</v>
      </c>
    </row>
    <row r="11626">
      <c r="A11626" s="2" t="str">
        <f>IFERROR(__xludf.DUMMYFUNCTION("""COMPUTED_VALUE"""),"원조 테리우스테이크")</f>
        <v>원조 테리우스테이크</v>
      </c>
      <c r="B11626" s="2" t="str">
        <f>IFERROR(__xludf.DUMMYFUNCTION("""COMPUTED_VALUE"""),"선드라이드토마토")</f>
        <v>선드라이드토마토</v>
      </c>
    </row>
    <row r="11627">
      <c r="A11627" s="2" t="str">
        <f>IFERROR(__xludf.DUMMYFUNCTION("""COMPUTED_VALUE"""),"원조 테리우스테이크")</f>
        <v>원조 테리우스테이크</v>
      </c>
      <c r="B11627" s="2" t="str">
        <f>IFERROR(__xludf.DUMMYFUNCTION("""COMPUTED_VALUE"""),"양파")</f>
        <v>양파</v>
      </c>
    </row>
    <row r="11628">
      <c r="A11628" s="2" t="str">
        <f>IFERROR(__xludf.DUMMYFUNCTION("""COMPUTED_VALUE"""),"원조 테리우스테이크")</f>
        <v>원조 테리우스테이크</v>
      </c>
      <c r="B11628" s="2" t="str">
        <f>IFERROR(__xludf.DUMMYFUNCTION("""COMPUTED_VALUE"""),"청양고추")</f>
        <v>청양고추</v>
      </c>
    </row>
    <row r="11629">
      <c r="A11629" s="2" t="str">
        <f>IFERROR(__xludf.DUMMYFUNCTION("""COMPUTED_VALUE"""),"원조 테리우스테이크")</f>
        <v>원조 테리우스테이크</v>
      </c>
      <c r="B11629" s="2" t="str">
        <f>IFERROR(__xludf.DUMMYFUNCTION("""COMPUTED_VALUE"""),"달걀")</f>
        <v>달걀</v>
      </c>
    </row>
    <row r="11630">
      <c r="A11630" s="2" t="str">
        <f>IFERROR(__xludf.DUMMYFUNCTION("""COMPUTED_VALUE"""),"원조 테리우스테이크")</f>
        <v>원조 테리우스테이크</v>
      </c>
      <c r="B11630" s="2" t="str">
        <f>IFERROR(__xludf.DUMMYFUNCTION("""COMPUTED_VALUE"""),"밀가루")</f>
        <v>밀가루</v>
      </c>
    </row>
    <row r="11631">
      <c r="A11631" s="2" t="str">
        <f>IFERROR(__xludf.DUMMYFUNCTION("""COMPUTED_VALUE"""),"원조 테리우스테이크")</f>
        <v>원조 테리우스테이크</v>
      </c>
      <c r="B11631" s="2" t="str">
        <f>IFERROR(__xludf.DUMMYFUNCTION("""COMPUTED_VALUE"""),"후추")</f>
        <v>후추</v>
      </c>
    </row>
    <row r="11632">
      <c r="A11632" s="2" t="str">
        <f>IFERROR(__xludf.DUMMYFUNCTION("""COMPUTED_VALUE"""),"원조 테리우스테이크")</f>
        <v>원조 테리우스테이크</v>
      </c>
      <c r="B11632" s="2" t="str">
        <f>IFERROR(__xludf.DUMMYFUNCTION("""COMPUTED_VALUE"""),"올리브오일")</f>
        <v>올리브오일</v>
      </c>
    </row>
    <row r="11633">
      <c r="A11633" s="2" t="str">
        <f>IFERROR(__xludf.DUMMYFUNCTION("""COMPUTED_VALUE"""),"다이어트는 잊그라")</f>
        <v>다이어트는 잊그라</v>
      </c>
      <c r="B11633" s="2" t="str">
        <f>IFERROR(__xludf.DUMMYFUNCTION("""COMPUTED_VALUE"""),"소고기등심")</f>
        <v>소고기등심</v>
      </c>
    </row>
    <row r="11634">
      <c r="A11634" s="2" t="str">
        <f>IFERROR(__xludf.DUMMYFUNCTION("""COMPUTED_VALUE"""),"다이어트는 잊그라")</f>
        <v>다이어트는 잊그라</v>
      </c>
      <c r="B11634" s="2" t="str">
        <f>IFERROR(__xludf.DUMMYFUNCTION("""COMPUTED_VALUE"""),"베이컨")</f>
        <v>베이컨</v>
      </c>
    </row>
    <row r="11635">
      <c r="A11635" s="2" t="str">
        <f>IFERROR(__xludf.DUMMYFUNCTION("""COMPUTED_VALUE"""),"다이어트는 잊그라")</f>
        <v>다이어트는 잊그라</v>
      </c>
      <c r="B11635" s="2" t="str">
        <f>IFERROR(__xludf.DUMMYFUNCTION("""COMPUTED_VALUE"""),"양배추")</f>
        <v>양배추</v>
      </c>
    </row>
    <row r="11636">
      <c r="A11636" s="2" t="str">
        <f>IFERROR(__xludf.DUMMYFUNCTION("""COMPUTED_VALUE"""),"다이어트는 잊그라")</f>
        <v>다이어트는 잊그라</v>
      </c>
      <c r="B11636" s="2" t="str">
        <f>IFERROR(__xludf.DUMMYFUNCTION("""COMPUTED_VALUE"""),"페타치즈")</f>
        <v>페타치즈</v>
      </c>
    </row>
    <row r="11637">
      <c r="A11637" s="2" t="str">
        <f>IFERROR(__xludf.DUMMYFUNCTION("""COMPUTED_VALUE"""),"다이어트는 잊그라")</f>
        <v>다이어트는 잊그라</v>
      </c>
      <c r="B11637" s="2" t="str">
        <f>IFERROR(__xludf.DUMMYFUNCTION("""COMPUTED_VALUE"""),"크림치즈")</f>
        <v>크림치즈</v>
      </c>
    </row>
    <row r="11638">
      <c r="A11638" s="2" t="str">
        <f>IFERROR(__xludf.DUMMYFUNCTION("""COMPUTED_VALUE"""),"다이어트는 잊그라")</f>
        <v>다이어트는 잊그라</v>
      </c>
      <c r="B11638" s="2" t="str">
        <f>IFERROR(__xludf.DUMMYFUNCTION("""COMPUTED_VALUE"""),"우유")</f>
        <v>우유</v>
      </c>
    </row>
    <row r="11639">
      <c r="A11639" s="2" t="str">
        <f>IFERROR(__xludf.DUMMYFUNCTION("""COMPUTED_VALUE"""),"다이어트는 잊그라")</f>
        <v>다이어트는 잊그라</v>
      </c>
      <c r="B11639" s="2" t="str">
        <f>IFERROR(__xludf.DUMMYFUNCTION("""COMPUTED_VALUE"""),"브로콜리")</f>
        <v>브로콜리</v>
      </c>
    </row>
    <row r="11640">
      <c r="A11640" s="2" t="str">
        <f>IFERROR(__xludf.DUMMYFUNCTION("""COMPUTED_VALUE"""),"다이어트는 잊그라")</f>
        <v>다이어트는 잊그라</v>
      </c>
      <c r="B11640" s="2" t="str">
        <f>IFERROR(__xludf.DUMMYFUNCTION("""COMPUTED_VALUE"""),"선드라이드토마토")</f>
        <v>선드라이드토마토</v>
      </c>
    </row>
    <row r="11641">
      <c r="A11641" s="2" t="str">
        <f>IFERROR(__xludf.DUMMYFUNCTION("""COMPUTED_VALUE"""),"다이어트는 잊그라")</f>
        <v>다이어트는 잊그라</v>
      </c>
      <c r="B11641" s="2" t="str">
        <f>IFERROR(__xludf.DUMMYFUNCTION("""COMPUTED_VALUE"""),"모차렐라치즈")</f>
        <v>모차렐라치즈</v>
      </c>
    </row>
    <row r="11642">
      <c r="A11642" s="2" t="str">
        <f>IFERROR(__xludf.DUMMYFUNCTION("""COMPUTED_VALUE"""),"다이어트는 잊그라")</f>
        <v>다이어트는 잊그라</v>
      </c>
      <c r="B11642" s="2" t="str">
        <f>IFERROR(__xludf.DUMMYFUNCTION("""COMPUTED_VALUE"""),"새우젓")</f>
        <v>새우젓</v>
      </c>
    </row>
    <row r="11643">
      <c r="A11643" s="2" t="str">
        <f>IFERROR(__xludf.DUMMYFUNCTION("""COMPUTED_VALUE"""),"다이어트는 잊그라")</f>
        <v>다이어트는 잊그라</v>
      </c>
      <c r="B11643" s="2" t="str">
        <f>IFERROR(__xludf.DUMMYFUNCTION("""COMPUTED_VALUE"""),"파르메지아노치즈")</f>
        <v>파르메지아노치즈</v>
      </c>
    </row>
    <row r="11644">
      <c r="A11644" s="2" t="str">
        <f>IFERROR(__xludf.DUMMYFUNCTION("""COMPUTED_VALUE"""),"다이어트는 잊그라")</f>
        <v>다이어트는 잊그라</v>
      </c>
      <c r="B11644" s="2" t="str">
        <f>IFERROR(__xludf.DUMMYFUNCTION("""COMPUTED_VALUE"""),"버터")</f>
        <v>버터</v>
      </c>
    </row>
    <row r="11645">
      <c r="A11645" s="2" t="str">
        <f>IFERROR(__xludf.DUMMYFUNCTION("""COMPUTED_VALUE"""),"다이어트는 잊그라")</f>
        <v>다이어트는 잊그라</v>
      </c>
      <c r="B11645" s="2" t="str">
        <f>IFERROR(__xludf.DUMMYFUNCTION("""COMPUTED_VALUE"""),"식초")</f>
        <v>식초</v>
      </c>
    </row>
    <row r="11646">
      <c r="A11646" s="2" t="str">
        <f>IFERROR(__xludf.DUMMYFUNCTION("""COMPUTED_VALUE"""),"다이어트는 잊그라")</f>
        <v>다이어트는 잊그라</v>
      </c>
      <c r="B11646" s="2" t="str">
        <f>IFERROR(__xludf.DUMMYFUNCTION("""COMPUTED_VALUE"""),"밀가루")</f>
        <v>밀가루</v>
      </c>
    </row>
    <row r="11647">
      <c r="A11647" s="2" t="str">
        <f>IFERROR(__xludf.DUMMYFUNCTION("""COMPUTED_VALUE"""),"다이어트는 잊그라")</f>
        <v>다이어트는 잊그라</v>
      </c>
      <c r="B11647" s="2" t="str">
        <f>IFERROR(__xludf.DUMMYFUNCTION("""COMPUTED_VALUE"""),"소금")</f>
        <v>소금</v>
      </c>
    </row>
    <row r="11648">
      <c r="A11648" s="2" t="str">
        <f>IFERROR(__xludf.DUMMYFUNCTION("""COMPUTED_VALUE"""),"다이어트는 잊그라")</f>
        <v>다이어트는 잊그라</v>
      </c>
      <c r="B11648" s="2" t="str">
        <f>IFERROR(__xludf.DUMMYFUNCTION("""COMPUTED_VALUE"""),"후추")</f>
        <v>후추</v>
      </c>
    </row>
    <row r="11649">
      <c r="A11649" s="2" t="str">
        <f>IFERROR(__xludf.DUMMYFUNCTION("""COMPUTED_VALUE"""),"다이어트는 잊그라")</f>
        <v>다이어트는 잊그라</v>
      </c>
      <c r="B11649" s="2" t="str">
        <f>IFERROR(__xludf.DUMMYFUNCTION("""COMPUTED_VALUE"""),"당근")</f>
        <v>당근</v>
      </c>
    </row>
    <row r="11650">
      <c r="A11650" s="2" t="str">
        <f>IFERROR(__xludf.DUMMYFUNCTION("""COMPUTED_VALUE"""),"다이어트는 잊그라")</f>
        <v>다이어트는 잊그라</v>
      </c>
      <c r="B11650" s="2" t="str">
        <f>IFERROR(__xludf.DUMMYFUNCTION("""COMPUTED_VALUE"""),"홍고추")</f>
        <v>홍고추</v>
      </c>
    </row>
    <row r="11651">
      <c r="A11651" s="2" t="str">
        <f>IFERROR(__xludf.DUMMYFUNCTION("""COMPUTED_VALUE"""),"다이어트는 잊그라")</f>
        <v>다이어트는 잊그라</v>
      </c>
      <c r="B11651" s="2" t="str">
        <f>IFERROR(__xludf.DUMMYFUNCTION("""COMPUTED_VALUE"""),"마늘")</f>
        <v>마늘</v>
      </c>
    </row>
    <row r="11652">
      <c r="A11652" s="2" t="str">
        <f>IFERROR(__xludf.DUMMYFUNCTION("""COMPUTED_VALUE"""),"다이어트는 잊그라")</f>
        <v>다이어트는 잊그라</v>
      </c>
      <c r="B11652" s="2" t="str">
        <f>IFERROR(__xludf.DUMMYFUNCTION("""COMPUTED_VALUE"""),"고춧가루")</f>
        <v>고춧가루</v>
      </c>
    </row>
    <row r="11653">
      <c r="A11653" s="2" t="str">
        <f>IFERROR(__xludf.DUMMYFUNCTION("""COMPUTED_VALUE"""),"다이어트는 잊그라")</f>
        <v>다이어트는 잊그라</v>
      </c>
      <c r="B11653" s="2" t="str">
        <f>IFERROR(__xludf.DUMMYFUNCTION("""COMPUTED_VALUE"""),"다진 생강")</f>
        <v>다진 생강</v>
      </c>
    </row>
    <row r="11654">
      <c r="A11654" s="2" t="str">
        <f>IFERROR(__xludf.DUMMYFUNCTION("""COMPUTED_VALUE"""),"다이어트는 잊그라")</f>
        <v>다이어트는 잊그라</v>
      </c>
      <c r="B11654" s="2" t="str">
        <f>IFERROR(__xludf.DUMMYFUNCTION("""COMPUTED_VALUE"""),"다진 마늘")</f>
        <v>다진 마늘</v>
      </c>
    </row>
    <row r="11655">
      <c r="A11655" s="2" t="str">
        <f>IFERROR(__xludf.DUMMYFUNCTION("""COMPUTED_VALUE"""),"다이어트는 잊그라")</f>
        <v>다이어트는 잊그라</v>
      </c>
      <c r="B11655" s="2" t="str">
        <f>IFERROR(__xludf.DUMMYFUNCTION("""COMPUTED_VALUE"""),"청양고추")</f>
        <v>청양고추</v>
      </c>
    </row>
    <row r="11656">
      <c r="A11656" s="2" t="str">
        <f>IFERROR(__xludf.DUMMYFUNCTION("""COMPUTED_VALUE"""),"복덩이")</f>
        <v>복덩이</v>
      </c>
      <c r="B11656" s="2" t="str">
        <f>IFERROR(__xludf.DUMMYFUNCTION("""COMPUTED_VALUE"""),"전복")</f>
        <v>전복</v>
      </c>
    </row>
    <row r="11657">
      <c r="A11657" s="2" t="str">
        <f>IFERROR(__xludf.DUMMYFUNCTION("""COMPUTED_VALUE"""),"복덩이")</f>
        <v>복덩이</v>
      </c>
      <c r="B11657" s="2" t="str">
        <f>IFERROR(__xludf.DUMMYFUNCTION("""COMPUTED_VALUE"""),"오징어")</f>
        <v>오징어</v>
      </c>
    </row>
    <row r="11658">
      <c r="A11658" s="2" t="str">
        <f>IFERROR(__xludf.DUMMYFUNCTION("""COMPUTED_VALUE"""),"복덩이")</f>
        <v>복덩이</v>
      </c>
      <c r="B11658" s="2" t="str">
        <f>IFERROR(__xludf.DUMMYFUNCTION("""COMPUTED_VALUE"""),"새우")</f>
        <v>새우</v>
      </c>
    </row>
    <row r="11659">
      <c r="A11659" s="2" t="str">
        <f>IFERROR(__xludf.DUMMYFUNCTION("""COMPUTED_VALUE"""),"복덩이")</f>
        <v>복덩이</v>
      </c>
      <c r="B11659" s="2" t="str">
        <f>IFERROR(__xludf.DUMMYFUNCTION("""COMPUTED_VALUE"""),"병어")</f>
        <v>병어</v>
      </c>
    </row>
    <row r="11660">
      <c r="A11660" s="2" t="str">
        <f>IFERROR(__xludf.DUMMYFUNCTION("""COMPUTED_VALUE"""),"복덩이")</f>
        <v>복덩이</v>
      </c>
      <c r="B11660" s="2" t="str">
        <f>IFERROR(__xludf.DUMMYFUNCTION("""COMPUTED_VALUE"""),"가지")</f>
        <v>가지</v>
      </c>
    </row>
    <row r="11661">
      <c r="A11661" s="2" t="str">
        <f>IFERROR(__xludf.DUMMYFUNCTION("""COMPUTED_VALUE"""),"복덩이")</f>
        <v>복덩이</v>
      </c>
      <c r="B11661" s="2" t="str">
        <f>IFERROR(__xludf.DUMMYFUNCTION("""COMPUTED_VALUE"""),"달걀간장")</f>
        <v>달걀간장</v>
      </c>
    </row>
    <row r="11662">
      <c r="A11662" s="2" t="str">
        <f>IFERROR(__xludf.DUMMYFUNCTION("""COMPUTED_VALUE"""),"복덩이")</f>
        <v>복덩이</v>
      </c>
      <c r="B11662" s="2" t="str">
        <f>IFERROR(__xludf.DUMMYFUNCTION("""COMPUTED_VALUE"""),"파프리카")</f>
        <v>파프리카</v>
      </c>
    </row>
    <row r="11663">
      <c r="A11663" s="2" t="str">
        <f>IFERROR(__xludf.DUMMYFUNCTION("""COMPUTED_VALUE"""),"복덩이")</f>
        <v>복덩이</v>
      </c>
      <c r="B11663" s="2" t="str">
        <f>IFERROR(__xludf.DUMMYFUNCTION("""COMPUTED_VALUE"""),"두반장")</f>
        <v>두반장</v>
      </c>
    </row>
    <row r="11664">
      <c r="A11664" s="2" t="str">
        <f>IFERROR(__xludf.DUMMYFUNCTION("""COMPUTED_VALUE"""),"복덩이")</f>
        <v>복덩이</v>
      </c>
      <c r="B11664" s="2" t="str">
        <f>IFERROR(__xludf.DUMMYFUNCTION("""COMPUTED_VALUE"""),"소고기등심")</f>
        <v>소고기등심</v>
      </c>
    </row>
    <row r="11665">
      <c r="A11665" s="2" t="str">
        <f>IFERROR(__xludf.DUMMYFUNCTION("""COMPUTED_VALUE"""),"복덩이")</f>
        <v>복덩이</v>
      </c>
      <c r="B11665" s="2" t="str">
        <f>IFERROR(__xludf.DUMMYFUNCTION("""COMPUTED_VALUE"""),"공심채")</f>
        <v>공심채</v>
      </c>
    </row>
    <row r="11666">
      <c r="A11666" s="2" t="str">
        <f>IFERROR(__xludf.DUMMYFUNCTION("""COMPUTED_VALUE"""),"복덩이")</f>
        <v>복덩이</v>
      </c>
      <c r="B11666" s="2" t="str">
        <f>IFERROR(__xludf.DUMMYFUNCTION("""COMPUTED_VALUE"""),"맛술")</f>
        <v>맛술</v>
      </c>
    </row>
    <row r="11667">
      <c r="A11667" s="2" t="str">
        <f>IFERROR(__xludf.DUMMYFUNCTION("""COMPUTED_VALUE"""),"복덩이")</f>
        <v>복덩이</v>
      </c>
      <c r="B11667" s="2" t="str">
        <f>IFERROR(__xludf.DUMMYFUNCTION("""COMPUTED_VALUE"""),"소금")</f>
        <v>소금</v>
      </c>
    </row>
    <row r="11668">
      <c r="A11668" s="2" t="str">
        <f>IFERROR(__xludf.DUMMYFUNCTION("""COMPUTED_VALUE"""),"복덩이")</f>
        <v>복덩이</v>
      </c>
      <c r="B11668" s="2" t="str">
        <f>IFERROR(__xludf.DUMMYFUNCTION("""COMPUTED_VALUE"""),"대파")</f>
        <v>대파</v>
      </c>
    </row>
    <row r="11669">
      <c r="A11669" s="2" t="str">
        <f>IFERROR(__xludf.DUMMYFUNCTION("""COMPUTED_VALUE"""),"복덩이")</f>
        <v>복덩이</v>
      </c>
      <c r="B11669" s="2" t="str">
        <f>IFERROR(__xludf.DUMMYFUNCTION("""COMPUTED_VALUE"""),"양파")</f>
        <v>양파</v>
      </c>
    </row>
    <row r="11670">
      <c r="A11670" s="2" t="str">
        <f>IFERROR(__xludf.DUMMYFUNCTION("""COMPUTED_VALUE"""),"복덩이")</f>
        <v>복덩이</v>
      </c>
      <c r="B11670" s="2" t="str">
        <f>IFERROR(__xludf.DUMMYFUNCTION("""COMPUTED_VALUE"""),"마늘")</f>
        <v>마늘</v>
      </c>
    </row>
    <row r="11671">
      <c r="A11671" s="2" t="str">
        <f>IFERROR(__xludf.DUMMYFUNCTION("""COMPUTED_VALUE"""),"복덩이")</f>
        <v>복덩이</v>
      </c>
      <c r="B11671" s="2" t="str">
        <f>IFERROR(__xludf.DUMMYFUNCTION("""COMPUTED_VALUE"""),"청양고추")</f>
        <v>청양고추</v>
      </c>
    </row>
    <row r="11672">
      <c r="A11672" s="2" t="str">
        <f>IFERROR(__xludf.DUMMYFUNCTION("""COMPUTED_VALUE"""),"복덩이")</f>
        <v>복덩이</v>
      </c>
      <c r="B11672" s="2" t="str">
        <f>IFERROR(__xludf.DUMMYFUNCTION("""COMPUTED_VALUE"""),"즉석밥")</f>
        <v>즉석밥</v>
      </c>
    </row>
    <row r="11673">
      <c r="A11673" s="2" t="str">
        <f>IFERROR(__xludf.DUMMYFUNCTION("""COMPUTED_VALUE"""),"복덩이")</f>
        <v>복덩이</v>
      </c>
      <c r="B11673" s="2" t="str">
        <f>IFERROR(__xludf.DUMMYFUNCTION("""COMPUTED_VALUE"""),"후추")</f>
        <v>후추</v>
      </c>
    </row>
    <row r="11674">
      <c r="A11674" s="2" t="str">
        <f>IFERROR(__xludf.DUMMYFUNCTION("""COMPUTED_VALUE"""),"복덩이")</f>
        <v>복덩이</v>
      </c>
      <c r="B11674" s="2" t="str">
        <f>IFERROR(__xludf.DUMMYFUNCTION("""COMPUTED_VALUE"""),"달걀")</f>
        <v>달걀</v>
      </c>
    </row>
    <row r="11675">
      <c r="A11675" s="2" t="str">
        <f>IFERROR(__xludf.DUMMYFUNCTION("""COMPUTED_VALUE"""),"복덩이")</f>
        <v>복덩이</v>
      </c>
      <c r="B11675" s="2" t="str">
        <f>IFERROR(__xludf.DUMMYFUNCTION("""COMPUTED_VALUE"""),"전분")</f>
        <v>전분</v>
      </c>
    </row>
    <row r="11676">
      <c r="A11676" s="2" t="str">
        <f>IFERROR(__xludf.DUMMYFUNCTION("""COMPUTED_VALUE"""),"한방탕")</f>
        <v>한방탕</v>
      </c>
      <c r="B11676" s="2" t="str">
        <f>IFERROR(__xludf.DUMMYFUNCTION("""COMPUTED_VALUE"""),"미나리")</f>
        <v>미나리</v>
      </c>
    </row>
    <row r="11677">
      <c r="A11677" s="2" t="str">
        <f>IFERROR(__xludf.DUMMYFUNCTION("""COMPUTED_VALUE"""),"한방탕")</f>
        <v>한방탕</v>
      </c>
      <c r="B11677" s="2" t="str">
        <f>IFERROR(__xludf.DUMMYFUNCTION("""COMPUTED_VALUE"""),"로브스터")</f>
        <v>로브스터</v>
      </c>
    </row>
    <row r="11678">
      <c r="A11678" s="2" t="str">
        <f>IFERROR(__xludf.DUMMYFUNCTION("""COMPUTED_VALUE"""),"한방탕")</f>
        <v>한방탕</v>
      </c>
      <c r="B11678" s="2" t="str">
        <f>IFERROR(__xludf.DUMMYFUNCTION("""COMPUTED_VALUE"""),"전복")</f>
        <v>전복</v>
      </c>
    </row>
    <row r="11679">
      <c r="A11679" s="2" t="str">
        <f>IFERROR(__xludf.DUMMYFUNCTION("""COMPUTED_VALUE"""),"한방탕")</f>
        <v>한방탕</v>
      </c>
      <c r="B11679" s="2" t="str">
        <f>IFERROR(__xludf.DUMMYFUNCTION("""COMPUTED_VALUE"""),"관자")</f>
        <v>관자</v>
      </c>
    </row>
    <row r="11680">
      <c r="A11680" s="2" t="str">
        <f>IFERROR(__xludf.DUMMYFUNCTION("""COMPUTED_VALUE"""),"한방탕")</f>
        <v>한방탕</v>
      </c>
      <c r="B11680" s="2" t="str">
        <f>IFERROR(__xludf.DUMMYFUNCTION("""COMPUTED_VALUE"""),"잣")</f>
        <v>잣</v>
      </c>
    </row>
    <row r="11681">
      <c r="A11681" s="2" t="str">
        <f>IFERROR(__xludf.DUMMYFUNCTION("""COMPUTED_VALUE"""),"한방탕")</f>
        <v>한방탕</v>
      </c>
      <c r="B11681" s="2" t="str">
        <f>IFERROR(__xludf.DUMMYFUNCTION("""COMPUTED_VALUE"""),"피스타치오")</f>
        <v>피스타치오</v>
      </c>
    </row>
    <row r="11682">
      <c r="A11682" s="2" t="str">
        <f>IFERROR(__xludf.DUMMYFUNCTION("""COMPUTED_VALUE"""),"한방탕")</f>
        <v>한방탕</v>
      </c>
      <c r="B11682" s="2" t="str">
        <f>IFERROR(__xludf.DUMMYFUNCTION("""COMPUTED_VALUE"""),"참외")</f>
        <v>참외</v>
      </c>
    </row>
    <row r="11683">
      <c r="A11683" s="2" t="str">
        <f>IFERROR(__xludf.DUMMYFUNCTION("""COMPUTED_VALUE"""),"한방탕")</f>
        <v>한방탕</v>
      </c>
      <c r="B11683" s="2" t="str">
        <f>IFERROR(__xludf.DUMMYFUNCTION("""COMPUTED_VALUE"""),"우유")</f>
        <v>우유</v>
      </c>
    </row>
    <row r="11684">
      <c r="A11684" s="2" t="str">
        <f>IFERROR(__xludf.DUMMYFUNCTION("""COMPUTED_VALUE"""),"한방탕")</f>
        <v>한방탕</v>
      </c>
      <c r="B11684" s="2" t="str">
        <f>IFERROR(__xludf.DUMMYFUNCTION("""COMPUTED_VALUE"""),"유자청")</f>
        <v>유자청</v>
      </c>
    </row>
    <row r="11685">
      <c r="A11685" s="2" t="str">
        <f>IFERROR(__xludf.DUMMYFUNCTION("""COMPUTED_VALUE"""),"한방탕")</f>
        <v>한방탕</v>
      </c>
      <c r="B11685" s="2" t="str">
        <f>IFERROR(__xludf.DUMMYFUNCTION("""COMPUTED_VALUE"""),"쯔유")</f>
        <v>쯔유</v>
      </c>
    </row>
    <row r="11686">
      <c r="A11686" s="2" t="str">
        <f>IFERROR(__xludf.DUMMYFUNCTION("""COMPUTED_VALUE"""),"한방탕")</f>
        <v>한방탕</v>
      </c>
      <c r="B11686" s="2" t="str">
        <f>IFERROR(__xludf.DUMMYFUNCTION("""COMPUTED_VALUE"""),"라이스페이퍼")</f>
        <v>라이스페이퍼</v>
      </c>
    </row>
    <row r="11687">
      <c r="A11687" s="2" t="str">
        <f>IFERROR(__xludf.DUMMYFUNCTION("""COMPUTED_VALUE"""),"한방탕")</f>
        <v>한방탕</v>
      </c>
      <c r="B11687" s="2" t="str">
        <f>IFERROR(__xludf.DUMMYFUNCTION("""COMPUTED_VALUE"""),"소금")</f>
        <v>소금</v>
      </c>
    </row>
    <row r="11688">
      <c r="A11688" s="2" t="str">
        <f>IFERROR(__xludf.DUMMYFUNCTION("""COMPUTED_VALUE"""),"한방탕")</f>
        <v>한방탕</v>
      </c>
      <c r="B11688" s="2" t="str">
        <f>IFERROR(__xludf.DUMMYFUNCTION("""COMPUTED_VALUE"""),"양파")</f>
        <v>양파</v>
      </c>
    </row>
    <row r="11689">
      <c r="A11689" s="2" t="str">
        <f>IFERROR(__xludf.DUMMYFUNCTION("""COMPUTED_VALUE"""),"한방탕")</f>
        <v>한방탕</v>
      </c>
      <c r="B11689" s="2" t="str">
        <f>IFERROR(__xludf.DUMMYFUNCTION("""COMPUTED_VALUE"""),"마늘")</f>
        <v>마늘</v>
      </c>
    </row>
    <row r="11690">
      <c r="A11690" s="2" t="str">
        <f>IFERROR(__xludf.DUMMYFUNCTION("""COMPUTED_VALUE"""),"한방탕")</f>
        <v>한방탕</v>
      </c>
      <c r="B11690" s="2" t="str">
        <f>IFERROR(__xludf.DUMMYFUNCTION("""COMPUTED_VALUE"""),"당근")</f>
        <v>당근</v>
      </c>
    </row>
    <row r="11691">
      <c r="A11691" s="2" t="str">
        <f>IFERROR(__xludf.DUMMYFUNCTION("""COMPUTED_VALUE"""),"한방탕")</f>
        <v>한방탕</v>
      </c>
      <c r="B11691" s="2" t="str">
        <f>IFERROR(__xludf.DUMMYFUNCTION("""COMPUTED_VALUE"""),"레몬")</f>
        <v>레몬</v>
      </c>
    </row>
    <row r="11692">
      <c r="A11692" s="2" t="str">
        <f>IFERROR(__xludf.DUMMYFUNCTION("""COMPUTED_VALUE"""),"한방탕")</f>
        <v>한방탕</v>
      </c>
      <c r="B11692" s="2" t="str">
        <f>IFERROR(__xludf.DUMMYFUNCTION("""COMPUTED_VALUE"""),"화이트와인")</f>
        <v>화이트와인</v>
      </c>
    </row>
    <row r="11693">
      <c r="A11693" s="2" t="str">
        <f>IFERROR(__xludf.DUMMYFUNCTION("""COMPUTED_VALUE"""),"한방탕")</f>
        <v>한방탕</v>
      </c>
      <c r="B11693" s="2" t="str">
        <f>IFERROR(__xludf.DUMMYFUNCTION("""COMPUTED_VALUE"""),"참기름")</f>
        <v>참기름</v>
      </c>
    </row>
    <row r="11694">
      <c r="A11694" s="2" t="str">
        <f>IFERROR(__xludf.DUMMYFUNCTION("""COMPUTED_VALUE"""),"한방탕")</f>
        <v>한방탕</v>
      </c>
      <c r="B11694" s="2" t="str">
        <f>IFERROR(__xludf.DUMMYFUNCTION("""COMPUTED_VALUE"""),"깨")</f>
        <v>깨</v>
      </c>
    </row>
    <row r="11695">
      <c r="A11695" s="2" t="str">
        <f>IFERROR(__xludf.DUMMYFUNCTION("""COMPUTED_VALUE"""),"한방탕")</f>
        <v>한방탕</v>
      </c>
      <c r="B11695" s="2" t="str">
        <f>IFERROR(__xludf.DUMMYFUNCTION("""COMPUTED_VALUE"""),"식초")</f>
        <v>식초</v>
      </c>
    </row>
    <row r="11696">
      <c r="A11696" s="2" t="str">
        <f>IFERROR(__xludf.DUMMYFUNCTION("""COMPUTED_VALUE"""),"한방탕")</f>
        <v>한방탕</v>
      </c>
      <c r="B11696" s="2" t="str">
        <f>IFERROR(__xludf.DUMMYFUNCTION("""COMPUTED_VALUE"""),"달걀")</f>
        <v>달걀</v>
      </c>
    </row>
    <row r="11697">
      <c r="A11697" s="2" t="str">
        <f>IFERROR(__xludf.DUMMYFUNCTION("""COMPUTED_VALUE"""),"낫토 먹고 crab! crab! crab! crab!")</f>
        <v>낫토 먹고 crab! crab! crab! crab!</v>
      </c>
      <c r="B11697" s="2" t="str">
        <f>IFERROR(__xludf.DUMMYFUNCTION("""COMPUTED_VALUE"""),"베이컨")</f>
        <v>베이컨</v>
      </c>
    </row>
    <row r="11698">
      <c r="A11698" s="2" t="str">
        <f>IFERROR(__xludf.DUMMYFUNCTION("""COMPUTED_VALUE"""),"낫토 먹고 crab! crab! crab! crab!")</f>
        <v>낫토 먹고 crab! crab! crab! crab!</v>
      </c>
      <c r="B11698" s="2" t="str">
        <f>IFERROR(__xludf.DUMMYFUNCTION("""COMPUTED_VALUE"""),"살치살")</f>
        <v>살치살</v>
      </c>
    </row>
    <row r="11699">
      <c r="A11699" s="2" t="str">
        <f>IFERROR(__xludf.DUMMYFUNCTION("""COMPUTED_VALUE"""),"낫토 먹고 crab! crab! crab! crab!")</f>
        <v>낫토 먹고 crab! crab! crab! crab!</v>
      </c>
      <c r="B11699" s="2" t="str">
        <f>IFERROR(__xludf.DUMMYFUNCTION("""COMPUTED_VALUE"""),"건표고버섯")</f>
        <v>건표고버섯</v>
      </c>
    </row>
    <row r="11700">
      <c r="A11700" s="2" t="str">
        <f>IFERROR(__xludf.DUMMYFUNCTION("""COMPUTED_VALUE"""),"낫토 먹고 crab! crab! crab! crab!")</f>
        <v>낫토 먹고 crab! crab! crab! crab!</v>
      </c>
      <c r="B11700" s="2" t="str">
        <f>IFERROR(__xludf.DUMMYFUNCTION("""COMPUTED_VALUE"""),"메밀면")</f>
        <v>메밀면</v>
      </c>
    </row>
    <row r="11701">
      <c r="A11701" s="2" t="str">
        <f>IFERROR(__xludf.DUMMYFUNCTION("""COMPUTED_VALUE"""),"낫토 먹고 crab! crab! crab! crab!")</f>
        <v>낫토 먹고 crab! crab! crab! crab!</v>
      </c>
      <c r="B11701" s="2" t="str">
        <f>IFERROR(__xludf.DUMMYFUNCTION("""COMPUTED_VALUE"""),"김치")</f>
        <v>김치</v>
      </c>
    </row>
    <row r="11702">
      <c r="A11702" s="2" t="str">
        <f>IFERROR(__xludf.DUMMYFUNCTION("""COMPUTED_VALUE"""),"낫토 먹고 crab! crab! crab! crab!")</f>
        <v>낫토 먹고 crab! crab! crab! crab!</v>
      </c>
      <c r="B11702" s="2" t="str">
        <f>IFERROR(__xludf.DUMMYFUNCTION("""COMPUTED_VALUE"""),"낫토")</f>
        <v>낫토</v>
      </c>
    </row>
    <row r="11703">
      <c r="A11703" s="2" t="str">
        <f>IFERROR(__xludf.DUMMYFUNCTION("""COMPUTED_VALUE"""),"낫토 먹고 crab! crab! crab! crab!")</f>
        <v>낫토 먹고 crab! crab! crab! crab!</v>
      </c>
      <c r="B11703" s="2" t="str">
        <f>IFERROR(__xludf.DUMMYFUNCTION("""COMPUTED_VALUE"""),"냉동 간장게장")</f>
        <v>냉동 간장게장</v>
      </c>
    </row>
    <row r="11704">
      <c r="A11704" s="2" t="str">
        <f>IFERROR(__xludf.DUMMYFUNCTION("""COMPUTED_VALUE"""),"낫토 먹고 crab! crab! crab! crab!")</f>
        <v>낫토 먹고 crab! crab! crab! crab!</v>
      </c>
      <c r="B11704" s="2" t="str">
        <f>IFERROR(__xludf.DUMMYFUNCTION("""COMPUTED_VALUE"""),"달걀")</f>
        <v>달걀</v>
      </c>
    </row>
    <row r="11705">
      <c r="A11705" s="2" t="str">
        <f>IFERROR(__xludf.DUMMYFUNCTION("""COMPUTED_VALUE"""),"낫토 먹고 crab! crab! crab! crab!")</f>
        <v>낫토 먹고 crab! crab! crab! crab!</v>
      </c>
      <c r="B11705" s="2" t="str">
        <f>IFERROR(__xludf.DUMMYFUNCTION("""COMPUTED_VALUE"""),"옐로우스리라차소스")</f>
        <v>옐로우스리라차소스</v>
      </c>
    </row>
    <row r="11706">
      <c r="A11706" s="2" t="str">
        <f>IFERROR(__xludf.DUMMYFUNCTION("""COMPUTED_VALUE"""),"낫토 먹고 crab! crab! crab! crab!")</f>
        <v>낫토 먹고 crab! crab! crab! crab!</v>
      </c>
      <c r="B11706" s="2" t="str">
        <f>IFERROR(__xludf.DUMMYFUNCTION("""COMPUTED_VALUE"""),"양파")</f>
        <v>양파</v>
      </c>
    </row>
    <row r="11707">
      <c r="A11707" s="2" t="str">
        <f>IFERROR(__xludf.DUMMYFUNCTION("""COMPUTED_VALUE"""),"낫토 먹고 crab! crab! crab! crab!")</f>
        <v>낫토 먹고 crab! crab! crab! crab!</v>
      </c>
      <c r="B11707" s="2" t="str">
        <f>IFERROR(__xludf.DUMMYFUNCTION("""COMPUTED_VALUE"""),"마늘")</f>
        <v>마늘</v>
      </c>
    </row>
    <row r="11708">
      <c r="A11708" s="2" t="str">
        <f>IFERROR(__xludf.DUMMYFUNCTION("""COMPUTED_VALUE"""),"낫토 먹고 crab! crab! crab! crab!")</f>
        <v>낫토 먹고 crab! crab! crab! crab!</v>
      </c>
      <c r="B11708" s="2" t="str">
        <f>IFERROR(__xludf.DUMMYFUNCTION("""COMPUTED_VALUE"""),"청양고추")</f>
        <v>청양고추</v>
      </c>
    </row>
    <row r="11709">
      <c r="A11709" s="2" t="str">
        <f>IFERROR(__xludf.DUMMYFUNCTION("""COMPUTED_VALUE"""),"낫토 먹고 crab! crab! crab! crab!")</f>
        <v>낫토 먹고 crab! crab! crab! crab!</v>
      </c>
      <c r="B11709" s="2" t="str">
        <f>IFERROR(__xludf.DUMMYFUNCTION("""COMPUTED_VALUE"""),"홍고추")</f>
        <v>홍고추</v>
      </c>
    </row>
    <row r="11710">
      <c r="A11710" s="2" t="str">
        <f>IFERROR(__xludf.DUMMYFUNCTION("""COMPUTED_VALUE"""),"낫토 먹고 crab! crab! crab! crab!")</f>
        <v>낫토 먹고 crab! crab! crab! crab!</v>
      </c>
      <c r="B11710" s="2" t="str">
        <f>IFERROR(__xludf.DUMMYFUNCTION("""COMPUTED_VALUE"""),"간장")</f>
        <v>간장</v>
      </c>
    </row>
    <row r="11711">
      <c r="A11711" s="2" t="str">
        <f>IFERROR(__xludf.DUMMYFUNCTION("""COMPUTED_VALUE"""),"낫토 먹고 crab! crab! crab! crab!")</f>
        <v>낫토 먹고 crab! crab! crab! crab!</v>
      </c>
      <c r="B11711" s="2" t="str">
        <f>IFERROR(__xludf.DUMMYFUNCTION("""COMPUTED_VALUE"""),"식초")</f>
        <v>식초</v>
      </c>
    </row>
    <row r="11712">
      <c r="A11712" s="2" t="str">
        <f>IFERROR(__xludf.DUMMYFUNCTION("""COMPUTED_VALUE"""),"낫토 먹고 crab! crab! crab! crab!")</f>
        <v>낫토 먹고 crab! crab! crab! crab!</v>
      </c>
      <c r="B11712" s="2" t="str">
        <f>IFERROR(__xludf.DUMMYFUNCTION("""COMPUTED_VALUE"""),"설탕")</f>
        <v>설탕</v>
      </c>
    </row>
    <row r="11713">
      <c r="A11713" s="2" t="str">
        <f>IFERROR(__xludf.DUMMYFUNCTION("""COMPUTED_VALUE"""),"낫토 먹고 crab! crab! crab! crab!")</f>
        <v>낫토 먹고 crab! crab! crab! crab!</v>
      </c>
      <c r="B11713" s="2" t="str">
        <f>IFERROR(__xludf.DUMMYFUNCTION("""COMPUTED_VALUE"""),"청주")</f>
        <v>청주</v>
      </c>
    </row>
    <row r="11714">
      <c r="A11714" s="2" t="str">
        <f>IFERROR(__xludf.DUMMYFUNCTION("""COMPUTED_VALUE"""),"낫토 먹고 crab! crab! crab! crab!")</f>
        <v>낫토 먹고 crab! crab! crab! crab!</v>
      </c>
      <c r="B11714" s="2" t="str">
        <f>IFERROR(__xludf.DUMMYFUNCTION("""COMPUTED_VALUE"""),"다진 마늘")</f>
        <v>다진 마늘</v>
      </c>
    </row>
    <row r="11715">
      <c r="A11715" s="2" t="str">
        <f>IFERROR(__xludf.DUMMYFUNCTION("""COMPUTED_VALUE"""),"낫토 먹고 crab! crab! crab! crab!")</f>
        <v>낫토 먹고 crab! crab! crab! crab!</v>
      </c>
      <c r="B11715" s="2" t="str">
        <f>IFERROR(__xludf.DUMMYFUNCTION("""COMPUTED_VALUE"""),"참기름")</f>
        <v>참기름</v>
      </c>
    </row>
    <row r="11716">
      <c r="A11716" s="2" t="str">
        <f>IFERROR(__xludf.DUMMYFUNCTION("""COMPUTED_VALUE"""),"낫토 먹고 crab! crab! crab! crab!")</f>
        <v>낫토 먹고 crab! crab! crab! crab!</v>
      </c>
      <c r="B11716" s="2" t="str">
        <f>IFERROR(__xludf.DUMMYFUNCTION("""COMPUTED_VALUE"""),"연겨자")</f>
        <v>연겨자</v>
      </c>
    </row>
    <row r="11717">
      <c r="A11717" s="2" t="str">
        <f>IFERROR(__xludf.DUMMYFUNCTION("""COMPUTED_VALUE"""),"낫토 먹고 crab! crab! crab! crab!")</f>
        <v>낫토 먹고 crab! crab! crab! crab!</v>
      </c>
      <c r="B11717" s="2" t="str">
        <f>IFERROR(__xludf.DUMMYFUNCTION("""COMPUTED_VALUE"""),"즉석밥")</f>
        <v>즉석밥</v>
      </c>
    </row>
    <row r="11718">
      <c r="A11718" s="2" t="str">
        <f>IFERROR(__xludf.DUMMYFUNCTION("""COMPUTED_VALUE"""),"낫토 먹고 crab! crab! crab! crab!")</f>
        <v>낫토 먹고 crab! crab! crab! crab!</v>
      </c>
      <c r="B11718" s="2" t="str">
        <f>IFERROR(__xludf.DUMMYFUNCTION("""COMPUTED_VALUE"""),"대파")</f>
        <v>대파</v>
      </c>
    </row>
    <row r="11719">
      <c r="A11719" s="2" t="str">
        <f>IFERROR(__xludf.DUMMYFUNCTION("""COMPUTED_VALUE"""),"I'm so sorry 보말 love you♬")</f>
        <v>I'm so sorry 보말 love you♬</v>
      </c>
      <c r="B11719" s="2" t="str">
        <f>IFERROR(__xludf.DUMMYFUNCTION("""COMPUTED_VALUE"""),"통삼겹살")</f>
        <v>통삼겹살</v>
      </c>
    </row>
    <row r="11720">
      <c r="A11720" s="2" t="str">
        <f>IFERROR(__xludf.DUMMYFUNCTION("""COMPUTED_VALUE"""),"I'm so sorry 보말 love you♬")</f>
        <v>I'm so sorry 보말 love you♬</v>
      </c>
      <c r="B11720" s="2" t="str">
        <f>IFERROR(__xludf.DUMMYFUNCTION("""COMPUTED_VALUE"""),"맥주")</f>
        <v>맥주</v>
      </c>
    </row>
    <row r="11721">
      <c r="A11721" s="2" t="str">
        <f>IFERROR(__xludf.DUMMYFUNCTION("""COMPUTED_VALUE"""),"I'm so sorry 보말 love you♬")</f>
        <v>I'm so sorry 보말 love you♬</v>
      </c>
      <c r="B11721" s="2" t="str">
        <f>IFERROR(__xludf.DUMMYFUNCTION("""COMPUTED_VALUE"""),"커피가루")</f>
        <v>커피가루</v>
      </c>
    </row>
    <row r="11722">
      <c r="A11722" s="2" t="str">
        <f>IFERROR(__xludf.DUMMYFUNCTION("""COMPUTED_VALUE"""),"I'm so sorry 보말 love you♬")</f>
        <v>I'm so sorry 보말 love you♬</v>
      </c>
      <c r="B11722" s="2" t="str">
        <f>IFERROR(__xludf.DUMMYFUNCTION("""COMPUTED_VALUE"""),"멸치육수팩")</f>
        <v>멸치육수팩</v>
      </c>
    </row>
    <row r="11723">
      <c r="A11723" s="2" t="str">
        <f>IFERROR(__xludf.DUMMYFUNCTION("""COMPUTED_VALUE"""),"I'm so sorry 보말 love you♬")</f>
        <v>I'm so sorry 보말 love you♬</v>
      </c>
      <c r="B11723" s="2" t="str">
        <f>IFERROR(__xludf.DUMMYFUNCTION("""COMPUTED_VALUE"""),"전복")</f>
        <v>전복</v>
      </c>
    </row>
    <row r="11724">
      <c r="A11724" s="2" t="str">
        <f>IFERROR(__xludf.DUMMYFUNCTION("""COMPUTED_VALUE"""),"I'm so sorry 보말 love you♬")</f>
        <v>I'm so sorry 보말 love you♬</v>
      </c>
      <c r="B11724" s="2" t="str">
        <f>IFERROR(__xludf.DUMMYFUNCTION("""COMPUTED_VALUE"""),"보말")</f>
        <v>보말</v>
      </c>
    </row>
    <row r="11725">
      <c r="A11725" s="2" t="str">
        <f>IFERROR(__xludf.DUMMYFUNCTION("""COMPUTED_VALUE"""),"I'm so sorry 보말 love you♬")</f>
        <v>I'm so sorry 보말 love you♬</v>
      </c>
      <c r="B11725" s="2" t="str">
        <f>IFERROR(__xludf.DUMMYFUNCTION("""COMPUTED_VALUE"""),"멜젓소스")</f>
        <v>멜젓소스</v>
      </c>
    </row>
    <row r="11726">
      <c r="A11726" s="2" t="str">
        <f>IFERROR(__xludf.DUMMYFUNCTION("""COMPUTED_VALUE"""),"I'm so sorry 보말 love you♬")</f>
        <v>I'm so sorry 보말 love you♬</v>
      </c>
      <c r="B11726" s="2" t="str">
        <f>IFERROR(__xludf.DUMMYFUNCTION("""COMPUTED_VALUE"""),"건표고버섯")</f>
        <v>건표고버섯</v>
      </c>
    </row>
    <row r="11727">
      <c r="A11727" s="2" t="str">
        <f>IFERROR(__xludf.DUMMYFUNCTION("""COMPUTED_VALUE"""),"I'm so sorry 보말 love you♬")</f>
        <v>I'm so sorry 보말 love you♬</v>
      </c>
      <c r="B11727" s="2" t="str">
        <f>IFERROR(__xludf.DUMMYFUNCTION("""COMPUTED_VALUE"""),"액상조미료")</f>
        <v>액상조미료</v>
      </c>
    </row>
    <row r="11728">
      <c r="A11728" s="2" t="str">
        <f>IFERROR(__xludf.DUMMYFUNCTION("""COMPUTED_VALUE"""),"I'm so sorry 보말 love you♬")</f>
        <v>I'm so sorry 보말 love you♬</v>
      </c>
      <c r="B11728" s="2" t="str">
        <f>IFERROR(__xludf.DUMMYFUNCTION("""COMPUTED_VALUE"""),"소면")</f>
        <v>소면</v>
      </c>
    </row>
    <row r="11729">
      <c r="A11729" s="2" t="str">
        <f>IFERROR(__xludf.DUMMYFUNCTION("""COMPUTED_VALUE"""),"I'm so sorry 보말 love you♬")</f>
        <v>I'm so sorry 보말 love you♬</v>
      </c>
      <c r="B11729" s="2" t="str">
        <f>IFERROR(__xludf.DUMMYFUNCTION("""COMPUTED_VALUE"""),"당근")</f>
        <v>당근</v>
      </c>
    </row>
    <row r="11730">
      <c r="A11730" s="2" t="str">
        <f>IFERROR(__xludf.DUMMYFUNCTION("""COMPUTED_VALUE"""),"I'm so sorry 보말 love you♬")</f>
        <v>I'm so sorry 보말 love you♬</v>
      </c>
      <c r="B11730" s="2" t="str">
        <f>IFERROR(__xludf.DUMMYFUNCTION("""COMPUTED_VALUE"""),"대파")</f>
        <v>대파</v>
      </c>
    </row>
    <row r="11731">
      <c r="A11731" s="2" t="str">
        <f>IFERROR(__xludf.DUMMYFUNCTION("""COMPUTED_VALUE"""),"I'm so sorry 보말 love you♬")</f>
        <v>I'm so sorry 보말 love you♬</v>
      </c>
      <c r="B11731" s="2" t="str">
        <f>IFERROR(__xludf.DUMMYFUNCTION("""COMPUTED_VALUE"""),"맛술")</f>
        <v>맛술</v>
      </c>
    </row>
    <row r="11732">
      <c r="A11732" s="2" t="str">
        <f>IFERROR(__xludf.DUMMYFUNCTION("""COMPUTED_VALUE"""),"I'm so sorry 보말 love you♬")</f>
        <v>I'm so sorry 보말 love you♬</v>
      </c>
      <c r="B11732" s="2" t="str">
        <f>IFERROR(__xludf.DUMMYFUNCTION("""COMPUTED_VALUE"""),"멸치육수팩")</f>
        <v>멸치육수팩</v>
      </c>
    </row>
    <row r="11733">
      <c r="A11733" s="2" t="str">
        <f>IFERROR(__xludf.DUMMYFUNCTION("""COMPUTED_VALUE"""),"I'm so sorry 보말 love you♬")</f>
        <v>I'm so sorry 보말 love you♬</v>
      </c>
      <c r="B11733" s="2" t="str">
        <f>IFERROR(__xludf.DUMMYFUNCTION("""COMPUTED_VALUE"""),"들기름")</f>
        <v>들기름</v>
      </c>
    </row>
    <row r="11734">
      <c r="A11734" s="2" t="str">
        <f>IFERROR(__xludf.DUMMYFUNCTION("""COMPUTED_VALUE"""),"I'm so sorry 보말 love you♬")</f>
        <v>I'm so sorry 보말 love you♬</v>
      </c>
      <c r="B11734" s="2" t="str">
        <f>IFERROR(__xludf.DUMMYFUNCTION("""COMPUTED_VALUE"""),"참기름")</f>
        <v>참기름</v>
      </c>
    </row>
    <row r="11735">
      <c r="A11735" s="2" t="str">
        <f>IFERROR(__xludf.DUMMYFUNCTION("""COMPUTED_VALUE"""),"I'm so sorry 보말 love you♬")</f>
        <v>I'm so sorry 보말 love you♬</v>
      </c>
      <c r="B11735" s="2" t="str">
        <f>IFERROR(__xludf.DUMMYFUNCTION("""COMPUTED_VALUE"""),"밀가루")</f>
        <v>밀가루</v>
      </c>
    </row>
    <row r="11736">
      <c r="A11736" s="2" t="str">
        <f>IFERROR(__xludf.DUMMYFUNCTION("""COMPUTED_VALUE"""),"I'm so sorry 보말 love you♬")</f>
        <v>I'm so sorry 보말 love you♬</v>
      </c>
      <c r="B11736" s="2" t="str">
        <f>IFERROR(__xludf.DUMMYFUNCTION("""COMPUTED_VALUE"""),"고춧가루")</f>
        <v>고춧가루</v>
      </c>
    </row>
    <row r="11737">
      <c r="A11737" s="2" t="str">
        <f>IFERROR(__xludf.DUMMYFUNCTION("""COMPUTED_VALUE"""),"I'm so sorry 보말 love you♬")</f>
        <v>I'm so sorry 보말 love you♬</v>
      </c>
      <c r="B11737" s="2" t="str">
        <f>IFERROR(__xludf.DUMMYFUNCTION("""COMPUTED_VALUE"""),"식초")</f>
        <v>식초</v>
      </c>
    </row>
    <row r="11738">
      <c r="A11738" s="2" t="str">
        <f>IFERROR(__xludf.DUMMYFUNCTION("""COMPUTED_VALUE"""),"I'm so sorry 보말 love you♬")</f>
        <v>I'm so sorry 보말 love you♬</v>
      </c>
      <c r="B11738" s="2" t="str">
        <f>IFERROR(__xludf.DUMMYFUNCTION("""COMPUTED_VALUE"""),"다진 마늘")</f>
        <v>다진 마늘</v>
      </c>
    </row>
    <row r="11739">
      <c r="A11739" s="2" t="str">
        <f>IFERROR(__xludf.DUMMYFUNCTION("""COMPUTED_VALUE"""),"I'm so sorry 보말 love you♬")</f>
        <v>I'm so sorry 보말 love you♬</v>
      </c>
      <c r="B11739" s="2" t="str">
        <f>IFERROR(__xludf.DUMMYFUNCTION("""COMPUTED_VALUE"""),"간장")</f>
        <v>간장</v>
      </c>
    </row>
    <row r="11740">
      <c r="A11740" s="2" t="str">
        <f>IFERROR(__xludf.DUMMYFUNCTION("""COMPUTED_VALUE"""),"I'm so sorry 보말 love you♬")</f>
        <v>I'm so sorry 보말 love you♬</v>
      </c>
      <c r="B11740" s="2" t="str">
        <f>IFERROR(__xludf.DUMMYFUNCTION("""COMPUTED_VALUE"""),"전분")</f>
        <v>전분</v>
      </c>
    </row>
    <row r="11741">
      <c r="A11741" s="2" t="str">
        <f>IFERROR(__xludf.DUMMYFUNCTION("""COMPUTED_VALUE"""),"I'm so sorry 보말 love you♬")</f>
        <v>I'm so sorry 보말 love you♬</v>
      </c>
      <c r="B11741" s="2" t="str">
        <f>IFERROR(__xludf.DUMMYFUNCTION("""COMPUTED_VALUE"""),"청양고추")</f>
        <v>청양고추</v>
      </c>
    </row>
    <row r="11742">
      <c r="A11742" s="2" t="str">
        <f>IFERROR(__xludf.DUMMYFUNCTION("""COMPUTED_VALUE"""),"I'm so sorry 보말 love you♬")</f>
        <v>I'm so sorry 보말 love you♬</v>
      </c>
      <c r="B11742" s="2" t="str">
        <f>IFERROR(__xludf.DUMMYFUNCTION("""COMPUTED_VALUE"""),"통삼겹살")</f>
        <v>통삼겹살</v>
      </c>
    </row>
    <row r="11743">
      <c r="A11743" s="2" t="str">
        <f>IFERROR(__xludf.DUMMYFUNCTION("""COMPUTED_VALUE"""),"I'm so sorry 보말 love you♬")</f>
        <v>I'm so sorry 보말 love you♬</v>
      </c>
      <c r="B11743" s="2" t="str">
        <f>IFERROR(__xludf.DUMMYFUNCTION("""COMPUTED_VALUE"""),"맥주")</f>
        <v>맥주</v>
      </c>
    </row>
    <row r="11744">
      <c r="A11744" s="2" t="str">
        <f>IFERROR(__xludf.DUMMYFUNCTION("""COMPUTED_VALUE"""),"I'm so sorry 보말 love you♬")</f>
        <v>I'm so sorry 보말 love you♬</v>
      </c>
      <c r="B11744" s="2" t="str">
        <f>IFERROR(__xludf.DUMMYFUNCTION("""COMPUTED_VALUE"""),"커피가루")</f>
        <v>커피가루</v>
      </c>
    </row>
    <row r="11745">
      <c r="A11745" s="2" t="str">
        <f>IFERROR(__xludf.DUMMYFUNCTION("""COMPUTED_VALUE"""),"I'm so sorry 보말 love you♬")</f>
        <v>I'm so sorry 보말 love you♬</v>
      </c>
      <c r="B11745" s="2" t="str">
        <f>IFERROR(__xludf.DUMMYFUNCTION("""COMPUTED_VALUE"""),"멸치육수팩")</f>
        <v>멸치육수팩</v>
      </c>
    </row>
    <row r="11746">
      <c r="A11746" s="2" t="str">
        <f>IFERROR(__xludf.DUMMYFUNCTION("""COMPUTED_VALUE"""),"I'm so sorry 보말 love you♬")</f>
        <v>I'm so sorry 보말 love you♬</v>
      </c>
      <c r="B11746" s="2" t="str">
        <f>IFERROR(__xludf.DUMMYFUNCTION("""COMPUTED_VALUE"""),"전복")</f>
        <v>전복</v>
      </c>
    </row>
    <row r="11747">
      <c r="A11747" s="2" t="str">
        <f>IFERROR(__xludf.DUMMYFUNCTION("""COMPUTED_VALUE"""),"I'm so sorry 보말 love you♬")</f>
        <v>I'm so sorry 보말 love you♬</v>
      </c>
      <c r="B11747" s="2" t="str">
        <f>IFERROR(__xludf.DUMMYFUNCTION("""COMPUTED_VALUE"""),"보말")</f>
        <v>보말</v>
      </c>
    </row>
    <row r="11748">
      <c r="A11748" s="2" t="str">
        <f>IFERROR(__xludf.DUMMYFUNCTION("""COMPUTED_VALUE"""),"I'm so sorry 보말 love you♬")</f>
        <v>I'm so sorry 보말 love you♬</v>
      </c>
      <c r="B11748" s="2" t="str">
        <f>IFERROR(__xludf.DUMMYFUNCTION("""COMPUTED_VALUE"""),"멜젓소스")</f>
        <v>멜젓소스</v>
      </c>
    </row>
    <row r="11749">
      <c r="A11749" s="2" t="str">
        <f>IFERROR(__xludf.DUMMYFUNCTION("""COMPUTED_VALUE"""),"I'm so sorry 보말 love you♬")</f>
        <v>I'm so sorry 보말 love you♬</v>
      </c>
      <c r="B11749" s="2" t="str">
        <f>IFERROR(__xludf.DUMMYFUNCTION("""COMPUTED_VALUE"""),"건표고버섯")</f>
        <v>건표고버섯</v>
      </c>
    </row>
    <row r="11750">
      <c r="A11750" s="2" t="str">
        <f>IFERROR(__xludf.DUMMYFUNCTION("""COMPUTED_VALUE"""),"I'm so sorry 보말 love you♬")</f>
        <v>I'm so sorry 보말 love you♬</v>
      </c>
      <c r="B11750" s="2" t="str">
        <f>IFERROR(__xludf.DUMMYFUNCTION("""COMPUTED_VALUE"""),"액상조미료")</f>
        <v>액상조미료</v>
      </c>
    </row>
    <row r="11751">
      <c r="A11751" s="2" t="str">
        <f>IFERROR(__xludf.DUMMYFUNCTION("""COMPUTED_VALUE"""),"I'm so sorry 보말 love you♬")</f>
        <v>I'm so sorry 보말 love you♬</v>
      </c>
      <c r="B11751" s="2" t="str">
        <f>IFERROR(__xludf.DUMMYFUNCTION("""COMPUTED_VALUE"""),"소면")</f>
        <v>소면</v>
      </c>
    </row>
    <row r="11752">
      <c r="A11752" s="2" t="str">
        <f>IFERROR(__xludf.DUMMYFUNCTION("""COMPUTED_VALUE"""),"I'm so sorry 보말 love you♬")</f>
        <v>I'm so sorry 보말 love you♬</v>
      </c>
      <c r="B11752" s="2" t="str">
        <f>IFERROR(__xludf.DUMMYFUNCTION("""COMPUTED_VALUE"""),"당근")</f>
        <v>당근</v>
      </c>
    </row>
    <row r="11753">
      <c r="A11753" s="2" t="str">
        <f>IFERROR(__xludf.DUMMYFUNCTION("""COMPUTED_VALUE"""),"I'm so sorry 보말 love you♬")</f>
        <v>I'm so sorry 보말 love you♬</v>
      </c>
      <c r="B11753" s="2" t="str">
        <f>IFERROR(__xludf.DUMMYFUNCTION("""COMPUTED_VALUE"""),"대파")</f>
        <v>대파</v>
      </c>
    </row>
    <row r="11754">
      <c r="A11754" s="2" t="str">
        <f>IFERROR(__xludf.DUMMYFUNCTION("""COMPUTED_VALUE"""),"I'm so sorry 보말 love you♬")</f>
        <v>I'm so sorry 보말 love you♬</v>
      </c>
      <c r="B11754" s="2" t="str">
        <f>IFERROR(__xludf.DUMMYFUNCTION("""COMPUTED_VALUE"""),"맛술")</f>
        <v>맛술</v>
      </c>
    </row>
    <row r="11755">
      <c r="A11755" s="2" t="str">
        <f>IFERROR(__xludf.DUMMYFUNCTION("""COMPUTED_VALUE"""),"I'm so sorry 보말 love you♬")</f>
        <v>I'm so sorry 보말 love you♬</v>
      </c>
      <c r="B11755" s="2" t="str">
        <f>IFERROR(__xludf.DUMMYFUNCTION("""COMPUTED_VALUE"""),"멸치육수팩")</f>
        <v>멸치육수팩</v>
      </c>
    </row>
    <row r="11756">
      <c r="A11756" s="2" t="str">
        <f>IFERROR(__xludf.DUMMYFUNCTION("""COMPUTED_VALUE"""),"I'm so sorry 보말 love you♬")</f>
        <v>I'm so sorry 보말 love you♬</v>
      </c>
      <c r="B11756" s="2" t="str">
        <f>IFERROR(__xludf.DUMMYFUNCTION("""COMPUTED_VALUE"""),"들기름")</f>
        <v>들기름</v>
      </c>
    </row>
    <row r="11757">
      <c r="A11757" s="2" t="str">
        <f>IFERROR(__xludf.DUMMYFUNCTION("""COMPUTED_VALUE"""),"I'm so sorry 보말 love you♬")</f>
        <v>I'm so sorry 보말 love you♬</v>
      </c>
      <c r="B11757" s="2" t="str">
        <f>IFERROR(__xludf.DUMMYFUNCTION("""COMPUTED_VALUE"""),"참기름")</f>
        <v>참기름</v>
      </c>
    </row>
    <row r="11758">
      <c r="A11758" s="2" t="str">
        <f>IFERROR(__xludf.DUMMYFUNCTION("""COMPUTED_VALUE"""),"I'm so sorry 보말 love you♬")</f>
        <v>I'm so sorry 보말 love you♬</v>
      </c>
      <c r="B11758" s="2" t="str">
        <f>IFERROR(__xludf.DUMMYFUNCTION("""COMPUTED_VALUE"""),"밀가루")</f>
        <v>밀가루</v>
      </c>
    </row>
    <row r="11759">
      <c r="A11759" s="2" t="str">
        <f>IFERROR(__xludf.DUMMYFUNCTION("""COMPUTED_VALUE"""),"I'm so sorry 보말 love you♬")</f>
        <v>I'm so sorry 보말 love you♬</v>
      </c>
      <c r="B11759" s="2" t="str">
        <f>IFERROR(__xludf.DUMMYFUNCTION("""COMPUTED_VALUE"""),"고춧가루")</f>
        <v>고춧가루</v>
      </c>
    </row>
    <row r="11760">
      <c r="A11760" s="2" t="str">
        <f>IFERROR(__xludf.DUMMYFUNCTION("""COMPUTED_VALUE"""),"I'm so sorry 보말 love you♬")</f>
        <v>I'm so sorry 보말 love you♬</v>
      </c>
      <c r="B11760" s="2" t="str">
        <f>IFERROR(__xludf.DUMMYFUNCTION("""COMPUTED_VALUE"""),"식초")</f>
        <v>식초</v>
      </c>
    </row>
    <row r="11761">
      <c r="A11761" s="2" t="str">
        <f>IFERROR(__xludf.DUMMYFUNCTION("""COMPUTED_VALUE"""),"I'm so sorry 보말 love you♬")</f>
        <v>I'm so sorry 보말 love you♬</v>
      </c>
      <c r="B11761" s="2" t="str">
        <f>IFERROR(__xludf.DUMMYFUNCTION("""COMPUTED_VALUE"""),"다진 마늘")</f>
        <v>다진 마늘</v>
      </c>
    </row>
    <row r="11762">
      <c r="A11762" s="2" t="str">
        <f>IFERROR(__xludf.DUMMYFUNCTION("""COMPUTED_VALUE"""),"I'm so sorry 보말 love you♬")</f>
        <v>I'm so sorry 보말 love you♬</v>
      </c>
      <c r="B11762" s="2" t="str">
        <f>IFERROR(__xludf.DUMMYFUNCTION("""COMPUTED_VALUE"""),"간장")</f>
        <v>간장</v>
      </c>
    </row>
    <row r="11763">
      <c r="A11763" s="2" t="str">
        <f>IFERROR(__xludf.DUMMYFUNCTION("""COMPUTED_VALUE"""),"I'm so sorry 보말 love you♬")</f>
        <v>I'm so sorry 보말 love you♬</v>
      </c>
      <c r="B11763" s="2" t="str">
        <f>IFERROR(__xludf.DUMMYFUNCTION("""COMPUTED_VALUE"""),"전분")</f>
        <v>전분</v>
      </c>
    </row>
    <row r="11764">
      <c r="A11764" s="2" t="str">
        <f>IFERROR(__xludf.DUMMYFUNCTION("""COMPUTED_VALUE"""),"I'm so sorry 보말 love you♬")</f>
        <v>I'm so sorry 보말 love you♬</v>
      </c>
      <c r="B11764" s="2" t="str">
        <f>IFERROR(__xludf.DUMMYFUNCTION("""COMPUTED_VALUE"""),"청양고추")</f>
        <v>청양고추</v>
      </c>
    </row>
    <row r="11765">
      <c r="A11765" s="2" t="str">
        <f>IFERROR(__xludf.DUMMYFUNCTION("""COMPUTED_VALUE"""),"승리의 먹빵")</f>
        <v>승리의 먹빵</v>
      </c>
      <c r="B11765" s="2" t="str">
        <f>IFERROR(__xludf.DUMMYFUNCTION("""COMPUTED_VALUE"""),"식빵")</f>
        <v>식빵</v>
      </c>
    </row>
    <row r="11766">
      <c r="A11766" s="2" t="str">
        <f>IFERROR(__xludf.DUMMYFUNCTION("""COMPUTED_VALUE"""),"승리의 먹빵")</f>
        <v>승리의 먹빵</v>
      </c>
      <c r="B11766" s="2" t="str">
        <f>IFERROR(__xludf.DUMMYFUNCTION("""COMPUTED_VALUE"""),"블랙체리잼")</f>
        <v>블랙체리잼</v>
      </c>
    </row>
    <row r="11767">
      <c r="A11767" s="2" t="str">
        <f>IFERROR(__xludf.DUMMYFUNCTION("""COMPUTED_VALUE"""),"승리의 먹빵")</f>
        <v>승리의 먹빵</v>
      </c>
      <c r="B11767" s="2" t="str">
        <f>IFERROR(__xludf.DUMMYFUNCTION("""COMPUTED_VALUE"""),"고체카레")</f>
        <v>고체카레</v>
      </c>
    </row>
    <row r="11768">
      <c r="A11768" s="2" t="str">
        <f>IFERROR(__xludf.DUMMYFUNCTION("""COMPUTED_VALUE"""),"승리의 먹빵")</f>
        <v>승리의 먹빵</v>
      </c>
      <c r="B11768" s="2" t="str">
        <f>IFERROR(__xludf.DUMMYFUNCTION("""COMPUTED_VALUE"""),"파르메산 치즈가루")</f>
        <v>파르메산 치즈가루</v>
      </c>
    </row>
    <row r="11769">
      <c r="A11769" s="2" t="str">
        <f>IFERROR(__xludf.DUMMYFUNCTION("""COMPUTED_VALUE"""),"승리의 먹빵")</f>
        <v>승리의 먹빵</v>
      </c>
      <c r="B11769" s="2" t="str">
        <f>IFERROR(__xludf.DUMMYFUNCTION("""COMPUTED_VALUE"""),"인스턴트 제육불고기")</f>
        <v>인스턴트 제육불고기</v>
      </c>
    </row>
    <row r="11770">
      <c r="A11770" s="2" t="str">
        <f>IFERROR(__xludf.DUMMYFUNCTION("""COMPUTED_VALUE"""),"승리의 먹빵")</f>
        <v>승리의 먹빵</v>
      </c>
      <c r="B11770" s="2" t="str">
        <f>IFERROR(__xludf.DUMMYFUNCTION("""COMPUTED_VALUE"""),"베이컨")</f>
        <v>베이컨</v>
      </c>
    </row>
    <row r="11771">
      <c r="A11771" s="2" t="str">
        <f>IFERROR(__xludf.DUMMYFUNCTION("""COMPUTED_VALUE"""),"승리의 먹빵")</f>
        <v>승리의 먹빵</v>
      </c>
      <c r="B11771" s="2" t="str">
        <f>IFERROR(__xludf.DUMMYFUNCTION("""COMPUTED_VALUE"""),"자두")</f>
        <v>자두</v>
      </c>
    </row>
    <row r="11772">
      <c r="A11772" s="2" t="str">
        <f>IFERROR(__xludf.DUMMYFUNCTION("""COMPUTED_VALUE"""),"승리의 먹빵")</f>
        <v>승리의 먹빵</v>
      </c>
      <c r="B11772" s="2" t="str">
        <f>IFERROR(__xludf.DUMMYFUNCTION("""COMPUTED_VALUE"""),"베트남고추")</f>
        <v>베트남고추</v>
      </c>
    </row>
    <row r="11773">
      <c r="A11773" s="2" t="str">
        <f>IFERROR(__xludf.DUMMYFUNCTION("""COMPUTED_VALUE"""),"승리의 먹빵")</f>
        <v>승리의 먹빵</v>
      </c>
      <c r="B11773" s="2" t="str">
        <f>IFERROR(__xludf.DUMMYFUNCTION("""COMPUTED_VALUE"""),"옐로우스리라차소스")</f>
        <v>옐로우스리라차소스</v>
      </c>
    </row>
    <row r="11774">
      <c r="A11774" s="2" t="str">
        <f>IFERROR(__xludf.DUMMYFUNCTION("""COMPUTED_VALUE"""),"승리의 먹빵")</f>
        <v>승리의 먹빵</v>
      </c>
      <c r="B11774" s="2" t="str">
        <f>IFERROR(__xludf.DUMMYFUNCTION("""COMPUTED_VALUE"""),"꿀유자청")</f>
        <v>꿀유자청</v>
      </c>
    </row>
    <row r="11775">
      <c r="A11775" s="2" t="str">
        <f>IFERROR(__xludf.DUMMYFUNCTION("""COMPUTED_VALUE"""),"승리의 먹빵")</f>
        <v>승리의 먹빵</v>
      </c>
      <c r="B11775" s="2" t="str">
        <f>IFERROR(__xludf.DUMMYFUNCTION("""COMPUTED_VALUE"""),"살라미")</f>
        <v>살라미</v>
      </c>
    </row>
    <row r="11776">
      <c r="A11776" s="2" t="str">
        <f>IFERROR(__xludf.DUMMYFUNCTION("""COMPUTED_VALUE"""),"승리의 먹빵")</f>
        <v>승리의 먹빵</v>
      </c>
      <c r="B11776" s="2" t="str">
        <f>IFERROR(__xludf.DUMMYFUNCTION("""COMPUTED_VALUE"""),"버터")</f>
        <v>버터</v>
      </c>
    </row>
    <row r="11777">
      <c r="A11777" s="2" t="str">
        <f>IFERROR(__xludf.DUMMYFUNCTION("""COMPUTED_VALUE"""),"승리의 먹빵")</f>
        <v>승리의 먹빵</v>
      </c>
      <c r="B11777" s="2" t="str">
        <f>IFERROR(__xludf.DUMMYFUNCTION("""COMPUTED_VALUE"""),"대파")</f>
        <v>대파</v>
      </c>
    </row>
    <row r="11778">
      <c r="A11778" s="2" t="str">
        <f>IFERROR(__xludf.DUMMYFUNCTION("""COMPUTED_VALUE"""),"승리의 먹빵")</f>
        <v>승리의 먹빵</v>
      </c>
      <c r="B11778" s="2" t="str">
        <f>IFERROR(__xludf.DUMMYFUNCTION("""COMPUTED_VALUE"""),"후추")</f>
        <v>후추</v>
      </c>
    </row>
    <row r="11779">
      <c r="A11779" s="2" t="str">
        <f>IFERROR(__xludf.DUMMYFUNCTION("""COMPUTED_VALUE"""),"승리의 먹빵")</f>
        <v>승리의 먹빵</v>
      </c>
      <c r="B11779" s="2" t="str">
        <f>IFERROR(__xludf.DUMMYFUNCTION("""COMPUTED_VALUE"""),"밀가루")</f>
        <v>밀가루</v>
      </c>
    </row>
    <row r="11780">
      <c r="A11780" s="2" t="str">
        <f>IFERROR(__xludf.DUMMYFUNCTION("""COMPUTED_VALUE"""),"꼬막이 빛나는 밤")</f>
        <v>꼬막이 빛나는 밤</v>
      </c>
      <c r="B11780" s="2" t="str">
        <f>IFERROR(__xludf.DUMMYFUNCTION("""COMPUTED_VALUE"""),"꼬막")</f>
        <v>꼬막</v>
      </c>
    </row>
    <row r="11781">
      <c r="A11781" s="2" t="str">
        <f>IFERROR(__xludf.DUMMYFUNCTION("""COMPUTED_VALUE"""),"꼬막이 빛나는 밤")</f>
        <v>꼬막이 빛나는 밤</v>
      </c>
      <c r="B11781" s="2" t="str">
        <f>IFERROR(__xludf.DUMMYFUNCTION("""COMPUTED_VALUE"""),"삼겹살")</f>
        <v>삼겹살</v>
      </c>
    </row>
    <row r="11782">
      <c r="A11782" s="2" t="str">
        <f>IFERROR(__xludf.DUMMYFUNCTION("""COMPUTED_VALUE"""),"꼬막이 빛나는 밤")</f>
        <v>꼬막이 빛나는 밤</v>
      </c>
      <c r="B11782" s="2" t="str">
        <f>IFERROR(__xludf.DUMMYFUNCTION("""COMPUTED_VALUE"""),"두부")</f>
        <v>두부</v>
      </c>
    </row>
    <row r="11783">
      <c r="A11783" s="2" t="str">
        <f>IFERROR(__xludf.DUMMYFUNCTION("""COMPUTED_VALUE"""),"꼬막이 빛나는 밤")</f>
        <v>꼬막이 빛나는 밤</v>
      </c>
      <c r="B11783" s="2" t="str">
        <f>IFERROR(__xludf.DUMMYFUNCTION("""COMPUTED_VALUE"""),"양파")</f>
        <v>양파</v>
      </c>
    </row>
    <row r="11784">
      <c r="A11784" s="2" t="str">
        <f>IFERROR(__xludf.DUMMYFUNCTION("""COMPUTED_VALUE"""),"꼬막이 빛나는 밤")</f>
        <v>꼬막이 빛나는 밤</v>
      </c>
      <c r="B11784" s="2" t="str">
        <f>IFERROR(__xludf.DUMMYFUNCTION("""COMPUTED_VALUE"""),"오이")</f>
        <v>오이</v>
      </c>
    </row>
    <row r="11785">
      <c r="A11785" s="2" t="str">
        <f>IFERROR(__xludf.DUMMYFUNCTION("""COMPUTED_VALUE"""),"꼬막이 빛나는 밤")</f>
        <v>꼬막이 빛나는 밤</v>
      </c>
      <c r="B11785" s="2" t="str">
        <f>IFERROR(__xludf.DUMMYFUNCTION("""COMPUTED_VALUE"""),"청양고추")</f>
        <v>청양고추</v>
      </c>
    </row>
    <row r="11786">
      <c r="A11786" s="2" t="str">
        <f>IFERROR(__xludf.DUMMYFUNCTION("""COMPUTED_VALUE"""),"꼬막이 빛나는 밤")</f>
        <v>꼬막이 빛나는 밤</v>
      </c>
      <c r="B11786" s="2" t="str">
        <f>IFERROR(__xludf.DUMMYFUNCTION("""COMPUTED_VALUE"""),"명란마요네즈")</f>
        <v>명란마요네즈</v>
      </c>
    </row>
    <row r="11787">
      <c r="A11787" s="2" t="str">
        <f>IFERROR(__xludf.DUMMYFUNCTION("""COMPUTED_VALUE"""),"꼬막이 빛나는 밤")</f>
        <v>꼬막이 빛나는 밤</v>
      </c>
      <c r="B11787" s="2" t="str">
        <f>IFERROR(__xludf.DUMMYFUNCTION("""COMPUTED_VALUE"""),"들기름")</f>
        <v>들기름</v>
      </c>
    </row>
    <row r="11788">
      <c r="A11788" s="2" t="str">
        <f>IFERROR(__xludf.DUMMYFUNCTION("""COMPUTED_VALUE"""),"꼬막이 빛나는 밤")</f>
        <v>꼬막이 빛나는 밤</v>
      </c>
      <c r="B11788" s="2" t="str">
        <f>IFERROR(__xludf.DUMMYFUNCTION("""COMPUTED_VALUE"""),"매실액")</f>
        <v>매실액</v>
      </c>
    </row>
    <row r="11789">
      <c r="A11789" s="2" t="str">
        <f>IFERROR(__xludf.DUMMYFUNCTION("""COMPUTED_VALUE"""),"꼬막이 빛나는 밤")</f>
        <v>꼬막이 빛나는 밤</v>
      </c>
      <c r="B11789" s="2" t="str">
        <f>IFERROR(__xludf.DUMMYFUNCTION("""COMPUTED_VALUE"""),"소면")</f>
        <v>소면</v>
      </c>
    </row>
    <row r="11790">
      <c r="A11790" s="2" t="str">
        <f>IFERROR(__xludf.DUMMYFUNCTION("""COMPUTED_VALUE"""),"꼬막이 빛나는 밤")</f>
        <v>꼬막이 빛나는 밤</v>
      </c>
      <c r="B11790" s="2" t="str">
        <f>IFERROR(__xludf.DUMMYFUNCTION("""COMPUTED_VALUE"""),"생강즙")</f>
        <v>생강즙</v>
      </c>
    </row>
    <row r="11791">
      <c r="A11791" s="2" t="str">
        <f>IFERROR(__xludf.DUMMYFUNCTION("""COMPUTED_VALUE"""),"꼬막이 빛나는 밤")</f>
        <v>꼬막이 빛나는 밤</v>
      </c>
      <c r="B11791" s="2" t="str">
        <f>IFERROR(__xludf.DUMMYFUNCTION("""COMPUTED_VALUE"""),"청주")</f>
        <v>청주</v>
      </c>
    </row>
    <row r="11792">
      <c r="A11792" s="2" t="str">
        <f>IFERROR(__xludf.DUMMYFUNCTION("""COMPUTED_VALUE"""),"꼬막이 빛나는 밤")</f>
        <v>꼬막이 빛나는 밤</v>
      </c>
      <c r="B11792" s="2" t="str">
        <f>IFERROR(__xludf.DUMMYFUNCTION("""COMPUTED_VALUE"""),"레몬즙")</f>
        <v>레몬즙</v>
      </c>
    </row>
    <row r="11793">
      <c r="A11793" s="2" t="str">
        <f>IFERROR(__xludf.DUMMYFUNCTION("""COMPUTED_VALUE"""),"꼬막이 빛나는 밤")</f>
        <v>꼬막이 빛나는 밤</v>
      </c>
      <c r="B11793" s="2" t="str">
        <f>IFERROR(__xludf.DUMMYFUNCTION("""COMPUTED_VALUE"""),"간장")</f>
        <v>간장</v>
      </c>
    </row>
    <row r="11794">
      <c r="A11794" s="2" t="str">
        <f>IFERROR(__xludf.DUMMYFUNCTION("""COMPUTED_VALUE"""),"꼬막이 빛나는 밤")</f>
        <v>꼬막이 빛나는 밤</v>
      </c>
      <c r="B11794" s="2" t="str">
        <f>IFERROR(__xludf.DUMMYFUNCTION("""COMPUTED_VALUE"""),"대파")</f>
        <v>대파</v>
      </c>
    </row>
    <row r="11795">
      <c r="A11795" s="2" t="str">
        <f>IFERROR(__xludf.DUMMYFUNCTION("""COMPUTED_VALUE"""),"꼬막이 빛나는 밤")</f>
        <v>꼬막이 빛나는 밤</v>
      </c>
      <c r="B11795" s="2" t="str">
        <f>IFERROR(__xludf.DUMMYFUNCTION("""COMPUTED_VALUE"""),"고춧가루")</f>
        <v>고춧가루</v>
      </c>
    </row>
    <row r="11796">
      <c r="A11796" s="2" t="str">
        <f>IFERROR(__xludf.DUMMYFUNCTION("""COMPUTED_VALUE"""),"꼬막이 빛나는 밤")</f>
        <v>꼬막이 빛나는 밤</v>
      </c>
      <c r="B11796" s="2" t="str">
        <f>IFERROR(__xludf.DUMMYFUNCTION("""COMPUTED_VALUE"""),"고추냉이")</f>
        <v>고추냉이</v>
      </c>
    </row>
    <row r="11797">
      <c r="A11797" s="2" t="str">
        <f>IFERROR(__xludf.DUMMYFUNCTION("""COMPUTED_VALUE"""),"꼬막이 빛나는 밤")</f>
        <v>꼬막이 빛나는 밤</v>
      </c>
      <c r="B11797" s="2" t="str">
        <f>IFERROR(__xludf.DUMMYFUNCTION("""COMPUTED_VALUE"""),"고추장")</f>
        <v>고추장</v>
      </c>
    </row>
    <row r="11798">
      <c r="A11798" s="2" t="str">
        <f>IFERROR(__xludf.DUMMYFUNCTION("""COMPUTED_VALUE"""),"꼬막이 빛나는 밤")</f>
        <v>꼬막이 빛나는 밤</v>
      </c>
      <c r="B11798" s="2" t="str">
        <f>IFERROR(__xludf.DUMMYFUNCTION("""COMPUTED_VALUE"""),"식초")</f>
        <v>식초</v>
      </c>
    </row>
    <row r="11799">
      <c r="A11799" s="2" t="str">
        <f>IFERROR(__xludf.DUMMYFUNCTION("""COMPUTED_VALUE"""),"화사한 플레이트")</f>
        <v>화사한 플레이트</v>
      </c>
      <c r="B11799" s="2" t="str">
        <f>IFERROR(__xludf.DUMMYFUNCTION("""COMPUTED_VALUE"""),"통베이컨")</f>
        <v>통베이컨</v>
      </c>
    </row>
    <row r="11800">
      <c r="A11800" s="2" t="str">
        <f>IFERROR(__xludf.DUMMYFUNCTION("""COMPUTED_VALUE"""),"화사한 플레이트")</f>
        <v>화사한 플레이트</v>
      </c>
      <c r="B11800" s="2" t="str">
        <f>IFERROR(__xludf.DUMMYFUNCTION("""COMPUTED_VALUE"""),"새우")</f>
        <v>새우</v>
      </c>
    </row>
    <row r="11801">
      <c r="A11801" s="2" t="str">
        <f>IFERROR(__xludf.DUMMYFUNCTION("""COMPUTED_VALUE"""),"화사한 플레이트")</f>
        <v>화사한 플레이트</v>
      </c>
      <c r="B11801" s="2" t="str">
        <f>IFERROR(__xludf.DUMMYFUNCTION("""COMPUTED_VALUE"""),"모차렐라치즈")</f>
        <v>모차렐라치즈</v>
      </c>
    </row>
    <row r="11802">
      <c r="A11802" s="2" t="str">
        <f>IFERROR(__xludf.DUMMYFUNCTION("""COMPUTED_VALUE"""),"화사한 플레이트")</f>
        <v>화사한 플레이트</v>
      </c>
      <c r="B11802" s="2" t="str">
        <f>IFERROR(__xludf.DUMMYFUNCTION("""COMPUTED_VALUE"""),"크림치즈")</f>
        <v>크림치즈</v>
      </c>
    </row>
    <row r="11803">
      <c r="A11803" s="2" t="str">
        <f>IFERROR(__xludf.DUMMYFUNCTION("""COMPUTED_VALUE"""),"화사한 플레이트")</f>
        <v>화사한 플레이트</v>
      </c>
      <c r="B11803" s="2" t="str">
        <f>IFERROR(__xludf.DUMMYFUNCTION("""COMPUTED_VALUE"""),"바지락")</f>
        <v>바지락</v>
      </c>
    </row>
    <row r="11804">
      <c r="A11804" s="2" t="str">
        <f>IFERROR(__xludf.DUMMYFUNCTION("""COMPUTED_VALUE"""),"화사한 플레이트")</f>
        <v>화사한 플레이트</v>
      </c>
      <c r="B11804" s="2" t="str">
        <f>IFERROR(__xludf.DUMMYFUNCTION("""COMPUTED_VALUE"""),"훈제 닭")</f>
        <v>훈제 닭</v>
      </c>
    </row>
    <row r="11805">
      <c r="A11805" s="2" t="str">
        <f>IFERROR(__xludf.DUMMYFUNCTION("""COMPUTED_VALUE"""),"화사한 플레이트")</f>
        <v>화사한 플레이트</v>
      </c>
      <c r="B11805" s="2" t="str">
        <f>IFERROR(__xludf.DUMMYFUNCTION("""COMPUTED_VALUE"""),"감자")</f>
        <v>감자</v>
      </c>
    </row>
    <row r="11806">
      <c r="A11806" s="2" t="str">
        <f>IFERROR(__xludf.DUMMYFUNCTION("""COMPUTED_VALUE"""),"화사한 플레이트")</f>
        <v>화사한 플레이트</v>
      </c>
      <c r="B11806" s="2" t="str">
        <f>IFERROR(__xludf.DUMMYFUNCTION("""COMPUTED_VALUE"""),"깻잎")</f>
        <v>깻잎</v>
      </c>
    </row>
    <row r="11807">
      <c r="A11807" s="2" t="str">
        <f>IFERROR(__xludf.DUMMYFUNCTION("""COMPUTED_VALUE"""),"화사한 플레이트")</f>
        <v>화사한 플레이트</v>
      </c>
      <c r="B11807" s="2" t="str">
        <f>IFERROR(__xludf.DUMMYFUNCTION("""COMPUTED_VALUE"""),"양파")</f>
        <v>양파</v>
      </c>
    </row>
    <row r="11808">
      <c r="A11808" s="2" t="str">
        <f>IFERROR(__xludf.DUMMYFUNCTION("""COMPUTED_VALUE"""),"화사한 플레이트")</f>
        <v>화사한 플레이트</v>
      </c>
      <c r="B11808" s="2" t="str">
        <f>IFERROR(__xludf.DUMMYFUNCTION("""COMPUTED_VALUE"""),"애호박")</f>
        <v>애호박</v>
      </c>
    </row>
    <row r="11809">
      <c r="A11809" s="2" t="str">
        <f>IFERROR(__xludf.DUMMYFUNCTION("""COMPUTED_VALUE"""),"화사한 플레이트")</f>
        <v>화사한 플레이트</v>
      </c>
      <c r="B11809" s="2" t="str">
        <f>IFERROR(__xludf.DUMMYFUNCTION("""COMPUTED_VALUE"""),"복숭아")</f>
        <v>복숭아</v>
      </c>
    </row>
    <row r="11810">
      <c r="A11810" s="2" t="str">
        <f>IFERROR(__xludf.DUMMYFUNCTION("""COMPUTED_VALUE"""),"화사한 플레이트")</f>
        <v>화사한 플레이트</v>
      </c>
      <c r="B11810" s="2" t="str">
        <f>IFERROR(__xludf.DUMMYFUNCTION("""COMPUTED_VALUE"""),"칼라만시")</f>
        <v>칼라만시</v>
      </c>
    </row>
    <row r="11811">
      <c r="A11811" s="2" t="str">
        <f>IFERROR(__xludf.DUMMYFUNCTION("""COMPUTED_VALUE"""),"화사한 플레이트")</f>
        <v>화사한 플레이트</v>
      </c>
      <c r="B11811" s="2" t="str">
        <f>IFERROR(__xludf.DUMMYFUNCTION("""COMPUTED_VALUE"""),"김부각")</f>
        <v>김부각</v>
      </c>
    </row>
    <row r="11812">
      <c r="A11812" s="2" t="str">
        <f>IFERROR(__xludf.DUMMYFUNCTION("""COMPUTED_VALUE"""),"화사한 플레이트")</f>
        <v>화사한 플레이트</v>
      </c>
      <c r="B11812" s="2" t="str">
        <f>IFERROR(__xludf.DUMMYFUNCTION("""COMPUTED_VALUE"""),"깻잎장아찌")</f>
        <v>깻잎장아찌</v>
      </c>
    </row>
    <row r="11813">
      <c r="A11813" s="2" t="str">
        <f>IFERROR(__xludf.DUMMYFUNCTION("""COMPUTED_VALUE"""),"화사한 플레이트")</f>
        <v>화사한 플레이트</v>
      </c>
      <c r="B11813" s="2" t="str">
        <f>IFERROR(__xludf.DUMMYFUNCTION("""COMPUTED_VALUE"""),"막장")</f>
        <v>막장</v>
      </c>
    </row>
    <row r="11814">
      <c r="A11814" s="2" t="str">
        <f>IFERROR(__xludf.DUMMYFUNCTION("""COMPUTED_VALUE"""),"화사한 플레이트")</f>
        <v>화사한 플레이트</v>
      </c>
      <c r="B11814" s="2" t="str">
        <f>IFERROR(__xludf.DUMMYFUNCTION("""COMPUTED_VALUE"""),"트러플 오일")</f>
        <v>트러플 오일</v>
      </c>
    </row>
    <row r="11815">
      <c r="A11815" s="2" t="str">
        <f>IFERROR(__xludf.DUMMYFUNCTION("""COMPUTED_VALUE"""),"화사한 플레이트")</f>
        <v>화사한 플레이트</v>
      </c>
      <c r="B11815" s="2" t="str">
        <f>IFERROR(__xludf.DUMMYFUNCTION("""COMPUTED_VALUE"""),"버터")</f>
        <v>버터</v>
      </c>
    </row>
    <row r="11816">
      <c r="A11816" s="2" t="str">
        <f>IFERROR(__xludf.DUMMYFUNCTION("""COMPUTED_VALUE"""),"화사한 플레이트")</f>
        <v>화사한 플레이트</v>
      </c>
      <c r="B11816" s="2" t="str">
        <f>IFERROR(__xludf.DUMMYFUNCTION("""COMPUTED_VALUE"""),"화이트와인")</f>
        <v>화이트와인</v>
      </c>
    </row>
    <row r="11817">
      <c r="A11817" s="2" t="str">
        <f>IFERROR(__xludf.DUMMYFUNCTION("""COMPUTED_VALUE"""),"화사한 플레이트")</f>
        <v>화사한 플레이트</v>
      </c>
      <c r="B11817" s="2" t="str">
        <f>IFERROR(__xludf.DUMMYFUNCTION("""COMPUTED_VALUE"""),"소금")</f>
        <v>소금</v>
      </c>
    </row>
    <row r="11818">
      <c r="A11818" s="2" t="str">
        <f>IFERROR(__xludf.DUMMYFUNCTION("""COMPUTED_VALUE"""),"화사한 플레이트")</f>
        <v>화사한 플레이트</v>
      </c>
      <c r="B11818" s="2" t="str">
        <f>IFERROR(__xludf.DUMMYFUNCTION("""COMPUTED_VALUE"""),"후추")</f>
        <v>후추</v>
      </c>
    </row>
    <row r="11819">
      <c r="A11819" s="2" t="str">
        <f>IFERROR(__xludf.DUMMYFUNCTION("""COMPUTED_VALUE"""),"화사한 플레이트")</f>
        <v>화사한 플레이트</v>
      </c>
      <c r="B11819" s="2" t="str">
        <f>IFERROR(__xludf.DUMMYFUNCTION("""COMPUTED_VALUE"""),"당근")</f>
        <v>당근</v>
      </c>
    </row>
    <row r="11820">
      <c r="A11820" s="2" t="str">
        <f>IFERROR(__xludf.DUMMYFUNCTION("""COMPUTED_VALUE"""),"화사한 플레이트")</f>
        <v>화사한 플레이트</v>
      </c>
      <c r="B11820" s="2" t="str">
        <f>IFERROR(__xludf.DUMMYFUNCTION("""COMPUTED_VALUE"""),"전분")</f>
        <v>전분</v>
      </c>
    </row>
    <row r="11821">
      <c r="A11821" s="2" t="str">
        <f>IFERROR(__xludf.DUMMYFUNCTION("""COMPUTED_VALUE"""),"화사한 플레이트")</f>
        <v>화사한 플레이트</v>
      </c>
      <c r="B11821" s="2" t="str">
        <f>IFERROR(__xludf.DUMMYFUNCTION("""COMPUTED_VALUE"""),"청양고추")</f>
        <v>청양고추</v>
      </c>
    </row>
    <row r="11822">
      <c r="A11822" s="2" t="str">
        <f>IFERROR(__xludf.DUMMYFUNCTION("""COMPUTED_VALUE"""),"화사한 플레이트")</f>
        <v>화사한 플레이트</v>
      </c>
      <c r="B11822" s="2" t="str">
        <f>IFERROR(__xludf.DUMMYFUNCTION("""COMPUTED_VALUE"""),"마늘")</f>
        <v>마늘</v>
      </c>
    </row>
    <row r="11823">
      <c r="A11823" s="2" t="str">
        <f>IFERROR(__xludf.DUMMYFUNCTION("""COMPUTED_VALUE"""),"화사한 플레이트")</f>
        <v>화사한 플레이트</v>
      </c>
      <c r="B11823" s="2" t="str">
        <f>IFERROR(__xludf.DUMMYFUNCTION("""COMPUTED_VALUE"""),"홍고추")</f>
        <v>홍고추</v>
      </c>
    </row>
    <row r="11824">
      <c r="A11824" s="2" t="str">
        <f>IFERROR(__xludf.DUMMYFUNCTION("""COMPUTED_VALUE"""),"화사한 플레이트")</f>
        <v>화사한 플레이트</v>
      </c>
      <c r="B11824" s="2" t="str">
        <f>IFERROR(__xludf.DUMMYFUNCTION("""COMPUTED_VALUE"""),"레몬")</f>
        <v>레몬</v>
      </c>
    </row>
    <row r="11825">
      <c r="A11825" s="2" t="str">
        <f>IFERROR(__xludf.DUMMYFUNCTION("""COMPUTED_VALUE"""),"화사한 플레이트")</f>
        <v>화사한 플레이트</v>
      </c>
      <c r="B11825" s="2" t="str">
        <f>IFERROR(__xludf.DUMMYFUNCTION("""COMPUTED_VALUE"""),"올리브 오일")</f>
        <v>올리브 오일</v>
      </c>
    </row>
    <row r="11826">
      <c r="A11826" s="2" t="str">
        <f>IFERROR(__xludf.DUMMYFUNCTION("""COMPUTED_VALUE"""),"화사한 플레이트")</f>
        <v>화사한 플레이트</v>
      </c>
      <c r="B11826" s="2" t="str">
        <f>IFERROR(__xludf.DUMMYFUNCTION("""COMPUTED_VALUE"""),"간장")</f>
        <v>간장</v>
      </c>
    </row>
    <row r="11827">
      <c r="A11827" s="2" t="str">
        <f>IFERROR(__xludf.DUMMYFUNCTION("""COMPUTED_VALUE"""),"화사한 플레이트")</f>
        <v>화사한 플레이트</v>
      </c>
      <c r="B11827" s="2" t="str">
        <f>IFERROR(__xludf.DUMMYFUNCTION("""COMPUTED_VALUE"""),"대파")</f>
        <v>대파</v>
      </c>
    </row>
    <row r="11828">
      <c r="A11828" s="2" t="str">
        <f>IFERROR(__xludf.DUMMYFUNCTION("""COMPUTED_VALUE"""),"화사한 플레이트")</f>
        <v>화사한 플레이트</v>
      </c>
      <c r="B11828" s="2" t="str">
        <f>IFERROR(__xludf.DUMMYFUNCTION("""COMPUTED_VALUE"""),"통베이컨")</f>
        <v>통베이컨</v>
      </c>
    </row>
    <row r="11829">
      <c r="A11829" s="2" t="str">
        <f>IFERROR(__xludf.DUMMYFUNCTION("""COMPUTED_VALUE"""),"화사한 플레이트")</f>
        <v>화사한 플레이트</v>
      </c>
      <c r="B11829" s="2" t="str">
        <f>IFERROR(__xludf.DUMMYFUNCTION("""COMPUTED_VALUE"""),"새우")</f>
        <v>새우</v>
      </c>
    </row>
    <row r="11830">
      <c r="A11830" s="2" t="str">
        <f>IFERROR(__xludf.DUMMYFUNCTION("""COMPUTED_VALUE"""),"화사한 플레이트")</f>
        <v>화사한 플레이트</v>
      </c>
      <c r="B11830" s="2" t="str">
        <f>IFERROR(__xludf.DUMMYFUNCTION("""COMPUTED_VALUE"""),"모차렐라치즈")</f>
        <v>모차렐라치즈</v>
      </c>
    </row>
    <row r="11831">
      <c r="A11831" s="2" t="str">
        <f>IFERROR(__xludf.DUMMYFUNCTION("""COMPUTED_VALUE"""),"화사한 플레이트")</f>
        <v>화사한 플레이트</v>
      </c>
      <c r="B11831" s="2" t="str">
        <f>IFERROR(__xludf.DUMMYFUNCTION("""COMPUTED_VALUE"""),"크림치즈")</f>
        <v>크림치즈</v>
      </c>
    </row>
    <row r="11832">
      <c r="A11832" s="2" t="str">
        <f>IFERROR(__xludf.DUMMYFUNCTION("""COMPUTED_VALUE"""),"화사한 플레이트")</f>
        <v>화사한 플레이트</v>
      </c>
      <c r="B11832" s="2" t="str">
        <f>IFERROR(__xludf.DUMMYFUNCTION("""COMPUTED_VALUE"""),"바지락")</f>
        <v>바지락</v>
      </c>
    </row>
    <row r="11833">
      <c r="A11833" s="2" t="str">
        <f>IFERROR(__xludf.DUMMYFUNCTION("""COMPUTED_VALUE"""),"화사한 플레이트")</f>
        <v>화사한 플레이트</v>
      </c>
      <c r="B11833" s="2" t="str">
        <f>IFERROR(__xludf.DUMMYFUNCTION("""COMPUTED_VALUE"""),"훈제 닭")</f>
        <v>훈제 닭</v>
      </c>
    </row>
    <row r="11834">
      <c r="A11834" s="2" t="str">
        <f>IFERROR(__xludf.DUMMYFUNCTION("""COMPUTED_VALUE"""),"화사한 플레이트")</f>
        <v>화사한 플레이트</v>
      </c>
      <c r="B11834" s="2" t="str">
        <f>IFERROR(__xludf.DUMMYFUNCTION("""COMPUTED_VALUE"""),"감자")</f>
        <v>감자</v>
      </c>
    </row>
    <row r="11835">
      <c r="A11835" s="2" t="str">
        <f>IFERROR(__xludf.DUMMYFUNCTION("""COMPUTED_VALUE"""),"화사한 플레이트")</f>
        <v>화사한 플레이트</v>
      </c>
      <c r="B11835" s="2" t="str">
        <f>IFERROR(__xludf.DUMMYFUNCTION("""COMPUTED_VALUE"""),"깻잎")</f>
        <v>깻잎</v>
      </c>
    </row>
    <row r="11836">
      <c r="A11836" s="2" t="str">
        <f>IFERROR(__xludf.DUMMYFUNCTION("""COMPUTED_VALUE"""),"화사한 플레이트")</f>
        <v>화사한 플레이트</v>
      </c>
      <c r="B11836" s="2" t="str">
        <f>IFERROR(__xludf.DUMMYFUNCTION("""COMPUTED_VALUE"""),"양파")</f>
        <v>양파</v>
      </c>
    </row>
    <row r="11837">
      <c r="A11837" s="2" t="str">
        <f>IFERROR(__xludf.DUMMYFUNCTION("""COMPUTED_VALUE"""),"화사한 플레이트")</f>
        <v>화사한 플레이트</v>
      </c>
      <c r="B11837" s="2" t="str">
        <f>IFERROR(__xludf.DUMMYFUNCTION("""COMPUTED_VALUE"""),"애호박")</f>
        <v>애호박</v>
      </c>
    </row>
    <row r="11838">
      <c r="A11838" s="2" t="str">
        <f>IFERROR(__xludf.DUMMYFUNCTION("""COMPUTED_VALUE"""),"화사한 플레이트")</f>
        <v>화사한 플레이트</v>
      </c>
      <c r="B11838" s="2" t="str">
        <f>IFERROR(__xludf.DUMMYFUNCTION("""COMPUTED_VALUE"""),"복숭아")</f>
        <v>복숭아</v>
      </c>
    </row>
    <row r="11839">
      <c r="A11839" s="2" t="str">
        <f>IFERROR(__xludf.DUMMYFUNCTION("""COMPUTED_VALUE"""),"화사한 플레이트")</f>
        <v>화사한 플레이트</v>
      </c>
      <c r="B11839" s="2" t="str">
        <f>IFERROR(__xludf.DUMMYFUNCTION("""COMPUTED_VALUE"""),"칼라만시")</f>
        <v>칼라만시</v>
      </c>
    </row>
    <row r="11840">
      <c r="A11840" s="2" t="str">
        <f>IFERROR(__xludf.DUMMYFUNCTION("""COMPUTED_VALUE"""),"화사한 플레이트")</f>
        <v>화사한 플레이트</v>
      </c>
      <c r="B11840" s="2" t="str">
        <f>IFERROR(__xludf.DUMMYFUNCTION("""COMPUTED_VALUE"""),"김부각")</f>
        <v>김부각</v>
      </c>
    </row>
    <row r="11841">
      <c r="A11841" s="2" t="str">
        <f>IFERROR(__xludf.DUMMYFUNCTION("""COMPUTED_VALUE"""),"화사한 플레이트")</f>
        <v>화사한 플레이트</v>
      </c>
      <c r="B11841" s="2" t="str">
        <f>IFERROR(__xludf.DUMMYFUNCTION("""COMPUTED_VALUE"""),"깻잎장아찌")</f>
        <v>깻잎장아찌</v>
      </c>
    </row>
    <row r="11842">
      <c r="A11842" s="2" t="str">
        <f>IFERROR(__xludf.DUMMYFUNCTION("""COMPUTED_VALUE"""),"화사한 플레이트")</f>
        <v>화사한 플레이트</v>
      </c>
      <c r="B11842" s="2" t="str">
        <f>IFERROR(__xludf.DUMMYFUNCTION("""COMPUTED_VALUE"""),"막장")</f>
        <v>막장</v>
      </c>
    </row>
    <row r="11843">
      <c r="A11843" s="2" t="str">
        <f>IFERROR(__xludf.DUMMYFUNCTION("""COMPUTED_VALUE"""),"화사한 플레이트")</f>
        <v>화사한 플레이트</v>
      </c>
      <c r="B11843" s="2" t="str">
        <f>IFERROR(__xludf.DUMMYFUNCTION("""COMPUTED_VALUE"""),"트러플 오일")</f>
        <v>트러플 오일</v>
      </c>
    </row>
    <row r="11844">
      <c r="A11844" s="2" t="str">
        <f>IFERROR(__xludf.DUMMYFUNCTION("""COMPUTED_VALUE"""),"화사한 플레이트")</f>
        <v>화사한 플레이트</v>
      </c>
      <c r="B11844" s="2" t="str">
        <f>IFERROR(__xludf.DUMMYFUNCTION("""COMPUTED_VALUE"""),"버터")</f>
        <v>버터</v>
      </c>
    </row>
    <row r="11845">
      <c r="A11845" s="2" t="str">
        <f>IFERROR(__xludf.DUMMYFUNCTION("""COMPUTED_VALUE"""),"화사한 플레이트")</f>
        <v>화사한 플레이트</v>
      </c>
      <c r="B11845" s="2" t="str">
        <f>IFERROR(__xludf.DUMMYFUNCTION("""COMPUTED_VALUE"""),"화이트와인")</f>
        <v>화이트와인</v>
      </c>
    </row>
    <row r="11846">
      <c r="A11846" s="2" t="str">
        <f>IFERROR(__xludf.DUMMYFUNCTION("""COMPUTED_VALUE"""),"화사한 플레이트")</f>
        <v>화사한 플레이트</v>
      </c>
      <c r="B11846" s="2" t="str">
        <f>IFERROR(__xludf.DUMMYFUNCTION("""COMPUTED_VALUE"""),"소금")</f>
        <v>소금</v>
      </c>
    </row>
    <row r="11847">
      <c r="A11847" s="2" t="str">
        <f>IFERROR(__xludf.DUMMYFUNCTION("""COMPUTED_VALUE"""),"화사한 플레이트")</f>
        <v>화사한 플레이트</v>
      </c>
      <c r="B11847" s="2" t="str">
        <f>IFERROR(__xludf.DUMMYFUNCTION("""COMPUTED_VALUE"""),"후추")</f>
        <v>후추</v>
      </c>
    </row>
    <row r="11848">
      <c r="A11848" s="2" t="str">
        <f>IFERROR(__xludf.DUMMYFUNCTION("""COMPUTED_VALUE"""),"화사한 플레이트")</f>
        <v>화사한 플레이트</v>
      </c>
      <c r="B11848" s="2" t="str">
        <f>IFERROR(__xludf.DUMMYFUNCTION("""COMPUTED_VALUE"""),"당근")</f>
        <v>당근</v>
      </c>
    </row>
    <row r="11849">
      <c r="A11849" s="2" t="str">
        <f>IFERROR(__xludf.DUMMYFUNCTION("""COMPUTED_VALUE"""),"화사한 플레이트")</f>
        <v>화사한 플레이트</v>
      </c>
      <c r="B11849" s="2" t="str">
        <f>IFERROR(__xludf.DUMMYFUNCTION("""COMPUTED_VALUE"""),"전분")</f>
        <v>전분</v>
      </c>
    </row>
    <row r="11850">
      <c r="A11850" s="2" t="str">
        <f>IFERROR(__xludf.DUMMYFUNCTION("""COMPUTED_VALUE"""),"화사한 플레이트")</f>
        <v>화사한 플레이트</v>
      </c>
      <c r="B11850" s="2" t="str">
        <f>IFERROR(__xludf.DUMMYFUNCTION("""COMPUTED_VALUE"""),"청양고추")</f>
        <v>청양고추</v>
      </c>
    </row>
    <row r="11851">
      <c r="A11851" s="2" t="str">
        <f>IFERROR(__xludf.DUMMYFUNCTION("""COMPUTED_VALUE"""),"화사한 플레이트")</f>
        <v>화사한 플레이트</v>
      </c>
      <c r="B11851" s="2" t="str">
        <f>IFERROR(__xludf.DUMMYFUNCTION("""COMPUTED_VALUE"""),"마늘")</f>
        <v>마늘</v>
      </c>
    </row>
    <row r="11852">
      <c r="A11852" s="2" t="str">
        <f>IFERROR(__xludf.DUMMYFUNCTION("""COMPUTED_VALUE"""),"화사한 플레이트")</f>
        <v>화사한 플레이트</v>
      </c>
      <c r="B11852" s="2" t="str">
        <f>IFERROR(__xludf.DUMMYFUNCTION("""COMPUTED_VALUE"""),"홍고추")</f>
        <v>홍고추</v>
      </c>
    </row>
    <row r="11853">
      <c r="A11853" s="2" t="str">
        <f>IFERROR(__xludf.DUMMYFUNCTION("""COMPUTED_VALUE"""),"화사한 플레이트")</f>
        <v>화사한 플레이트</v>
      </c>
      <c r="B11853" s="2" t="str">
        <f>IFERROR(__xludf.DUMMYFUNCTION("""COMPUTED_VALUE"""),"레몬")</f>
        <v>레몬</v>
      </c>
    </row>
    <row r="11854">
      <c r="A11854" s="2" t="str">
        <f>IFERROR(__xludf.DUMMYFUNCTION("""COMPUTED_VALUE"""),"화사한 플레이트")</f>
        <v>화사한 플레이트</v>
      </c>
      <c r="B11854" s="2" t="str">
        <f>IFERROR(__xludf.DUMMYFUNCTION("""COMPUTED_VALUE"""),"올리브 오일")</f>
        <v>올리브 오일</v>
      </c>
    </row>
    <row r="11855">
      <c r="A11855" s="2" t="str">
        <f>IFERROR(__xludf.DUMMYFUNCTION("""COMPUTED_VALUE"""),"화사한 플레이트")</f>
        <v>화사한 플레이트</v>
      </c>
      <c r="B11855" s="2" t="str">
        <f>IFERROR(__xludf.DUMMYFUNCTION("""COMPUTED_VALUE"""),"간장")</f>
        <v>간장</v>
      </c>
    </row>
    <row r="11856">
      <c r="A11856" s="2" t="str">
        <f>IFERROR(__xludf.DUMMYFUNCTION("""COMPUTED_VALUE"""),"화사한 플레이트")</f>
        <v>화사한 플레이트</v>
      </c>
      <c r="B11856" s="2" t="str">
        <f>IFERROR(__xludf.DUMMYFUNCTION("""COMPUTED_VALUE"""),"대파")</f>
        <v>대파</v>
      </c>
    </row>
    <row r="11857">
      <c r="A11857" s="2" t="str">
        <f>IFERROR(__xludf.DUMMYFUNCTION("""COMPUTED_VALUE"""),"장어 is 뭔들")</f>
        <v>장어 is 뭔들</v>
      </c>
      <c r="B11857" s="2" t="str">
        <f>IFERROR(__xludf.DUMMYFUNCTION("""COMPUTED_VALUE"""),"장어")</f>
        <v>장어</v>
      </c>
    </row>
    <row r="11858">
      <c r="A11858" s="2" t="str">
        <f>IFERROR(__xludf.DUMMYFUNCTION("""COMPUTED_VALUE"""),"장어 is 뭔들")</f>
        <v>장어 is 뭔들</v>
      </c>
      <c r="B11858" s="2" t="str">
        <f>IFERROR(__xludf.DUMMYFUNCTION("""COMPUTED_VALUE"""),"김부각")</f>
        <v>김부각</v>
      </c>
    </row>
    <row r="11859">
      <c r="A11859" s="2" t="str">
        <f>IFERROR(__xludf.DUMMYFUNCTION("""COMPUTED_VALUE"""),"장어 is 뭔들")</f>
        <v>장어 is 뭔들</v>
      </c>
      <c r="B11859" s="2" t="str">
        <f>IFERROR(__xludf.DUMMYFUNCTION("""COMPUTED_VALUE"""),"바지락")</f>
        <v>바지락</v>
      </c>
    </row>
    <row r="11860">
      <c r="A11860" s="2" t="str">
        <f>IFERROR(__xludf.DUMMYFUNCTION("""COMPUTED_VALUE"""),"장어 is 뭔들")</f>
        <v>장어 is 뭔들</v>
      </c>
      <c r="B11860" s="2" t="str">
        <f>IFERROR(__xludf.DUMMYFUNCTION("""COMPUTED_VALUE"""),"막장")</f>
        <v>막장</v>
      </c>
    </row>
    <row r="11861">
      <c r="A11861" s="2" t="str">
        <f>IFERROR(__xludf.DUMMYFUNCTION("""COMPUTED_VALUE"""),"장어 is 뭔들")</f>
        <v>장어 is 뭔들</v>
      </c>
      <c r="B11861" s="2" t="str">
        <f>IFERROR(__xludf.DUMMYFUNCTION("""COMPUTED_VALUE"""),"김치")</f>
        <v>김치</v>
      </c>
    </row>
    <row r="11862">
      <c r="A11862" s="2" t="str">
        <f>IFERROR(__xludf.DUMMYFUNCTION("""COMPUTED_VALUE"""),"장어 is 뭔들")</f>
        <v>장어 is 뭔들</v>
      </c>
      <c r="B11862" s="2" t="str">
        <f>IFERROR(__xludf.DUMMYFUNCTION("""COMPUTED_VALUE"""),"김치만두")</f>
        <v>김치만두</v>
      </c>
    </row>
    <row r="11863">
      <c r="A11863" s="2" t="str">
        <f>IFERROR(__xludf.DUMMYFUNCTION("""COMPUTED_VALUE"""),"장어 is 뭔들")</f>
        <v>장어 is 뭔들</v>
      </c>
      <c r="B11863" s="2" t="str">
        <f>IFERROR(__xludf.DUMMYFUNCTION("""COMPUTED_VALUE"""),"매실액")</f>
        <v>매실액</v>
      </c>
    </row>
    <row r="11864">
      <c r="A11864" s="2" t="str">
        <f>IFERROR(__xludf.DUMMYFUNCTION("""COMPUTED_VALUE"""),"장어 is 뭔들")</f>
        <v>장어 is 뭔들</v>
      </c>
      <c r="B11864" s="2" t="str">
        <f>IFERROR(__xludf.DUMMYFUNCTION("""COMPUTED_VALUE"""),"통베이컨")</f>
        <v>통베이컨</v>
      </c>
    </row>
    <row r="11865">
      <c r="A11865" s="2" t="str">
        <f>IFERROR(__xludf.DUMMYFUNCTION("""COMPUTED_VALUE"""),"장어 is 뭔들")</f>
        <v>장어 is 뭔들</v>
      </c>
      <c r="B11865" s="2" t="str">
        <f>IFERROR(__xludf.DUMMYFUNCTION("""COMPUTED_VALUE"""),"명란마요네즈")</f>
        <v>명란마요네즈</v>
      </c>
    </row>
    <row r="11866">
      <c r="A11866" s="2" t="str">
        <f>IFERROR(__xludf.DUMMYFUNCTION("""COMPUTED_VALUE"""),"장어 is 뭔들")</f>
        <v>장어 is 뭔들</v>
      </c>
      <c r="B11866" s="2" t="str">
        <f>IFERROR(__xludf.DUMMYFUNCTION("""COMPUTED_VALUE"""),"양파")</f>
        <v>양파</v>
      </c>
    </row>
    <row r="11867">
      <c r="A11867" s="2" t="str">
        <f>IFERROR(__xludf.DUMMYFUNCTION("""COMPUTED_VALUE"""),"장어 is 뭔들")</f>
        <v>장어 is 뭔들</v>
      </c>
      <c r="B11867" s="2" t="str">
        <f>IFERROR(__xludf.DUMMYFUNCTION("""COMPUTED_VALUE"""),"청양고추")</f>
        <v>청양고추</v>
      </c>
    </row>
    <row r="11868">
      <c r="A11868" s="2" t="str">
        <f>IFERROR(__xludf.DUMMYFUNCTION("""COMPUTED_VALUE"""),"장어 is 뭔들")</f>
        <v>장어 is 뭔들</v>
      </c>
      <c r="B11868" s="2" t="str">
        <f>IFERROR(__xludf.DUMMYFUNCTION("""COMPUTED_VALUE"""),"애호박")</f>
        <v>애호박</v>
      </c>
    </row>
    <row r="11869">
      <c r="A11869" s="2" t="str">
        <f>IFERROR(__xludf.DUMMYFUNCTION("""COMPUTED_VALUE"""),"장어 is 뭔들")</f>
        <v>장어 is 뭔들</v>
      </c>
      <c r="B11869" s="2" t="str">
        <f>IFERROR(__xludf.DUMMYFUNCTION("""COMPUTED_VALUE"""),"깻잎")</f>
        <v>깻잎</v>
      </c>
    </row>
    <row r="11870">
      <c r="A11870" s="2" t="str">
        <f>IFERROR(__xludf.DUMMYFUNCTION("""COMPUTED_VALUE"""),"장어 is 뭔들")</f>
        <v>장어 is 뭔들</v>
      </c>
      <c r="B11870" s="2" t="str">
        <f>IFERROR(__xludf.DUMMYFUNCTION("""COMPUTED_VALUE"""),"홍고추")</f>
        <v>홍고추</v>
      </c>
    </row>
    <row r="11871">
      <c r="A11871" s="2" t="str">
        <f>IFERROR(__xludf.DUMMYFUNCTION("""COMPUTED_VALUE"""),"장어 is 뭔들")</f>
        <v>장어 is 뭔들</v>
      </c>
      <c r="B11871" s="2" t="str">
        <f>IFERROR(__xludf.DUMMYFUNCTION("""COMPUTED_VALUE"""),"마늘")</f>
        <v>마늘</v>
      </c>
    </row>
    <row r="11872">
      <c r="A11872" s="2" t="str">
        <f>IFERROR(__xludf.DUMMYFUNCTION("""COMPUTED_VALUE"""),"장어 is 뭔들")</f>
        <v>장어 is 뭔들</v>
      </c>
      <c r="B11872" s="2" t="str">
        <f>IFERROR(__xludf.DUMMYFUNCTION("""COMPUTED_VALUE"""),"대파")</f>
        <v>대파</v>
      </c>
    </row>
    <row r="11873">
      <c r="A11873" s="2" t="str">
        <f>IFERROR(__xludf.DUMMYFUNCTION("""COMPUTED_VALUE"""),"장어 is 뭔들")</f>
        <v>장어 is 뭔들</v>
      </c>
      <c r="B11873" s="2" t="str">
        <f>IFERROR(__xludf.DUMMYFUNCTION("""COMPUTED_VALUE"""),"고춧가루")</f>
        <v>고춧가루</v>
      </c>
    </row>
    <row r="11874">
      <c r="A11874" s="2" t="str">
        <f>IFERROR(__xludf.DUMMYFUNCTION("""COMPUTED_VALUE"""),"장어 is 뭔들")</f>
        <v>장어 is 뭔들</v>
      </c>
      <c r="B11874" s="2" t="str">
        <f>IFERROR(__xludf.DUMMYFUNCTION("""COMPUTED_VALUE"""),"즉석밥")</f>
        <v>즉석밥</v>
      </c>
    </row>
    <row r="11875">
      <c r="A11875" s="2" t="str">
        <f>IFERROR(__xludf.DUMMYFUNCTION("""COMPUTED_VALUE"""),"장어 is 뭔들")</f>
        <v>장어 is 뭔들</v>
      </c>
      <c r="B11875" s="2" t="str">
        <f>IFERROR(__xludf.DUMMYFUNCTION("""COMPUTED_VALUE"""),"맛술")</f>
        <v>맛술</v>
      </c>
    </row>
    <row r="11876">
      <c r="A11876" s="2" t="str">
        <f>IFERROR(__xludf.DUMMYFUNCTION("""COMPUTED_VALUE"""),"장어 is 뭔들")</f>
        <v>장어 is 뭔들</v>
      </c>
      <c r="B11876" s="2" t="str">
        <f>IFERROR(__xludf.DUMMYFUNCTION("""COMPUTED_VALUE"""),"설탕")</f>
        <v>설탕</v>
      </c>
    </row>
    <row r="11877">
      <c r="A11877" s="2" t="str">
        <f>IFERROR(__xludf.DUMMYFUNCTION("""COMPUTED_VALUE"""),"장어 is 뭔들")</f>
        <v>장어 is 뭔들</v>
      </c>
      <c r="B11877" s="2" t="str">
        <f>IFERROR(__xludf.DUMMYFUNCTION("""COMPUTED_VALUE"""),"간장")</f>
        <v>간장</v>
      </c>
    </row>
    <row r="11878">
      <c r="A11878" s="2" t="str">
        <f>IFERROR(__xludf.DUMMYFUNCTION("""COMPUTED_VALUE"""),"장어 is 뭔들")</f>
        <v>장어 is 뭔들</v>
      </c>
      <c r="B11878" s="2" t="str">
        <f>IFERROR(__xludf.DUMMYFUNCTION("""COMPUTED_VALUE"""),"소금")</f>
        <v>소금</v>
      </c>
    </row>
    <row r="11879">
      <c r="A11879" s="2" t="str">
        <f>IFERROR(__xludf.DUMMYFUNCTION("""COMPUTED_VALUE"""),"장어 is 뭔들")</f>
        <v>장어 is 뭔들</v>
      </c>
      <c r="B11879" s="2" t="str">
        <f>IFERROR(__xludf.DUMMYFUNCTION("""COMPUTED_VALUE"""),"후추")</f>
        <v>후추</v>
      </c>
    </row>
    <row r="11880">
      <c r="A11880" s="2" t="str">
        <f>IFERROR(__xludf.DUMMYFUNCTION("""COMPUTED_VALUE"""),"장어 is 뭔들")</f>
        <v>장어 is 뭔들</v>
      </c>
      <c r="B11880" s="2" t="str">
        <f>IFERROR(__xludf.DUMMYFUNCTION("""COMPUTED_VALUE"""),"청주")</f>
        <v>청주</v>
      </c>
    </row>
    <row r="11881">
      <c r="A11881" s="2" t="str">
        <f>IFERROR(__xludf.DUMMYFUNCTION("""COMPUTED_VALUE"""),"장어 is 뭔들")</f>
        <v>장어 is 뭔들</v>
      </c>
      <c r="B11881" s="2" t="str">
        <f>IFERROR(__xludf.DUMMYFUNCTION("""COMPUTED_VALUE"""),"버터")</f>
        <v>버터</v>
      </c>
    </row>
    <row r="11882">
      <c r="A11882" s="2" t="str">
        <f>IFERROR(__xludf.DUMMYFUNCTION("""COMPUTED_VALUE"""),"부시리 복치기")</f>
        <v>부시리 복치기</v>
      </c>
      <c r="B11882" s="2" t="str">
        <f>IFERROR(__xludf.DUMMYFUNCTION("""COMPUTED_VALUE"""),"부시리")</f>
        <v>부시리</v>
      </c>
    </row>
    <row r="11883">
      <c r="A11883" s="2" t="str">
        <f>IFERROR(__xludf.DUMMYFUNCTION("""COMPUTED_VALUE"""),"부시리 복치기")</f>
        <v>부시리 복치기</v>
      </c>
      <c r="B11883" s="2" t="str">
        <f>IFERROR(__xludf.DUMMYFUNCTION("""COMPUTED_VALUE"""),"전복")</f>
        <v>전복</v>
      </c>
    </row>
    <row r="11884">
      <c r="A11884" s="2" t="str">
        <f>IFERROR(__xludf.DUMMYFUNCTION("""COMPUTED_VALUE"""),"부시리 복치기")</f>
        <v>부시리 복치기</v>
      </c>
      <c r="B11884" s="2" t="str">
        <f>IFERROR(__xludf.DUMMYFUNCTION("""COMPUTED_VALUE"""),"무늬오징어")</f>
        <v>무늬오징어</v>
      </c>
    </row>
    <row r="11885">
      <c r="A11885" s="2" t="str">
        <f>IFERROR(__xludf.DUMMYFUNCTION("""COMPUTED_VALUE"""),"부시리 복치기")</f>
        <v>부시리 복치기</v>
      </c>
      <c r="B11885" s="2" t="str">
        <f>IFERROR(__xludf.DUMMYFUNCTION("""COMPUTED_VALUE"""),"오징어젓갈")</f>
        <v>오징어젓갈</v>
      </c>
    </row>
    <row r="11886">
      <c r="A11886" s="2" t="str">
        <f>IFERROR(__xludf.DUMMYFUNCTION("""COMPUTED_VALUE"""),"부시리 복치기")</f>
        <v>부시리 복치기</v>
      </c>
      <c r="B11886" s="2" t="str">
        <f>IFERROR(__xludf.DUMMYFUNCTION("""COMPUTED_VALUE"""),"돼지 목살")</f>
        <v>돼지 목살</v>
      </c>
    </row>
    <row r="11887">
      <c r="A11887" s="2" t="str">
        <f>IFERROR(__xludf.DUMMYFUNCTION("""COMPUTED_VALUE"""),"부시리 복치기")</f>
        <v>부시리 복치기</v>
      </c>
      <c r="B11887" s="2" t="str">
        <f>IFERROR(__xludf.DUMMYFUNCTION("""COMPUTED_VALUE"""),"굴소스")</f>
        <v>굴소스</v>
      </c>
    </row>
    <row r="11888">
      <c r="A11888" s="2" t="str">
        <f>IFERROR(__xludf.DUMMYFUNCTION("""COMPUTED_VALUE"""),"부시리 복치기")</f>
        <v>부시리 복치기</v>
      </c>
      <c r="B11888" s="2" t="str">
        <f>IFERROR(__xludf.DUMMYFUNCTION("""COMPUTED_VALUE"""),"파프리카")</f>
        <v>파프리카</v>
      </c>
    </row>
    <row r="11889">
      <c r="A11889" s="2" t="str">
        <f>IFERROR(__xludf.DUMMYFUNCTION("""COMPUTED_VALUE"""),"부시리 복치기")</f>
        <v>부시리 복치기</v>
      </c>
      <c r="B11889" s="2" t="str">
        <f>IFERROR(__xludf.DUMMYFUNCTION("""COMPUTED_VALUE"""),"액상조미료")</f>
        <v>액상조미료</v>
      </c>
    </row>
    <row r="11890">
      <c r="A11890" s="2" t="str">
        <f>IFERROR(__xludf.DUMMYFUNCTION("""COMPUTED_VALUE"""),"부시리 복치기")</f>
        <v>부시리 복치기</v>
      </c>
      <c r="B11890" s="2" t="str">
        <f>IFERROR(__xludf.DUMMYFUNCTION("""COMPUTED_VALUE"""),"양파")</f>
        <v>양파</v>
      </c>
    </row>
    <row r="11891">
      <c r="A11891" s="2" t="str">
        <f>IFERROR(__xludf.DUMMYFUNCTION("""COMPUTED_VALUE"""),"부시리 복치기")</f>
        <v>부시리 복치기</v>
      </c>
      <c r="B11891" s="2" t="str">
        <f>IFERROR(__xludf.DUMMYFUNCTION("""COMPUTED_VALUE"""),"대파")</f>
        <v>대파</v>
      </c>
    </row>
    <row r="11892">
      <c r="A11892" s="2" t="str">
        <f>IFERROR(__xludf.DUMMYFUNCTION("""COMPUTED_VALUE"""),"부시리 복치기")</f>
        <v>부시리 복치기</v>
      </c>
      <c r="B11892" s="2" t="str">
        <f>IFERROR(__xludf.DUMMYFUNCTION("""COMPUTED_VALUE"""),"마늘")</f>
        <v>마늘</v>
      </c>
    </row>
    <row r="11893">
      <c r="A11893" s="2" t="str">
        <f>IFERROR(__xludf.DUMMYFUNCTION("""COMPUTED_VALUE"""),"부시리 복치기")</f>
        <v>부시리 복치기</v>
      </c>
      <c r="B11893" s="2" t="str">
        <f>IFERROR(__xludf.DUMMYFUNCTION("""COMPUTED_VALUE"""),"청주")</f>
        <v>청주</v>
      </c>
    </row>
    <row r="11894">
      <c r="A11894" s="2" t="str">
        <f>IFERROR(__xludf.DUMMYFUNCTION("""COMPUTED_VALUE"""),"부시리 복치기")</f>
        <v>부시리 복치기</v>
      </c>
      <c r="B11894" s="2" t="str">
        <f>IFERROR(__xludf.DUMMYFUNCTION("""COMPUTED_VALUE"""),"달걀")</f>
        <v>달걀</v>
      </c>
    </row>
    <row r="11895">
      <c r="A11895" s="2" t="str">
        <f>IFERROR(__xludf.DUMMYFUNCTION("""COMPUTED_VALUE"""),"부시리 복치기")</f>
        <v>부시리 복치기</v>
      </c>
      <c r="B11895" s="2" t="str">
        <f>IFERROR(__xludf.DUMMYFUNCTION("""COMPUTED_VALUE"""),"전분")</f>
        <v>전분</v>
      </c>
    </row>
    <row r="11896">
      <c r="A11896" s="2" t="str">
        <f>IFERROR(__xludf.DUMMYFUNCTION("""COMPUTED_VALUE"""),"부시리 복치기")</f>
        <v>부시리 복치기</v>
      </c>
      <c r="B11896" s="2" t="str">
        <f>IFERROR(__xludf.DUMMYFUNCTION("""COMPUTED_VALUE"""),"고추장")</f>
        <v>고추장</v>
      </c>
    </row>
    <row r="11897">
      <c r="A11897" s="2" t="str">
        <f>IFERROR(__xludf.DUMMYFUNCTION("""COMPUTED_VALUE"""),"부시리 복치기")</f>
        <v>부시리 복치기</v>
      </c>
      <c r="B11897" s="2" t="str">
        <f>IFERROR(__xludf.DUMMYFUNCTION("""COMPUTED_VALUE"""),"식초")</f>
        <v>식초</v>
      </c>
    </row>
    <row r="11898">
      <c r="A11898" s="2" t="str">
        <f>IFERROR(__xludf.DUMMYFUNCTION("""COMPUTED_VALUE"""),"부시리 복치기")</f>
        <v>부시리 복치기</v>
      </c>
      <c r="B11898" s="2" t="str">
        <f>IFERROR(__xludf.DUMMYFUNCTION("""COMPUTED_VALUE"""),"맛술")</f>
        <v>맛술</v>
      </c>
    </row>
    <row r="11899">
      <c r="A11899" s="2" t="str">
        <f>IFERROR(__xludf.DUMMYFUNCTION("""COMPUTED_VALUE"""),"부시리 복치기")</f>
        <v>부시리 복치기</v>
      </c>
      <c r="B11899" s="2" t="str">
        <f>IFERROR(__xludf.DUMMYFUNCTION("""COMPUTED_VALUE"""),"청양고추")</f>
        <v>청양고추</v>
      </c>
    </row>
    <row r="11900">
      <c r="A11900" s="2" t="str">
        <f>IFERROR(__xludf.DUMMYFUNCTION("""COMPUTED_VALUE"""),"부시리 복치기")</f>
        <v>부시리 복치기</v>
      </c>
      <c r="B11900" s="2" t="str">
        <f>IFERROR(__xludf.DUMMYFUNCTION("""COMPUTED_VALUE"""),"즉석밥")</f>
        <v>즉석밥</v>
      </c>
    </row>
    <row r="11901">
      <c r="A11901" s="2" t="str">
        <f>IFERROR(__xludf.DUMMYFUNCTION("""COMPUTED_VALUE"""),"부시리 복치기")</f>
        <v>부시리 복치기</v>
      </c>
      <c r="B11901" s="2" t="str">
        <f>IFERROR(__xludf.DUMMYFUNCTION("""COMPUTED_VALUE"""),"소금")</f>
        <v>소금</v>
      </c>
    </row>
    <row r="11902">
      <c r="A11902" s="2" t="str">
        <f>IFERROR(__xludf.DUMMYFUNCTION("""COMPUTED_VALUE"""),"수박냉면")</f>
        <v>수박냉면</v>
      </c>
      <c r="B11902" s="2" t="str">
        <f>IFERROR(__xludf.DUMMYFUNCTION("""COMPUTED_VALUE"""),"수박")</f>
        <v>수박</v>
      </c>
    </row>
    <row r="11903">
      <c r="A11903" s="2" t="str">
        <f>IFERROR(__xludf.DUMMYFUNCTION("""COMPUTED_VALUE"""),"수박냉면")</f>
        <v>수박냉면</v>
      </c>
      <c r="B11903" s="2" t="str">
        <f>IFERROR(__xludf.DUMMYFUNCTION("""COMPUTED_VALUE"""),"차돌박이")</f>
        <v>차돌박이</v>
      </c>
    </row>
    <row r="11904">
      <c r="A11904" s="2" t="str">
        <f>IFERROR(__xludf.DUMMYFUNCTION("""COMPUTED_VALUE"""),"수박냉면")</f>
        <v>수박냉면</v>
      </c>
      <c r="B11904" s="2" t="str">
        <f>IFERROR(__xludf.DUMMYFUNCTION("""COMPUTED_VALUE"""),"돼지 뒷다리살")</f>
        <v>돼지 뒷다리살</v>
      </c>
    </row>
    <row r="11905">
      <c r="A11905" s="2" t="str">
        <f>IFERROR(__xludf.DUMMYFUNCTION("""COMPUTED_VALUE"""),"수박냉면")</f>
        <v>수박냉면</v>
      </c>
      <c r="B11905" s="2" t="str">
        <f>IFERROR(__xludf.DUMMYFUNCTION("""COMPUTED_VALUE"""),"부챗살")</f>
        <v>부챗살</v>
      </c>
    </row>
    <row r="11906">
      <c r="A11906" s="2" t="str">
        <f>IFERROR(__xludf.DUMMYFUNCTION("""COMPUTED_VALUE"""),"수박냉면")</f>
        <v>수박냉면</v>
      </c>
      <c r="B11906" s="2" t="str">
        <f>IFERROR(__xludf.DUMMYFUNCTION("""COMPUTED_VALUE"""),"토마토")</f>
        <v>토마토</v>
      </c>
    </row>
    <row r="11907">
      <c r="A11907" s="2" t="str">
        <f>IFERROR(__xludf.DUMMYFUNCTION("""COMPUTED_VALUE"""),"수박냉면")</f>
        <v>수박냉면</v>
      </c>
      <c r="B11907" s="2" t="str">
        <f>IFERROR(__xludf.DUMMYFUNCTION("""COMPUTED_VALUE"""),"파프리카")</f>
        <v>파프리카</v>
      </c>
    </row>
    <row r="11908">
      <c r="A11908" s="2" t="str">
        <f>IFERROR(__xludf.DUMMYFUNCTION("""COMPUTED_VALUE"""),"수박냉면")</f>
        <v>수박냉면</v>
      </c>
      <c r="B11908" s="2" t="str">
        <f>IFERROR(__xludf.DUMMYFUNCTION("""COMPUTED_VALUE"""),"인스턴트 냉면")</f>
        <v>인스턴트 냉면</v>
      </c>
    </row>
    <row r="11909">
      <c r="A11909" s="2" t="str">
        <f>IFERROR(__xludf.DUMMYFUNCTION("""COMPUTED_VALUE"""),"수박냉면")</f>
        <v>수박냉면</v>
      </c>
      <c r="B11909" s="2" t="str">
        <f>IFERROR(__xludf.DUMMYFUNCTION("""COMPUTED_VALUE"""),"루콜라")</f>
        <v>루콜라</v>
      </c>
    </row>
    <row r="11910">
      <c r="A11910" s="2" t="str">
        <f>IFERROR(__xludf.DUMMYFUNCTION("""COMPUTED_VALUE"""),"수박냉면")</f>
        <v>수박냉면</v>
      </c>
      <c r="B11910" s="2" t="str">
        <f>IFERROR(__xludf.DUMMYFUNCTION("""COMPUTED_VALUE"""),"액상조미료")</f>
        <v>액상조미료</v>
      </c>
    </row>
    <row r="11911">
      <c r="A11911" s="2" t="str">
        <f>IFERROR(__xludf.DUMMYFUNCTION("""COMPUTED_VALUE"""),"수박냉면")</f>
        <v>수박냉면</v>
      </c>
      <c r="B11911" s="2" t="str">
        <f>IFERROR(__xludf.DUMMYFUNCTION("""COMPUTED_VALUE"""),"오이")</f>
        <v>오이</v>
      </c>
    </row>
    <row r="11912">
      <c r="A11912" s="2" t="str">
        <f>IFERROR(__xludf.DUMMYFUNCTION("""COMPUTED_VALUE"""),"수박냉면")</f>
        <v>수박냉면</v>
      </c>
      <c r="B11912" s="2" t="str">
        <f>IFERROR(__xludf.DUMMYFUNCTION("""COMPUTED_VALUE"""),"상추")</f>
        <v>상추</v>
      </c>
    </row>
    <row r="11913">
      <c r="A11913" s="2" t="str">
        <f>IFERROR(__xludf.DUMMYFUNCTION("""COMPUTED_VALUE"""),"수박냉면")</f>
        <v>수박냉면</v>
      </c>
      <c r="B11913" s="2" t="str">
        <f>IFERROR(__xludf.DUMMYFUNCTION("""COMPUTED_VALUE"""),"굴소스")</f>
        <v>굴소스</v>
      </c>
    </row>
    <row r="11914">
      <c r="A11914" s="2" t="str">
        <f>IFERROR(__xludf.DUMMYFUNCTION("""COMPUTED_VALUE"""),"수박냉면")</f>
        <v>수박냉면</v>
      </c>
      <c r="B11914" s="2" t="str">
        <f>IFERROR(__xludf.DUMMYFUNCTION("""COMPUTED_VALUE"""),"대파")</f>
        <v>대파</v>
      </c>
    </row>
    <row r="11915">
      <c r="A11915" s="2" t="str">
        <f>IFERROR(__xludf.DUMMYFUNCTION("""COMPUTED_VALUE"""),"수박냉면")</f>
        <v>수박냉면</v>
      </c>
      <c r="B11915" s="2" t="str">
        <f>IFERROR(__xludf.DUMMYFUNCTION("""COMPUTED_VALUE"""),"소금")</f>
        <v>소금</v>
      </c>
    </row>
    <row r="11916">
      <c r="A11916" s="2" t="str">
        <f>IFERROR(__xludf.DUMMYFUNCTION("""COMPUTED_VALUE"""),"수박냉면")</f>
        <v>수박냉면</v>
      </c>
      <c r="B11916" s="2" t="str">
        <f>IFERROR(__xludf.DUMMYFUNCTION("""COMPUTED_VALUE"""),"고춧가루")</f>
        <v>고춧가루</v>
      </c>
    </row>
    <row r="11917">
      <c r="A11917" s="2" t="str">
        <f>IFERROR(__xludf.DUMMYFUNCTION("""COMPUTED_VALUE"""),"수박냉면")</f>
        <v>수박냉면</v>
      </c>
      <c r="B11917" s="2" t="str">
        <f>IFERROR(__xludf.DUMMYFUNCTION("""COMPUTED_VALUE"""),"간장")</f>
        <v>간장</v>
      </c>
    </row>
    <row r="11918">
      <c r="A11918" s="2" t="str">
        <f>IFERROR(__xludf.DUMMYFUNCTION("""COMPUTED_VALUE"""),"수박냉면")</f>
        <v>수박냉면</v>
      </c>
      <c r="B11918" s="2" t="str">
        <f>IFERROR(__xludf.DUMMYFUNCTION("""COMPUTED_VALUE"""),"된장")</f>
        <v>된장</v>
      </c>
    </row>
    <row r="11919">
      <c r="A11919" s="2" t="str">
        <f>IFERROR(__xludf.DUMMYFUNCTION("""COMPUTED_VALUE"""),"수박냉면")</f>
        <v>수박냉면</v>
      </c>
      <c r="B11919" s="2" t="str">
        <f>IFERROR(__xludf.DUMMYFUNCTION("""COMPUTED_VALUE"""),"식초")</f>
        <v>식초</v>
      </c>
    </row>
    <row r="11920">
      <c r="A11920" s="2" t="str">
        <f>IFERROR(__xludf.DUMMYFUNCTION("""COMPUTED_VALUE"""),"수박냉면")</f>
        <v>수박냉면</v>
      </c>
      <c r="B11920" s="2" t="str">
        <f>IFERROR(__xludf.DUMMYFUNCTION("""COMPUTED_VALUE"""),"레몬")</f>
        <v>레몬</v>
      </c>
    </row>
    <row r="11921">
      <c r="A11921" s="2" t="str">
        <f>IFERROR(__xludf.DUMMYFUNCTION("""COMPUTED_VALUE"""),"수박냉면")</f>
        <v>수박냉면</v>
      </c>
      <c r="B11921" s="2" t="str">
        <f>IFERROR(__xludf.DUMMYFUNCTION("""COMPUTED_VALUE"""),"다진마늘")</f>
        <v>다진마늘</v>
      </c>
    </row>
    <row r="11922">
      <c r="A11922" s="2" t="str">
        <f>IFERROR(__xludf.DUMMYFUNCTION("""COMPUTED_VALUE"""),"Drop the fish")</f>
        <v>Drop the fish</v>
      </c>
      <c r="B11922" s="2" t="str">
        <f>IFERROR(__xludf.DUMMYFUNCTION("""COMPUTED_VALUE"""),"붉바리")</f>
        <v>붉바리</v>
      </c>
    </row>
    <row r="11923">
      <c r="A11923" s="2" t="str">
        <f>IFERROR(__xludf.DUMMYFUNCTION("""COMPUTED_VALUE"""),"Drop the fish")</f>
        <v>Drop the fish</v>
      </c>
      <c r="B11923" s="2" t="str">
        <f>IFERROR(__xludf.DUMMYFUNCTION("""COMPUTED_VALUE"""),"루콜라")</f>
        <v>루콜라</v>
      </c>
    </row>
    <row r="11924">
      <c r="A11924" s="2" t="str">
        <f>IFERROR(__xludf.DUMMYFUNCTION("""COMPUTED_VALUE"""),"Drop the fish")</f>
        <v>Drop the fish</v>
      </c>
      <c r="B11924" s="2" t="str">
        <f>IFERROR(__xludf.DUMMYFUNCTION("""COMPUTED_VALUE"""),"감자")</f>
        <v>감자</v>
      </c>
    </row>
    <row r="11925">
      <c r="A11925" s="2" t="str">
        <f>IFERROR(__xludf.DUMMYFUNCTION("""COMPUTED_VALUE"""),"Drop the fish")</f>
        <v>Drop the fish</v>
      </c>
      <c r="B11925" s="2" t="str">
        <f>IFERROR(__xludf.DUMMYFUNCTION("""COMPUTED_VALUE"""),"토마토")</f>
        <v>토마토</v>
      </c>
    </row>
    <row r="11926">
      <c r="A11926" s="2" t="str">
        <f>IFERROR(__xludf.DUMMYFUNCTION("""COMPUTED_VALUE"""),"Drop the fish")</f>
        <v>Drop the fish</v>
      </c>
      <c r="B11926" s="2" t="str">
        <f>IFERROR(__xludf.DUMMYFUNCTION("""COMPUTED_VALUE"""),"발사믹글레이즈")</f>
        <v>발사믹글레이즈</v>
      </c>
    </row>
    <row r="11927">
      <c r="A11927" s="2" t="str">
        <f>IFERROR(__xludf.DUMMYFUNCTION("""COMPUTED_VALUE"""),"Drop the fish")</f>
        <v>Drop the fish</v>
      </c>
      <c r="B11927" s="2" t="str">
        <f>IFERROR(__xludf.DUMMYFUNCTION("""COMPUTED_VALUE"""),"스위트칠리소스")</f>
        <v>스위트칠리소스</v>
      </c>
    </row>
    <row r="11928">
      <c r="A11928" s="2" t="str">
        <f>IFERROR(__xludf.DUMMYFUNCTION("""COMPUTED_VALUE"""),"Drop the fish")</f>
        <v>Drop the fish</v>
      </c>
      <c r="B11928" s="2" t="str">
        <f>IFERROR(__xludf.DUMMYFUNCTION("""COMPUTED_VALUE"""),"파프리카")</f>
        <v>파프리카</v>
      </c>
    </row>
    <row r="11929">
      <c r="A11929" s="2" t="str">
        <f>IFERROR(__xludf.DUMMYFUNCTION("""COMPUTED_VALUE"""),"Drop the fish")</f>
        <v>Drop the fish</v>
      </c>
      <c r="B11929" s="2" t="str">
        <f>IFERROR(__xludf.DUMMYFUNCTION("""COMPUTED_VALUE"""),"생모차렐라 치즈")</f>
        <v>생모차렐라 치즈</v>
      </c>
    </row>
    <row r="11930">
      <c r="A11930" s="2" t="str">
        <f>IFERROR(__xludf.DUMMYFUNCTION("""COMPUTED_VALUE"""),"Drop the fish")</f>
        <v>Drop the fish</v>
      </c>
      <c r="B11930" s="2" t="str">
        <f>IFERROR(__xludf.DUMMYFUNCTION("""COMPUTED_VALUE"""),"양파")</f>
        <v>양파</v>
      </c>
    </row>
    <row r="11931">
      <c r="A11931" s="2" t="str">
        <f>IFERROR(__xludf.DUMMYFUNCTION("""COMPUTED_VALUE"""),"Drop the fish")</f>
        <v>Drop the fish</v>
      </c>
      <c r="B11931" s="2" t="str">
        <f>IFERROR(__xludf.DUMMYFUNCTION("""COMPUTED_VALUE"""),"화이트와인")</f>
        <v>화이트와인</v>
      </c>
    </row>
    <row r="11932">
      <c r="A11932" s="2" t="str">
        <f>IFERROR(__xludf.DUMMYFUNCTION("""COMPUTED_VALUE"""),"Drop the fish")</f>
        <v>Drop the fish</v>
      </c>
      <c r="B11932" s="2" t="str">
        <f>IFERROR(__xludf.DUMMYFUNCTION("""COMPUTED_VALUE"""),"통후추")</f>
        <v>통후추</v>
      </c>
    </row>
    <row r="11933">
      <c r="A11933" s="2" t="str">
        <f>IFERROR(__xludf.DUMMYFUNCTION("""COMPUTED_VALUE"""),"Drop the fish")</f>
        <v>Drop the fish</v>
      </c>
      <c r="B11933" s="2" t="str">
        <f>IFERROR(__xludf.DUMMYFUNCTION("""COMPUTED_VALUE"""),"순후추")</f>
        <v>순후추</v>
      </c>
    </row>
    <row r="11934">
      <c r="A11934" s="2" t="str">
        <f>IFERROR(__xludf.DUMMYFUNCTION("""COMPUTED_VALUE"""),"Drop the fish")</f>
        <v>Drop the fish</v>
      </c>
      <c r="B11934" s="2" t="str">
        <f>IFERROR(__xludf.DUMMYFUNCTION("""COMPUTED_VALUE"""),"버터")</f>
        <v>버터</v>
      </c>
    </row>
    <row r="11935">
      <c r="A11935" s="2" t="str">
        <f>IFERROR(__xludf.DUMMYFUNCTION("""COMPUTED_VALUE"""),"Drop the fish")</f>
        <v>Drop the fish</v>
      </c>
      <c r="B11935" s="2" t="str">
        <f>IFERROR(__xludf.DUMMYFUNCTION("""COMPUTED_VALUE"""),"설탕")</f>
        <v>설탕</v>
      </c>
    </row>
    <row r="11936">
      <c r="A11936" s="2" t="str">
        <f>IFERROR(__xludf.DUMMYFUNCTION("""COMPUTED_VALUE"""),"Drop the fish")</f>
        <v>Drop the fish</v>
      </c>
      <c r="B11936" s="2" t="str">
        <f>IFERROR(__xludf.DUMMYFUNCTION("""COMPUTED_VALUE"""),"레몬")</f>
        <v>레몬</v>
      </c>
    </row>
    <row r="11937">
      <c r="A11937" s="2" t="str">
        <f>IFERROR(__xludf.DUMMYFUNCTION("""COMPUTED_VALUE"""),"Drop the fish")</f>
        <v>Drop the fish</v>
      </c>
      <c r="B11937" s="2" t="str">
        <f>IFERROR(__xludf.DUMMYFUNCTION("""COMPUTED_VALUE"""),"올리브오일")</f>
        <v>올리브오일</v>
      </c>
    </row>
    <row r="11938">
      <c r="A11938" s="2" t="str">
        <f>IFERROR(__xludf.DUMMYFUNCTION("""COMPUTED_VALUE"""),"Drop the fish")</f>
        <v>Drop the fish</v>
      </c>
      <c r="B11938" s="2" t="str">
        <f>IFERROR(__xludf.DUMMYFUNCTION("""COMPUTED_VALUE"""),"소금")</f>
        <v>소금</v>
      </c>
    </row>
    <row r="11939">
      <c r="A11939" s="2" t="str">
        <f>IFERROR(__xludf.DUMMYFUNCTION("""COMPUTED_VALUE"""),"Fish Fish Baby♬")</f>
        <v>Fish Fish Baby♬</v>
      </c>
      <c r="B11939" s="2" t="str">
        <f>IFERROR(__xludf.DUMMYFUNCTION("""COMPUTED_VALUE"""),"붉바리")</f>
        <v>붉바리</v>
      </c>
    </row>
    <row r="11940">
      <c r="A11940" s="2" t="str">
        <f>IFERROR(__xludf.DUMMYFUNCTION("""COMPUTED_VALUE"""),"Fish Fish Baby♬")</f>
        <v>Fish Fish Baby♬</v>
      </c>
      <c r="B11940" s="2" t="str">
        <f>IFERROR(__xludf.DUMMYFUNCTION("""COMPUTED_VALUE"""),"전복")</f>
        <v>전복</v>
      </c>
    </row>
    <row r="11941">
      <c r="A11941" s="2" t="str">
        <f>IFERROR(__xludf.DUMMYFUNCTION("""COMPUTED_VALUE"""),"Fish Fish Baby♬")</f>
        <v>Fish Fish Baby♬</v>
      </c>
      <c r="B11941" s="2" t="str">
        <f>IFERROR(__xludf.DUMMYFUNCTION("""COMPUTED_VALUE"""),"아보카도")</f>
        <v>아보카도</v>
      </c>
    </row>
    <row r="11942">
      <c r="A11942" s="2" t="str">
        <f>IFERROR(__xludf.DUMMYFUNCTION("""COMPUTED_VALUE"""),"Fish Fish Baby♬")</f>
        <v>Fish Fish Baby♬</v>
      </c>
      <c r="B11942" s="2" t="str">
        <f>IFERROR(__xludf.DUMMYFUNCTION("""COMPUTED_VALUE"""),"감자")</f>
        <v>감자</v>
      </c>
    </row>
    <row r="11943">
      <c r="A11943" s="2" t="str">
        <f>IFERROR(__xludf.DUMMYFUNCTION("""COMPUTED_VALUE"""),"Fish Fish Baby♬")</f>
        <v>Fish Fish Baby♬</v>
      </c>
      <c r="B11943" s="2" t="str">
        <f>IFERROR(__xludf.DUMMYFUNCTION("""COMPUTED_VALUE"""),"파프리카")</f>
        <v>파프리카</v>
      </c>
    </row>
    <row r="11944">
      <c r="A11944" s="2" t="str">
        <f>IFERROR(__xludf.DUMMYFUNCTION("""COMPUTED_VALUE"""),"Fish Fish Baby♬")</f>
        <v>Fish Fish Baby♬</v>
      </c>
      <c r="B11944" s="2" t="str">
        <f>IFERROR(__xludf.DUMMYFUNCTION("""COMPUTED_VALUE"""),"스위트칠리소스")</f>
        <v>스위트칠리소스</v>
      </c>
    </row>
    <row r="11945">
      <c r="A11945" s="2" t="str">
        <f>IFERROR(__xludf.DUMMYFUNCTION("""COMPUTED_VALUE"""),"Fish Fish Baby♬")</f>
        <v>Fish Fish Baby♬</v>
      </c>
      <c r="B11945" s="2" t="str">
        <f>IFERROR(__xludf.DUMMYFUNCTION("""COMPUTED_VALUE"""),"루콜라")</f>
        <v>루콜라</v>
      </c>
    </row>
    <row r="11946">
      <c r="A11946" s="2" t="str">
        <f>IFERROR(__xludf.DUMMYFUNCTION("""COMPUTED_VALUE"""),"Fish Fish Baby♬")</f>
        <v>Fish Fish Baby♬</v>
      </c>
      <c r="B11946" s="2" t="str">
        <f>IFERROR(__xludf.DUMMYFUNCTION("""COMPUTED_VALUE"""),"맛술")</f>
        <v>맛술</v>
      </c>
    </row>
    <row r="11947">
      <c r="A11947" s="2" t="str">
        <f>IFERROR(__xludf.DUMMYFUNCTION("""COMPUTED_VALUE"""),"Fish Fish Baby♬")</f>
        <v>Fish Fish Baby♬</v>
      </c>
      <c r="B11947" s="2" t="str">
        <f>IFERROR(__xludf.DUMMYFUNCTION("""COMPUTED_VALUE"""),"청주")</f>
        <v>청주</v>
      </c>
    </row>
    <row r="11948">
      <c r="A11948" s="2" t="str">
        <f>IFERROR(__xludf.DUMMYFUNCTION("""COMPUTED_VALUE"""),"Fish Fish Baby♬")</f>
        <v>Fish Fish Baby♬</v>
      </c>
      <c r="B11948" s="2" t="str">
        <f>IFERROR(__xludf.DUMMYFUNCTION("""COMPUTED_VALUE"""),"설탕")</f>
        <v>설탕</v>
      </c>
    </row>
    <row r="11949">
      <c r="A11949" s="2" t="str">
        <f>IFERROR(__xludf.DUMMYFUNCTION("""COMPUTED_VALUE"""),"Fish Fish Baby♬")</f>
        <v>Fish Fish Baby♬</v>
      </c>
      <c r="B11949" s="2" t="str">
        <f>IFERROR(__xludf.DUMMYFUNCTION("""COMPUTED_VALUE"""),"간장")</f>
        <v>간장</v>
      </c>
    </row>
    <row r="11950">
      <c r="A11950" s="2" t="str">
        <f>IFERROR(__xludf.DUMMYFUNCTION("""COMPUTED_VALUE"""),"Fish Fish Baby♬")</f>
        <v>Fish Fish Baby♬</v>
      </c>
      <c r="B11950" s="2" t="str">
        <f>IFERROR(__xludf.DUMMYFUNCTION("""COMPUTED_VALUE"""),"버터")</f>
        <v>버터</v>
      </c>
    </row>
    <row r="11951">
      <c r="A11951" s="2" t="str">
        <f>IFERROR(__xludf.DUMMYFUNCTION("""COMPUTED_VALUE"""),"Fish Fish Baby♬")</f>
        <v>Fish Fish Baby♬</v>
      </c>
      <c r="B11951" s="2" t="str">
        <f>IFERROR(__xludf.DUMMYFUNCTION("""COMPUTED_VALUE"""),"튀김가루")</f>
        <v>튀김가루</v>
      </c>
    </row>
    <row r="11952">
      <c r="A11952" s="2" t="str">
        <f>IFERROR(__xludf.DUMMYFUNCTION("""COMPUTED_VALUE"""),"Fish Fish Baby♬")</f>
        <v>Fish Fish Baby♬</v>
      </c>
      <c r="B11952" s="2" t="str">
        <f>IFERROR(__xludf.DUMMYFUNCTION("""COMPUTED_VALUE"""),"전분")</f>
        <v>전분</v>
      </c>
    </row>
    <row r="11953">
      <c r="A11953" s="2" t="str">
        <f>IFERROR(__xludf.DUMMYFUNCTION("""COMPUTED_VALUE"""),"Fish Fish Baby♬")</f>
        <v>Fish Fish Baby♬</v>
      </c>
      <c r="B11953" s="2" t="str">
        <f>IFERROR(__xludf.DUMMYFUNCTION("""COMPUTED_VALUE"""),"홍고추")</f>
        <v>홍고추</v>
      </c>
    </row>
    <row r="11954">
      <c r="A11954" s="2" t="str">
        <f>IFERROR(__xludf.DUMMYFUNCTION("""COMPUTED_VALUE"""),"Fish Fish Baby♬")</f>
        <v>Fish Fish Baby♬</v>
      </c>
      <c r="B11954" s="2" t="str">
        <f>IFERROR(__xludf.DUMMYFUNCTION("""COMPUTED_VALUE"""),"청양고추")</f>
        <v>청양고추</v>
      </c>
    </row>
    <row r="11955">
      <c r="A11955" s="2" t="str">
        <f>IFERROR(__xludf.DUMMYFUNCTION("""COMPUTED_VALUE"""),"Fish Fish Baby♬")</f>
        <v>Fish Fish Baby♬</v>
      </c>
      <c r="B11955" s="2" t="str">
        <f>IFERROR(__xludf.DUMMYFUNCTION("""COMPUTED_VALUE"""),"통마늘")</f>
        <v>통마늘</v>
      </c>
    </row>
    <row r="11956">
      <c r="A11956" s="2" t="str">
        <f>IFERROR(__xludf.DUMMYFUNCTION("""COMPUTED_VALUE"""),"Fish Fish Baby♬")</f>
        <v>Fish Fish Baby♬</v>
      </c>
      <c r="B11956" s="2" t="str">
        <f>IFERROR(__xludf.DUMMYFUNCTION("""COMPUTED_VALUE"""),"식초")</f>
        <v>식초</v>
      </c>
    </row>
    <row r="11957">
      <c r="A11957" s="2" t="str">
        <f>IFERROR(__xludf.DUMMYFUNCTION("""COMPUTED_VALUE"""),"Fish Fish Baby♬")</f>
        <v>Fish Fish Baby♬</v>
      </c>
      <c r="B11957" s="2" t="str">
        <f>IFERROR(__xludf.DUMMYFUNCTION("""COMPUTED_VALUE"""),"케첩")</f>
        <v>케첩</v>
      </c>
    </row>
    <row r="11958">
      <c r="A11958" s="2" t="str">
        <f>IFERROR(__xludf.DUMMYFUNCTION("""COMPUTED_VALUE"""),"Fish Fish Baby♬")</f>
        <v>Fish Fish Baby♬</v>
      </c>
      <c r="B11958" s="2" t="str">
        <f>IFERROR(__xludf.DUMMYFUNCTION("""COMPUTED_VALUE"""),"양파")</f>
        <v>양파</v>
      </c>
    </row>
    <row r="11959">
      <c r="A11959" s="2" t="str">
        <f>IFERROR(__xludf.DUMMYFUNCTION("""COMPUTED_VALUE"""),"청실홍실")</f>
        <v>청실홍실</v>
      </c>
      <c r="B11959" s="2" t="str">
        <f>IFERROR(__xludf.DUMMYFUNCTION("""COMPUTED_VALUE"""),"홍어 날개")</f>
        <v>홍어 날개</v>
      </c>
    </row>
    <row r="11960">
      <c r="A11960" s="2" t="str">
        <f>IFERROR(__xludf.DUMMYFUNCTION("""COMPUTED_VALUE"""),"청실홍실")</f>
        <v>청실홍실</v>
      </c>
      <c r="B11960" s="2" t="str">
        <f>IFERROR(__xludf.DUMMYFUNCTION("""COMPUTED_VALUE"""),"홍어 애")</f>
        <v>홍어 애</v>
      </c>
    </row>
    <row r="11961">
      <c r="A11961" s="2" t="str">
        <f>IFERROR(__xludf.DUMMYFUNCTION("""COMPUTED_VALUE"""),"청실홍실")</f>
        <v>청실홍실</v>
      </c>
      <c r="B11961" s="2" t="str">
        <f>IFERROR(__xludf.DUMMYFUNCTION("""COMPUTED_VALUE"""),"청국장")</f>
        <v>청국장</v>
      </c>
    </row>
    <row r="11962">
      <c r="A11962" s="2" t="str">
        <f>IFERROR(__xludf.DUMMYFUNCTION("""COMPUTED_VALUE"""),"청실홍실")</f>
        <v>청실홍실</v>
      </c>
      <c r="B11962" s="2" t="str">
        <f>IFERROR(__xludf.DUMMYFUNCTION("""COMPUTED_VALUE"""),"된장")</f>
        <v>된장</v>
      </c>
    </row>
    <row r="11963">
      <c r="A11963" s="2" t="str">
        <f>IFERROR(__xludf.DUMMYFUNCTION("""COMPUTED_VALUE"""),"청실홍실")</f>
        <v>청실홍실</v>
      </c>
      <c r="B11963" s="2" t="str">
        <f>IFERROR(__xludf.DUMMYFUNCTION("""COMPUTED_VALUE"""),"오리엔탈드레싱")</f>
        <v>오리엔탈드레싱</v>
      </c>
    </row>
    <row r="11964">
      <c r="A11964" s="2" t="str">
        <f>IFERROR(__xludf.DUMMYFUNCTION("""COMPUTED_VALUE"""),"청실홍실")</f>
        <v>청실홍실</v>
      </c>
      <c r="B11964" s="2" t="str">
        <f>IFERROR(__xludf.DUMMYFUNCTION("""COMPUTED_VALUE"""),"발사믹식초")</f>
        <v>발사믹식초</v>
      </c>
    </row>
    <row r="11965">
      <c r="A11965" s="2" t="str">
        <f>IFERROR(__xludf.DUMMYFUNCTION("""COMPUTED_VALUE"""),"청실홍실")</f>
        <v>청실홍실</v>
      </c>
      <c r="B11965" s="2" t="str">
        <f>IFERROR(__xludf.DUMMYFUNCTION("""COMPUTED_VALUE"""),"코코넛식초")</f>
        <v>코코넛식초</v>
      </c>
    </row>
    <row r="11966">
      <c r="A11966" s="2" t="str">
        <f>IFERROR(__xludf.DUMMYFUNCTION("""COMPUTED_VALUE"""),"청실홍실")</f>
        <v>청실홍실</v>
      </c>
      <c r="B11966" s="2" t="str">
        <f>IFERROR(__xludf.DUMMYFUNCTION("""COMPUTED_VALUE"""),"다시마육수팩")</f>
        <v>다시마육수팩</v>
      </c>
    </row>
    <row r="11967">
      <c r="A11967" s="2" t="str">
        <f>IFERROR(__xludf.DUMMYFUNCTION("""COMPUTED_VALUE"""),"청실홍실")</f>
        <v>청실홍실</v>
      </c>
      <c r="B11967" s="2" t="str">
        <f>IFERROR(__xludf.DUMMYFUNCTION("""COMPUTED_VALUE"""),"비트&amp;무 피클")</f>
        <v>비트&amp;무 피클</v>
      </c>
    </row>
    <row r="11968">
      <c r="A11968" s="2" t="str">
        <f>IFERROR(__xludf.DUMMYFUNCTION("""COMPUTED_VALUE"""),"청실홍실")</f>
        <v>청실홍실</v>
      </c>
      <c r="B11968" s="2" t="str">
        <f>IFERROR(__xludf.DUMMYFUNCTION("""COMPUTED_VALUE"""),"양배추")</f>
        <v>양배추</v>
      </c>
    </row>
    <row r="11969">
      <c r="A11969" s="2" t="str">
        <f>IFERROR(__xludf.DUMMYFUNCTION("""COMPUTED_VALUE"""),"청실홍실")</f>
        <v>청실홍실</v>
      </c>
      <c r="B11969" s="2" t="str">
        <f>IFERROR(__xludf.DUMMYFUNCTION("""COMPUTED_VALUE"""),"적양파")</f>
        <v>적양파</v>
      </c>
    </row>
    <row r="11970">
      <c r="A11970" s="2" t="str">
        <f>IFERROR(__xludf.DUMMYFUNCTION("""COMPUTED_VALUE"""),"청실홍실")</f>
        <v>청실홍실</v>
      </c>
      <c r="B11970" s="2" t="str">
        <f>IFERROR(__xludf.DUMMYFUNCTION("""COMPUTED_VALUE"""),"양송이버섯")</f>
        <v>양송이버섯</v>
      </c>
    </row>
    <row r="11971">
      <c r="A11971" s="2" t="str">
        <f>IFERROR(__xludf.DUMMYFUNCTION("""COMPUTED_VALUE"""),"청실홍실")</f>
        <v>청실홍실</v>
      </c>
      <c r="B11971" s="2" t="str">
        <f>IFERROR(__xludf.DUMMYFUNCTION("""COMPUTED_VALUE"""),"당근")</f>
        <v>당근</v>
      </c>
    </row>
    <row r="11972">
      <c r="A11972" s="2" t="str">
        <f>IFERROR(__xludf.DUMMYFUNCTION("""COMPUTED_VALUE"""),"청실홍실")</f>
        <v>청실홍실</v>
      </c>
      <c r="B11972" s="2" t="str">
        <f>IFERROR(__xludf.DUMMYFUNCTION("""COMPUTED_VALUE"""),"오이")</f>
        <v>오이</v>
      </c>
    </row>
    <row r="11973">
      <c r="A11973" s="2" t="str">
        <f>IFERROR(__xludf.DUMMYFUNCTION("""COMPUTED_VALUE"""),"청실홍실")</f>
        <v>청실홍실</v>
      </c>
      <c r="B11973" s="2" t="str">
        <f>IFERROR(__xludf.DUMMYFUNCTION("""COMPUTED_VALUE"""),"설탕")</f>
        <v>설탕</v>
      </c>
    </row>
    <row r="11974">
      <c r="A11974" s="2" t="str">
        <f>IFERROR(__xludf.DUMMYFUNCTION("""COMPUTED_VALUE"""),"최애 홍파스타")</f>
        <v>최애 홍파스타</v>
      </c>
      <c r="B11974" s="2" t="str">
        <f>IFERROR(__xludf.DUMMYFUNCTION("""COMPUTED_VALUE"""),"홍어 날개")</f>
        <v>홍어 날개</v>
      </c>
    </row>
    <row r="11975">
      <c r="A11975" s="2" t="str">
        <f>IFERROR(__xludf.DUMMYFUNCTION("""COMPUTED_VALUE"""),"최애 홍파스타")</f>
        <v>최애 홍파스타</v>
      </c>
      <c r="B11975" s="2" t="str">
        <f>IFERROR(__xludf.DUMMYFUNCTION("""COMPUTED_VALUE"""),"홍어 애")</f>
        <v>홍어 애</v>
      </c>
    </row>
    <row r="11976">
      <c r="A11976" s="2" t="str">
        <f>IFERROR(__xludf.DUMMYFUNCTION("""COMPUTED_VALUE"""),"최애 홍파스타")</f>
        <v>최애 홍파스타</v>
      </c>
      <c r="B11976" s="2" t="str">
        <f>IFERROR(__xludf.DUMMYFUNCTION("""COMPUTED_VALUE"""),"파스타면")</f>
        <v>파스타면</v>
      </c>
    </row>
    <row r="11977">
      <c r="A11977" s="2" t="str">
        <f>IFERROR(__xludf.DUMMYFUNCTION("""COMPUTED_VALUE"""),"최애 홍파스타")</f>
        <v>최애 홍파스타</v>
      </c>
      <c r="B11977" s="2" t="str">
        <f>IFERROR(__xludf.DUMMYFUNCTION("""COMPUTED_VALUE"""),"그린올리브")</f>
        <v>그린올리브</v>
      </c>
    </row>
    <row r="11978">
      <c r="A11978" s="2" t="str">
        <f>IFERROR(__xludf.DUMMYFUNCTION("""COMPUTED_VALUE"""),"최애 홍파스타")</f>
        <v>최애 홍파스타</v>
      </c>
      <c r="B11978" s="2" t="str">
        <f>IFERROR(__xludf.DUMMYFUNCTION("""COMPUTED_VALUE"""),"블랙올리브")</f>
        <v>블랙올리브</v>
      </c>
    </row>
    <row r="11979">
      <c r="A11979" s="2" t="str">
        <f>IFERROR(__xludf.DUMMYFUNCTION("""COMPUTED_VALUE"""),"최애 홍파스타")</f>
        <v>최애 홍파스타</v>
      </c>
      <c r="B11979" s="2" t="str">
        <f>IFERROR(__xludf.DUMMYFUNCTION("""COMPUTED_VALUE"""),"고추냉이마요네즈")</f>
        <v>고추냉이마요네즈</v>
      </c>
    </row>
    <row r="11980">
      <c r="A11980" s="2" t="str">
        <f>IFERROR(__xludf.DUMMYFUNCTION("""COMPUTED_VALUE"""),"최애 홍파스타")</f>
        <v>최애 홍파스타</v>
      </c>
      <c r="B11980" s="2" t="str">
        <f>IFERROR(__xludf.DUMMYFUNCTION("""COMPUTED_VALUE"""),"무")</f>
        <v>무</v>
      </c>
    </row>
    <row r="11981">
      <c r="A11981" s="2" t="str">
        <f>IFERROR(__xludf.DUMMYFUNCTION("""COMPUTED_VALUE"""),"최애 홍파스타")</f>
        <v>최애 홍파스타</v>
      </c>
      <c r="B11981" s="2" t="str">
        <f>IFERROR(__xludf.DUMMYFUNCTION("""COMPUTED_VALUE"""),"깻잎")</f>
        <v>깻잎</v>
      </c>
    </row>
    <row r="11982">
      <c r="A11982" s="2" t="str">
        <f>IFERROR(__xludf.DUMMYFUNCTION("""COMPUTED_VALUE"""),"최애 홍파스타")</f>
        <v>최애 홍파스타</v>
      </c>
      <c r="B11982" s="2" t="str">
        <f>IFERROR(__xludf.DUMMYFUNCTION("""COMPUTED_VALUE"""),"아스파라거스")</f>
        <v>아스파라거스</v>
      </c>
    </row>
    <row r="11983">
      <c r="A11983" s="2" t="str">
        <f>IFERROR(__xludf.DUMMYFUNCTION("""COMPUTED_VALUE"""),"최애 홍파스타")</f>
        <v>최애 홍파스타</v>
      </c>
      <c r="B11983" s="2" t="str">
        <f>IFERROR(__xludf.DUMMYFUNCTION("""COMPUTED_VALUE"""),"사과")</f>
        <v>사과</v>
      </c>
    </row>
    <row r="11984">
      <c r="A11984" s="2" t="str">
        <f>IFERROR(__xludf.DUMMYFUNCTION("""COMPUTED_VALUE"""),"최애 홍파스타")</f>
        <v>최애 홍파스타</v>
      </c>
      <c r="B11984" s="2" t="str">
        <f>IFERROR(__xludf.DUMMYFUNCTION("""COMPUTED_VALUE"""),"치킨스톡")</f>
        <v>치킨스톡</v>
      </c>
    </row>
    <row r="11985">
      <c r="A11985" s="2" t="str">
        <f>IFERROR(__xludf.DUMMYFUNCTION("""COMPUTED_VALUE"""),"최애 홍파스타")</f>
        <v>최애 홍파스타</v>
      </c>
      <c r="B11985" s="2" t="str">
        <f>IFERROR(__xludf.DUMMYFUNCTION("""COMPUTED_VALUE"""),"후추")</f>
        <v>후추</v>
      </c>
    </row>
    <row r="11986">
      <c r="A11986" s="2" t="str">
        <f>IFERROR(__xludf.DUMMYFUNCTION("""COMPUTED_VALUE"""),"최애 홍파스타")</f>
        <v>최애 홍파스타</v>
      </c>
      <c r="B11986" s="2" t="str">
        <f>IFERROR(__xludf.DUMMYFUNCTION("""COMPUTED_VALUE"""),"참기름")</f>
        <v>참기름</v>
      </c>
    </row>
    <row r="11987">
      <c r="A11987" s="2" t="str">
        <f>IFERROR(__xludf.DUMMYFUNCTION("""COMPUTED_VALUE"""),"최애 홍파스타")</f>
        <v>최애 홍파스타</v>
      </c>
      <c r="B11987" s="2" t="str">
        <f>IFERROR(__xludf.DUMMYFUNCTION("""COMPUTED_VALUE"""),"밀가루")</f>
        <v>밀가루</v>
      </c>
    </row>
    <row r="11988">
      <c r="A11988" s="2" t="str">
        <f>IFERROR(__xludf.DUMMYFUNCTION("""COMPUTED_VALUE"""),"최애 홍파스타")</f>
        <v>최애 홍파스타</v>
      </c>
      <c r="B11988" s="2" t="str">
        <f>IFERROR(__xludf.DUMMYFUNCTION("""COMPUTED_VALUE"""),"마늘")</f>
        <v>마늘</v>
      </c>
    </row>
    <row r="11989">
      <c r="A11989" s="2" t="str">
        <f>IFERROR(__xludf.DUMMYFUNCTION("""COMPUTED_VALUE"""),"최애 홍파스타")</f>
        <v>최애 홍파스타</v>
      </c>
      <c r="B11989" s="2" t="str">
        <f>IFERROR(__xludf.DUMMYFUNCTION("""COMPUTED_VALUE"""),"대파")</f>
        <v>대파</v>
      </c>
    </row>
    <row r="11990">
      <c r="A11990" s="2" t="str">
        <f>IFERROR(__xludf.DUMMYFUNCTION("""COMPUTED_VALUE"""),"최애 홍파스타")</f>
        <v>최애 홍파스타</v>
      </c>
      <c r="B11990" s="2" t="str">
        <f>IFERROR(__xludf.DUMMYFUNCTION("""COMPUTED_VALUE"""),"된장")</f>
        <v>된장</v>
      </c>
    </row>
    <row r="11991">
      <c r="A11991" s="2" t="str">
        <f>IFERROR(__xludf.DUMMYFUNCTION("""COMPUTED_VALUE"""),"최애 홍파스타")</f>
        <v>최애 홍파스타</v>
      </c>
      <c r="B11991" s="2" t="str">
        <f>IFERROR(__xludf.DUMMYFUNCTION("""COMPUTED_VALUE"""),"양파")</f>
        <v>양파</v>
      </c>
    </row>
    <row r="11992">
      <c r="A11992" s="2" t="str">
        <f>IFERROR(__xludf.DUMMYFUNCTION("""COMPUTED_VALUE"""),"최애 홍파스타")</f>
        <v>최애 홍파스타</v>
      </c>
      <c r="B11992" s="2" t="str">
        <f>IFERROR(__xludf.DUMMYFUNCTION("""COMPUTED_VALUE"""),"소금")</f>
        <v>소금</v>
      </c>
    </row>
    <row r="11993">
      <c r="A11993" s="2" t="str">
        <f>IFERROR(__xludf.DUMMYFUNCTION("""COMPUTED_VALUE"""),"안심하소")</f>
        <v>안심하소</v>
      </c>
      <c r="B11993" s="2" t="str">
        <f>IFERROR(__xludf.DUMMYFUNCTION("""COMPUTED_VALUE"""),"소 안심")</f>
        <v>소 안심</v>
      </c>
    </row>
    <row r="11994">
      <c r="A11994" s="2" t="str">
        <f>IFERROR(__xludf.DUMMYFUNCTION("""COMPUTED_VALUE"""),"안심하소")</f>
        <v>안심하소</v>
      </c>
      <c r="B11994" s="2" t="str">
        <f>IFERROR(__xludf.DUMMYFUNCTION("""COMPUTED_VALUE"""),"프로방스 허브")</f>
        <v>프로방스 허브</v>
      </c>
    </row>
    <row r="11995">
      <c r="A11995" s="2" t="str">
        <f>IFERROR(__xludf.DUMMYFUNCTION("""COMPUTED_VALUE"""),"안심하소")</f>
        <v>안심하소</v>
      </c>
      <c r="B11995" s="2" t="str">
        <f>IFERROR(__xludf.DUMMYFUNCTION("""COMPUTED_VALUE"""),"양송이버섯")</f>
        <v>양송이버섯</v>
      </c>
    </row>
    <row r="11996">
      <c r="A11996" s="2" t="str">
        <f>IFERROR(__xludf.DUMMYFUNCTION("""COMPUTED_VALUE"""),"안심하소")</f>
        <v>안심하소</v>
      </c>
      <c r="B11996" s="2" t="str">
        <f>IFERROR(__xludf.DUMMYFUNCTION("""COMPUTED_VALUE"""),"아스파라거스")</f>
        <v>아스파라거스</v>
      </c>
    </row>
    <row r="11997">
      <c r="A11997" s="2" t="str">
        <f>IFERROR(__xludf.DUMMYFUNCTION("""COMPUTED_VALUE"""),"안심하소")</f>
        <v>안심하소</v>
      </c>
      <c r="B11997" s="2" t="str">
        <f>IFERROR(__xludf.DUMMYFUNCTION("""COMPUTED_VALUE"""),"우유")</f>
        <v>우유</v>
      </c>
    </row>
    <row r="11998">
      <c r="A11998" s="2" t="str">
        <f>IFERROR(__xludf.DUMMYFUNCTION("""COMPUTED_VALUE"""),"안심하소")</f>
        <v>안심하소</v>
      </c>
      <c r="B11998" s="2" t="str">
        <f>IFERROR(__xludf.DUMMYFUNCTION("""COMPUTED_VALUE"""),"버터")</f>
        <v>버터</v>
      </c>
    </row>
    <row r="11999">
      <c r="A11999" s="2" t="str">
        <f>IFERROR(__xludf.DUMMYFUNCTION("""COMPUTED_VALUE"""),"안심하소")</f>
        <v>안심하소</v>
      </c>
      <c r="B11999" s="2" t="str">
        <f>IFERROR(__xludf.DUMMYFUNCTION("""COMPUTED_VALUE"""),"양파")</f>
        <v>양파</v>
      </c>
    </row>
    <row r="12000">
      <c r="A12000" s="2" t="str">
        <f>IFERROR(__xludf.DUMMYFUNCTION("""COMPUTED_VALUE"""),"안심하소")</f>
        <v>안심하소</v>
      </c>
      <c r="B12000" s="2" t="str">
        <f>IFERROR(__xludf.DUMMYFUNCTION("""COMPUTED_VALUE"""),"밀가루")</f>
        <v>밀가루</v>
      </c>
    </row>
    <row r="12001">
      <c r="A12001" s="2" t="str">
        <f>IFERROR(__xludf.DUMMYFUNCTION("""COMPUTED_VALUE"""),"안심하소")</f>
        <v>안심하소</v>
      </c>
      <c r="B12001" s="2" t="str">
        <f>IFERROR(__xludf.DUMMYFUNCTION("""COMPUTED_VALUE"""),"당근")</f>
        <v>당근</v>
      </c>
    </row>
    <row r="12002">
      <c r="A12002" s="2" t="str">
        <f>IFERROR(__xludf.DUMMYFUNCTION("""COMPUTED_VALUE"""),"안심하소")</f>
        <v>안심하소</v>
      </c>
      <c r="B12002" s="2" t="str">
        <f>IFERROR(__xludf.DUMMYFUNCTION("""COMPUTED_VALUE"""),"소금")</f>
        <v>소금</v>
      </c>
    </row>
    <row r="12003">
      <c r="A12003" s="2" t="str">
        <f>IFERROR(__xludf.DUMMYFUNCTION("""COMPUTED_VALUE"""),"안심하소")</f>
        <v>안심하소</v>
      </c>
      <c r="B12003" s="2" t="str">
        <f>IFERROR(__xludf.DUMMYFUNCTION("""COMPUTED_VALUE"""),"간장")</f>
        <v>간장</v>
      </c>
    </row>
    <row r="12004">
      <c r="A12004" s="2" t="str">
        <f>IFERROR(__xludf.DUMMYFUNCTION("""COMPUTED_VALUE"""),"안심하소")</f>
        <v>안심하소</v>
      </c>
      <c r="B12004" s="2" t="str">
        <f>IFERROR(__xludf.DUMMYFUNCTION("""COMPUTED_VALUE"""),"레드와인")</f>
        <v>레드와인</v>
      </c>
    </row>
    <row r="12005">
      <c r="A12005" s="2" t="str">
        <f>IFERROR(__xludf.DUMMYFUNCTION("""COMPUTED_VALUE"""),"고급이양")</f>
        <v>고급이양</v>
      </c>
      <c r="B12005" s="2" t="str">
        <f>IFERROR(__xludf.DUMMYFUNCTION("""COMPUTED_VALUE"""),"양갈비")</f>
        <v>양갈비</v>
      </c>
    </row>
    <row r="12006">
      <c r="A12006" s="2" t="str">
        <f>IFERROR(__xludf.DUMMYFUNCTION("""COMPUTED_VALUE"""),"고급이양")</f>
        <v>고급이양</v>
      </c>
      <c r="B12006" s="2" t="str">
        <f>IFERROR(__xludf.DUMMYFUNCTION("""COMPUTED_VALUE"""),"무화과")</f>
        <v>무화과</v>
      </c>
    </row>
    <row r="12007">
      <c r="A12007" s="2" t="str">
        <f>IFERROR(__xludf.DUMMYFUNCTION("""COMPUTED_VALUE"""),"고급이양")</f>
        <v>고급이양</v>
      </c>
      <c r="B12007" s="2" t="str">
        <f>IFERROR(__xludf.DUMMYFUNCTION("""COMPUTED_VALUE"""),"그릭 요거트")</f>
        <v>그릭 요거트</v>
      </c>
    </row>
    <row r="12008">
      <c r="A12008" s="2" t="str">
        <f>IFERROR(__xludf.DUMMYFUNCTION("""COMPUTED_VALUE"""),"고급이양")</f>
        <v>고급이양</v>
      </c>
      <c r="B12008" s="2" t="str">
        <f>IFERROR(__xludf.DUMMYFUNCTION("""COMPUTED_VALUE"""),"크림치즈")</f>
        <v>크림치즈</v>
      </c>
    </row>
    <row r="12009">
      <c r="A12009" s="2" t="str">
        <f>IFERROR(__xludf.DUMMYFUNCTION("""COMPUTED_VALUE"""),"고급이양")</f>
        <v>고급이양</v>
      </c>
      <c r="B12009" s="2" t="str">
        <f>IFERROR(__xludf.DUMMYFUNCTION("""COMPUTED_VALUE"""),"프로방스 허브")</f>
        <v>프로방스 허브</v>
      </c>
    </row>
    <row r="12010">
      <c r="A12010" s="2" t="str">
        <f>IFERROR(__xludf.DUMMYFUNCTION("""COMPUTED_VALUE"""),"고급이양")</f>
        <v>고급이양</v>
      </c>
      <c r="B12010" s="2" t="str">
        <f>IFERROR(__xludf.DUMMYFUNCTION("""COMPUTED_VALUE"""),"갈릭솔트")</f>
        <v>갈릭솔트</v>
      </c>
    </row>
    <row r="12011">
      <c r="A12011" s="2" t="str">
        <f>IFERROR(__xludf.DUMMYFUNCTION("""COMPUTED_VALUE"""),"고급이양")</f>
        <v>고급이양</v>
      </c>
      <c r="B12011" s="2" t="str">
        <f>IFERROR(__xludf.DUMMYFUNCTION("""COMPUTED_VALUE"""),"통후추")</f>
        <v>통후추</v>
      </c>
    </row>
    <row r="12012">
      <c r="A12012" s="2" t="str">
        <f>IFERROR(__xludf.DUMMYFUNCTION("""COMPUTED_VALUE"""),"고급이양")</f>
        <v>고급이양</v>
      </c>
      <c r="B12012" s="2" t="str">
        <f>IFERROR(__xludf.DUMMYFUNCTION("""COMPUTED_VALUE"""),"멸치볶음")</f>
        <v>멸치볶음</v>
      </c>
    </row>
    <row r="12013">
      <c r="A12013" s="2" t="str">
        <f>IFERROR(__xludf.DUMMYFUNCTION("""COMPUTED_VALUE"""),"고급이양")</f>
        <v>고급이양</v>
      </c>
      <c r="B12013" s="2" t="str">
        <f>IFERROR(__xludf.DUMMYFUNCTION("""COMPUTED_VALUE"""),"아스파라거스")</f>
        <v>아스파라거스</v>
      </c>
    </row>
    <row r="12014">
      <c r="A12014" s="2" t="str">
        <f>IFERROR(__xludf.DUMMYFUNCTION("""COMPUTED_VALUE"""),"고급이양")</f>
        <v>고급이양</v>
      </c>
      <c r="B12014" s="2" t="str">
        <f>IFERROR(__xludf.DUMMYFUNCTION("""COMPUTED_VALUE"""),"석류농축액")</f>
        <v>석류농축액</v>
      </c>
    </row>
    <row r="12015">
      <c r="A12015" s="2" t="str">
        <f>IFERROR(__xludf.DUMMYFUNCTION("""COMPUTED_VALUE"""),"고급이양")</f>
        <v>고급이양</v>
      </c>
      <c r="B12015" s="2" t="str">
        <f>IFERROR(__xludf.DUMMYFUNCTION("""COMPUTED_VALUE"""),"올리브 오일")</f>
        <v>올리브 오일</v>
      </c>
    </row>
    <row r="12016">
      <c r="A12016" s="2" t="str">
        <f>IFERROR(__xludf.DUMMYFUNCTION("""COMPUTED_VALUE"""),"고급이양")</f>
        <v>고급이양</v>
      </c>
      <c r="B12016" s="2" t="str">
        <f>IFERROR(__xludf.DUMMYFUNCTION("""COMPUTED_VALUE"""),"밀가루")</f>
        <v>밀가루</v>
      </c>
    </row>
    <row r="12017">
      <c r="A12017" s="2" t="str">
        <f>IFERROR(__xludf.DUMMYFUNCTION("""COMPUTED_VALUE"""),"고급이양")</f>
        <v>고급이양</v>
      </c>
      <c r="B12017" s="2" t="str">
        <f>IFERROR(__xludf.DUMMYFUNCTION("""COMPUTED_VALUE"""),"버터")</f>
        <v>버터</v>
      </c>
    </row>
    <row r="12018">
      <c r="A12018" s="2" t="str">
        <f>IFERROR(__xludf.DUMMYFUNCTION("""COMPUTED_VALUE"""),"고급이양")</f>
        <v>고급이양</v>
      </c>
      <c r="B12018" s="2" t="str">
        <f>IFERROR(__xludf.DUMMYFUNCTION("""COMPUTED_VALUE"""),"설탕")</f>
        <v>설탕</v>
      </c>
    </row>
    <row r="12019">
      <c r="A12019" s="2" t="str">
        <f>IFERROR(__xludf.DUMMYFUNCTION("""COMPUTED_VALUE"""),"고급이양")</f>
        <v>고급이양</v>
      </c>
      <c r="B12019" s="2" t="str">
        <f>IFERROR(__xludf.DUMMYFUNCTION("""COMPUTED_VALUE"""),"청주")</f>
        <v>청주</v>
      </c>
    </row>
    <row r="12020">
      <c r="A12020" s="2" t="str">
        <f>IFERROR(__xludf.DUMMYFUNCTION("""COMPUTED_VALUE"""),"고급이양")</f>
        <v>고급이양</v>
      </c>
      <c r="B12020" s="2" t="str">
        <f>IFERROR(__xludf.DUMMYFUNCTION("""COMPUTED_VALUE"""),"레몬")</f>
        <v>레몬</v>
      </c>
    </row>
    <row r="12021">
      <c r="A12021" s="2" t="str">
        <f>IFERROR(__xludf.DUMMYFUNCTION("""COMPUTED_VALUE"""),"고급이양")</f>
        <v>고급이양</v>
      </c>
      <c r="B12021" s="2" t="str">
        <f>IFERROR(__xludf.DUMMYFUNCTION("""COMPUTED_VALUE"""),"후추")</f>
        <v>후추</v>
      </c>
    </row>
    <row r="12022">
      <c r="A12022" s="2" t="str">
        <f>IFERROR(__xludf.DUMMYFUNCTION("""COMPUTED_VALUE"""),"고급이양")</f>
        <v>고급이양</v>
      </c>
      <c r="B12022" s="2" t="str">
        <f>IFERROR(__xludf.DUMMYFUNCTION("""COMPUTED_VALUE"""),"당근")</f>
        <v>당근</v>
      </c>
    </row>
    <row r="12023">
      <c r="A12023" s="2" t="str">
        <f>IFERROR(__xludf.DUMMYFUNCTION("""COMPUTED_VALUE"""),"육개장에 파 하나 놓고 가라")</f>
        <v>육개장에 파 하나 놓고 가라</v>
      </c>
      <c r="B12023" s="2" t="str">
        <f>IFERROR(__xludf.DUMMYFUNCTION("""COMPUTED_VALUE"""),"소고기 등심")</f>
        <v>소고기 등심</v>
      </c>
    </row>
    <row r="12024">
      <c r="A12024" s="2" t="str">
        <f>IFERROR(__xludf.DUMMYFUNCTION("""COMPUTED_VALUE"""),"육개장에 파 하나 놓고 가라")</f>
        <v>육개장에 파 하나 놓고 가라</v>
      </c>
      <c r="B12024" s="2" t="str">
        <f>IFERROR(__xludf.DUMMYFUNCTION("""COMPUTED_VALUE"""),"낙지")</f>
        <v>낙지</v>
      </c>
    </row>
    <row r="12025">
      <c r="A12025" s="2" t="str">
        <f>IFERROR(__xludf.DUMMYFUNCTION("""COMPUTED_VALUE"""),"육개장에 파 하나 놓고 가라")</f>
        <v>육개장에 파 하나 놓고 가라</v>
      </c>
      <c r="B12025" s="2" t="str">
        <f>IFERROR(__xludf.DUMMYFUNCTION("""COMPUTED_VALUE"""),"두부")</f>
        <v>두부</v>
      </c>
    </row>
    <row r="12026">
      <c r="A12026" s="2" t="str">
        <f>IFERROR(__xludf.DUMMYFUNCTION("""COMPUTED_VALUE"""),"육개장에 파 하나 놓고 가라")</f>
        <v>육개장에 파 하나 놓고 가라</v>
      </c>
      <c r="B12026" s="2" t="str">
        <f>IFERROR(__xludf.DUMMYFUNCTION("""COMPUTED_VALUE"""),"사골육수")</f>
        <v>사골육수</v>
      </c>
    </row>
    <row r="12027">
      <c r="A12027" s="2" t="str">
        <f>IFERROR(__xludf.DUMMYFUNCTION("""COMPUTED_VALUE"""),"육개장에 파 하나 놓고 가라")</f>
        <v>육개장에 파 하나 놓고 가라</v>
      </c>
      <c r="B12027" s="2" t="str">
        <f>IFERROR(__xludf.DUMMYFUNCTION("""COMPUTED_VALUE"""),"말린 애호박")</f>
        <v>말린 애호박</v>
      </c>
    </row>
    <row r="12028">
      <c r="A12028" s="2" t="str">
        <f>IFERROR(__xludf.DUMMYFUNCTION("""COMPUTED_VALUE"""),"육개장에 파 하나 놓고 가라")</f>
        <v>육개장에 파 하나 놓고 가라</v>
      </c>
      <c r="B12028" s="2" t="str">
        <f>IFERROR(__xludf.DUMMYFUNCTION("""COMPUTED_VALUE"""),"표고버섯")</f>
        <v>표고버섯</v>
      </c>
    </row>
    <row r="12029">
      <c r="A12029" s="2" t="str">
        <f>IFERROR(__xludf.DUMMYFUNCTION("""COMPUTED_VALUE"""),"육개장에 파 하나 놓고 가라")</f>
        <v>육개장에 파 하나 놓고 가라</v>
      </c>
      <c r="B12029" s="2" t="str">
        <f>IFERROR(__xludf.DUMMYFUNCTION("""COMPUTED_VALUE"""),"표고버섯가루")</f>
        <v>표고버섯가루</v>
      </c>
    </row>
    <row r="12030">
      <c r="A12030" s="2" t="str">
        <f>IFERROR(__xludf.DUMMYFUNCTION("""COMPUTED_VALUE"""),"육개장에 파 하나 놓고 가라")</f>
        <v>육개장에 파 하나 놓고 가라</v>
      </c>
      <c r="B12030" s="2" t="str">
        <f>IFERROR(__xludf.DUMMYFUNCTION("""COMPUTED_VALUE"""),"어간장")</f>
        <v>어간장</v>
      </c>
    </row>
    <row r="12031">
      <c r="A12031" s="2" t="str">
        <f>IFERROR(__xludf.DUMMYFUNCTION("""COMPUTED_VALUE"""),"육개장에 파 하나 놓고 가라")</f>
        <v>육개장에 파 하나 놓고 가라</v>
      </c>
      <c r="B12031" s="2" t="str">
        <f>IFERROR(__xludf.DUMMYFUNCTION("""COMPUTED_VALUE"""),"굴소스")</f>
        <v>굴소스</v>
      </c>
    </row>
    <row r="12032">
      <c r="A12032" s="2" t="str">
        <f>IFERROR(__xludf.DUMMYFUNCTION("""COMPUTED_VALUE"""),"육개장에 파 하나 놓고 가라")</f>
        <v>육개장에 파 하나 놓고 가라</v>
      </c>
      <c r="B12032" s="2" t="str">
        <f>IFERROR(__xludf.DUMMYFUNCTION("""COMPUTED_VALUE"""),"쪽파")</f>
        <v>쪽파</v>
      </c>
    </row>
    <row r="12033">
      <c r="A12033" s="2" t="str">
        <f>IFERROR(__xludf.DUMMYFUNCTION("""COMPUTED_VALUE"""),"육개장에 파 하나 놓고 가라")</f>
        <v>육개장에 파 하나 놓고 가라</v>
      </c>
      <c r="B12033" s="2" t="str">
        <f>IFERROR(__xludf.DUMMYFUNCTION("""COMPUTED_VALUE"""),"집된장")</f>
        <v>집된장</v>
      </c>
    </row>
    <row r="12034">
      <c r="A12034" s="2" t="str">
        <f>IFERROR(__xludf.DUMMYFUNCTION("""COMPUTED_VALUE"""),"육개장에 파 하나 놓고 가라")</f>
        <v>육개장에 파 하나 놓고 가라</v>
      </c>
      <c r="B12034" s="2" t="str">
        <f>IFERROR(__xludf.DUMMYFUNCTION("""COMPUTED_VALUE"""),"무")</f>
        <v>무</v>
      </c>
    </row>
    <row r="12035">
      <c r="A12035" s="2" t="str">
        <f>IFERROR(__xludf.DUMMYFUNCTION("""COMPUTED_VALUE"""),"육개장에 파 하나 놓고 가라")</f>
        <v>육개장에 파 하나 놓고 가라</v>
      </c>
      <c r="B12035" s="2" t="str">
        <f>IFERROR(__xludf.DUMMYFUNCTION("""COMPUTED_VALUE"""),"마늘")</f>
        <v>마늘</v>
      </c>
    </row>
    <row r="12036">
      <c r="A12036" s="2" t="str">
        <f>IFERROR(__xludf.DUMMYFUNCTION("""COMPUTED_VALUE"""),"육개장에 파 하나 놓고 가라")</f>
        <v>육개장에 파 하나 놓고 가라</v>
      </c>
      <c r="B12036" s="2" t="str">
        <f>IFERROR(__xludf.DUMMYFUNCTION("""COMPUTED_VALUE"""),"양파")</f>
        <v>양파</v>
      </c>
    </row>
    <row r="12037">
      <c r="A12037" s="2" t="str">
        <f>IFERROR(__xludf.DUMMYFUNCTION("""COMPUTED_VALUE"""),"육개장에 파 하나 놓고 가라")</f>
        <v>육개장에 파 하나 놓고 가라</v>
      </c>
      <c r="B12037" s="2" t="str">
        <f>IFERROR(__xludf.DUMMYFUNCTION("""COMPUTED_VALUE"""),"청양고추")</f>
        <v>청양고추</v>
      </c>
    </row>
    <row r="12038">
      <c r="A12038" s="2" t="str">
        <f>IFERROR(__xludf.DUMMYFUNCTION("""COMPUTED_VALUE"""),"육개장에 파 하나 놓고 가라")</f>
        <v>육개장에 파 하나 놓고 가라</v>
      </c>
      <c r="B12038" s="2" t="str">
        <f>IFERROR(__xludf.DUMMYFUNCTION("""COMPUTED_VALUE"""),"대파")</f>
        <v>대파</v>
      </c>
    </row>
    <row r="12039">
      <c r="A12039" s="2" t="str">
        <f>IFERROR(__xludf.DUMMYFUNCTION("""COMPUTED_VALUE"""),"육개장에 파 하나 놓고 가라")</f>
        <v>육개장에 파 하나 놓고 가라</v>
      </c>
      <c r="B12039" s="2" t="str">
        <f>IFERROR(__xludf.DUMMYFUNCTION("""COMPUTED_VALUE"""),"고춧가루")</f>
        <v>고춧가루</v>
      </c>
    </row>
    <row r="12040">
      <c r="A12040" s="2" t="str">
        <f>IFERROR(__xludf.DUMMYFUNCTION("""COMPUTED_VALUE"""),"육개장에 파 하나 놓고 가라")</f>
        <v>육개장에 파 하나 놓고 가라</v>
      </c>
      <c r="B12040" s="2" t="str">
        <f>IFERROR(__xludf.DUMMYFUNCTION("""COMPUTED_VALUE"""),"참기름")</f>
        <v>참기름</v>
      </c>
    </row>
    <row r="12041">
      <c r="A12041" s="2" t="str">
        <f>IFERROR(__xludf.DUMMYFUNCTION("""COMPUTED_VALUE"""),"육개장에 파 하나 놓고 가라")</f>
        <v>육개장에 파 하나 놓고 가라</v>
      </c>
      <c r="B12041" s="2" t="str">
        <f>IFERROR(__xludf.DUMMYFUNCTION("""COMPUTED_VALUE"""),"식용유")</f>
        <v>식용유</v>
      </c>
    </row>
    <row r="12042">
      <c r="A12042" s="2" t="str">
        <f>IFERROR(__xludf.DUMMYFUNCTION("""COMPUTED_VALUE"""),"육개장에 파 하나 놓고 가라")</f>
        <v>육개장에 파 하나 놓고 가라</v>
      </c>
      <c r="B12042" s="2" t="str">
        <f>IFERROR(__xludf.DUMMYFUNCTION("""COMPUTED_VALUE"""),"다진마늘")</f>
        <v>다진마늘</v>
      </c>
    </row>
    <row r="12043">
      <c r="A12043" s="2" t="str">
        <f>IFERROR(__xludf.DUMMYFUNCTION("""COMPUTED_VALUE"""),"육개장에 파 하나 놓고 가라")</f>
        <v>육개장에 파 하나 놓고 가라</v>
      </c>
      <c r="B12043" s="2" t="str">
        <f>IFERROR(__xludf.DUMMYFUNCTION("""COMPUTED_VALUE"""),"다진생강")</f>
        <v>다진생강</v>
      </c>
    </row>
    <row r="12044">
      <c r="A12044" s="2" t="str">
        <f>IFERROR(__xludf.DUMMYFUNCTION("""COMPUTED_VALUE"""),"육개장에 파 하나 놓고 가라")</f>
        <v>육개장에 파 하나 놓고 가라</v>
      </c>
      <c r="B12044" s="2" t="str">
        <f>IFERROR(__xludf.DUMMYFUNCTION("""COMPUTED_VALUE"""),"소금")</f>
        <v>소금</v>
      </c>
    </row>
    <row r="12045">
      <c r="A12045" s="2" t="str">
        <f>IFERROR(__xludf.DUMMYFUNCTION("""COMPUTED_VALUE"""),"해장이나 잘하세요")</f>
        <v>해장이나 잘하세요</v>
      </c>
      <c r="B12045" s="2" t="str">
        <f>IFERROR(__xludf.DUMMYFUNCTION("""COMPUTED_VALUE"""),"전복")</f>
        <v>전복</v>
      </c>
    </row>
    <row r="12046">
      <c r="A12046" s="2" t="str">
        <f>IFERROR(__xludf.DUMMYFUNCTION("""COMPUTED_VALUE"""),"해장이나 잘하세요")</f>
        <v>해장이나 잘하세요</v>
      </c>
      <c r="B12046" s="2" t="str">
        <f>IFERROR(__xludf.DUMMYFUNCTION("""COMPUTED_VALUE"""),"삼겹살")</f>
        <v>삼겹살</v>
      </c>
    </row>
    <row r="12047">
      <c r="A12047" s="2" t="str">
        <f>IFERROR(__xludf.DUMMYFUNCTION("""COMPUTED_VALUE"""),"해장이나 잘하세요")</f>
        <v>해장이나 잘하세요</v>
      </c>
      <c r="B12047" s="2" t="str">
        <f>IFERROR(__xludf.DUMMYFUNCTION("""COMPUTED_VALUE"""),"새우")</f>
        <v>새우</v>
      </c>
    </row>
    <row r="12048">
      <c r="A12048" s="2" t="str">
        <f>IFERROR(__xludf.DUMMYFUNCTION("""COMPUTED_VALUE"""),"해장이나 잘하세요")</f>
        <v>해장이나 잘하세요</v>
      </c>
      <c r="B12048" s="2" t="str">
        <f>IFERROR(__xludf.DUMMYFUNCTION("""COMPUTED_VALUE"""),"두부")</f>
        <v>두부</v>
      </c>
    </row>
    <row r="12049">
      <c r="A12049" s="2" t="str">
        <f>IFERROR(__xludf.DUMMYFUNCTION("""COMPUTED_VALUE"""),"해장이나 잘하세요")</f>
        <v>해장이나 잘하세요</v>
      </c>
      <c r="B12049" s="2" t="str">
        <f>IFERROR(__xludf.DUMMYFUNCTION("""COMPUTED_VALUE"""),"묵은지")</f>
        <v>묵은지</v>
      </c>
    </row>
    <row r="12050">
      <c r="A12050" s="2" t="str">
        <f>IFERROR(__xludf.DUMMYFUNCTION("""COMPUTED_VALUE"""),"해장이나 잘하세요")</f>
        <v>해장이나 잘하세요</v>
      </c>
      <c r="B12050" s="2" t="str">
        <f>IFERROR(__xludf.DUMMYFUNCTION("""COMPUTED_VALUE"""),"사골육수")</f>
        <v>사골육수</v>
      </c>
    </row>
    <row r="12051">
      <c r="A12051" s="2" t="str">
        <f>IFERROR(__xludf.DUMMYFUNCTION("""COMPUTED_VALUE"""),"해장이나 잘하세요")</f>
        <v>해장이나 잘하세요</v>
      </c>
      <c r="B12051" s="2" t="str">
        <f>IFERROR(__xludf.DUMMYFUNCTION("""COMPUTED_VALUE"""),"북어포")</f>
        <v>북어포</v>
      </c>
    </row>
    <row r="12052">
      <c r="A12052" s="2" t="str">
        <f>IFERROR(__xludf.DUMMYFUNCTION("""COMPUTED_VALUE"""),"해장이나 잘하세요")</f>
        <v>해장이나 잘하세요</v>
      </c>
      <c r="B12052" s="2" t="str">
        <f>IFERROR(__xludf.DUMMYFUNCTION("""COMPUTED_VALUE"""),"표고버섯")</f>
        <v>표고버섯</v>
      </c>
    </row>
    <row r="12053">
      <c r="A12053" s="2" t="str">
        <f>IFERROR(__xludf.DUMMYFUNCTION("""COMPUTED_VALUE"""),"해장이나 잘하세요")</f>
        <v>해장이나 잘하세요</v>
      </c>
      <c r="B12053" s="2" t="str">
        <f>IFERROR(__xludf.DUMMYFUNCTION("""COMPUTED_VALUE"""),"굴소스")</f>
        <v>굴소스</v>
      </c>
    </row>
    <row r="12054">
      <c r="A12054" s="2" t="str">
        <f>IFERROR(__xludf.DUMMYFUNCTION("""COMPUTED_VALUE"""),"해장이나 잘하세요")</f>
        <v>해장이나 잘하세요</v>
      </c>
      <c r="B12054" s="2" t="str">
        <f>IFERROR(__xludf.DUMMYFUNCTION("""COMPUTED_VALUE"""),"들기름")</f>
        <v>들기름</v>
      </c>
    </row>
    <row r="12055">
      <c r="A12055" s="2" t="str">
        <f>IFERROR(__xludf.DUMMYFUNCTION("""COMPUTED_VALUE"""),"해장이나 잘하세요")</f>
        <v>해장이나 잘하세요</v>
      </c>
      <c r="B12055" s="2" t="str">
        <f>IFERROR(__xludf.DUMMYFUNCTION("""COMPUTED_VALUE"""),"집된장")</f>
        <v>집된장</v>
      </c>
    </row>
    <row r="12056">
      <c r="A12056" s="2" t="str">
        <f>IFERROR(__xludf.DUMMYFUNCTION("""COMPUTED_VALUE"""),"해장이나 잘하세요")</f>
        <v>해장이나 잘하세요</v>
      </c>
      <c r="B12056" s="2" t="str">
        <f>IFERROR(__xludf.DUMMYFUNCTION("""COMPUTED_VALUE"""),"대파")</f>
        <v>대파</v>
      </c>
    </row>
    <row r="12057">
      <c r="A12057" s="2" t="str">
        <f>IFERROR(__xludf.DUMMYFUNCTION("""COMPUTED_VALUE"""),"해장이나 잘하세요")</f>
        <v>해장이나 잘하세요</v>
      </c>
      <c r="B12057" s="2" t="str">
        <f>IFERROR(__xludf.DUMMYFUNCTION("""COMPUTED_VALUE"""),"다진마늘")</f>
        <v>다진마늘</v>
      </c>
    </row>
    <row r="12058">
      <c r="A12058" s="2" t="str">
        <f>IFERROR(__xludf.DUMMYFUNCTION("""COMPUTED_VALUE"""),"해장이나 잘하세요")</f>
        <v>해장이나 잘하세요</v>
      </c>
      <c r="B12058" s="2" t="str">
        <f>IFERROR(__xludf.DUMMYFUNCTION("""COMPUTED_VALUE"""),"고춧가루")</f>
        <v>고춧가루</v>
      </c>
    </row>
    <row r="12059">
      <c r="A12059" s="2" t="str">
        <f>IFERROR(__xludf.DUMMYFUNCTION("""COMPUTED_VALUE"""),"해장이나 잘하세요")</f>
        <v>해장이나 잘하세요</v>
      </c>
      <c r="B12059" s="2" t="str">
        <f>IFERROR(__xludf.DUMMYFUNCTION("""COMPUTED_VALUE"""),"달걀")</f>
        <v>달걀</v>
      </c>
    </row>
    <row r="12060">
      <c r="A12060" s="2" t="str">
        <f>IFERROR(__xludf.DUMMYFUNCTION("""COMPUTED_VALUE"""),"해장이나 잘하세요")</f>
        <v>해장이나 잘하세요</v>
      </c>
      <c r="B12060" s="2" t="str">
        <f>IFERROR(__xludf.DUMMYFUNCTION("""COMPUTED_VALUE"""),"밀가루")</f>
        <v>밀가루</v>
      </c>
    </row>
    <row r="12061">
      <c r="A12061" s="2" t="str">
        <f>IFERROR(__xludf.DUMMYFUNCTION("""COMPUTED_VALUE"""),"해장이나 잘하세요")</f>
        <v>해장이나 잘하세요</v>
      </c>
      <c r="B12061" s="2" t="str">
        <f>IFERROR(__xludf.DUMMYFUNCTION("""COMPUTED_VALUE"""),"양파")</f>
        <v>양파</v>
      </c>
    </row>
    <row r="12062">
      <c r="A12062" s="2" t="str">
        <f>IFERROR(__xludf.DUMMYFUNCTION("""COMPUTED_VALUE"""),"해장이나 잘하세요")</f>
        <v>해장이나 잘하세요</v>
      </c>
      <c r="B12062" s="2" t="str">
        <f>IFERROR(__xludf.DUMMYFUNCTION("""COMPUTED_VALUE"""),"간장")</f>
        <v>간장</v>
      </c>
    </row>
    <row r="12063">
      <c r="A12063" s="2" t="str">
        <f>IFERROR(__xludf.DUMMYFUNCTION("""COMPUTED_VALUE"""),"해장이나 잘하세요")</f>
        <v>해장이나 잘하세요</v>
      </c>
      <c r="B12063" s="2" t="str">
        <f>IFERROR(__xludf.DUMMYFUNCTION("""COMPUTED_VALUE"""),"청양고추")</f>
        <v>청양고추</v>
      </c>
    </row>
    <row r="12064">
      <c r="A12064" s="2" t="str">
        <f>IFERROR(__xludf.DUMMYFUNCTION("""COMPUTED_VALUE"""),"해장이나 잘하세요")</f>
        <v>해장이나 잘하세요</v>
      </c>
      <c r="B12064" s="2" t="str">
        <f>IFERROR(__xludf.DUMMYFUNCTION("""COMPUTED_VALUE"""),"후추")</f>
        <v>후추</v>
      </c>
    </row>
    <row r="12065">
      <c r="A12065" s="2" t="str">
        <f>IFERROR(__xludf.DUMMYFUNCTION("""COMPUTED_VALUE"""),"해장이나 잘하세요")</f>
        <v>해장이나 잘하세요</v>
      </c>
      <c r="B12065" s="2" t="str">
        <f>IFERROR(__xludf.DUMMYFUNCTION("""COMPUTED_VALUE"""),"소금")</f>
        <v>소금</v>
      </c>
    </row>
    <row r="12066">
      <c r="A12066" s="2" t="str">
        <f>IFERROR(__xludf.DUMMYFUNCTION("""COMPUTED_VALUE"""),"해장이나 잘하세요")</f>
        <v>해장이나 잘하세요</v>
      </c>
      <c r="B12066" s="2" t="str">
        <f>IFERROR(__xludf.DUMMYFUNCTION("""COMPUTED_VALUE"""),"맛술")</f>
        <v>맛술</v>
      </c>
    </row>
    <row r="12067">
      <c r="A12067" s="2" t="str">
        <f>IFERROR(__xludf.DUMMYFUNCTION("""COMPUTED_VALUE"""),"해장이나 잘하세요")</f>
        <v>해장이나 잘하세요</v>
      </c>
      <c r="B12067" s="2" t="str">
        <f>IFERROR(__xludf.DUMMYFUNCTION("""COMPUTED_VALUE"""),"홍고추")</f>
        <v>홍고추</v>
      </c>
    </row>
    <row r="12068">
      <c r="A12068" s="2" t="str">
        <f>IFERROR(__xludf.DUMMYFUNCTION("""COMPUTED_VALUE"""),"해장이나 잘하세요")</f>
        <v>해장이나 잘하세요</v>
      </c>
      <c r="B12068" s="2" t="str">
        <f>IFERROR(__xludf.DUMMYFUNCTION("""COMPUTED_VALUE"""),"설탕")</f>
        <v>설탕</v>
      </c>
    </row>
    <row r="12069">
      <c r="A12069" s="2" t="str">
        <f>IFERROR(__xludf.DUMMYFUNCTION("""COMPUTED_VALUE"""),"연가복")</f>
        <v>연가복</v>
      </c>
      <c r="B12069" s="2" t="str">
        <f>IFERROR(__xludf.DUMMYFUNCTION("""COMPUTED_VALUE"""),"낙지")</f>
        <v>낙지</v>
      </c>
    </row>
    <row r="12070">
      <c r="A12070" s="2" t="str">
        <f>IFERROR(__xludf.DUMMYFUNCTION("""COMPUTED_VALUE"""),"연가복")</f>
        <v>연가복</v>
      </c>
      <c r="B12070" s="2" t="str">
        <f>IFERROR(__xludf.DUMMYFUNCTION("""COMPUTED_VALUE"""),"새우")</f>
        <v>새우</v>
      </c>
    </row>
    <row r="12071">
      <c r="A12071" s="2" t="str">
        <f>IFERROR(__xludf.DUMMYFUNCTION("""COMPUTED_VALUE"""),"연가복")</f>
        <v>연가복</v>
      </c>
      <c r="B12071" s="2" t="str">
        <f>IFERROR(__xludf.DUMMYFUNCTION("""COMPUTED_VALUE"""),"전복")</f>
        <v>전복</v>
      </c>
    </row>
    <row r="12072">
      <c r="A12072" s="2" t="str">
        <f>IFERROR(__xludf.DUMMYFUNCTION("""COMPUTED_VALUE"""),"연가복")</f>
        <v>연가복</v>
      </c>
      <c r="B12072" s="2" t="str">
        <f>IFERROR(__xludf.DUMMYFUNCTION("""COMPUTED_VALUE"""),"삼겹살")</f>
        <v>삼겹살</v>
      </c>
    </row>
    <row r="12073">
      <c r="A12073" s="2" t="str">
        <f>IFERROR(__xludf.DUMMYFUNCTION("""COMPUTED_VALUE"""),"연가복")</f>
        <v>연가복</v>
      </c>
      <c r="B12073" s="2" t="str">
        <f>IFERROR(__xludf.DUMMYFUNCTION("""COMPUTED_VALUE"""),"꽃게")</f>
        <v>꽃게</v>
      </c>
    </row>
    <row r="12074">
      <c r="A12074" s="2" t="str">
        <f>IFERROR(__xludf.DUMMYFUNCTION("""COMPUTED_VALUE"""),"연가복")</f>
        <v>연가복</v>
      </c>
      <c r="B12074" s="2" t="str">
        <f>IFERROR(__xludf.DUMMYFUNCTION("""COMPUTED_VALUE"""),"애호박")</f>
        <v>애호박</v>
      </c>
    </row>
    <row r="12075">
      <c r="A12075" s="2" t="str">
        <f>IFERROR(__xludf.DUMMYFUNCTION("""COMPUTED_VALUE"""),"연가복")</f>
        <v>연가복</v>
      </c>
      <c r="B12075" s="2" t="str">
        <f>IFERROR(__xludf.DUMMYFUNCTION("""COMPUTED_VALUE"""),"느타리버섯")</f>
        <v>느타리버섯</v>
      </c>
    </row>
    <row r="12076">
      <c r="A12076" s="2" t="str">
        <f>IFERROR(__xludf.DUMMYFUNCTION("""COMPUTED_VALUE"""),"연가복")</f>
        <v>연가복</v>
      </c>
      <c r="B12076" s="2" t="str">
        <f>IFERROR(__xludf.DUMMYFUNCTION("""COMPUTED_VALUE"""),"은행")</f>
        <v>은행</v>
      </c>
    </row>
    <row r="12077">
      <c r="A12077" s="2" t="str">
        <f>IFERROR(__xludf.DUMMYFUNCTION("""COMPUTED_VALUE"""),"연가복")</f>
        <v>연가복</v>
      </c>
      <c r="B12077" s="2" t="str">
        <f>IFERROR(__xludf.DUMMYFUNCTION("""COMPUTED_VALUE"""),"쪽파")</f>
        <v>쪽파</v>
      </c>
    </row>
    <row r="12078">
      <c r="A12078" s="2" t="str">
        <f>IFERROR(__xludf.DUMMYFUNCTION("""COMPUTED_VALUE"""),"연가복")</f>
        <v>연가복</v>
      </c>
      <c r="B12078" s="2" t="str">
        <f>IFERROR(__xludf.DUMMYFUNCTION("""COMPUTED_VALUE"""),"소갈비양념")</f>
        <v>소갈비양념</v>
      </c>
    </row>
    <row r="12079">
      <c r="A12079" s="2" t="str">
        <f>IFERROR(__xludf.DUMMYFUNCTION("""COMPUTED_VALUE"""),"연가복")</f>
        <v>연가복</v>
      </c>
      <c r="B12079" s="2" t="str">
        <f>IFERROR(__xludf.DUMMYFUNCTION("""COMPUTED_VALUE"""),"대파")</f>
        <v>대파</v>
      </c>
    </row>
    <row r="12080">
      <c r="A12080" s="2" t="str">
        <f>IFERROR(__xludf.DUMMYFUNCTION("""COMPUTED_VALUE"""),"연가복")</f>
        <v>연가복</v>
      </c>
      <c r="B12080" s="2" t="str">
        <f>IFERROR(__xludf.DUMMYFUNCTION("""COMPUTED_VALUE"""),"고춧가루")</f>
        <v>고춧가루</v>
      </c>
    </row>
    <row r="12081">
      <c r="A12081" s="2" t="str">
        <f>IFERROR(__xludf.DUMMYFUNCTION("""COMPUTED_VALUE"""),"연가복")</f>
        <v>연가복</v>
      </c>
      <c r="B12081" s="2" t="str">
        <f>IFERROR(__xludf.DUMMYFUNCTION("""COMPUTED_VALUE"""),"고추")</f>
        <v>고추</v>
      </c>
    </row>
    <row r="12082">
      <c r="A12082" s="2" t="str">
        <f>IFERROR(__xludf.DUMMYFUNCTION("""COMPUTED_VALUE"""),"연가복")</f>
        <v>연가복</v>
      </c>
      <c r="B12082" s="2" t="str">
        <f>IFERROR(__xludf.DUMMYFUNCTION("""COMPUTED_VALUE"""),"청주")</f>
        <v>청주</v>
      </c>
    </row>
    <row r="12083">
      <c r="A12083" s="2" t="str">
        <f>IFERROR(__xludf.DUMMYFUNCTION("""COMPUTED_VALUE"""),"연가복")</f>
        <v>연가복</v>
      </c>
      <c r="B12083" s="2" t="str">
        <f>IFERROR(__xludf.DUMMYFUNCTION("""COMPUTED_VALUE"""),"맛술")</f>
        <v>맛술</v>
      </c>
    </row>
    <row r="12084">
      <c r="A12084" s="2" t="str">
        <f>IFERROR(__xludf.DUMMYFUNCTION("""COMPUTED_VALUE"""),"연가복")</f>
        <v>연가복</v>
      </c>
      <c r="B12084" s="2" t="str">
        <f>IFERROR(__xludf.DUMMYFUNCTION("""COMPUTED_VALUE"""),"다진생강")</f>
        <v>다진생강</v>
      </c>
    </row>
    <row r="12085">
      <c r="A12085" s="2" t="str">
        <f>IFERROR(__xludf.DUMMYFUNCTION("""COMPUTED_VALUE"""),"연가복")</f>
        <v>연가복</v>
      </c>
      <c r="B12085" s="2" t="str">
        <f>IFERROR(__xludf.DUMMYFUNCTION("""COMPUTED_VALUE"""),"밀가루")</f>
        <v>밀가루</v>
      </c>
    </row>
    <row r="12086">
      <c r="A12086" s="2" t="str">
        <f>IFERROR(__xludf.DUMMYFUNCTION("""COMPUTED_VALUE"""),"연가복")</f>
        <v>연가복</v>
      </c>
      <c r="B12086" s="2" t="str">
        <f>IFERROR(__xludf.DUMMYFUNCTION("""COMPUTED_VALUE"""),"달걀")</f>
        <v>달걀</v>
      </c>
    </row>
    <row r="12087">
      <c r="A12087" s="2" t="str">
        <f>IFERROR(__xludf.DUMMYFUNCTION("""COMPUTED_VALUE"""),"연가복")</f>
        <v>연가복</v>
      </c>
      <c r="B12087" s="2" t="str">
        <f>IFERROR(__xludf.DUMMYFUNCTION("""COMPUTED_VALUE"""),"청양고추")</f>
        <v>청양고추</v>
      </c>
    </row>
    <row r="12088">
      <c r="A12088" s="2" t="str">
        <f>IFERROR(__xludf.DUMMYFUNCTION("""COMPUTED_VALUE"""),"연가복")</f>
        <v>연가복</v>
      </c>
      <c r="B12088" s="2" t="str">
        <f>IFERROR(__xludf.DUMMYFUNCTION("""COMPUTED_VALUE"""),"전분")</f>
        <v>전분</v>
      </c>
    </row>
    <row r="12089">
      <c r="A12089" s="2" t="str">
        <f>IFERROR(__xludf.DUMMYFUNCTION("""COMPUTED_VALUE"""),"연가복")</f>
        <v>연가복</v>
      </c>
      <c r="B12089" s="2" t="str">
        <f>IFERROR(__xludf.DUMMYFUNCTION("""COMPUTED_VALUE"""),"소금")</f>
        <v>소금</v>
      </c>
    </row>
    <row r="12090">
      <c r="A12090" s="2" t="str">
        <f>IFERROR(__xludf.DUMMYFUNCTION("""COMPUTED_VALUE"""),"맛있어서 우럭?")</f>
        <v>맛있어서 우럭?</v>
      </c>
      <c r="B12090" s="2" t="str">
        <f>IFERROR(__xludf.DUMMYFUNCTION("""COMPUTED_VALUE"""),"말린 우럭")</f>
        <v>말린 우럭</v>
      </c>
    </row>
    <row r="12091">
      <c r="A12091" s="2" t="str">
        <f>IFERROR(__xludf.DUMMYFUNCTION("""COMPUTED_VALUE"""),"맛있어서 우럭?")</f>
        <v>맛있어서 우럭?</v>
      </c>
      <c r="B12091" s="2" t="str">
        <f>IFERROR(__xludf.DUMMYFUNCTION("""COMPUTED_VALUE"""),"낙지")</f>
        <v>낙지</v>
      </c>
    </row>
    <row r="12092">
      <c r="A12092" s="2" t="str">
        <f>IFERROR(__xludf.DUMMYFUNCTION("""COMPUTED_VALUE"""),"맛있어서 우럭?")</f>
        <v>맛있어서 우럭?</v>
      </c>
      <c r="B12092" s="2" t="str">
        <f>IFERROR(__xludf.DUMMYFUNCTION("""COMPUTED_VALUE"""),"새우")</f>
        <v>새우</v>
      </c>
    </row>
    <row r="12093">
      <c r="A12093" s="2" t="str">
        <f>IFERROR(__xludf.DUMMYFUNCTION("""COMPUTED_VALUE"""),"맛있어서 우럭?")</f>
        <v>맛있어서 우럭?</v>
      </c>
      <c r="B12093" s="2" t="str">
        <f>IFERROR(__xludf.DUMMYFUNCTION("""COMPUTED_VALUE"""),"표고버섯")</f>
        <v>표고버섯</v>
      </c>
    </row>
    <row r="12094">
      <c r="A12094" s="2" t="str">
        <f>IFERROR(__xludf.DUMMYFUNCTION("""COMPUTED_VALUE"""),"맛있어서 우럭?")</f>
        <v>맛있어서 우럭?</v>
      </c>
      <c r="B12094" s="2" t="str">
        <f>IFERROR(__xludf.DUMMYFUNCTION("""COMPUTED_VALUE"""),"느타리버섯")</f>
        <v>느타리버섯</v>
      </c>
    </row>
    <row r="12095">
      <c r="A12095" s="2" t="str">
        <f>IFERROR(__xludf.DUMMYFUNCTION("""COMPUTED_VALUE"""),"맛있어서 우럭?")</f>
        <v>맛있어서 우럭?</v>
      </c>
      <c r="B12095" s="2" t="str">
        <f>IFERROR(__xludf.DUMMYFUNCTION("""COMPUTED_VALUE"""),"두부")</f>
        <v>두부</v>
      </c>
    </row>
    <row r="12096">
      <c r="A12096" s="2" t="str">
        <f>IFERROR(__xludf.DUMMYFUNCTION("""COMPUTED_VALUE"""),"맛있어서 우럭?")</f>
        <v>맛있어서 우럭?</v>
      </c>
      <c r="B12096" s="2" t="str">
        <f>IFERROR(__xludf.DUMMYFUNCTION("""COMPUTED_VALUE"""),"사과즙")</f>
        <v>사과즙</v>
      </c>
    </row>
    <row r="12097">
      <c r="A12097" s="2" t="str">
        <f>IFERROR(__xludf.DUMMYFUNCTION("""COMPUTED_VALUE"""),"맛있어서 우럭?")</f>
        <v>맛있어서 우럭?</v>
      </c>
      <c r="B12097" s="2" t="str">
        <f>IFERROR(__xludf.DUMMYFUNCTION("""COMPUTED_VALUE"""),"양파")</f>
        <v>양파</v>
      </c>
    </row>
    <row r="12098">
      <c r="A12098" s="2" t="str">
        <f>IFERROR(__xludf.DUMMYFUNCTION("""COMPUTED_VALUE"""),"맛있어서 우럭?")</f>
        <v>맛있어서 우럭?</v>
      </c>
      <c r="B12098" s="2" t="str">
        <f>IFERROR(__xludf.DUMMYFUNCTION("""COMPUTED_VALUE"""),"대파")</f>
        <v>대파</v>
      </c>
    </row>
    <row r="12099">
      <c r="A12099" s="2" t="str">
        <f>IFERROR(__xludf.DUMMYFUNCTION("""COMPUTED_VALUE"""),"맛있어서 우럭?")</f>
        <v>맛있어서 우럭?</v>
      </c>
      <c r="B12099" s="2" t="str">
        <f>IFERROR(__xludf.DUMMYFUNCTION("""COMPUTED_VALUE"""),"화이트와인")</f>
        <v>화이트와인</v>
      </c>
    </row>
    <row r="12100">
      <c r="A12100" s="2" t="str">
        <f>IFERROR(__xludf.DUMMYFUNCTION("""COMPUTED_VALUE"""),"맛있어서 우럭?")</f>
        <v>맛있어서 우럭?</v>
      </c>
      <c r="B12100" s="2" t="str">
        <f>IFERROR(__xludf.DUMMYFUNCTION("""COMPUTED_VALUE"""),"마늘")</f>
        <v>마늘</v>
      </c>
    </row>
    <row r="12101">
      <c r="A12101" s="2" t="str">
        <f>IFERROR(__xludf.DUMMYFUNCTION("""COMPUTED_VALUE"""),"맛있어서 우럭?")</f>
        <v>맛있어서 우럭?</v>
      </c>
      <c r="B12101" s="2" t="str">
        <f>IFERROR(__xludf.DUMMYFUNCTION("""COMPUTED_VALUE"""),"맛술")</f>
        <v>맛술</v>
      </c>
    </row>
    <row r="12102">
      <c r="A12102" s="2" t="str">
        <f>IFERROR(__xludf.DUMMYFUNCTION("""COMPUTED_VALUE"""),"맛있어서 우럭?")</f>
        <v>맛있어서 우럭?</v>
      </c>
      <c r="B12102" s="2" t="str">
        <f>IFERROR(__xludf.DUMMYFUNCTION("""COMPUTED_VALUE"""),"간장")</f>
        <v>간장</v>
      </c>
    </row>
    <row r="12103">
      <c r="A12103" s="2" t="str">
        <f>IFERROR(__xludf.DUMMYFUNCTION("""COMPUTED_VALUE"""),"맛있어서 우럭?")</f>
        <v>맛있어서 우럭?</v>
      </c>
      <c r="B12103" s="2" t="str">
        <f>IFERROR(__xludf.DUMMYFUNCTION("""COMPUTED_VALUE"""),"고춧가루")</f>
        <v>고춧가루</v>
      </c>
    </row>
    <row r="12104">
      <c r="A12104" s="2" t="str">
        <f>IFERROR(__xludf.DUMMYFUNCTION("""COMPUTED_VALUE"""),"맛있어서 우럭?")</f>
        <v>맛있어서 우럭?</v>
      </c>
      <c r="B12104" s="2" t="str">
        <f>IFERROR(__xludf.DUMMYFUNCTION("""COMPUTED_VALUE"""),"설탕")</f>
        <v>설탕</v>
      </c>
    </row>
    <row r="12105">
      <c r="A12105" s="2" t="str">
        <f>IFERROR(__xludf.DUMMYFUNCTION("""COMPUTED_VALUE"""),"맛있어서 우럭?")</f>
        <v>맛있어서 우럭?</v>
      </c>
      <c r="B12105" s="2" t="str">
        <f>IFERROR(__xludf.DUMMYFUNCTION("""COMPUTED_VALUE"""),"청주")</f>
        <v>청주</v>
      </c>
    </row>
    <row r="12106">
      <c r="A12106" s="2" t="str">
        <f>IFERROR(__xludf.DUMMYFUNCTION("""COMPUTED_VALUE"""),"맛있어서 우럭?")</f>
        <v>맛있어서 우럭?</v>
      </c>
      <c r="B12106" s="2" t="str">
        <f>IFERROR(__xludf.DUMMYFUNCTION("""COMPUTED_VALUE"""),"소금")</f>
        <v>소금</v>
      </c>
    </row>
    <row r="12107">
      <c r="A12107" s="2" t="str">
        <f>IFERROR(__xludf.DUMMYFUNCTION("""COMPUTED_VALUE"""),"맛있어서 우럭?")</f>
        <v>맛있어서 우럭?</v>
      </c>
      <c r="B12107" s="2" t="str">
        <f>IFERROR(__xludf.DUMMYFUNCTION("""COMPUTED_VALUE"""),"홍고추")</f>
        <v>홍고추</v>
      </c>
    </row>
    <row r="12108">
      <c r="A12108" s="2" t="str">
        <f>IFERROR(__xludf.DUMMYFUNCTION("""COMPUTED_VALUE"""),"맛있어서 우럭?")</f>
        <v>맛있어서 우럭?</v>
      </c>
      <c r="B12108" s="2" t="str">
        <f>IFERROR(__xludf.DUMMYFUNCTION("""COMPUTED_VALUE"""),"청양고추")</f>
        <v>청양고추</v>
      </c>
    </row>
    <row r="12109">
      <c r="A12109" s="2" t="str">
        <f>IFERROR(__xludf.DUMMYFUNCTION("""COMPUTED_VALUE"""),"맛있어서 우럭?")</f>
        <v>맛있어서 우럭?</v>
      </c>
      <c r="B12109" s="2" t="str">
        <f>IFERROR(__xludf.DUMMYFUNCTION("""COMPUTED_VALUE"""),"깨")</f>
        <v>깨</v>
      </c>
    </row>
    <row r="12110">
      <c r="A12110" s="2" t="str">
        <f>IFERROR(__xludf.DUMMYFUNCTION("""COMPUTED_VALUE"""),"쌍칼국수")</f>
        <v>쌍칼국수</v>
      </c>
      <c r="B12110" s="2" t="str">
        <f>IFERROR(__xludf.DUMMYFUNCTION("""COMPUTED_VALUE"""),"소 안심")</f>
        <v>소 안심</v>
      </c>
    </row>
    <row r="12111">
      <c r="A12111" s="2" t="str">
        <f>IFERROR(__xludf.DUMMYFUNCTION("""COMPUTED_VALUE"""),"쌍칼국수")</f>
        <v>쌍칼국수</v>
      </c>
      <c r="B12111" s="2" t="str">
        <f>IFERROR(__xludf.DUMMYFUNCTION("""COMPUTED_VALUE"""),"삼계탕")</f>
        <v>삼계탕</v>
      </c>
    </row>
    <row r="12112">
      <c r="A12112" s="2" t="str">
        <f>IFERROR(__xludf.DUMMYFUNCTION("""COMPUTED_VALUE"""),"쌍칼국수")</f>
        <v>쌍칼국수</v>
      </c>
      <c r="B12112" s="2" t="str">
        <f>IFERROR(__xludf.DUMMYFUNCTION("""COMPUTED_VALUE"""),"칼국수면")</f>
        <v>칼국수면</v>
      </c>
    </row>
    <row r="12113">
      <c r="A12113" s="2" t="str">
        <f>IFERROR(__xludf.DUMMYFUNCTION("""COMPUTED_VALUE"""),"쌍칼국수")</f>
        <v>쌍칼국수</v>
      </c>
      <c r="B12113" s="2" t="str">
        <f>IFERROR(__xludf.DUMMYFUNCTION("""COMPUTED_VALUE"""),"옥수수")</f>
        <v>옥수수</v>
      </c>
    </row>
    <row r="12114">
      <c r="A12114" s="2" t="str">
        <f>IFERROR(__xludf.DUMMYFUNCTION("""COMPUTED_VALUE"""),"쌍칼국수")</f>
        <v>쌍칼국수</v>
      </c>
      <c r="B12114" s="2" t="str">
        <f>IFERROR(__xludf.DUMMYFUNCTION("""COMPUTED_VALUE"""),"고수")</f>
        <v>고수</v>
      </c>
    </row>
    <row r="12115">
      <c r="A12115" s="2" t="str">
        <f>IFERROR(__xludf.DUMMYFUNCTION("""COMPUTED_VALUE"""),"쌍칼국수")</f>
        <v>쌍칼국수</v>
      </c>
      <c r="B12115" s="2" t="str">
        <f>IFERROR(__xludf.DUMMYFUNCTION("""COMPUTED_VALUE"""),"굴비고추장")</f>
        <v>굴비고추장</v>
      </c>
    </row>
    <row r="12116">
      <c r="A12116" s="2" t="str">
        <f>IFERROR(__xludf.DUMMYFUNCTION("""COMPUTED_VALUE"""),"쌍칼국수")</f>
        <v>쌍칼국수</v>
      </c>
      <c r="B12116" s="2" t="str">
        <f>IFERROR(__xludf.DUMMYFUNCTION("""COMPUTED_VALUE"""),"갈치속젓")</f>
        <v>갈치속젓</v>
      </c>
    </row>
    <row r="12117">
      <c r="A12117" s="2" t="str">
        <f>IFERROR(__xludf.DUMMYFUNCTION("""COMPUTED_VALUE"""),"쌍칼국수")</f>
        <v>쌍칼국수</v>
      </c>
      <c r="B12117" s="2" t="str">
        <f>IFERROR(__xludf.DUMMYFUNCTION("""COMPUTED_VALUE"""),"스리라차소스")</f>
        <v>스리라차소스</v>
      </c>
    </row>
    <row r="12118">
      <c r="A12118" s="2" t="str">
        <f>IFERROR(__xludf.DUMMYFUNCTION("""COMPUTED_VALUE"""),"쌍칼국수")</f>
        <v>쌍칼국수</v>
      </c>
      <c r="B12118" s="2" t="str">
        <f>IFERROR(__xludf.DUMMYFUNCTION("""COMPUTED_VALUE"""),"땅콩버터")</f>
        <v>땅콩버터</v>
      </c>
    </row>
    <row r="12119">
      <c r="A12119" s="2" t="str">
        <f>IFERROR(__xludf.DUMMYFUNCTION("""COMPUTED_VALUE"""),"쌍칼국수")</f>
        <v>쌍칼국수</v>
      </c>
      <c r="B12119" s="2" t="str">
        <f>IFERROR(__xludf.DUMMYFUNCTION("""COMPUTED_VALUE"""),"시저샐러드 드레싱")</f>
        <v>시저샐러드 드레싱</v>
      </c>
    </row>
    <row r="12120">
      <c r="A12120" s="2" t="str">
        <f>IFERROR(__xludf.DUMMYFUNCTION("""COMPUTED_VALUE"""),"쌍칼국수")</f>
        <v>쌍칼국수</v>
      </c>
      <c r="B12120" s="2" t="str">
        <f>IFERROR(__xludf.DUMMYFUNCTION("""COMPUTED_VALUE"""),"땅콩")</f>
        <v>땅콩</v>
      </c>
    </row>
    <row r="12121">
      <c r="A12121" s="2" t="str">
        <f>IFERROR(__xludf.DUMMYFUNCTION("""COMPUTED_VALUE"""),"쌍칼국수")</f>
        <v>쌍칼국수</v>
      </c>
      <c r="B12121" s="2" t="str">
        <f>IFERROR(__xludf.DUMMYFUNCTION("""COMPUTED_VALUE"""),"부추")</f>
        <v>부추</v>
      </c>
    </row>
    <row r="12122">
      <c r="A12122" s="2" t="str">
        <f>IFERROR(__xludf.DUMMYFUNCTION("""COMPUTED_VALUE"""),"쌍칼국수")</f>
        <v>쌍칼국수</v>
      </c>
      <c r="B12122" s="2" t="str">
        <f>IFERROR(__xludf.DUMMYFUNCTION("""COMPUTED_VALUE"""),"베트남고추")</f>
        <v>베트남고추</v>
      </c>
    </row>
    <row r="12123">
      <c r="A12123" s="2" t="str">
        <f>IFERROR(__xludf.DUMMYFUNCTION("""COMPUTED_VALUE"""),"쌍칼국수")</f>
        <v>쌍칼국수</v>
      </c>
      <c r="B12123" s="2" t="str">
        <f>IFERROR(__xludf.DUMMYFUNCTION("""COMPUTED_VALUE"""),"청양고추")</f>
        <v>청양고추</v>
      </c>
    </row>
    <row r="12124">
      <c r="A12124" s="2" t="str">
        <f>IFERROR(__xludf.DUMMYFUNCTION("""COMPUTED_VALUE"""),"쌍칼국수")</f>
        <v>쌍칼국수</v>
      </c>
      <c r="B12124" s="2" t="str">
        <f>IFERROR(__xludf.DUMMYFUNCTION("""COMPUTED_VALUE"""),"당근")</f>
        <v>당근</v>
      </c>
    </row>
    <row r="12125">
      <c r="A12125" s="2" t="str">
        <f>IFERROR(__xludf.DUMMYFUNCTION("""COMPUTED_VALUE"""),"쌍칼국수")</f>
        <v>쌍칼국수</v>
      </c>
      <c r="B12125" s="2" t="str">
        <f>IFERROR(__xludf.DUMMYFUNCTION("""COMPUTED_VALUE"""),"후추")</f>
        <v>후추</v>
      </c>
    </row>
    <row r="12126">
      <c r="A12126" s="2" t="str">
        <f>IFERROR(__xludf.DUMMYFUNCTION("""COMPUTED_VALUE"""),"쌍칼국수")</f>
        <v>쌍칼국수</v>
      </c>
      <c r="B12126" s="2" t="str">
        <f>IFERROR(__xludf.DUMMYFUNCTION("""COMPUTED_VALUE"""),"간장")</f>
        <v>간장</v>
      </c>
    </row>
    <row r="12127">
      <c r="A12127" s="2" t="str">
        <f>IFERROR(__xludf.DUMMYFUNCTION("""COMPUTED_VALUE"""),"쌍칼국수")</f>
        <v>쌍칼국수</v>
      </c>
      <c r="B12127" s="2" t="str">
        <f>IFERROR(__xludf.DUMMYFUNCTION("""COMPUTED_VALUE"""),"식초")</f>
        <v>식초</v>
      </c>
    </row>
    <row r="12128">
      <c r="A12128" s="2" t="str">
        <f>IFERROR(__xludf.DUMMYFUNCTION("""COMPUTED_VALUE"""),"쌍칼국수")</f>
        <v>쌍칼국수</v>
      </c>
      <c r="B12128" s="2" t="str">
        <f>IFERROR(__xludf.DUMMYFUNCTION("""COMPUTED_VALUE"""),"대파")</f>
        <v>대파</v>
      </c>
    </row>
    <row r="12129">
      <c r="A12129" s="2" t="str">
        <f>IFERROR(__xludf.DUMMYFUNCTION("""COMPUTED_VALUE"""),"쌍칼국수")</f>
        <v>쌍칼국수</v>
      </c>
      <c r="B12129" s="2" t="str">
        <f>IFERROR(__xludf.DUMMYFUNCTION("""COMPUTED_VALUE"""),"마늘")</f>
        <v>마늘</v>
      </c>
    </row>
    <row r="12130">
      <c r="A12130" s="2" t="str">
        <f>IFERROR(__xludf.DUMMYFUNCTION("""COMPUTED_VALUE"""),"쌍칼국수")</f>
        <v>쌍칼국수</v>
      </c>
      <c r="B12130" s="2" t="str">
        <f>IFERROR(__xludf.DUMMYFUNCTION("""COMPUTED_VALUE"""),"설탕")</f>
        <v>설탕</v>
      </c>
    </row>
    <row r="12131">
      <c r="A12131" s="2" t="str">
        <f>IFERROR(__xludf.DUMMYFUNCTION("""COMPUTED_VALUE"""),"쌍칼국수")</f>
        <v>쌍칼국수</v>
      </c>
      <c r="B12131" s="2" t="str">
        <f>IFERROR(__xludf.DUMMYFUNCTION("""COMPUTED_VALUE"""),"양파")</f>
        <v>양파</v>
      </c>
    </row>
    <row r="12132">
      <c r="A12132" s="2" t="str">
        <f>IFERROR(__xludf.DUMMYFUNCTION("""COMPUTED_VALUE"""),"누들이닭")</f>
        <v>누들이닭</v>
      </c>
      <c r="B12132" s="2" t="str">
        <f>IFERROR(__xludf.DUMMYFUNCTION("""COMPUTED_VALUE"""),"닭")</f>
        <v>닭</v>
      </c>
    </row>
    <row r="12133">
      <c r="A12133" s="2" t="str">
        <f>IFERROR(__xludf.DUMMYFUNCTION("""COMPUTED_VALUE"""),"누들이닭")</f>
        <v>누들이닭</v>
      </c>
      <c r="B12133" s="2" t="str">
        <f>IFERROR(__xludf.DUMMYFUNCTION("""COMPUTED_VALUE"""),"닭 안심")</f>
        <v>닭 안심</v>
      </c>
    </row>
    <row r="12134">
      <c r="A12134" s="2" t="str">
        <f>IFERROR(__xludf.DUMMYFUNCTION("""COMPUTED_VALUE"""),"누들이닭")</f>
        <v>누들이닭</v>
      </c>
      <c r="B12134" s="2" t="str">
        <f>IFERROR(__xludf.DUMMYFUNCTION("""COMPUTED_VALUE"""),"고수")</f>
        <v>고수</v>
      </c>
    </row>
    <row r="12135">
      <c r="A12135" s="2" t="str">
        <f>IFERROR(__xludf.DUMMYFUNCTION("""COMPUTED_VALUE"""),"누들이닭")</f>
        <v>누들이닭</v>
      </c>
      <c r="B12135" s="2" t="str">
        <f>IFERROR(__xludf.DUMMYFUNCTION("""COMPUTED_VALUE"""),"느타리버섯")</f>
        <v>느타리버섯</v>
      </c>
    </row>
    <row r="12136">
      <c r="A12136" s="2" t="str">
        <f>IFERROR(__xludf.DUMMYFUNCTION("""COMPUTED_VALUE"""),"누들이닭")</f>
        <v>누들이닭</v>
      </c>
      <c r="B12136" s="2" t="str">
        <f>IFERROR(__xludf.DUMMYFUNCTION("""COMPUTED_VALUE"""),"소금")</f>
        <v>소금</v>
      </c>
    </row>
    <row r="12137">
      <c r="A12137" s="2" t="str">
        <f>IFERROR(__xludf.DUMMYFUNCTION("""COMPUTED_VALUE"""),"누들이닭")</f>
        <v>누들이닭</v>
      </c>
      <c r="B12137" s="2" t="str">
        <f>IFERROR(__xludf.DUMMYFUNCTION("""COMPUTED_VALUE"""),"달걀")</f>
        <v>달걀</v>
      </c>
    </row>
    <row r="12138">
      <c r="A12138" s="2" t="str">
        <f>IFERROR(__xludf.DUMMYFUNCTION("""COMPUTED_VALUE"""),"누들이닭")</f>
        <v>누들이닭</v>
      </c>
      <c r="B12138" s="2" t="str">
        <f>IFERROR(__xludf.DUMMYFUNCTION("""COMPUTED_VALUE"""),"밀가루")</f>
        <v>밀가루</v>
      </c>
    </row>
    <row r="12139">
      <c r="A12139" s="2" t="str">
        <f>IFERROR(__xludf.DUMMYFUNCTION("""COMPUTED_VALUE"""),"누들이닭")</f>
        <v>누들이닭</v>
      </c>
      <c r="B12139" s="2" t="str">
        <f>IFERROR(__xludf.DUMMYFUNCTION("""COMPUTED_VALUE"""),"올리브오일")</f>
        <v>올리브오일</v>
      </c>
    </row>
    <row r="12140">
      <c r="A12140" s="2" t="str">
        <f>IFERROR(__xludf.DUMMYFUNCTION("""COMPUTED_VALUE"""),"누들이닭")</f>
        <v>누들이닭</v>
      </c>
      <c r="B12140" s="2" t="str">
        <f>IFERROR(__xludf.DUMMYFUNCTION("""COMPUTED_VALUE"""),"당근")</f>
        <v>당근</v>
      </c>
    </row>
    <row r="12141">
      <c r="A12141" s="2" t="str">
        <f>IFERROR(__xludf.DUMMYFUNCTION("""COMPUTED_VALUE"""),"누들이닭")</f>
        <v>누들이닭</v>
      </c>
      <c r="B12141" s="2" t="str">
        <f>IFERROR(__xludf.DUMMYFUNCTION("""COMPUTED_VALUE"""),"양파")</f>
        <v>양파</v>
      </c>
    </row>
    <row r="12142">
      <c r="A12142" s="2" t="str">
        <f>IFERROR(__xludf.DUMMYFUNCTION("""COMPUTED_VALUE"""),"누들이닭")</f>
        <v>누들이닭</v>
      </c>
      <c r="B12142" s="2" t="str">
        <f>IFERROR(__xludf.DUMMYFUNCTION("""COMPUTED_VALUE"""),"대파")</f>
        <v>대파</v>
      </c>
    </row>
    <row r="12143">
      <c r="A12143" s="2" t="str">
        <f>IFERROR(__xludf.DUMMYFUNCTION("""COMPUTED_VALUE"""),"누들이닭")</f>
        <v>누들이닭</v>
      </c>
      <c r="B12143" s="2" t="str">
        <f>IFERROR(__xludf.DUMMYFUNCTION("""COMPUTED_VALUE"""),"다진 생강")</f>
        <v>다진 생강</v>
      </c>
    </row>
    <row r="12144">
      <c r="A12144" s="2" t="str">
        <f>IFERROR(__xludf.DUMMYFUNCTION("""COMPUTED_VALUE"""),"누들이닭")</f>
        <v>누들이닭</v>
      </c>
      <c r="B12144" s="2" t="str">
        <f>IFERROR(__xludf.DUMMYFUNCTION("""COMPUTED_VALUE"""),"통후추")</f>
        <v>통후추</v>
      </c>
    </row>
    <row r="12145">
      <c r="A12145" s="2" t="str">
        <f>IFERROR(__xludf.DUMMYFUNCTION("""COMPUTED_VALUE"""),"누들이닭")</f>
        <v>누들이닭</v>
      </c>
      <c r="B12145" s="2" t="str">
        <f>IFERROR(__xludf.DUMMYFUNCTION("""COMPUTED_VALUE"""),"간장")</f>
        <v>간장</v>
      </c>
    </row>
    <row r="12146">
      <c r="A12146" s="2" t="str">
        <f>IFERROR(__xludf.DUMMYFUNCTION("""COMPUTED_VALUE"""),"누들이닭")</f>
        <v>누들이닭</v>
      </c>
      <c r="B12146" s="2" t="str">
        <f>IFERROR(__xludf.DUMMYFUNCTION("""COMPUTED_VALUE"""),"청양고추")</f>
        <v>청양고추</v>
      </c>
    </row>
    <row r="12147">
      <c r="A12147" s="2" t="str">
        <f>IFERROR(__xludf.DUMMYFUNCTION("""COMPUTED_VALUE"""),"누들이닭")</f>
        <v>누들이닭</v>
      </c>
      <c r="B12147" s="2" t="str">
        <f>IFERROR(__xludf.DUMMYFUNCTION("""COMPUTED_VALUE"""),"레몬")</f>
        <v>레몬</v>
      </c>
    </row>
    <row r="12148">
      <c r="A12148" s="2" t="str">
        <f>IFERROR(__xludf.DUMMYFUNCTION("""COMPUTED_VALUE"""),"누들이닭")</f>
        <v>누들이닭</v>
      </c>
      <c r="B12148" s="2" t="str">
        <f>IFERROR(__xludf.DUMMYFUNCTION("""COMPUTED_VALUE"""),"홍고추")</f>
        <v>홍고추</v>
      </c>
    </row>
    <row r="12149">
      <c r="A12149" s="2" t="str">
        <f>IFERROR(__xludf.DUMMYFUNCTION("""COMPUTED_VALUE"""),"놀리지말라규♡")</f>
        <v>놀리지말라규♡</v>
      </c>
      <c r="B12149" s="2" t="str">
        <f>IFERROR(__xludf.DUMMYFUNCTION("""COMPUTED_VALUE"""),"핫케이크 가루")</f>
        <v>핫케이크 가루</v>
      </c>
    </row>
    <row r="12150">
      <c r="A12150" s="2" t="str">
        <f>IFERROR(__xludf.DUMMYFUNCTION("""COMPUTED_VALUE"""),"놀리지말라규♡")</f>
        <v>놀리지말라규♡</v>
      </c>
      <c r="B12150" s="2" t="str">
        <f>IFERROR(__xludf.DUMMYFUNCTION("""COMPUTED_VALUE"""),"호두")</f>
        <v>호두</v>
      </c>
    </row>
    <row r="12151">
      <c r="A12151" s="2" t="str">
        <f>IFERROR(__xludf.DUMMYFUNCTION("""COMPUTED_VALUE"""),"놀리지말라규♡")</f>
        <v>놀리지말라규♡</v>
      </c>
      <c r="B12151" s="2" t="str">
        <f>IFERROR(__xludf.DUMMYFUNCTION("""COMPUTED_VALUE"""),"아몬드")</f>
        <v>아몬드</v>
      </c>
    </row>
    <row r="12152">
      <c r="A12152" s="2" t="str">
        <f>IFERROR(__xludf.DUMMYFUNCTION("""COMPUTED_VALUE"""),"놀리지말라규♡")</f>
        <v>놀리지말라규♡</v>
      </c>
      <c r="B12152" s="2" t="str">
        <f>IFERROR(__xludf.DUMMYFUNCTION("""COMPUTED_VALUE"""),"잣")</f>
        <v>잣</v>
      </c>
    </row>
    <row r="12153">
      <c r="A12153" s="2" t="str">
        <f>IFERROR(__xludf.DUMMYFUNCTION("""COMPUTED_VALUE"""),"놀리지말라규♡")</f>
        <v>놀리지말라규♡</v>
      </c>
      <c r="B12153" s="2" t="str">
        <f>IFERROR(__xludf.DUMMYFUNCTION("""COMPUTED_VALUE"""),"크림치즈")</f>
        <v>크림치즈</v>
      </c>
    </row>
    <row r="12154">
      <c r="A12154" s="2" t="str">
        <f>IFERROR(__xludf.DUMMYFUNCTION("""COMPUTED_VALUE"""),"놀리지말라규♡")</f>
        <v>놀리지말라규♡</v>
      </c>
      <c r="B12154" s="2" t="str">
        <f>IFERROR(__xludf.DUMMYFUNCTION("""COMPUTED_VALUE"""),"땅콩버터")</f>
        <v>땅콩버터</v>
      </c>
    </row>
    <row r="12155">
      <c r="A12155" s="2" t="str">
        <f>IFERROR(__xludf.DUMMYFUNCTION("""COMPUTED_VALUE"""),"놀리지말라규♡")</f>
        <v>놀리지말라규♡</v>
      </c>
      <c r="B12155" s="2" t="str">
        <f>IFERROR(__xludf.DUMMYFUNCTION("""COMPUTED_VALUE"""),"블루베리")</f>
        <v>블루베리</v>
      </c>
    </row>
    <row r="12156">
      <c r="A12156" s="2" t="str">
        <f>IFERROR(__xludf.DUMMYFUNCTION("""COMPUTED_VALUE"""),"놀리지말라규♡")</f>
        <v>놀리지말라규♡</v>
      </c>
      <c r="B12156" s="2" t="str">
        <f>IFERROR(__xludf.DUMMYFUNCTION("""COMPUTED_VALUE"""),"휘핑크림")</f>
        <v>휘핑크림</v>
      </c>
    </row>
    <row r="12157">
      <c r="A12157" s="2" t="str">
        <f>IFERROR(__xludf.DUMMYFUNCTION("""COMPUTED_VALUE"""),"놀리지말라규♡")</f>
        <v>놀리지말라규♡</v>
      </c>
      <c r="B12157" s="2" t="str">
        <f>IFERROR(__xludf.DUMMYFUNCTION("""COMPUTED_VALUE"""),"사과잼")</f>
        <v>사과잼</v>
      </c>
    </row>
    <row r="12158">
      <c r="A12158" s="2" t="str">
        <f>IFERROR(__xludf.DUMMYFUNCTION("""COMPUTED_VALUE"""),"놀리지말라규♡")</f>
        <v>놀리지말라규♡</v>
      </c>
      <c r="B12158" s="2" t="str">
        <f>IFERROR(__xludf.DUMMYFUNCTION("""COMPUTED_VALUE"""),"아로니아잼")</f>
        <v>아로니아잼</v>
      </c>
    </row>
    <row r="12159">
      <c r="A12159" s="2" t="str">
        <f>IFERROR(__xludf.DUMMYFUNCTION("""COMPUTED_VALUE"""),"놀리지말라규♡")</f>
        <v>놀리지말라규♡</v>
      </c>
      <c r="B12159" s="2" t="str">
        <f>IFERROR(__xludf.DUMMYFUNCTION("""COMPUTED_VALUE"""),"설탕")</f>
        <v>설탕</v>
      </c>
    </row>
    <row r="12160">
      <c r="A12160" s="2" t="str">
        <f>IFERROR(__xludf.DUMMYFUNCTION("""COMPUTED_VALUE"""),"놀리지말라규♡")</f>
        <v>놀리지말라규♡</v>
      </c>
      <c r="B12160" s="2" t="str">
        <f>IFERROR(__xludf.DUMMYFUNCTION("""COMPUTED_VALUE"""),"밀가루")</f>
        <v>밀가루</v>
      </c>
    </row>
    <row r="12161">
      <c r="A12161" s="2" t="str">
        <f>IFERROR(__xludf.DUMMYFUNCTION("""COMPUTED_VALUE"""),"놀리지말라규♡")</f>
        <v>놀리지말라규♡</v>
      </c>
      <c r="B12161" s="2" t="str">
        <f>IFERROR(__xludf.DUMMYFUNCTION("""COMPUTED_VALUE"""),"대파")</f>
        <v>대파</v>
      </c>
    </row>
    <row r="12162">
      <c r="A12162" s="2" t="str">
        <f>IFERROR(__xludf.DUMMYFUNCTION("""COMPUTED_VALUE"""),"떠먹으라규♡")</f>
        <v>떠먹으라규♡</v>
      </c>
      <c r="B12162" s="2" t="str">
        <f>IFERROR(__xludf.DUMMYFUNCTION("""COMPUTED_VALUE"""),"천도복숭아")</f>
        <v>천도복숭아</v>
      </c>
    </row>
    <row r="12163">
      <c r="A12163" s="2" t="str">
        <f>IFERROR(__xludf.DUMMYFUNCTION("""COMPUTED_VALUE"""),"떠먹으라규♡")</f>
        <v>떠먹으라규♡</v>
      </c>
      <c r="B12163" s="2" t="str">
        <f>IFERROR(__xludf.DUMMYFUNCTION("""COMPUTED_VALUE"""),"아몬드")</f>
        <v>아몬드</v>
      </c>
    </row>
    <row r="12164">
      <c r="A12164" s="2" t="str">
        <f>IFERROR(__xludf.DUMMYFUNCTION("""COMPUTED_VALUE"""),"떠먹으라규♡")</f>
        <v>떠먹으라규♡</v>
      </c>
      <c r="B12164" s="2" t="str">
        <f>IFERROR(__xludf.DUMMYFUNCTION("""COMPUTED_VALUE"""),"호두")</f>
        <v>호두</v>
      </c>
    </row>
    <row r="12165">
      <c r="A12165" s="2" t="str">
        <f>IFERROR(__xludf.DUMMYFUNCTION("""COMPUTED_VALUE"""),"떠먹으라규♡")</f>
        <v>떠먹으라규♡</v>
      </c>
      <c r="B12165" s="2" t="str">
        <f>IFERROR(__xludf.DUMMYFUNCTION("""COMPUTED_VALUE"""),"초콜릿")</f>
        <v>초콜릿</v>
      </c>
    </row>
    <row r="12166">
      <c r="A12166" s="2" t="str">
        <f>IFERROR(__xludf.DUMMYFUNCTION("""COMPUTED_VALUE"""),"떠먹으라규♡")</f>
        <v>떠먹으라규♡</v>
      </c>
      <c r="B12166" s="2" t="str">
        <f>IFERROR(__xludf.DUMMYFUNCTION("""COMPUTED_VALUE"""),"크림치즈")</f>
        <v>크림치즈</v>
      </c>
    </row>
    <row r="12167">
      <c r="A12167" s="2" t="str">
        <f>IFERROR(__xludf.DUMMYFUNCTION("""COMPUTED_VALUE"""),"떠먹으라규♡")</f>
        <v>떠먹으라규♡</v>
      </c>
      <c r="B12167" s="2" t="str">
        <f>IFERROR(__xludf.DUMMYFUNCTION("""COMPUTED_VALUE"""),"휘핑크림")</f>
        <v>휘핑크림</v>
      </c>
    </row>
    <row r="12168">
      <c r="A12168" s="2" t="str">
        <f>IFERROR(__xludf.DUMMYFUNCTION("""COMPUTED_VALUE"""),"떠먹으라규♡")</f>
        <v>떠먹으라규♡</v>
      </c>
      <c r="B12168" s="2" t="str">
        <f>IFERROR(__xludf.DUMMYFUNCTION("""COMPUTED_VALUE"""),"설탕")</f>
        <v>설탕</v>
      </c>
    </row>
    <row r="12169">
      <c r="A12169" s="2" t="str">
        <f>IFERROR(__xludf.DUMMYFUNCTION("""COMPUTED_VALUE"""),"떠먹으라규♡")</f>
        <v>떠먹으라규♡</v>
      </c>
      <c r="B12169" s="2" t="str">
        <f>IFERROR(__xludf.DUMMYFUNCTION("""COMPUTED_VALUE"""),"달걀")</f>
        <v>달걀</v>
      </c>
    </row>
    <row r="12170">
      <c r="A12170" s="2" t="str">
        <f>IFERROR(__xludf.DUMMYFUNCTION("""COMPUTED_VALUE"""),"떠먹으라규♡")</f>
        <v>떠먹으라규♡</v>
      </c>
      <c r="B12170" s="2" t="str">
        <f>IFERROR(__xludf.DUMMYFUNCTION("""COMPUTED_VALUE"""),"밀가루")</f>
        <v>밀가루</v>
      </c>
    </row>
    <row r="12171">
      <c r="A12171" s="2" t="str">
        <f>IFERROR(__xludf.DUMMYFUNCTION("""COMPUTED_VALUE"""),"떠먹으라규♡")</f>
        <v>떠먹으라규♡</v>
      </c>
      <c r="B12171" s="2" t="str">
        <f>IFERROR(__xludf.DUMMYFUNCTION("""COMPUTED_VALUE"""),"버터")</f>
        <v>버터</v>
      </c>
    </row>
    <row r="12172">
      <c r="A12172" s="2" t="str">
        <f>IFERROR(__xludf.DUMMYFUNCTION("""COMPUTED_VALUE"""),"떠먹으라규♡")</f>
        <v>떠먹으라규♡</v>
      </c>
      <c r="B12172" s="2" t="str">
        <f>IFERROR(__xludf.DUMMYFUNCTION("""COMPUTED_VALUE"""),"레몬")</f>
        <v>레몬</v>
      </c>
    </row>
    <row r="12173">
      <c r="A12173" s="2" t="str">
        <f>IFERROR(__xludf.DUMMYFUNCTION("""COMPUTED_VALUE"""),"가지가지한다")</f>
        <v>가지가지한다</v>
      </c>
      <c r="B12173" s="2" t="str">
        <f>IFERROR(__xludf.DUMMYFUNCTION("""COMPUTED_VALUE"""),"가지")</f>
        <v>가지</v>
      </c>
    </row>
    <row r="12174">
      <c r="A12174" s="2" t="str">
        <f>IFERROR(__xludf.DUMMYFUNCTION("""COMPUTED_VALUE"""),"가지가지한다")</f>
        <v>가지가지한다</v>
      </c>
      <c r="B12174" s="2" t="str">
        <f>IFERROR(__xludf.DUMMYFUNCTION("""COMPUTED_VALUE"""),"삼겹살")</f>
        <v>삼겹살</v>
      </c>
    </row>
    <row r="12175">
      <c r="A12175" s="2" t="str">
        <f>IFERROR(__xludf.DUMMYFUNCTION("""COMPUTED_VALUE"""),"가지가지한다")</f>
        <v>가지가지한다</v>
      </c>
      <c r="B12175" s="2" t="str">
        <f>IFERROR(__xludf.DUMMYFUNCTION("""COMPUTED_VALUE"""),"멸치육수팩")</f>
        <v>멸치육수팩</v>
      </c>
    </row>
    <row r="12176">
      <c r="A12176" s="2" t="str">
        <f>IFERROR(__xludf.DUMMYFUNCTION("""COMPUTED_VALUE"""),"가지가지한다")</f>
        <v>가지가지한다</v>
      </c>
      <c r="B12176" s="2" t="str">
        <f>IFERROR(__xludf.DUMMYFUNCTION("""COMPUTED_VALUE"""),"칼국수면")</f>
        <v>칼국수면</v>
      </c>
    </row>
    <row r="12177">
      <c r="A12177" s="2" t="str">
        <f>IFERROR(__xludf.DUMMYFUNCTION("""COMPUTED_VALUE"""),"가지가지한다")</f>
        <v>가지가지한다</v>
      </c>
      <c r="B12177" s="2" t="str">
        <f>IFERROR(__xludf.DUMMYFUNCTION("""COMPUTED_VALUE"""),"멸치액젓")</f>
        <v>멸치액젓</v>
      </c>
    </row>
    <row r="12178">
      <c r="A12178" s="2" t="str">
        <f>IFERROR(__xludf.DUMMYFUNCTION("""COMPUTED_VALUE"""),"가지가지한다")</f>
        <v>가지가지한다</v>
      </c>
      <c r="B12178" s="2" t="str">
        <f>IFERROR(__xludf.DUMMYFUNCTION("""COMPUTED_VALUE"""),"대파")</f>
        <v>대파</v>
      </c>
    </row>
    <row r="12179">
      <c r="A12179" s="2" t="str">
        <f>IFERROR(__xludf.DUMMYFUNCTION("""COMPUTED_VALUE"""),"가지가지한다")</f>
        <v>가지가지한다</v>
      </c>
      <c r="B12179" s="2" t="str">
        <f>IFERROR(__xludf.DUMMYFUNCTION("""COMPUTED_VALUE"""),"다진 마늘")</f>
        <v>다진 마늘</v>
      </c>
    </row>
    <row r="12180">
      <c r="A12180" s="2" t="str">
        <f>IFERROR(__xludf.DUMMYFUNCTION("""COMPUTED_VALUE"""),"가지가지한다")</f>
        <v>가지가지한다</v>
      </c>
      <c r="B12180" s="2" t="str">
        <f>IFERROR(__xludf.DUMMYFUNCTION("""COMPUTED_VALUE"""),"다진 생강")</f>
        <v>다진 생강</v>
      </c>
    </row>
    <row r="12181">
      <c r="A12181" s="2" t="str">
        <f>IFERROR(__xludf.DUMMYFUNCTION("""COMPUTED_VALUE"""),"가지가지한다")</f>
        <v>가지가지한다</v>
      </c>
      <c r="B12181" s="2" t="str">
        <f>IFERROR(__xludf.DUMMYFUNCTION("""COMPUTED_VALUE"""),"간장")</f>
        <v>간장</v>
      </c>
    </row>
    <row r="12182">
      <c r="A12182" s="2" t="str">
        <f>IFERROR(__xludf.DUMMYFUNCTION("""COMPUTED_VALUE"""),"가지가지한다")</f>
        <v>가지가지한다</v>
      </c>
      <c r="B12182" s="2" t="str">
        <f>IFERROR(__xludf.DUMMYFUNCTION("""COMPUTED_VALUE"""),"소금")</f>
        <v>소금</v>
      </c>
    </row>
    <row r="12183">
      <c r="A12183" s="2" t="str">
        <f>IFERROR(__xludf.DUMMYFUNCTION("""COMPUTED_VALUE"""),"가지가지한다")</f>
        <v>가지가지한다</v>
      </c>
      <c r="B12183" s="2" t="str">
        <f>IFERROR(__xludf.DUMMYFUNCTION("""COMPUTED_VALUE"""),"후추")</f>
        <v>후추</v>
      </c>
    </row>
    <row r="12184">
      <c r="A12184" s="2" t="str">
        <f>IFERROR(__xludf.DUMMYFUNCTION("""COMPUTED_VALUE"""),"가지가지한다")</f>
        <v>가지가지한다</v>
      </c>
      <c r="B12184" s="2" t="str">
        <f>IFERROR(__xludf.DUMMYFUNCTION("""COMPUTED_VALUE"""),"전분")</f>
        <v>전분</v>
      </c>
    </row>
    <row r="12185">
      <c r="A12185" s="2" t="str">
        <f>IFERROR(__xludf.DUMMYFUNCTION("""COMPUTED_VALUE"""),"가지가지한다")</f>
        <v>가지가지한다</v>
      </c>
      <c r="B12185" s="2" t="str">
        <f>IFERROR(__xludf.DUMMYFUNCTION("""COMPUTED_VALUE"""),"고춧가루")</f>
        <v>고춧가루</v>
      </c>
    </row>
    <row r="12186">
      <c r="A12186" s="2" t="str">
        <f>IFERROR(__xludf.DUMMYFUNCTION("""COMPUTED_VALUE"""),"가지가지한다")</f>
        <v>가지가지한다</v>
      </c>
      <c r="B12186" s="2" t="str">
        <f>IFERROR(__xludf.DUMMYFUNCTION("""COMPUTED_VALUE"""),"맛술")</f>
        <v>맛술</v>
      </c>
    </row>
    <row r="12187">
      <c r="A12187" s="2" t="str">
        <f>IFERROR(__xludf.DUMMYFUNCTION("""COMPUTED_VALUE"""),"가지가지한다")</f>
        <v>가지가지한다</v>
      </c>
      <c r="B12187" s="2" t="str">
        <f>IFERROR(__xludf.DUMMYFUNCTION("""COMPUTED_VALUE"""),"설탕")</f>
        <v>설탕</v>
      </c>
    </row>
    <row r="12188">
      <c r="A12188" s="2" t="str">
        <f>IFERROR(__xludf.DUMMYFUNCTION("""COMPUTED_VALUE"""),"순대 스마일~")</f>
        <v>순대 스마일~</v>
      </c>
      <c r="B12188" s="2" t="str">
        <f>IFERROR(__xludf.DUMMYFUNCTION("""COMPUTED_VALUE"""),"오징어")</f>
        <v>오징어</v>
      </c>
    </row>
    <row r="12189">
      <c r="A12189" s="2" t="str">
        <f>IFERROR(__xludf.DUMMYFUNCTION("""COMPUTED_VALUE"""),"순대 스마일~")</f>
        <v>순대 스마일~</v>
      </c>
      <c r="B12189" s="2" t="str">
        <f>IFERROR(__xludf.DUMMYFUNCTION("""COMPUTED_VALUE"""),"삼겹살")</f>
        <v>삼겹살</v>
      </c>
    </row>
    <row r="12190">
      <c r="A12190" s="2" t="str">
        <f>IFERROR(__xludf.DUMMYFUNCTION("""COMPUTED_VALUE"""),"순대 스마일~")</f>
        <v>순대 스마일~</v>
      </c>
      <c r="B12190" s="2" t="str">
        <f>IFERROR(__xludf.DUMMYFUNCTION("""COMPUTED_VALUE"""),"햄")</f>
        <v>햄</v>
      </c>
    </row>
    <row r="12191">
      <c r="A12191" s="2" t="str">
        <f>IFERROR(__xludf.DUMMYFUNCTION("""COMPUTED_VALUE"""),"순대 스마일~")</f>
        <v>순대 스마일~</v>
      </c>
      <c r="B12191" s="2" t="str">
        <f>IFERROR(__xludf.DUMMYFUNCTION("""COMPUTED_VALUE"""),"인스턴트 주꾸미낙지볶음")</f>
        <v>인스턴트 주꾸미낙지볶음</v>
      </c>
    </row>
    <row r="12192">
      <c r="A12192" s="2" t="str">
        <f>IFERROR(__xludf.DUMMYFUNCTION("""COMPUTED_VALUE"""),"순대 스마일~")</f>
        <v>순대 스마일~</v>
      </c>
      <c r="B12192" s="2" t="str">
        <f>IFERROR(__xludf.DUMMYFUNCTION("""COMPUTED_VALUE"""),"프라이드 어니언")</f>
        <v>프라이드 어니언</v>
      </c>
    </row>
    <row r="12193">
      <c r="A12193" s="2" t="str">
        <f>IFERROR(__xludf.DUMMYFUNCTION("""COMPUTED_VALUE"""),"순대 스마일~")</f>
        <v>순대 스마일~</v>
      </c>
      <c r="B12193" s="2" t="str">
        <f>IFERROR(__xludf.DUMMYFUNCTION("""COMPUTED_VALUE"""),"인스턴트 양송이수프")</f>
        <v>인스턴트 양송이수프</v>
      </c>
    </row>
    <row r="12194">
      <c r="A12194" s="2" t="str">
        <f>IFERROR(__xludf.DUMMYFUNCTION("""COMPUTED_VALUE"""),"순대 스마일~")</f>
        <v>순대 스마일~</v>
      </c>
      <c r="B12194" s="2" t="str">
        <f>IFERROR(__xludf.DUMMYFUNCTION("""COMPUTED_VALUE"""),"사과")</f>
        <v>사과</v>
      </c>
    </row>
    <row r="12195">
      <c r="A12195" s="2" t="str">
        <f>IFERROR(__xludf.DUMMYFUNCTION("""COMPUTED_VALUE"""),"순대 스마일~")</f>
        <v>순대 스마일~</v>
      </c>
      <c r="B12195" s="2" t="str">
        <f>IFERROR(__xludf.DUMMYFUNCTION("""COMPUTED_VALUE"""),"쌈무")</f>
        <v>쌈무</v>
      </c>
    </row>
    <row r="12196">
      <c r="A12196" s="2" t="str">
        <f>IFERROR(__xludf.DUMMYFUNCTION("""COMPUTED_VALUE"""),"순대 스마일~")</f>
        <v>순대 스마일~</v>
      </c>
      <c r="B12196" s="2" t="str">
        <f>IFERROR(__xludf.DUMMYFUNCTION("""COMPUTED_VALUE"""),"칼국수면")</f>
        <v>칼국수면</v>
      </c>
    </row>
    <row r="12197">
      <c r="A12197" s="2" t="str">
        <f>IFERROR(__xludf.DUMMYFUNCTION("""COMPUTED_VALUE"""),"순대 스마일~")</f>
        <v>순대 스마일~</v>
      </c>
      <c r="B12197" s="2" t="str">
        <f>IFERROR(__xludf.DUMMYFUNCTION("""COMPUTED_VALUE"""),"쥐포 과자")</f>
        <v>쥐포 과자</v>
      </c>
    </row>
    <row r="12198">
      <c r="A12198" s="2" t="str">
        <f>IFERROR(__xludf.DUMMYFUNCTION("""COMPUTED_VALUE"""),"순대 스마일~")</f>
        <v>순대 스마일~</v>
      </c>
      <c r="B12198" s="2" t="str">
        <f>IFERROR(__xludf.DUMMYFUNCTION("""COMPUTED_VALUE"""),"오징어맛 과자")</f>
        <v>오징어맛 과자</v>
      </c>
    </row>
    <row r="12199">
      <c r="A12199" s="2" t="str">
        <f>IFERROR(__xludf.DUMMYFUNCTION("""COMPUTED_VALUE"""),"순대 스마일~")</f>
        <v>순대 스마일~</v>
      </c>
      <c r="B12199" s="2" t="str">
        <f>IFERROR(__xludf.DUMMYFUNCTION("""COMPUTED_VALUE"""),"달걀")</f>
        <v>달걀</v>
      </c>
    </row>
    <row r="12200">
      <c r="A12200" s="2" t="str">
        <f>IFERROR(__xludf.DUMMYFUNCTION("""COMPUTED_VALUE"""),"순대 스마일~")</f>
        <v>순대 스마일~</v>
      </c>
      <c r="B12200" s="2" t="str">
        <f>IFERROR(__xludf.DUMMYFUNCTION("""COMPUTED_VALUE"""),"전분")</f>
        <v>전분</v>
      </c>
    </row>
    <row r="12201">
      <c r="A12201" s="2" t="str">
        <f>IFERROR(__xludf.DUMMYFUNCTION("""COMPUTED_VALUE"""),"순대 스마일~")</f>
        <v>순대 스마일~</v>
      </c>
      <c r="B12201" s="2" t="str">
        <f>IFERROR(__xludf.DUMMYFUNCTION("""COMPUTED_VALUE"""),"다진 마늘")</f>
        <v>다진 마늘</v>
      </c>
    </row>
    <row r="12202">
      <c r="A12202" s="2" t="str">
        <f>IFERROR(__xludf.DUMMYFUNCTION("""COMPUTED_VALUE"""),"순대 스마일~")</f>
        <v>순대 스마일~</v>
      </c>
      <c r="B12202" s="2" t="str">
        <f>IFERROR(__xludf.DUMMYFUNCTION("""COMPUTED_VALUE"""),"양파")</f>
        <v>양파</v>
      </c>
    </row>
    <row r="12203">
      <c r="A12203" s="2" t="str">
        <f>IFERROR(__xludf.DUMMYFUNCTION("""COMPUTED_VALUE"""),"순대 스마일~")</f>
        <v>순대 스마일~</v>
      </c>
      <c r="B12203" s="2" t="str">
        <f>IFERROR(__xludf.DUMMYFUNCTION("""COMPUTED_VALUE"""),"후추")</f>
        <v>후추</v>
      </c>
    </row>
    <row r="12204">
      <c r="A12204" s="2" t="str">
        <f>IFERROR(__xludf.DUMMYFUNCTION("""COMPUTED_VALUE"""),"순대 스마일~")</f>
        <v>순대 스마일~</v>
      </c>
      <c r="B12204" s="2" t="str">
        <f>IFERROR(__xludf.DUMMYFUNCTION("""COMPUTED_VALUE"""),"청양고추")</f>
        <v>청양고추</v>
      </c>
    </row>
    <row r="12205">
      <c r="A12205" s="2" t="str">
        <f>IFERROR(__xludf.DUMMYFUNCTION("""COMPUTED_VALUE"""),"순대 스마일~")</f>
        <v>순대 스마일~</v>
      </c>
      <c r="B12205" s="2" t="str">
        <f>IFERROR(__xludf.DUMMYFUNCTION("""COMPUTED_VALUE"""),"소금")</f>
        <v>소금</v>
      </c>
    </row>
    <row r="12206">
      <c r="A12206" s="2" t="str">
        <f>IFERROR(__xludf.DUMMYFUNCTION("""COMPUTED_VALUE"""),"순대 스마일~")</f>
        <v>순대 스마일~</v>
      </c>
      <c r="B12206" s="2" t="str">
        <f>IFERROR(__xludf.DUMMYFUNCTION("""COMPUTED_VALUE"""),"식초")</f>
        <v>식초</v>
      </c>
    </row>
    <row r="12207">
      <c r="A12207" s="2" t="str">
        <f>IFERROR(__xludf.DUMMYFUNCTION("""COMPUTED_VALUE"""),"순대 스마일~")</f>
        <v>순대 스마일~</v>
      </c>
      <c r="B12207" s="2" t="str">
        <f>IFERROR(__xludf.DUMMYFUNCTION("""COMPUTED_VALUE"""),"설탕")</f>
        <v>설탕</v>
      </c>
    </row>
    <row r="12208">
      <c r="A12208" s="2" t="str">
        <f>IFERROR(__xludf.DUMMYFUNCTION("""COMPUTED_VALUE"""),"순대 스마일~")</f>
        <v>순대 스마일~</v>
      </c>
      <c r="B12208" s="2" t="str">
        <f>IFERROR(__xludf.DUMMYFUNCTION("""COMPUTED_VALUE"""),"물엿")</f>
        <v>물엿</v>
      </c>
    </row>
    <row r="12209">
      <c r="A12209" s="2" t="str">
        <f>IFERROR(__xludf.DUMMYFUNCTION("""COMPUTED_VALUE"""),"순대 스마일~")</f>
        <v>순대 스마일~</v>
      </c>
      <c r="B12209" s="2" t="str">
        <f>IFERROR(__xludf.DUMMYFUNCTION("""COMPUTED_VALUE"""),"라면수프")</f>
        <v>라면수프</v>
      </c>
    </row>
    <row r="12210">
      <c r="A12210" s="2" t="str">
        <f>IFERROR(__xludf.DUMMYFUNCTION("""COMPUTED_VALUE"""),"홍삼드삼")</f>
        <v>홍삼드삼</v>
      </c>
      <c r="B12210" s="2" t="str">
        <f>IFERROR(__xludf.DUMMYFUNCTION("""COMPUTED_VALUE"""),"오징어")</f>
        <v>오징어</v>
      </c>
    </row>
    <row r="12211">
      <c r="A12211" s="2" t="str">
        <f>IFERROR(__xludf.DUMMYFUNCTION("""COMPUTED_VALUE"""),"홍삼드삼")</f>
        <v>홍삼드삼</v>
      </c>
      <c r="B12211" s="2" t="str">
        <f>IFERROR(__xludf.DUMMYFUNCTION("""COMPUTED_VALUE"""),"삼겹살")</f>
        <v>삼겹살</v>
      </c>
    </row>
    <row r="12212">
      <c r="A12212" s="2" t="str">
        <f>IFERROR(__xludf.DUMMYFUNCTION("""COMPUTED_VALUE"""),"홍삼드삼")</f>
        <v>홍삼드삼</v>
      </c>
      <c r="B12212" s="2" t="str">
        <f>IFERROR(__xludf.DUMMYFUNCTION("""COMPUTED_VALUE"""),"홍삼 음료")</f>
        <v>홍삼 음료</v>
      </c>
    </row>
    <row r="12213">
      <c r="A12213" s="2" t="str">
        <f>IFERROR(__xludf.DUMMYFUNCTION("""COMPUTED_VALUE"""),"홍삼드삼")</f>
        <v>홍삼드삼</v>
      </c>
      <c r="B12213" s="2" t="str">
        <f>IFERROR(__xludf.DUMMYFUNCTION("""COMPUTED_VALUE"""),"홍삼 농축액")</f>
        <v>홍삼 농축액</v>
      </c>
    </row>
    <row r="12214">
      <c r="A12214" s="2" t="str">
        <f>IFERROR(__xludf.DUMMYFUNCTION("""COMPUTED_VALUE"""),"홍삼드삼")</f>
        <v>홍삼드삼</v>
      </c>
      <c r="B12214" s="2" t="str">
        <f>IFERROR(__xludf.DUMMYFUNCTION("""COMPUTED_VALUE"""),"사과")</f>
        <v>사과</v>
      </c>
    </row>
    <row r="12215">
      <c r="A12215" s="2" t="str">
        <f>IFERROR(__xludf.DUMMYFUNCTION("""COMPUTED_VALUE"""),"홍삼드삼")</f>
        <v>홍삼드삼</v>
      </c>
      <c r="B12215" s="2" t="str">
        <f>IFERROR(__xludf.DUMMYFUNCTION("""COMPUTED_VALUE"""),"파인애플식초")</f>
        <v>파인애플식초</v>
      </c>
    </row>
    <row r="12216">
      <c r="A12216" s="2" t="str">
        <f>IFERROR(__xludf.DUMMYFUNCTION("""COMPUTED_VALUE"""),"홍삼드삼")</f>
        <v>홍삼드삼</v>
      </c>
      <c r="B12216" s="2" t="str">
        <f>IFERROR(__xludf.DUMMYFUNCTION("""COMPUTED_VALUE"""),"쌈무")</f>
        <v>쌈무</v>
      </c>
    </row>
    <row r="12217">
      <c r="A12217" s="2" t="str">
        <f>IFERROR(__xludf.DUMMYFUNCTION("""COMPUTED_VALUE"""),"홍삼드삼")</f>
        <v>홍삼드삼</v>
      </c>
      <c r="B12217" s="2" t="str">
        <f>IFERROR(__xludf.DUMMYFUNCTION("""COMPUTED_VALUE"""),"배즙")</f>
        <v>배즙</v>
      </c>
    </row>
    <row r="12218">
      <c r="A12218" s="2" t="str">
        <f>IFERROR(__xludf.DUMMYFUNCTION("""COMPUTED_VALUE"""),"홍삼드삼")</f>
        <v>홍삼드삼</v>
      </c>
      <c r="B12218" s="2" t="str">
        <f>IFERROR(__xludf.DUMMYFUNCTION("""COMPUTED_VALUE"""),"견과류")</f>
        <v>견과류</v>
      </c>
    </row>
    <row r="12219">
      <c r="A12219" s="2" t="str">
        <f>IFERROR(__xludf.DUMMYFUNCTION("""COMPUTED_VALUE"""),"홍삼드삼")</f>
        <v>홍삼드삼</v>
      </c>
      <c r="B12219" s="2" t="str">
        <f>IFERROR(__xludf.DUMMYFUNCTION("""COMPUTED_VALUE"""),"마늘")</f>
        <v>마늘</v>
      </c>
    </row>
    <row r="12220">
      <c r="A12220" s="2" t="str">
        <f>IFERROR(__xludf.DUMMYFUNCTION("""COMPUTED_VALUE"""),"홍삼드삼")</f>
        <v>홍삼드삼</v>
      </c>
      <c r="B12220" s="2" t="str">
        <f>IFERROR(__xludf.DUMMYFUNCTION("""COMPUTED_VALUE"""),"소금")</f>
        <v>소금</v>
      </c>
    </row>
    <row r="12221">
      <c r="A12221" s="2" t="str">
        <f>IFERROR(__xludf.DUMMYFUNCTION("""COMPUTED_VALUE"""),"홍삼드삼")</f>
        <v>홍삼드삼</v>
      </c>
      <c r="B12221" s="2" t="str">
        <f>IFERROR(__xludf.DUMMYFUNCTION("""COMPUTED_VALUE"""),"튀김가루")</f>
        <v>튀김가루</v>
      </c>
    </row>
    <row r="12222">
      <c r="A12222" s="2" t="str">
        <f>IFERROR(__xludf.DUMMYFUNCTION("""COMPUTED_VALUE"""),"홍삼드삼")</f>
        <v>홍삼드삼</v>
      </c>
      <c r="B12222" s="2" t="str">
        <f>IFERROR(__xludf.DUMMYFUNCTION("""COMPUTED_VALUE"""),"양파")</f>
        <v>양파</v>
      </c>
    </row>
    <row r="12223">
      <c r="A12223" s="2" t="str">
        <f>IFERROR(__xludf.DUMMYFUNCTION("""COMPUTED_VALUE"""),"홍삼드삼")</f>
        <v>홍삼드삼</v>
      </c>
      <c r="B12223" s="2" t="str">
        <f>IFERROR(__xludf.DUMMYFUNCTION("""COMPUTED_VALUE"""),"설탕")</f>
        <v>설탕</v>
      </c>
    </row>
    <row r="12224">
      <c r="A12224" s="2" t="str">
        <f>IFERROR(__xludf.DUMMYFUNCTION("""COMPUTED_VALUE"""),"홍삼드삼")</f>
        <v>홍삼드삼</v>
      </c>
      <c r="B12224" s="2" t="str">
        <f>IFERROR(__xludf.DUMMYFUNCTION("""COMPUTED_VALUE"""),"레몬즙")</f>
        <v>레몬즙</v>
      </c>
    </row>
    <row r="12225">
      <c r="A12225" s="2" t="str">
        <f>IFERROR(__xludf.DUMMYFUNCTION("""COMPUTED_VALUE"""),"홍삼드삼")</f>
        <v>홍삼드삼</v>
      </c>
      <c r="B12225" s="2" t="str">
        <f>IFERROR(__xludf.DUMMYFUNCTION("""COMPUTED_VALUE"""),"홍고추")</f>
        <v>홍고추</v>
      </c>
    </row>
    <row r="12226">
      <c r="A12226" s="2" t="str">
        <f>IFERROR(__xludf.DUMMYFUNCTION("""COMPUTED_VALUE"""),"홍삼드삼")</f>
        <v>홍삼드삼</v>
      </c>
      <c r="B12226" s="2" t="str">
        <f>IFERROR(__xludf.DUMMYFUNCTION("""COMPUTED_VALUE"""),"청양고추")</f>
        <v>청양고추</v>
      </c>
    </row>
    <row r="12227">
      <c r="A12227" s="2" t="str">
        <f>IFERROR(__xludf.DUMMYFUNCTION("""COMPUTED_VALUE"""),"홍삼드삼")</f>
        <v>홍삼드삼</v>
      </c>
      <c r="B12227" s="2" t="str">
        <f>IFERROR(__xludf.DUMMYFUNCTION("""COMPUTED_VALUE"""),"대파")</f>
        <v>대파</v>
      </c>
    </row>
    <row r="12228">
      <c r="A12228" s="2" t="str">
        <f>IFERROR(__xludf.DUMMYFUNCTION("""COMPUTED_VALUE"""),"홍삼드삼")</f>
        <v>홍삼드삼</v>
      </c>
      <c r="B12228" s="2" t="str">
        <f>IFERROR(__xludf.DUMMYFUNCTION("""COMPUTED_VALUE"""),"고추장")</f>
        <v>고추장</v>
      </c>
    </row>
    <row r="12229">
      <c r="A12229" s="2" t="str">
        <f>IFERROR(__xludf.DUMMYFUNCTION("""COMPUTED_VALUE"""),"홍삼드삼")</f>
        <v>홍삼드삼</v>
      </c>
      <c r="B12229" s="2" t="str">
        <f>IFERROR(__xludf.DUMMYFUNCTION("""COMPUTED_VALUE"""),"설탕")</f>
        <v>설탕</v>
      </c>
    </row>
    <row r="12230">
      <c r="A12230" s="2" t="str">
        <f>IFERROR(__xludf.DUMMYFUNCTION("""COMPUTED_VALUE"""),"홍삼드삼")</f>
        <v>홍삼드삼</v>
      </c>
      <c r="B12230" s="2" t="str">
        <f>IFERROR(__xludf.DUMMYFUNCTION("""COMPUTED_VALUE"""),"참기름")</f>
        <v>참기름</v>
      </c>
    </row>
    <row r="12231">
      <c r="A12231" s="2" t="str">
        <f>IFERROR(__xludf.DUMMYFUNCTION("""COMPUTED_VALUE"""),"홍삼드삼")</f>
        <v>홍삼드삼</v>
      </c>
      <c r="B12231" s="2" t="str">
        <f>IFERROR(__xludf.DUMMYFUNCTION("""COMPUTED_VALUE"""),"케첩")</f>
        <v>케첩</v>
      </c>
    </row>
    <row r="12232">
      <c r="A12232" s="2" t="str">
        <f>IFERROR(__xludf.DUMMYFUNCTION("""COMPUTED_VALUE"""),"홍삼드삼")</f>
        <v>홍삼드삼</v>
      </c>
      <c r="B12232" s="2" t="str">
        <f>IFERROR(__xludf.DUMMYFUNCTION("""COMPUTED_VALUE"""),"올리브 오일")</f>
        <v>올리브 오일</v>
      </c>
    </row>
    <row r="12233">
      <c r="A12233" s="2" t="str">
        <f>IFERROR(__xludf.DUMMYFUNCTION("""COMPUTED_VALUE"""),"홍카엘")</f>
        <v>홍카엘</v>
      </c>
      <c r="B12233" s="2" t="str">
        <f>IFERROR(__xludf.DUMMYFUNCTION("""COMPUTED_VALUE"""),"홍삼 농축액")</f>
        <v>홍삼 농축액</v>
      </c>
    </row>
    <row r="12234">
      <c r="A12234" s="2" t="str">
        <f>IFERROR(__xludf.DUMMYFUNCTION("""COMPUTED_VALUE"""),"홍카엘")</f>
        <v>홍카엘</v>
      </c>
      <c r="B12234" s="2" t="str">
        <f>IFERROR(__xludf.DUMMYFUNCTION("""COMPUTED_VALUE"""),"홍삼 음료")</f>
        <v>홍삼 음료</v>
      </c>
    </row>
    <row r="12235">
      <c r="A12235" s="2" t="str">
        <f>IFERROR(__xludf.DUMMYFUNCTION("""COMPUTED_VALUE"""),"홍카엘")</f>
        <v>홍카엘</v>
      </c>
      <c r="B12235" s="2" t="str">
        <f>IFERROR(__xludf.DUMMYFUNCTION("""COMPUTED_VALUE"""),"가지")</f>
        <v>가지</v>
      </c>
    </row>
    <row r="12236">
      <c r="A12236" s="2" t="str">
        <f>IFERROR(__xludf.DUMMYFUNCTION("""COMPUTED_VALUE"""),"홍카엘")</f>
        <v>홍카엘</v>
      </c>
      <c r="B12236" s="2" t="str">
        <f>IFERROR(__xludf.DUMMYFUNCTION("""COMPUTED_VALUE"""),"오징어")</f>
        <v>오징어</v>
      </c>
    </row>
    <row r="12237">
      <c r="A12237" s="2" t="str">
        <f>IFERROR(__xludf.DUMMYFUNCTION("""COMPUTED_VALUE"""),"홍카엘")</f>
        <v>홍카엘</v>
      </c>
      <c r="B12237" s="2" t="str">
        <f>IFERROR(__xludf.DUMMYFUNCTION("""COMPUTED_VALUE"""),"호박즙")</f>
        <v>호박즙</v>
      </c>
    </row>
    <row r="12238">
      <c r="A12238" s="2" t="str">
        <f>IFERROR(__xludf.DUMMYFUNCTION("""COMPUTED_VALUE"""),"홍카엘")</f>
        <v>홍카엘</v>
      </c>
      <c r="B12238" s="2" t="str">
        <f>IFERROR(__xludf.DUMMYFUNCTION("""COMPUTED_VALUE"""),"파인애플식초")</f>
        <v>파인애플식초</v>
      </c>
    </row>
    <row r="12239">
      <c r="A12239" s="2" t="str">
        <f>IFERROR(__xludf.DUMMYFUNCTION("""COMPUTED_VALUE"""),"홍카엘")</f>
        <v>홍카엘</v>
      </c>
      <c r="B12239" s="2" t="str">
        <f>IFERROR(__xludf.DUMMYFUNCTION("""COMPUTED_VALUE"""),"파프리카")</f>
        <v>파프리카</v>
      </c>
    </row>
    <row r="12240">
      <c r="A12240" s="2" t="str">
        <f>IFERROR(__xludf.DUMMYFUNCTION("""COMPUTED_VALUE"""),"홍카엘")</f>
        <v>홍카엘</v>
      </c>
      <c r="B12240" s="2" t="str">
        <f>IFERROR(__xludf.DUMMYFUNCTION("""COMPUTED_VALUE"""),"플레인 요거트")</f>
        <v>플레인 요거트</v>
      </c>
    </row>
    <row r="12241">
      <c r="A12241" s="2" t="str">
        <f>IFERROR(__xludf.DUMMYFUNCTION("""COMPUTED_VALUE"""),"홍카엘")</f>
        <v>홍카엘</v>
      </c>
      <c r="B12241" s="2" t="str">
        <f>IFERROR(__xludf.DUMMYFUNCTION("""COMPUTED_VALUE"""),"애호박")</f>
        <v>애호박</v>
      </c>
    </row>
    <row r="12242">
      <c r="A12242" s="2" t="str">
        <f>IFERROR(__xludf.DUMMYFUNCTION("""COMPUTED_VALUE"""),"홍카엘")</f>
        <v>홍카엘</v>
      </c>
      <c r="B12242" s="2" t="str">
        <f>IFERROR(__xludf.DUMMYFUNCTION("""COMPUTED_VALUE"""),"밀가루")</f>
        <v>밀가루</v>
      </c>
    </row>
    <row r="12243">
      <c r="A12243" s="2" t="str">
        <f>IFERROR(__xludf.DUMMYFUNCTION("""COMPUTED_VALUE"""),"홍카엘")</f>
        <v>홍카엘</v>
      </c>
      <c r="B12243" s="2" t="str">
        <f>IFERROR(__xludf.DUMMYFUNCTION("""COMPUTED_VALUE"""),"전분")</f>
        <v>전분</v>
      </c>
    </row>
    <row r="12244">
      <c r="A12244" s="2" t="str">
        <f>IFERROR(__xludf.DUMMYFUNCTION("""COMPUTED_VALUE"""),"홍카엘")</f>
        <v>홍카엘</v>
      </c>
      <c r="B12244" s="2" t="str">
        <f>IFERROR(__xludf.DUMMYFUNCTION("""COMPUTED_VALUE"""),"식용유")</f>
        <v>식용유</v>
      </c>
    </row>
    <row r="12245">
      <c r="A12245" s="2" t="str">
        <f>IFERROR(__xludf.DUMMYFUNCTION("""COMPUTED_VALUE"""),"홍카엘")</f>
        <v>홍카엘</v>
      </c>
      <c r="B12245" s="2" t="str">
        <f>IFERROR(__xludf.DUMMYFUNCTION("""COMPUTED_VALUE"""),"달걀")</f>
        <v>달걀</v>
      </c>
    </row>
    <row r="12246">
      <c r="A12246" s="2" t="str">
        <f>IFERROR(__xludf.DUMMYFUNCTION("""COMPUTED_VALUE"""),"홍카엘")</f>
        <v>홍카엘</v>
      </c>
      <c r="B12246" s="2" t="str">
        <f>IFERROR(__xludf.DUMMYFUNCTION("""COMPUTED_VALUE"""),"소금")</f>
        <v>소금</v>
      </c>
    </row>
    <row r="12247">
      <c r="A12247" s="2" t="str">
        <f>IFERROR(__xludf.DUMMYFUNCTION("""COMPUTED_VALUE"""),"홍카엘")</f>
        <v>홍카엘</v>
      </c>
      <c r="B12247" s="2" t="str">
        <f>IFERROR(__xludf.DUMMYFUNCTION("""COMPUTED_VALUE"""),"레몬즙")</f>
        <v>레몬즙</v>
      </c>
    </row>
    <row r="12248">
      <c r="A12248" s="2" t="str">
        <f>IFERROR(__xludf.DUMMYFUNCTION("""COMPUTED_VALUE"""),"홍카엘")</f>
        <v>홍카엘</v>
      </c>
      <c r="B12248" s="2" t="str">
        <f>IFERROR(__xludf.DUMMYFUNCTION("""COMPUTED_VALUE"""),"마요네즈")</f>
        <v>마요네즈</v>
      </c>
    </row>
    <row r="12249">
      <c r="A12249" s="2" t="str">
        <f>IFERROR(__xludf.DUMMYFUNCTION("""COMPUTED_VALUE"""),"홍카엘")</f>
        <v>홍카엘</v>
      </c>
      <c r="B12249" s="2" t="str">
        <f>IFERROR(__xludf.DUMMYFUNCTION("""COMPUTED_VALUE"""),"된장")</f>
        <v>된장</v>
      </c>
    </row>
    <row r="12250">
      <c r="A12250" s="2" t="str">
        <f>IFERROR(__xludf.DUMMYFUNCTION("""COMPUTED_VALUE"""),"홍카엘")</f>
        <v>홍카엘</v>
      </c>
      <c r="B12250" s="2" t="str">
        <f>IFERROR(__xludf.DUMMYFUNCTION("""COMPUTED_VALUE"""),"마늘")</f>
        <v>마늘</v>
      </c>
    </row>
    <row r="12251">
      <c r="A12251" s="2" t="str">
        <f>IFERROR(__xludf.DUMMYFUNCTION("""COMPUTED_VALUE"""),"홍카엘")</f>
        <v>홍카엘</v>
      </c>
      <c r="B12251" s="2" t="str">
        <f>IFERROR(__xludf.DUMMYFUNCTION("""COMPUTED_VALUE"""),"청양고추")</f>
        <v>청양고추</v>
      </c>
    </row>
    <row r="12252">
      <c r="A12252" s="2" t="str">
        <f>IFERROR(__xludf.DUMMYFUNCTION("""COMPUTED_VALUE"""),"홍카엘")</f>
        <v>홍카엘</v>
      </c>
      <c r="B12252" s="2" t="str">
        <f>IFERROR(__xludf.DUMMYFUNCTION("""COMPUTED_VALUE"""),"양파")</f>
        <v>양파</v>
      </c>
    </row>
    <row r="12253">
      <c r="A12253" s="2" t="str">
        <f>IFERROR(__xludf.DUMMYFUNCTION("""COMPUTED_VALUE"""),"홍카엘")</f>
        <v>홍카엘</v>
      </c>
      <c r="B12253" s="2" t="str">
        <f>IFERROR(__xludf.DUMMYFUNCTION("""COMPUTED_VALUE"""),"올리브오일")</f>
        <v>올리브오일</v>
      </c>
    </row>
    <row r="12254">
      <c r="A12254" s="2" t="str">
        <f>IFERROR(__xludf.DUMMYFUNCTION("""COMPUTED_VALUE"""),"홍카엘")</f>
        <v>홍카엘</v>
      </c>
      <c r="B12254" s="2" t="str">
        <f>IFERROR(__xludf.DUMMYFUNCTION("""COMPUTED_VALUE"""),"후추")</f>
        <v>후추</v>
      </c>
    </row>
    <row r="12255">
      <c r="A12255" s="2" t="str">
        <f>IFERROR(__xludf.DUMMYFUNCTION("""COMPUTED_VALUE"""),"팟타이 피플")</f>
        <v>팟타이 피플</v>
      </c>
      <c r="B12255" s="2" t="str">
        <f>IFERROR(__xludf.DUMMYFUNCTION("""COMPUTED_VALUE"""),"전복")</f>
        <v>전복</v>
      </c>
    </row>
    <row r="12256">
      <c r="A12256" s="2" t="str">
        <f>IFERROR(__xludf.DUMMYFUNCTION("""COMPUTED_VALUE"""),"팟타이 피플")</f>
        <v>팟타이 피플</v>
      </c>
      <c r="B12256" s="2" t="str">
        <f>IFERROR(__xludf.DUMMYFUNCTION("""COMPUTED_VALUE"""),"꼴뚜기")</f>
        <v>꼴뚜기</v>
      </c>
    </row>
    <row r="12257">
      <c r="A12257" s="2" t="str">
        <f>IFERROR(__xludf.DUMMYFUNCTION("""COMPUTED_VALUE"""),"팟타이 피플")</f>
        <v>팟타이 피플</v>
      </c>
      <c r="B12257" s="2" t="str">
        <f>IFERROR(__xludf.DUMMYFUNCTION("""COMPUTED_VALUE"""),"갈치")</f>
        <v>갈치</v>
      </c>
    </row>
    <row r="12258">
      <c r="A12258" s="2" t="str">
        <f>IFERROR(__xludf.DUMMYFUNCTION("""COMPUTED_VALUE"""),"팟타이 피플")</f>
        <v>팟타이 피플</v>
      </c>
      <c r="B12258" s="2" t="str">
        <f>IFERROR(__xludf.DUMMYFUNCTION("""COMPUTED_VALUE"""),"새우")</f>
        <v>새우</v>
      </c>
    </row>
    <row r="12259">
      <c r="A12259" s="2" t="str">
        <f>IFERROR(__xludf.DUMMYFUNCTION("""COMPUTED_VALUE"""),"팟타이 피플")</f>
        <v>팟타이 피플</v>
      </c>
      <c r="B12259" s="2" t="str">
        <f>IFERROR(__xludf.DUMMYFUNCTION("""COMPUTED_VALUE"""),"명란젓")</f>
        <v>명란젓</v>
      </c>
    </row>
    <row r="12260">
      <c r="A12260" s="2" t="str">
        <f>IFERROR(__xludf.DUMMYFUNCTION("""COMPUTED_VALUE"""),"팟타이 피플")</f>
        <v>팟타이 피플</v>
      </c>
      <c r="B12260" s="2" t="str">
        <f>IFERROR(__xludf.DUMMYFUNCTION("""COMPUTED_VALUE"""),"다마리 간장")</f>
        <v>다마리 간장</v>
      </c>
    </row>
    <row r="12261">
      <c r="A12261" s="2" t="str">
        <f>IFERROR(__xludf.DUMMYFUNCTION("""COMPUTED_VALUE"""),"팟타이 피플")</f>
        <v>팟타이 피플</v>
      </c>
      <c r="B12261" s="2" t="str">
        <f>IFERROR(__xludf.DUMMYFUNCTION("""COMPUTED_VALUE"""),"고수")</f>
        <v>고수</v>
      </c>
    </row>
    <row r="12262">
      <c r="A12262" s="2" t="str">
        <f>IFERROR(__xludf.DUMMYFUNCTION("""COMPUTED_VALUE"""),"팟타이 피플")</f>
        <v>팟타이 피플</v>
      </c>
      <c r="B12262" s="2" t="str">
        <f>IFERROR(__xludf.DUMMYFUNCTION("""COMPUTED_VALUE"""),"가래떡")</f>
        <v>가래떡</v>
      </c>
    </row>
    <row r="12263">
      <c r="A12263" s="2" t="str">
        <f>IFERROR(__xludf.DUMMYFUNCTION("""COMPUTED_VALUE"""),"팟타이 피플")</f>
        <v>팟타이 피플</v>
      </c>
      <c r="B12263" s="2" t="str">
        <f>IFERROR(__xludf.DUMMYFUNCTION("""COMPUTED_VALUE"""),"모차렐라 치즈")</f>
        <v>모차렐라 치즈</v>
      </c>
    </row>
    <row r="12264">
      <c r="A12264" s="2" t="str">
        <f>IFERROR(__xludf.DUMMYFUNCTION("""COMPUTED_VALUE"""),"팟타이 피플")</f>
        <v>팟타이 피플</v>
      </c>
      <c r="B12264" s="2" t="str">
        <f>IFERROR(__xludf.DUMMYFUNCTION("""COMPUTED_VALUE"""),"스리라차 소스")</f>
        <v>스리라차 소스</v>
      </c>
    </row>
    <row r="12265">
      <c r="A12265" s="2" t="str">
        <f>IFERROR(__xludf.DUMMYFUNCTION("""COMPUTED_VALUE"""),"팟타이 피플")</f>
        <v>팟타이 피플</v>
      </c>
      <c r="B12265" s="2" t="str">
        <f>IFERROR(__xludf.DUMMYFUNCTION("""COMPUTED_VALUE"""),"두반장")</f>
        <v>두반장</v>
      </c>
    </row>
    <row r="12266">
      <c r="A12266" s="2" t="str">
        <f>IFERROR(__xludf.DUMMYFUNCTION("""COMPUTED_VALUE"""),"팟타이 피플")</f>
        <v>팟타이 피플</v>
      </c>
      <c r="B12266" s="2" t="str">
        <f>IFERROR(__xludf.DUMMYFUNCTION("""COMPUTED_VALUE"""),"밀가루양파")</f>
        <v>밀가루양파</v>
      </c>
    </row>
    <row r="12267">
      <c r="A12267" s="2" t="str">
        <f>IFERROR(__xludf.DUMMYFUNCTION("""COMPUTED_VALUE"""),"팟타이 피플")</f>
        <v>팟타이 피플</v>
      </c>
      <c r="B12267" s="2" t="str">
        <f>IFERROR(__xludf.DUMMYFUNCTION("""COMPUTED_VALUE"""),"대파")</f>
        <v>대파</v>
      </c>
    </row>
    <row r="12268">
      <c r="A12268" s="2" t="str">
        <f>IFERROR(__xludf.DUMMYFUNCTION("""COMPUTED_VALUE"""),"팟타이 피플")</f>
        <v>팟타이 피플</v>
      </c>
      <c r="B12268" s="2" t="str">
        <f>IFERROR(__xludf.DUMMYFUNCTION("""COMPUTED_VALUE"""),"마늘")</f>
        <v>마늘</v>
      </c>
    </row>
    <row r="12269">
      <c r="A12269" s="2" t="str">
        <f>IFERROR(__xludf.DUMMYFUNCTION("""COMPUTED_VALUE"""),"팟타이 피플")</f>
        <v>팟타이 피플</v>
      </c>
      <c r="B12269" s="2" t="str">
        <f>IFERROR(__xludf.DUMMYFUNCTION("""COMPUTED_VALUE"""),"청양고추")</f>
        <v>청양고추</v>
      </c>
    </row>
    <row r="12270">
      <c r="A12270" s="2" t="str">
        <f>IFERROR(__xludf.DUMMYFUNCTION("""COMPUTED_VALUE"""),"팟타이 피플")</f>
        <v>팟타이 피플</v>
      </c>
      <c r="B12270" s="2" t="str">
        <f>IFERROR(__xludf.DUMMYFUNCTION("""COMPUTED_VALUE"""),"대파")</f>
        <v>대파</v>
      </c>
    </row>
    <row r="12271">
      <c r="A12271" s="2" t="str">
        <f>IFERROR(__xludf.DUMMYFUNCTION("""COMPUTED_VALUE"""),"팟타이 피플")</f>
        <v>팟타이 피플</v>
      </c>
      <c r="B12271" s="2" t="str">
        <f>IFERROR(__xludf.DUMMYFUNCTION("""COMPUTED_VALUE"""),"레몬")</f>
        <v>레몬</v>
      </c>
    </row>
    <row r="12272">
      <c r="A12272" s="2" t="str">
        <f>IFERROR(__xludf.DUMMYFUNCTION("""COMPUTED_VALUE"""),"샘나는 볶음면")</f>
        <v>샘나는 볶음면</v>
      </c>
      <c r="B12272" s="2" t="str">
        <f>IFERROR(__xludf.DUMMYFUNCTION("""COMPUTED_VALUE"""),"채끝살")</f>
        <v>채끝살</v>
      </c>
    </row>
    <row r="12273">
      <c r="A12273" s="2" t="str">
        <f>IFERROR(__xludf.DUMMYFUNCTION("""COMPUTED_VALUE"""),"샘나는 볶음면")</f>
        <v>샘나는 볶음면</v>
      </c>
      <c r="B12273" s="2" t="str">
        <f>IFERROR(__xludf.DUMMYFUNCTION("""COMPUTED_VALUE"""),"꽃게튀김")</f>
        <v>꽃게튀김</v>
      </c>
    </row>
    <row r="12274">
      <c r="A12274" s="2" t="str">
        <f>IFERROR(__xludf.DUMMYFUNCTION("""COMPUTED_VALUE"""),"샘나는 볶음면")</f>
        <v>샘나는 볶음면</v>
      </c>
      <c r="B12274" s="2" t="str">
        <f>IFERROR(__xludf.DUMMYFUNCTION("""COMPUTED_VALUE"""),"살구&amp;아몬드 크림치즈")</f>
        <v>살구&amp;아몬드 크림치즈</v>
      </c>
    </row>
    <row r="12275">
      <c r="A12275" s="2" t="str">
        <f>IFERROR(__xludf.DUMMYFUNCTION("""COMPUTED_VALUE"""),"샘나는 볶음면")</f>
        <v>샘나는 볶음면</v>
      </c>
      <c r="B12275" s="2" t="str">
        <f>IFERROR(__xludf.DUMMYFUNCTION("""COMPUTED_VALUE"""),"인스턴트 우동")</f>
        <v>인스턴트 우동</v>
      </c>
    </row>
    <row r="12276">
      <c r="A12276" s="2" t="str">
        <f>IFERROR(__xludf.DUMMYFUNCTION("""COMPUTED_VALUE"""),"샘나는 볶음면")</f>
        <v>샘나는 볶음면</v>
      </c>
      <c r="B12276" s="2" t="str">
        <f>IFERROR(__xludf.DUMMYFUNCTION("""COMPUTED_VALUE"""),"아보카도")</f>
        <v>아보카도</v>
      </c>
    </row>
    <row r="12277">
      <c r="A12277" s="2" t="str">
        <f>IFERROR(__xludf.DUMMYFUNCTION("""COMPUTED_VALUE"""),"샘나는 볶음면")</f>
        <v>샘나는 볶음면</v>
      </c>
      <c r="B12277" s="2" t="str">
        <f>IFERROR(__xludf.DUMMYFUNCTION("""COMPUTED_VALUE"""),"고수")</f>
        <v>고수</v>
      </c>
    </row>
    <row r="12278">
      <c r="A12278" s="2" t="str">
        <f>IFERROR(__xludf.DUMMYFUNCTION("""COMPUTED_VALUE"""),"샘나는 볶음면")</f>
        <v>샘나는 볶음면</v>
      </c>
      <c r="B12278" s="2" t="str">
        <f>IFERROR(__xludf.DUMMYFUNCTION("""COMPUTED_VALUE"""),"무화과")</f>
        <v>무화과</v>
      </c>
    </row>
    <row r="12279">
      <c r="A12279" s="2" t="str">
        <f>IFERROR(__xludf.DUMMYFUNCTION("""COMPUTED_VALUE"""),"샘나는 볶음면")</f>
        <v>샘나는 볶음면</v>
      </c>
      <c r="B12279" s="2" t="str">
        <f>IFERROR(__xludf.DUMMYFUNCTION("""COMPUTED_VALUE"""),"그릭요거트")</f>
        <v>그릭요거트</v>
      </c>
    </row>
    <row r="12280">
      <c r="A12280" s="2" t="str">
        <f>IFERROR(__xludf.DUMMYFUNCTION("""COMPUTED_VALUE"""),"샘나는 볶음면")</f>
        <v>샘나는 볶음면</v>
      </c>
      <c r="B12280" s="2" t="str">
        <f>IFERROR(__xludf.DUMMYFUNCTION("""COMPUTED_VALUE"""),"다마리 간장")</f>
        <v>다마리 간장</v>
      </c>
    </row>
    <row r="12281">
      <c r="A12281" s="2" t="str">
        <f>IFERROR(__xludf.DUMMYFUNCTION("""COMPUTED_VALUE"""),"샘나는 볶음면")</f>
        <v>샘나는 볶음면</v>
      </c>
      <c r="B12281" s="2" t="str">
        <f>IFERROR(__xludf.DUMMYFUNCTION("""COMPUTED_VALUE"""),"바나나칩")</f>
        <v>바나나칩</v>
      </c>
    </row>
    <row r="12282">
      <c r="A12282" s="2" t="str">
        <f>IFERROR(__xludf.DUMMYFUNCTION("""COMPUTED_VALUE"""),"샘나는 볶음면")</f>
        <v>샘나는 볶음면</v>
      </c>
      <c r="B12282" s="2" t="str">
        <f>IFERROR(__xludf.DUMMYFUNCTION("""COMPUTED_VALUE"""),"유자후추")</f>
        <v>유자후추</v>
      </c>
    </row>
    <row r="12283">
      <c r="A12283" s="2" t="str">
        <f>IFERROR(__xludf.DUMMYFUNCTION("""COMPUTED_VALUE"""),"샘나는 볶음면")</f>
        <v>샘나는 볶음면</v>
      </c>
      <c r="B12283" s="2" t="str">
        <f>IFERROR(__xludf.DUMMYFUNCTION("""COMPUTED_VALUE"""),"휘핑크림")</f>
        <v>휘핑크림</v>
      </c>
    </row>
    <row r="12284">
      <c r="A12284" s="2" t="str">
        <f>IFERROR(__xludf.DUMMYFUNCTION("""COMPUTED_VALUE"""),"샘나는 볶음면")</f>
        <v>샘나는 볶음면</v>
      </c>
      <c r="B12284" s="2" t="str">
        <f>IFERROR(__xludf.DUMMYFUNCTION("""COMPUTED_VALUE"""),"밀가루")</f>
        <v>밀가루</v>
      </c>
    </row>
    <row r="12285">
      <c r="A12285" s="2" t="str">
        <f>IFERROR(__xludf.DUMMYFUNCTION("""COMPUTED_VALUE"""),"샘나는 볶음면")</f>
        <v>샘나는 볶음면</v>
      </c>
      <c r="B12285" s="2" t="str">
        <f>IFERROR(__xludf.DUMMYFUNCTION("""COMPUTED_VALUE"""),"버터")</f>
        <v>버터</v>
      </c>
    </row>
    <row r="12286">
      <c r="A12286" s="2" t="str">
        <f>IFERROR(__xludf.DUMMYFUNCTION("""COMPUTED_VALUE"""),"샘나는 볶음면")</f>
        <v>샘나는 볶음면</v>
      </c>
      <c r="B12286" s="2" t="str">
        <f>IFERROR(__xludf.DUMMYFUNCTION("""COMPUTED_VALUE"""),"설탕")</f>
        <v>설탕</v>
      </c>
    </row>
    <row r="12287">
      <c r="A12287" s="2" t="str">
        <f>IFERROR(__xludf.DUMMYFUNCTION("""COMPUTED_VALUE"""),"샘나는 볶음면")</f>
        <v>샘나는 볶음면</v>
      </c>
      <c r="B12287" s="2" t="str">
        <f>IFERROR(__xludf.DUMMYFUNCTION("""COMPUTED_VALUE"""),"달걀")</f>
        <v>달걀</v>
      </c>
    </row>
    <row r="12288">
      <c r="A12288" s="2" t="str">
        <f>IFERROR(__xludf.DUMMYFUNCTION("""COMPUTED_VALUE"""),"샘나는 볶음면")</f>
        <v>샘나는 볶음면</v>
      </c>
      <c r="B12288" s="2" t="str">
        <f>IFERROR(__xludf.DUMMYFUNCTION("""COMPUTED_VALUE"""),"양파")</f>
        <v>양파</v>
      </c>
    </row>
    <row r="12289">
      <c r="A12289" s="2" t="str">
        <f>IFERROR(__xludf.DUMMYFUNCTION("""COMPUTED_VALUE"""),"샘나는 볶음면")</f>
        <v>샘나는 볶음면</v>
      </c>
      <c r="B12289" s="2" t="str">
        <f>IFERROR(__xludf.DUMMYFUNCTION("""COMPUTED_VALUE"""),"대파")</f>
        <v>대파</v>
      </c>
    </row>
    <row r="12290">
      <c r="A12290" s="2" t="str">
        <f>IFERROR(__xludf.DUMMYFUNCTION("""COMPUTED_VALUE"""),"샘나는 볶음면")</f>
        <v>샘나는 볶음면</v>
      </c>
      <c r="B12290" s="2" t="str">
        <f>IFERROR(__xludf.DUMMYFUNCTION("""COMPUTED_VALUE"""),"마늘")</f>
        <v>마늘</v>
      </c>
    </row>
    <row r="12291">
      <c r="A12291" s="2" t="str">
        <f>IFERROR(__xludf.DUMMYFUNCTION("""COMPUTED_VALUE"""),"샘나는 볶음면")</f>
        <v>샘나는 볶음면</v>
      </c>
      <c r="B12291" s="2" t="str">
        <f>IFERROR(__xludf.DUMMYFUNCTION("""COMPUTED_VALUE"""),"고춧가루")</f>
        <v>고춧가루</v>
      </c>
    </row>
    <row r="12292">
      <c r="A12292" s="2" t="str">
        <f>IFERROR(__xludf.DUMMYFUNCTION("""COMPUTED_VALUE"""),"샘나는 볶음면")</f>
        <v>샘나는 볶음면</v>
      </c>
      <c r="B12292" s="2" t="str">
        <f>IFERROR(__xludf.DUMMYFUNCTION("""COMPUTED_VALUE"""),"맛술")</f>
        <v>맛술</v>
      </c>
    </row>
    <row r="12293">
      <c r="A12293" s="2" t="str">
        <f>IFERROR(__xludf.DUMMYFUNCTION("""COMPUTED_VALUE"""),"샘나는 볶음면")</f>
        <v>샘나는 볶음면</v>
      </c>
      <c r="B12293" s="2" t="str">
        <f>IFERROR(__xludf.DUMMYFUNCTION("""COMPUTED_VALUE"""),"레몬")</f>
        <v>레몬</v>
      </c>
    </row>
    <row r="12294">
      <c r="A12294" s="2" t="str">
        <f>IFERROR(__xludf.DUMMYFUNCTION("""COMPUTED_VALUE"""),"샘나는 볶음면")</f>
        <v>샘나는 볶음면</v>
      </c>
      <c r="B12294" s="2" t="str">
        <f>IFERROR(__xludf.DUMMYFUNCTION("""COMPUTED_VALUE"""),"올리브오일")</f>
        <v>올리브오일</v>
      </c>
    </row>
    <row r="12295">
      <c r="A12295" s="2" t="str">
        <f>IFERROR(__xludf.DUMMYFUNCTION("""COMPUTED_VALUE"""),"찜의 정수")</f>
        <v>찜의 정수</v>
      </c>
      <c r="B12295" s="2" t="str">
        <f>IFERROR(__xludf.DUMMYFUNCTION("""COMPUTED_VALUE"""),"소고기 등심")</f>
        <v>소고기 등심</v>
      </c>
    </row>
    <row r="12296">
      <c r="A12296" s="2" t="str">
        <f>IFERROR(__xludf.DUMMYFUNCTION("""COMPUTED_VALUE"""),"찜의 정수")</f>
        <v>찜의 정수</v>
      </c>
      <c r="B12296" s="2" t="str">
        <f>IFERROR(__xludf.DUMMYFUNCTION("""COMPUTED_VALUE"""),"연어")</f>
        <v>연어</v>
      </c>
    </row>
    <row r="12297">
      <c r="A12297" s="2" t="str">
        <f>IFERROR(__xludf.DUMMYFUNCTION("""COMPUTED_VALUE"""),"찜의 정수")</f>
        <v>찜의 정수</v>
      </c>
      <c r="B12297" s="2" t="str">
        <f>IFERROR(__xludf.DUMMYFUNCTION("""COMPUTED_VALUE"""),"베이컨")</f>
        <v>베이컨</v>
      </c>
    </row>
    <row r="12298">
      <c r="A12298" s="2" t="str">
        <f>IFERROR(__xludf.DUMMYFUNCTION("""COMPUTED_VALUE"""),"찜의 정수")</f>
        <v>찜의 정수</v>
      </c>
      <c r="B12298" s="2" t="str">
        <f>IFERROR(__xludf.DUMMYFUNCTION("""COMPUTED_VALUE"""),"퀴노아")</f>
        <v>퀴노아</v>
      </c>
    </row>
    <row r="12299">
      <c r="A12299" s="2" t="str">
        <f>IFERROR(__xludf.DUMMYFUNCTION("""COMPUTED_VALUE"""),"찜의 정수")</f>
        <v>찜의 정수</v>
      </c>
      <c r="B12299" s="2" t="str">
        <f>IFERROR(__xludf.DUMMYFUNCTION("""COMPUTED_VALUE"""),"다마리 간장")</f>
        <v>다마리 간장</v>
      </c>
    </row>
    <row r="12300">
      <c r="A12300" s="2" t="str">
        <f>IFERROR(__xludf.DUMMYFUNCTION("""COMPUTED_VALUE"""),"찜의 정수")</f>
        <v>찜의 정수</v>
      </c>
      <c r="B12300" s="2" t="str">
        <f>IFERROR(__xludf.DUMMYFUNCTION("""COMPUTED_VALUE"""),"레몬청")</f>
        <v>레몬청</v>
      </c>
    </row>
    <row r="12301">
      <c r="A12301" s="2" t="str">
        <f>IFERROR(__xludf.DUMMYFUNCTION("""COMPUTED_VALUE"""),"찜의 정수")</f>
        <v>찜의 정수</v>
      </c>
      <c r="B12301" s="2" t="str">
        <f>IFERROR(__xludf.DUMMYFUNCTION("""COMPUTED_VALUE"""),"베이크드 빈")</f>
        <v>베이크드 빈</v>
      </c>
    </row>
    <row r="12302">
      <c r="A12302" s="2" t="str">
        <f>IFERROR(__xludf.DUMMYFUNCTION("""COMPUTED_VALUE"""),"찜의 정수")</f>
        <v>찜의 정수</v>
      </c>
      <c r="B12302" s="2" t="str">
        <f>IFERROR(__xludf.DUMMYFUNCTION("""COMPUTED_VALUE"""),"돈가스 소스")</f>
        <v>돈가스 소스</v>
      </c>
    </row>
    <row r="12303">
      <c r="A12303" s="2" t="str">
        <f>IFERROR(__xludf.DUMMYFUNCTION("""COMPUTED_VALUE"""),"찜의 정수")</f>
        <v>찜의 정수</v>
      </c>
      <c r="B12303" s="2" t="str">
        <f>IFERROR(__xludf.DUMMYFUNCTION("""COMPUTED_VALUE"""),"사골육수")</f>
        <v>사골육수</v>
      </c>
    </row>
    <row r="12304">
      <c r="A12304" s="2" t="str">
        <f>IFERROR(__xludf.DUMMYFUNCTION("""COMPUTED_VALUE"""),"찜의 정수")</f>
        <v>찜의 정수</v>
      </c>
      <c r="B12304" s="2" t="str">
        <f>IFERROR(__xludf.DUMMYFUNCTION("""COMPUTED_VALUE"""),"바나나칩")</f>
        <v>바나나칩</v>
      </c>
    </row>
    <row r="12305">
      <c r="A12305" s="2" t="str">
        <f>IFERROR(__xludf.DUMMYFUNCTION("""COMPUTED_VALUE"""),"찜의 정수")</f>
        <v>찜의 정수</v>
      </c>
      <c r="B12305" s="2" t="str">
        <f>IFERROR(__xludf.DUMMYFUNCTION("""COMPUTED_VALUE"""),"고수")</f>
        <v>고수</v>
      </c>
    </row>
    <row r="12306">
      <c r="A12306" s="2" t="str">
        <f>IFERROR(__xludf.DUMMYFUNCTION("""COMPUTED_VALUE"""),"찜의 정수")</f>
        <v>찜의 정수</v>
      </c>
      <c r="B12306" s="2" t="str">
        <f>IFERROR(__xludf.DUMMYFUNCTION("""COMPUTED_VALUE"""),"파슬리")</f>
        <v>파슬리</v>
      </c>
    </row>
    <row r="12307">
      <c r="A12307" s="2" t="str">
        <f>IFERROR(__xludf.DUMMYFUNCTION("""COMPUTED_VALUE"""),"찜의 정수")</f>
        <v>찜의 정수</v>
      </c>
      <c r="B12307" s="2" t="str">
        <f>IFERROR(__xludf.DUMMYFUNCTION("""COMPUTED_VALUE"""),"케이퍼")</f>
        <v>케이퍼</v>
      </c>
    </row>
    <row r="12308">
      <c r="A12308" s="2" t="str">
        <f>IFERROR(__xludf.DUMMYFUNCTION("""COMPUTED_VALUE"""),"찜의 정수")</f>
        <v>찜의 정수</v>
      </c>
      <c r="B12308" s="2" t="str">
        <f>IFERROR(__xludf.DUMMYFUNCTION("""COMPUTED_VALUE"""),"케이퍼 베리")</f>
        <v>케이퍼 베리</v>
      </c>
    </row>
    <row r="12309">
      <c r="A12309" s="2" t="str">
        <f>IFERROR(__xludf.DUMMYFUNCTION("""COMPUTED_VALUE"""),"찜의 정수")</f>
        <v>찜의 정수</v>
      </c>
      <c r="B12309" s="2" t="str">
        <f>IFERROR(__xludf.DUMMYFUNCTION("""COMPUTED_VALUE"""),"그린올리브")</f>
        <v>그린올리브</v>
      </c>
    </row>
    <row r="12310">
      <c r="A12310" s="2" t="str">
        <f>IFERROR(__xludf.DUMMYFUNCTION("""COMPUTED_VALUE"""),"찜의 정수")</f>
        <v>찜의 정수</v>
      </c>
      <c r="B12310" s="2" t="str">
        <f>IFERROR(__xludf.DUMMYFUNCTION("""COMPUTED_VALUE"""),"블랙올리브")</f>
        <v>블랙올리브</v>
      </c>
    </row>
    <row r="12311">
      <c r="A12311" s="2" t="str">
        <f>IFERROR(__xludf.DUMMYFUNCTION("""COMPUTED_VALUE"""),"찜의 정수")</f>
        <v>찜의 정수</v>
      </c>
      <c r="B12311" s="2" t="str">
        <f>IFERROR(__xludf.DUMMYFUNCTION("""COMPUTED_VALUE"""),"사과")</f>
        <v>사과</v>
      </c>
    </row>
    <row r="12312">
      <c r="A12312" s="2" t="str">
        <f>IFERROR(__xludf.DUMMYFUNCTION("""COMPUTED_VALUE"""),"찜의 정수")</f>
        <v>찜의 정수</v>
      </c>
      <c r="B12312" s="2" t="str">
        <f>IFERROR(__xludf.DUMMYFUNCTION("""COMPUTED_VALUE"""),"식용유")</f>
        <v>식용유</v>
      </c>
    </row>
    <row r="12313">
      <c r="A12313" s="2" t="str">
        <f>IFERROR(__xludf.DUMMYFUNCTION("""COMPUTED_VALUE"""),"찜의 정수")</f>
        <v>찜의 정수</v>
      </c>
      <c r="B12313" s="2" t="str">
        <f>IFERROR(__xludf.DUMMYFUNCTION("""COMPUTED_VALUE"""),"소금")</f>
        <v>소금</v>
      </c>
    </row>
    <row r="12314">
      <c r="A12314" s="2" t="str">
        <f>IFERROR(__xludf.DUMMYFUNCTION("""COMPUTED_VALUE"""),"찜의 정수")</f>
        <v>찜의 정수</v>
      </c>
      <c r="B12314" s="2" t="str">
        <f>IFERROR(__xludf.DUMMYFUNCTION("""COMPUTED_VALUE"""),"후추")</f>
        <v>후추</v>
      </c>
    </row>
    <row r="12315">
      <c r="A12315" s="2" t="str">
        <f>IFERROR(__xludf.DUMMYFUNCTION("""COMPUTED_VALUE"""),"찜의 정수")</f>
        <v>찜의 정수</v>
      </c>
      <c r="B12315" s="2" t="str">
        <f>IFERROR(__xludf.DUMMYFUNCTION("""COMPUTED_VALUE"""),"레드와인")</f>
        <v>레드와인</v>
      </c>
    </row>
    <row r="12316">
      <c r="A12316" s="2" t="str">
        <f>IFERROR(__xludf.DUMMYFUNCTION("""COMPUTED_VALUE"""),"찜의 정수")</f>
        <v>찜의 정수</v>
      </c>
      <c r="B12316" s="2" t="str">
        <f>IFERROR(__xludf.DUMMYFUNCTION("""COMPUTED_VALUE"""),"양파")</f>
        <v>양파</v>
      </c>
    </row>
    <row r="12317">
      <c r="A12317" s="2" t="str">
        <f>IFERROR(__xludf.DUMMYFUNCTION("""COMPUTED_VALUE"""),"찜의 정수")</f>
        <v>찜의 정수</v>
      </c>
      <c r="B12317" s="2" t="str">
        <f>IFERROR(__xludf.DUMMYFUNCTION("""COMPUTED_VALUE"""),"당근")</f>
        <v>당근</v>
      </c>
    </row>
    <row r="12318">
      <c r="A12318" s="2" t="str">
        <f>IFERROR(__xludf.DUMMYFUNCTION("""COMPUTED_VALUE"""),"찜의 정수")</f>
        <v>찜의 정수</v>
      </c>
      <c r="B12318" s="2" t="str">
        <f>IFERROR(__xludf.DUMMYFUNCTION("""COMPUTED_VALUE"""),"설탕연겨자")</f>
        <v>설탕연겨자</v>
      </c>
    </row>
    <row r="12319">
      <c r="A12319" s="2" t="str">
        <f>IFERROR(__xludf.DUMMYFUNCTION("""COMPUTED_VALUE"""),"찜의 정수")</f>
        <v>찜의 정수</v>
      </c>
      <c r="B12319" s="2" t="str">
        <f>IFERROR(__xludf.DUMMYFUNCTION("""COMPUTED_VALUE"""),"청고추")</f>
        <v>청고추</v>
      </c>
    </row>
    <row r="12320">
      <c r="A12320" s="2" t="str">
        <f>IFERROR(__xludf.DUMMYFUNCTION("""COMPUTED_VALUE"""),"찜의 정수")</f>
        <v>찜의 정수</v>
      </c>
      <c r="B12320" s="2" t="str">
        <f>IFERROR(__xludf.DUMMYFUNCTION("""COMPUTED_VALUE"""),"홍고추")</f>
        <v>홍고추</v>
      </c>
    </row>
    <row r="12321">
      <c r="A12321" s="2" t="str">
        <f>IFERROR(__xludf.DUMMYFUNCTION("""COMPUTED_VALUE"""),"찜의 정수")</f>
        <v>찜의 정수</v>
      </c>
      <c r="B12321" s="2" t="str">
        <f>IFERROR(__xludf.DUMMYFUNCTION("""COMPUTED_VALUE"""),"올리브오일")</f>
        <v>올리브오일</v>
      </c>
    </row>
    <row r="12322">
      <c r="A12322" s="2" t="str">
        <f>IFERROR(__xludf.DUMMYFUNCTION("""COMPUTED_VALUE"""),"찜의 정수")</f>
        <v>찜의 정수</v>
      </c>
      <c r="B12322" s="2" t="str">
        <f>IFERROR(__xludf.DUMMYFUNCTION("""COMPUTED_VALUE"""),"레몬")</f>
        <v>레몬</v>
      </c>
    </row>
    <row r="12323">
      <c r="A12323" s="2" t="str">
        <f>IFERROR(__xludf.DUMMYFUNCTION("""COMPUTED_VALUE"""),"찜의 정수")</f>
        <v>찜의 정수</v>
      </c>
      <c r="B12323" s="2" t="str">
        <f>IFERROR(__xludf.DUMMYFUNCTION("""COMPUTED_VALUE"""),"버터")</f>
        <v>버터</v>
      </c>
    </row>
    <row r="12324">
      <c r="A12324" s="2" t="str">
        <f>IFERROR(__xludf.DUMMYFUNCTION("""COMPUTED_VALUE"""),"말이야~ 아보말이야♬")</f>
        <v>말이야~ 아보말이야♬</v>
      </c>
      <c r="B12324" s="2" t="str">
        <f>IFERROR(__xludf.DUMMYFUNCTION("""COMPUTED_VALUE"""),"채끝살")</f>
        <v>채끝살</v>
      </c>
    </row>
    <row r="12325">
      <c r="A12325" s="2" t="str">
        <f>IFERROR(__xludf.DUMMYFUNCTION("""COMPUTED_VALUE"""),"말이야~ 아보말이야♬")</f>
        <v>말이야~ 아보말이야♬</v>
      </c>
      <c r="B12325" s="2" t="str">
        <f>IFERROR(__xludf.DUMMYFUNCTION("""COMPUTED_VALUE"""),"전복")</f>
        <v>전복</v>
      </c>
    </row>
    <row r="12326">
      <c r="A12326" s="2" t="str">
        <f>IFERROR(__xludf.DUMMYFUNCTION("""COMPUTED_VALUE"""),"말이야~ 아보말이야♬")</f>
        <v>말이야~ 아보말이야♬</v>
      </c>
      <c r="B12326" s="2" t="str">
        <f>IFERROR(__xludf.DUMMYFUNCTION("""COMPUTED_VALUE"""),"연어")</f>
        <v>연어</v>
      </c>
    </row>
    <row r="12327">
      <c r="A12327" s="2" t="str">
        <f>IFERROR(__xludf.DUMMYFUNCTION("""COMPUTED_VALUE"""),"말이야~ 아보말이야♬")</f>
        <v>말이야~ 아보말이야♬</v>
      </c>
      <c r="B12327" s="2" t="str">
        <f>IFERROR(__xludf.DUMMYFUNCTION("""COMPUTED_VALUE"""),"고수")</f>
        <v>고수</v>
      </c>
    </row>
    <row r="12328">
      <c r="A12328" s="2" t="str">
        <f>IFERROR(__xludf.DUMMYFUNCTION("""COMPUTED_VALUE"""),"말이야~ 아보말이야♬")</f>
        <v>말이야~ 아보말이야♬</v>
      </c>
      <c r="B12328" s="2" t="str">
        <f>IFERROR(__xludf.DUMMYFUNCTION("""COMPUTED_VALUE"""),"무화과")</f>
        <v>무화과</v>
      </c>
    </row>
    <row r="12329">
      <c r="A12329" s="2" t="str">
        <f>IFERROR(__xludf.DUMMYFUNCTION("""COMPUTED_VALUE"""),"말이야~ 아보말이야♬")</f>
        <v>말이야~ 아보말이야♬</v>
      </c>
      <c r="B12329" s="2" t="str">
        <f>IFERROR(__xludf.DUMMYFUNCTION("""COMPUTED_VALUE"""),"아보카도")</f>
        <v>아보카도</v>
      </c>
    </row>
    <row r="12330">
      <c r="A12330" s="2" t="str">
        <f>IFERROR(__xludf.DUMMYFUNCTION("""COMPUTED_VALUE"""),"말이야~ 아보말이야♬")</f>
        <v>말이야~ 아보말이야♬</v>
      </c>
      <c r="B12330" s="2" t="str">
        <f>IFERROR(__xludf.DUMMYFUNCTION("""COMPUTED_VALUE"""),"단호박")</f>
        <v>단호박</v>
      </c>
    </row>
    <row r="12331">
      <c r="A12331" s="2" t="str">
        <f>IFERROR(__xludf.DUMMYFUNCTION("""COMPUTED_VALUE"""),"말이야~ 아보말이야♬")</f>
        <v>말이야~ 아보말이야♬</v>
      </c>
      <c r="B12331" s="2" t="str">
        <f>IFERROR(__xludf.DUMMYFUNCTION("""COMPUTED_VALUE"""),"햄프시드")</f>
        <v>햄프시드</v>
      </c>
    </row>
    <row r="12332">
      <c r="A12332" s="2" t="str">
        <f>IFERROR(__xludf.DUMMYFUNCTION("""COMPUTED_VALUE"""),"말이야~ 아보말이야♬")</f>
        <v>말이야~ 아보말이야♬</v>
      </c>
      <c r="B12332" s="2" t="str">
        <f>IFERROR(__xludf.DUMMYFUNCTION("""COMPUTED_VALUE"""),"아몬드 우유")</f>
        <v>아몬드 우유</v>
      </c>
    </row>
    <row r="12333">
      <c r="A12333" s="2" t="str">
        <f>IFERROR(__xludf.DUMMYFUNCTION("""COMPUTED_VALUE"""),"말이야~ 아보말이야♬")</f>
        <v>말이야~ 아보말이야♬</v>
      </c>
      <c r="B12333" s="2" t="str">
        <f>IFERROR(__xludf.DUMMYFUNCTION("""COMPUTED_VALUE"""),"휘핑크림")</f>
        <v>휘핑크림</v>
      </c>
    </row>
    <row r="12334">
      <c r="A12334" s="2" t="str">
        <f>IFERROR(__xludf.DUMMYFUNCTION("""COMPUTED_VALUE"""),"말이야~ 아보말이야♬")</f>
        <v>말이야~ 아보말이야♬</v>
      </c>
      <c r="B12334" s="2" t="str">
        <f>IFERROR(__xludf.DUMMYFUNCTION("""COMPUTED_VALUE"""),"그릭요거트")</f>
        <v>그릭요거트</v>
      </c>
    </row>
    <row r="12335">
      <c r="A12335" s="2" t="str">
        <f>IFERROR(__xludf.DUMMYFUNCTION("""COMPUTED_VALUE"""),"말이야~ 아보말이야♬")</f>
        <v>말이야~ 아보말이야♬</v>
      </c>
      <c r="B12335" s="2" t="str">
        <f>IFERROR(__xludf.DUMMYFUNCTION("""COMPUTED_VALUE"""),"다마리 간장")</f>
        <v>다마리 간장</v>
      </c>
    </row>
    <row r="12336">
      <c r="A12336" s="2" t="str">
        <f>IFERROR(__xludf.DUMMYFUNCTION("""COMPUTED_VALUE"""),"말이야~ 아보말이야♬")</f>
        <v>말이야~ 아보말이야♬</v>
      </c>
      <c r="B12336" s="2" t="str">
        <f>IFERROR(__xludf.DUMMYFUNCTION("""COMPUTED_VALUE"""),"방울토마토")</f>
        <v>방울토마토</v>
      </c>
    </row>
    <row r="12337">
      <c r="A12337" s="2" t="str">
        <f>IFERROR(__xludf.DUMMYFUNCTION("""COMPUTED_VALUE"""),"말이야~ 아보말이야♬")</f>
        <v>말이야~ 아보말이야♬</v>
      </c>
      <c r="B12337" s="2" t="str">
        <f>IFERROR(__xludf.DUMMYFUNCTION("""COMPUTED_VALUE"""),"설탕")</f>
        <v>설탕</v>
      </c>
    </row>
    <row r="12338">
      <c r="A12338" s="2" t="str">
        <f>IFERROR(__xludf.DUMMYFUNCTION("""COMPUTED_VALUE"""),"말이야~ 아보말이야♬")</f>
        <v>말이야~ 아보말이야♬</v>
      </c>
      <c r="B12338" s="2" t="str">
        <f>IFERROR(__xludf.DUMMYFUNCTION("""COMPUTED_VALUE"""),"레드와인")</f>
        <v>레드와인</v>
      </c>
    </row>
    <row r="12339">
      <c r="A12339" s="2" t="str">
        <f>IFERROR(__xludf.DUMMYFUNCTION("""COMPUTED_VALUE"""),"말이야~ 아보말이야♬")</f>
        <v>말이야~ 아보말이야♬</v>
      </c>
      <c r="B12339" s="2" t="str">
        <f>IFERROR(__xludf.DUMMYFUNCTION("""COMPUTED_VALUE"""),"맛술")</f>
        <v>맛술</v>
      </c>
    </row>
    <row r="12340">
      <c r="A12340" s="2" t="str">
        <f>IFERROR(__xludf.DUMMYFUNCTION("""COMPUTED_VALUE"""),"말이야~ 아보말이야♬")</f>
        <v>말이야~ 아보말이야♬</v>
      </c>
      <c r="B12340" s="2" t="str">
        <f>IFERROR(__xludf.DUMMYFUNCTION("""COMPUTED_VALUE"""),"청주")</f>
        <v>청주</v>
      </c>
    </row>
    <row r="12341">
      <c r="A12341" s="2" t="str">
        <f>IFERROR(__xludf.DUMMYFUNCTION("""COMPUTED_VALUE"""),"연장피")</f>
        <v>연장피</v>
      </c>
      <c r="B12341" s="2" t="str">
        <f>IFERROR(__xludf.DUMMYFUNCTION("""COMPUTED_VALUE"""),"소 등심")</f>
        <v>소 등심</v>
      </c>
    </row>
    <row r="12342">
      <c r="A12342" s="2" t="str">
        <f>IFERROR(__xludf.DUMMYFUNCTION("""COMPUTED_VALUE"""),"연장피")</f>
        <v>연장피</v>
      </c>
      <c r="B12342" s="2" t="str">
        <f>IFERROR(__xludf.DUMMYFUNCTION("""COMPUTED_VALUE"""),"메로")</f>
        <v>메로</v>
      </c>
    </row>
    <row r="12343">
      <c r="A12343" s="2" t="str">
        <f>IFERROR(__xludf.DUMMYFUNCTION("""COMPUTED_VALUE"""),"연장피")</f>
        <v>연장피</v>
      </c>
      <c r="B12343" s="2" t="str">
        <f>IFERROR(__xludf.DUMMYFUNCTION("""COMPUTED_VALUE"""),"총각김치")</f>
        <v>총각김치</v>
      </c>
    </row>
    <row r="12344">
      <c r="A12344" s="2" t="str">
        <f>IFERROR(__xludf.DUMMYFUNCTION("""COMPUTED_VALUE"""),"연장피")</f>
        <v>연장피</v>
      </c>
      <c r="B12344" s="2" t="str">
        <f>IFERROR(__xludf.DUMMYFUNCTION("""COMPUTED_VALUE"""),"돈가스 소스")</f>
        <v>돈가스 소스</v>
      </c>
    </row>
    <row r="12345">
      <c r="A12345" s="2" t="str">
        <f>IFERROR(__xludf.DUMMYFUNCTION("""COMPUTED_VALUE"""),"연장피")</f>
        <v>연장피</v>
      </c>
      <c r="B12345" s="2" t="str">
        <f>IFERROR(__xludf.DUMMYFUNCTION("""COMPUTED_VALUE"""),"고춧잎무침")</f>
        <v>고춧잎무침</v>
      </c>
    </row>
    <row r="12346">
      <c r="A12346" s="2" t="str">
        <f>IFERROR(__xludf.DUMMYFUNCTION("""COMPUTED_VALUE"""),"연장피")</f>
        <v>연장피</v>
      </c>
      <c r="B12346" s="2" t="str">
        <f>IFERROR(__xludf.DUMMYFUNCTION("""COMPUTED_VALUE"""),"고사리볶음")</f>
        <v>고사리볶음</v>
      </c>
    </row>
    <row r="12347">
      <c r="A12347" s="2" t="str">
        <f>IFERROR(__xludf.DUMMYFUNCTION("""COMPUTED_VALUE"""),"연장피")</f>
        <v>연장피</v>
      </c>
      <c r="B12347" s="2" t="str">
        <f>IFERROR(__xludf.DUMMYFUNCTION("""COMPUTED_VALUE"""),"오이")</f>
        <v>오이</v>
      </c>
    </row>
    <row r="12348">
      <c r="A12348" s="2" t="str">
        <f>IFERROR(__xludf.DUMMYFUNCTION("""COMPUTED_VALUE"""),"연장피")</f>
        <v>연장피</v>
      </c>
      <c r="B12348" s="2" t="str">
        <f>IFERROR(__xludf.DUMMYFUNCTION("""COMPUTED_VALUE"""),"부추")</f>
        <v>부추</v>
      </c>
    </row>
    <row r="12349">
      <c r="A12349" s="2" t="str">
        <f>IFERROR(__xludf.DUMMYFUNCTION("""COMPUTED_VALUE"""),"연장피")</f>
        <v>연장피</v>
      </c>
      <c r="B12349" s="2" t="str">
        <f>IFERROR(__xludf.DUMMYFUNCTION("""COMPUTED_VALUE"""),"사과")</f>
        <v>사과</v>
      </c>
    </row>
    <row r="12350">
      <c r="A12350" s="2" t="str">
        <f>IFERROR(__xludf.DUMMYFUNCTION("""COMPUTED_VALUE"""),"연장피")</f>
        <v>연장피</v>
      </c>
      <c r="B12350" s="2" t="str">
        <f>IFERROR(__xludf.DUMMYFUNCTION("""COMPUTED_VALUE"""),"어간장")</f>
        <v>어간장</v>
      </c>
    </row>
    <row r="12351">
      <c r="A12351" s="2" t="str">
        <f>IFERROR(__xludf.DUMMYFUNCTION("""COMPUTED_VALUE"""),"연장피")</f>
        <v>연장피</v>
      </c>
      <c r="B12351" s="2" t="str">
        <f>IFERROR(__xludf.DUMMYFUNCTION("""COMPUTED_VALUE"""),"밀가루")</f>
        <v>밀가루</v>
      </c>
    </row>
    <row r="12352">
      <c r="A12352" s="2" t="str">
        <f>IFERROR(__xludf.DUMMYFUNCTION("""COMPUTED_VALUE"""),"연장피")</f>
        <v>연장피</v>
      </c>
      <c r="B12352" s="2" t="str">
        <f>IFERROR(__xludf.DUMMYFUNCTION("""COMPUTED_VALUE"""),"전분")</f>
        <v>전분</v>
      </c>
    </row>
    <row r="12353">
      <c r="A12353" s="2" t="str">
        <f>IFERROR(__xludf.DUMMYFUNCTION("""COMPUTED_VALUE"""),"연장피")</f>
        <v>연장피</v>
      </c>
      <c r="B12353" s="2" t="str">
        <f>IFERROR(__xludf.DUMMYFUNCTION("""COMPUTED_VALUE"""),"소금")</f>
        <v>소금</v>
      </c>
    </row>
    <row r="12354">
      <c r="A12354" s="2" t="str">
        <f>IFERROR(__xludf.DUMMYFUNCTION("""COMPUTED_VALUE"""),"연장피")</f>
        <v>연장피</v>
      </c>
      <c r="B12354" s="2" t="str">
        <f>IFERROR(__xludf.DUMMYFUNCTION("""COMPUTED_VALUE"""),"달걀")</f>
        <v>달걀</v>
      </c>
    </row>
    <row r="12355">
      <c r="A12355" s="2" t="str">
        <f>IFERROR(__xludf.DUMMYFUNCTION("""COMPUTED_VALUE"""),"연장피")</f>
        <v>연장피</v>
      </c>
      <c r="B12355" s="2" t="str">
        <f>IFERROR(__xludf.DUMMYFUNCTION("""COMPUTED_VALUE"""),"밀가루")</f>
        <v>밀가루</v>
      </c>
    </row>
    <row r="12356">
      <c r="A12356" s="2" t="str">
        <f>IFERROR(__xludf.DUMMYFUNCTION("""COMPUTED_VALUE"""),"연장피")</f>
        <v>연장피</v>
      </c>
      <c r="B12356" s="2" t="str">
        <f>IFERROR(__xludf.DUMMYFUNCTION("""COMPUTED_VALUE"""),"연겨자")</f>
        <v>연겨자</v>
      </c>
    </row>
    <row r="12357">
      <c r="A12357" s="2" t="str">
        <f>IFERROR(__xludf.DUMMYFUNCTION("""COMPUTED_VALUE"""),"연장피")</f>
        <v>연장피</v>
      </c>
      <c r="B12357" s="2" t="str">
        <f>IFERROR(__xludf.DUMMYFUNCTION("""COMPUTED_VALUE"""),"식초")</f>
        <v>식초</v>
      </c>
    </row>
    <row r="12358">
      <c r="A12358" s="2" t="str">
        <f>IFERROR(__xludf.DUMMYFUNCTION("""COMPUTED_VALUE"""),"연장피")</f>
        <v>연장피</v>
      </c>
      <c r="B12358" s="2" t="str">
        <f>IFERROR(__xludf.DUMMYFUNCTION("""COMPUTED_VALUE"""),"설탕")</f>
        <v>설탕</v>
      </c>
    </row>
    <row r="12359">
      <c r="A12359" s="2" t="str">
        <f>IFERROR(__xludf.DUMMYFUNCTION("""COMPUTED_VALUE"""),"연장피")</f>
        <v>연장피</v>
      </c>
      <c r="B12359" s="2" t="str">
        <f>IFERROR(__xludf.DUMMYFUNCTION("""COMPUTED_VALUE"""),"양파")</f>
        <v>양파</v>
      </c>
    </row>
    <row r="12360">
      <c r="A12360" s="2" t="str">
        <f>IFERROR(__xludf.DUMMYFUNCTION("""COMPUTED_VALUE"""),"연장피")</f>
        <v>연장피</v>
      </c>
      <c r="B12360" s="2" t="str">
        <f>IFERROR(__xludf.DUMMYFUNCTION("""COMPUTED_VALUE"""),"당근")</f>
        <v>당근</v>
      </c>
    </row>
    <row r="12361">
      <c r="A12361" s="2" t="str">
        <f>IFERROR(__xludf.DUMMYFUNCTION("""COMPUTED_VALUE"""),"연장피")</f>
        <v>연장피</v>
      </c>
      <c r="B12361" s="2" t="str">
        <f>IFERROR(__xludf.DUMMYFUNCTION("""COMPUTED_VALUE"""),"대파")</f>
        <v>대파</v>
      </c>
    </row>
    <row r="12362">
      <c r="A12362" s="2" t="str">
        <f>IFERROR(__xludf.DUMMYFUNCTION("""COMPUTED_VALUE"""),"연장피")</f>
        <v>연장피</v>
      </c>
      <c r="B12362" s="2" t="str">
        <f>IFERROR(__xludf.DUMMYFUNCTION("""COMPUTED_VALUE"""),"참기름")</f>
        <v>참기름</v>
      </c>
    </row>
    <row r="12363">
      <c r="A12363" s="2" t="str">
        <f>IFERROR(__xludf.DUMMYFUNCTION("""COMPUTED_VALUE"""),"사연장사 만만세♬")</f>
        <v>사연장사 만만세♬</v>
      </c>
      <c r="B12363" s="2" t="str">
        <f>IFERROR(__xludf.DUMMYFUNCTION("""COMPUTED_VALUE"""),"소 등심")</f>
        <v>소 등심</v>
      </c>
    </row>
    <row r="12364">
      <c r="A12364" s="2" t="str">
        <f>IFERROR(__xludf.DUMMYFUNCTION("""COMPUTED_VALUE"""),"사연장사 만만세♬")</f>
        <v>사연장사 만만세♬</v>
      </c>
      <c r="B12364" s="2" t="str">
        <f>IFERROR(__xludf.DUMMYFUNCTION("""COMPUTED_VALUE"""),"돼지 목살")</f>
        <v>돼지 목살</v>
      </c>
    </row>
    <row r="12365">
      <c r="A12365" s="2" t="str">
        <f>IFERROR(__xludf.DUMMYFUNCTION("""COMPUTED_VALUE"""),"사연장사 만만세♬")</f>
        <v>사연장사 만만세♬</v>
      </c>
      <c r="B12365" s="2" t="str">
        <f>IFERROR(__xludf.DUMMYFUNCTION("""COMPUTED_VALUE"""),"매실장아찌")</f>
        <v>매실장아찌</v>
      </c>
    </row>
    <row r="12366">
      <c r="A12366" s="2" t="str">
        <f>IFERROR(__xludf.DUMMYFUNCTION("""COMPUTED_VALUE"""),"사연장사 만만세♬")</f>
        <v>사연장사 만만세♬</v>
      </c>
      <c r="B12366" s="2" t="str">
        <f>IFERROR(__xludf.DUMMYFUNCTION("""COMPUTED_VALUE"""),"도라지볶음")</f>
        <v>도라지볶음</v>
      </c>
    </row>
    <row r="12367">
      <c r="A12367" s="2" t="str">
        <f>IFERROR(__xludf.DUMMYFUNCTION("""COMPUTED_VALUE"""),"사연장사 만만세♬")</f>
        <v>사연장사 만만세♬</v>
      </c>
      <c r="B12367" s="2" t="str">
        <f>IFERROR(__xludf.DUMMYFUNCTION("""COMPUTED_VALUE"""),"쑥떡")</f>
        <v>쑥떡</v>
      </c>
    </row>
    <row r="12368">
      <c r="A12368" s="2" t="str">
        <f>IFERROR(__xludf.DUMMYFUNCTION("""COMPUTED_VALUE"""),"사연장사 만만세♬")</f>
        <v>사연장사 만만세♬</v>
      </c>
      <c r="B12368" s="2" t="str">
        <f>IFERROR(__xludf.DUMMYFUNCTION("""COMPUTED_VALUE"""),"콩고물")</f>
        <v>콩고물</v>
      </c>
    </row>
    <row r="12369">
      <c r="A12369" s="2" t="str">
        <f>IFERROR(__xludf.DUMMYFUNCTION("""COMPUTED_VALUE"""),"사연장사 만만세♬")</f>
        <v>사연장사 만만세♬</v>
      </c>
      <c r="B12369" s="2" t="str">
        <f>IFERROR(__xludf.DUMMYFUNCTION("""COMPUTED_VALUE"""),"닭죽")</f>
        <v>닭죽</v>
      </c>
    </row>
    <row r="12370">
      <c r="A12370" s="2" t="str">
        <f>IFERROR(__xludf.DUMMYFUNCTION("""COMPUTED_VALUE"""),"사연장사 만만세♬")</f>
        <v>사연장사 만만세♬</v>
      </c>
      <c r="B12370" s="2" t="str">
        <f>IFERROR(__xludf.DUMMYFUNCTION("""COMPUTED_VALUE"""),"고추장")</f>
        <v>고추장</v>
      </c>
    </row>
    <row r="12371">
      <c r="A12371" s="2" t="str">
        <f>IFERROR(__xludf.DUMMYFUNCTION("""COMPUTED_VALUE"""),"사연장사 만만세♬")</f>
        <v>사연장사 만만세♬</v>
      </c>
      <c r="B12371" s="2" t="str">
        <f>IFERROR(__xludf.DUMMYFUNCTION("""COMPUTED_VALUE"""),"동그랑땡")</f>
        <v>동그랑땡</v>
      </c>
    </row>
    <row r="12372">
      <c r="A12372" s="2" t="str">
        <f>IFERROR(__xludf.DUMMYFUNCTION("""COMPUTED_VALUE"""),"사연장사 만만세♬")</f>
        <v>사연장사 만만세♬</v>
      </c>
      <c r="B12372" s="2" t="str">
        <f>IFERROR(__xludf.DUMMYFUNCTION("""COMPUTED_VALUE"""),"팥빵")</f>
        <v>팥빵</v>
      </c>
    </row>
    <row r="12373">
      <c r="A12373" s="2" t="str">
        <f>IFERROR(__xludf.DUMMYFUNCTION("""COMPUTED_VALUE"""),"사연장사 만만세♬")</f>
        <v>사연장사 만만세♬</v>
      </c>
      <c r="B12373" s="2" t="str">
        <f>IFERROR(__xludf.DUMMYFUNCTION("""COMPUTED_VALUE"""),"꿀마늘")</f>
        <v>꿀마늘</v>
      </c>
    </row>
    <row r="12374">
      <c r="A12374" s="2" t="str">
        <f>IFERROR(__xludf.DUMMYFUNCTION("""COMPUTED_VALUE"""),"사연장사 만만세♬")</f>
        <v>사연장사 만만세♬</v>
      </c>
      <c r="B12374" s="2" t="str">
        <f>IFERROR(__xludf.DUMMYFUNCTION("""COMPUTED_VALUE"""),"식혜")</f>
        <v>식혜</v>
      </c>
    </row>
    <row r="12375">
      <c r="A12375" s="2" t="str">
        <f>IFERROR(__xludf.DUMMYFUNCTION("""COMPUTED_VALUE"""),"사연장사 만만세♬")</f>
        <v>사연장사 만만세♬</v>
      </c>
      <c r="B12375" s="2" t="str">
        <f>IFERROR(__xludf.DUMMYFUNCTION("""COMPUTED_VALUE"""),"부추")</f>
        <v>부추</v>
      </c>
    </row>
    <row r="12376">
      <c r="A12376" s="2" t="str">
        <f>IFERROR(__xludf.DUMMYFUNCTION("""COMPUTED_VALUE"""),"사연장사 만만세♬")</f>
        <v>사연장사 만만세♬</v>
      </c>
      <c r="B12376" s="2" t="str">
        <f>IFERROR(__xludf.DUMMYFUNCTION("""COMPUTED_VALUE"""),"다진 마늘")</f>
        <v>다진 마늘</v>
      </c>
    </row>
    <row r="12377">
      <c r="A12377" s="2" t="str">
        <f>IFERROR(__xludf.DUMMYFUNCTION("""COMPUTED_VALUE"""),"사연장사 만만세♬")</f>
        <v>사연장사 만만세♬</v>
      </c>
      <c r="B12377" s="2" t="str">
        <f>IFERROR(__xludf.DUMMYFUNCTION("""COMPUTED_VALUE"""),"소금")</f>
        <v>소금</v>
      </c>
    </row>
    <row r="12378">
      <c r="A12378" s="2" t="str">
        <f>IFERROR(__xludf.DUMMYFUNCTION("""COMPUTED_VALUE"""),"사연장사 만만세♬")</f>
        <v>사연장사 만만세♬</v>
      </c>
      <c r="B12378" s="2" t="str">
        <f>IFERROR(__xludf.DUMMYFUNCTION("""COMPUTED_VALUE"""),"전분")</f>
        <v>전분</v>
      </c>
    </row>
    <row r="12379">
      <c r="A12379" s="2" t="str">
        <f>IFERROR(__xludf.DUMMYFUNCTION("""COMPUTED_VALUE"""),"사연장사 만만세♬")</f>
        <v>사연장사 만만세♬</v>
      </c>
      <c r="B12379" s="2" t="str">
        <f>IFERROR(__xludf.DUMMYFUNCTION("""COMPUTED_VALUE"""),"설탕")</f>
        <v>설탕</v>
      </c>
    </row>
    <row r="12380">
      <c r="A12380" s="2" t="str">
        <f>IFERROR(__xludf.DUMMYFUNCTION("""COMPUTED_VALUE"""),"사연장사 만만세♬")</f>
        <v>사연장사 만만세♬</v>
      </c>
      <c r="B12380" s="2" t="str">
        <f>IFERROR(__xludf.DUMMYFUNCTION("""COMPUTED_VALUE"""),"청양고추")</f>
        <v>청양고추</v>
      </c>
    </row>
    <row r="12381">
      <c r="A12381" s="2" t="str">
        <f>IFERROR(__xludf.DUMMYFUNCTION("""COMPUTED_VALUE"""),"사연장사 만만세♬")</f>
        <v>사연장사 만만세♬</v>
      </c>
      <c r="B12381" s="2" t="str">
        <f>IFERROR(__xludf.DUMMYFUNCTION("""COMPUTED_VALUE"""),"튀김가루")</f>
        <v>튀김가루</v>
      </c>
    </row>
    <row r="12382">
      <c r="A12382" s="2" t="str">
        <f>IFERROR(__xludf.DUMMYFUNCTION("""COMPUTED_VALUE"""),"사연장사 만만세♬")</f>
        <v>사연장사 만만세♬</v>
      </c>
      <c r="B12382" s="2" t="str">
        <f>IFERROR(__xludf.DUMMYFUNCTION("""COMPUTED_VALUE"""),"식용유")</f>
        <v>식용유</v>
      </c>
    </row>
    <row r="12383">
      <c r="A12383" s="2" t="str">
        <f>IFERROR(__xludf.DUMMYFUNCTION("""COMPUTED_VALUE"""),"사연장사 만만세♬")</f>
        <v>사연장사 만만세♬</v>
      </c>
      <c r="B12383" s="2" t="str">
        <f>IFERROR(__xludf.DUMMYFUNCTION("""COMPUTED_VALUE"""),"물엿")</f>
        <v>물엿</v>
      </c>
    </row>
    <row r="12384">
      <c r="A12384" s="2" t="str">
        <f>IFERROR(__xludf.DUMMYFUNCTION("""COMPUTED_VALUE"""),"사연장사 만만세♬")</f>
        <v>사연장사 만만세♬</v>
      </c>
      <c r="B12384" s="2" t="str">
        <f>IFERROR(__xludf.DUMMYFUNCTION("""COMPUTED_VALUE"""),"깨")</f>
        <v>깨</v>
      </c>
    </row>
    <row r="12385">
      <c r="A12385" s="2" t="str">
        <f>IFERROR(__xludf.DUMMYFUNCTION("""COMPUTED_VALUE"""),"김치 잘 먹는 예쁜 누나")</f>
        <v>김치 잘 먹는 예쁜 누나</v>
      </c>
      <c r="B12385" s="2" t="str">
        <f>IFERROR(__xludf.DUMMYFUNCTION("""COMPUTED_VALUE"""),"배추김치")</f>
        <v>배추김치</v>
      </c>
    </row>
    <row r="12386">
      <c r="A12386" s="2" t="str">
        <f>IFERROR(__xludf.DUMMYFUNCTION("""COMPUTED_VALUE"""),"김치 잘 먹는 예쁜 누나")</f>
        <v>김치 잘 먹는 예쁜 누나</v>
      </c>
      <c r="B12386" s="2" t="str">
        <f>IFERROR(__xludf.DUMMYFUNCTION("""COMPUTED_VALUE"""),"총각김치")</f>
        <v>총각김치</v>
      </c>
    </row>
    <row r="12387">
      <c r="A12387" s="2" t="str">
        <f>IFERROR(__xludf.DUMMYFUNCTION("""COMPUTED_VALUE"""),"김치 잘 먹는 예쁜 누나")</f>
        <v>김치 잘 먹는 예쁜 누나</v>
      </c>
      <c r="B12387" s="2" t="str">
        <f>IFERROR(__xludf.DUMMYFUNCTION("""COMPUTED_VALUE"""),"삼겹살")</f>
        <v>삼겹살</v>
      </c>
    </row>
    <row r="12388">
      <c r="A12388" s="2" t="str">
        <f>IFERROR(__xludf.DUMMYFUNCTION("""COMPUTED_VALUE"""),"김치 잘 먹는 예쁜 누나")</f>
        <v>김치 잘 먹는 예쁜 누나</v>
      </c>
      <c r="B12388" s="2" t="str">
        <f>IFERROR(__xludf.DUMMYFUNCTION("""COMPUTED_VALUE"""),"옥돔")</f>
        <v>옥돔</v>
      </c>
    </row>
    <row r="12389">
      <c r="A12389" s="2" t="str">
        <f>IFERROR(__xludf.DUMMYFUNCTION("""COMPUTED_VALUE"""),"김치 잘 먹는 예쁜 누나")</f>
        <v>김치 잘 먹는 예쁜 누나</v>
      </c>
      <c r="B12389" s="2" t="str">
        <f>IFERROR(__xludf.DUMMYFUNCTION("""COMPUTED_VALUE"""),"오미자 진액")</f>
        <v>오미자 진액</v>
      </c>
    </row>
    <row r="12390">
      <c r="A12390" s="2" t="str">
        <f>IFERROR(__xludf.DUMMYFUNCTION("""COMPUTED_VALUE"""),"김치 잘 먹는 예쁜 누나")</f>
        <v>김치 잘 먹는 예쁜 누나</v>
      </c>
      <c r="B12390" s="2" t="str">
        <f>IFERROR(__xludf.DUMMYFUNCTION("""COMPUTED_VALUE"""),"누룽지")</f>
        <v>누룽지</v>
      </c>
    </row>
    <row r="12391">
      <c r="A12391" s="2" t="str">
        <f>IFERROR(__xludf.DUMMYFUNCTION("""COMPUTED_VALUE"""),"김치 잘 먹는 예쁜 누나")</f>
        <v>김치 잘 먹는 예쁜 누나</v>
      </c>
      <c r="B12391" s="2" t="str">
        <f>IFERROR(__xludf.DUMMYFUNCTION("""COMPUTED_VALUE"""),"북어포")</f>
        <v>북어포</v>
      </c>
    </row>
    <row r="12392">
      <c r="A12392" s="2" t="str">
        <f>IFERROR(__xludf.DUMMYFUNCTION("""COMPUTED_VALUE"""),"김치 잘 먹는 예쁜 누나")</f>
        <v>김치 잘 먹는 예쁜 누나</v>
      </c>
      <c r="B12392" s="2" t="str">
        <f>IFERROR(__xludf.DUMMYFUNCTION("""COMPUTED_VALUE"""),"건홍고추")</f>
        <v>건홍고추</v>
      </c>
    </row>
    <row r="12393">
      <c r="A12393" s="2" t="str">
        <f>IFERROR(__xludf.DUMMYFUNCTION("""COMPUTED_VALUE"""),"김치 잘 먹는 예쁜 누나")</f>
        <v>김치 잘 먹는 예쁜 누나</v>
      </c>
      <c r="B12393" s="2" t="str">
        <f>IFERROR(__xludf.DUMMYFUNCTION("""COMPUTED_VALUE"""),"두부")</f>
        <v>두부</v>
      </c>
    </row>
    <row r="12394">
      <c r="A12394" s="2" t="str">
        <f>IFERROR(__xludf.DUMMYFUNCTION("""COMPUTED_VALUE"""),"김치 잘 먹는 예쁜 누나")</f>
        <v>김치 잘 먹는 예쁜 누나</v>
      </c>
      <c r="B12394" s="2" t="str">
        <f>IFERROR(__xludf.DUMMYFUNCTION("""COMPUTED_VALUE"""),"김")</f>
        <v>김</v>
      </c>
    </row>
    <row r="12395">
      <c r="A12395" s="2" t="str">
        <f>IFERROR(__xludf.DUMMYFUNCTION("""COMPUTED_VALUE"""),"김치 잘 먹는 예쁜 누나")</f>
        <v>김치 잘 먹는 예쁜 누나</v>
      </c>
      <c r="B12395" s="2" t="str">
        <f>IFERROR(__xludf.DUMMYFUNCTION("""COMPUTED_VALUE"""),"식용유")</f>
        <v>식용유</v>
      </c>
    </row>
    <row r="12396">
      <c r="A12396" s="2" t="str">
        <f>IFERROR(__xludf.DUMMYFUNCTION("""COMPUTED_VALUE"""),"김치 잘 먹는 예쁜 누나")</f>
        <v>김치 잘 먹는 예쁜 누나</v>
      </c>
      <c r="B12396" s="2" t="str">
        <f>IFERROR(__xludf.DUMMYFUNCTION("""COMPUTED_VALUE"""),"청주")</f>
        <v>청주</v>
      </c>
    </row>
    <row r="12397">
      <c r="A12397" s="2" t="str">
        <f>IFERROR(__xludf.DUMMYFUNCTION("""COMPUTED_VALUE"""),"김치 잘 먹는 예쁜 누나")</f>
        <v>김치 잘 먹는 예쁜 누나</v>
      </c>
      <c r="B12397" s="2" t="str">
        <f>IFERROR(__xludf.DUMMYFUNCTION("""COMPUTED_VALUE"""),"후추")</f>
        <v>후추</v>
      </c>
    </row>
    <row r="12398">
      <c r="A12398" s="2" t="str">
        <f>IFERROR(__xludf.DUMMYFUNCTION("""COMPUTED_VALUE"""),"김치 잘 먹는 예쁜 누나")</f>
        <v>김치 잘 먹는 예쁜 누나</v>
      </c>
      <c r="B12398" s="2" t="str">
        <f>IFERROR(__xludf.DUMMYFUNCTION("""COMPUTED_VALUE"""),"다진생강")</f>
        <v>다진생강</v>
      </c>
    </row>
    <row r="12399">
      <c r="A12399" s="2" t="str">
        <f>IFERROR(__xludf.DUMMYFUNCTION("""COMPUTED_VALUE"""),"김치 잘 먹는 예쁜 누나")</f>
        <v>김치 잘 먹는 예쁜 누나</v>
      </c>
      <c r="B12399" s="2" t="str">
        <f>IFERROR(__xludf.DUMMYFUNCTION("""COMPUTED_VALUE"""),"간장")</f>
        <v>간장</v>
      </c>
    </row>
    <row r="12400">
      <c r="A12400" s="2" t="str">
        <f>IFERROR(__xludf.DUMMYFUNCTION("""COMPUTED_VALUE"""),"김치 잘 먹는 예쁜 누나")</f>
        <v>김치 잘 먹는 예쁜 누나</v>
      </c>
      <c r="B12400" s="2" t="str">
        <f>IFERROR(__xludf.DUMMYFUNCTION("""COMPUTED_VALUE"""),"당근")</f>
        <v>당근</v>
      </c>
    </row>
    <row r="12401">
      <c r="A12401" s="2" t="str">
        <f>IFERROR(__xludf.DUMMYFUNCTION("""COMPUTED_VALUE"""),"김치 잘 먹는 예쁜 누나")</f>
        <v>김치 잘 먹는 예쁜 누나</v>
      </c>
      <c r="B12401" s="2" t="str">
        <f>IFERROR(__xludf.DUMMYFUNCTION("""COMPUTED_VALUE"""),"청양고추")</f>
        <v>청양고추</v>
      </c>
    </row>
    <row r="12402">
      <c r="A12402" s="2" t="str">
        <f>IFERROR(__xludf.DUMMYFUNCTION("""COMPUTED_VALUE"""),"김치 잘 먹는 예쁜 누나")</f>
        <v>김치 잘 먹는 예쁜 누나</v>
      </c>
      <c r="B12402" s="2" t="str">
        <f>IFERROR(__xludf.DUMMYFUNCTION("""COMPUTED_VALUE"""),"양파")</f>
        <v>양파</v>
      </c>
    </row>
    <row r="12403">
      <c r="A12403" s="2" t="str">
        <f>IFERROR(__xludf.DUMMYFUNCTION("""COMPUTED_VALUE"""),"김치 잘 먹는 예쁜 누나")</f>
        <v>김치 잘 먹는 예쁜 누나</v>
      </c>
      <c r="B12403" s="2" t="str">
        <f>IFERROR(__xludf.DUMMYFUNCTION("""COMPUTED_VALUE"""),"전분")</f>
        <v>전분</v>
      </c>
    </row>
    <row r="12404">
      <c r="A12404" s="2" t="str">
        <f>IFERROR(__xludf.DUMMYFUNCTION("""COMPUTED_VALUE"""),"김치 잘 먹는 예쁜 누나")</f>
        <v>김치 잘 먹는 예쁜 누나</v>
      </c>
      <c r="B12404" s="2" t="str">
        <f>IFERROR(__xludf.DUMMYFUNCTION("""COMPUTED_VALUE"""),"달걀")</f>
        <v>달걀</v>
      </c>
    </row>
    <row r="12405">
      <c r="A12405" s="2" t="str">
        <f>IFERROR(__xludf.DUMMYFUNCTION("""COMPUTED_VALUE"""),"김치 잘 먹는 예쁜 누나")</f>
        <v>김치 잘 먹는 예쁜 누나</v>
      </c>
      <c r="B12405" s="2" t="str">
        <f>IFERROR(__xludf.DUMMYFUNCTION("""COMPUTED_VALUE"""),"참기름")</f>
        <v>참기름</v>
      </c>
    </row>
    <row r="12406">
      <c r="A12406" s="2" t="str">
        <f>IFERROR(__xludf.DUMMYFUNCTION("""COMPUTED_VALUE"""),"김치 잘 먹는 예쁜 누나")</f>
        <v>김치 잘 먹는 예쁜 누나</v>
      </c>
      <c r="B12406" s="2" t="str">
        <f>IFERROR(__xludf.DUMMYFUNCTION("""COMPUTED_VALUE"""),"깨")</f>
        <v>깨</v>
      </c>
    </row>
    <row r="12407">
      <c r="A12407" s="2" t="str">
        <f>IFERROR(__xludf.DUMMYFUNCTION("""COMPUTED_VALUE"""),"맛있으면 김~치")</f>
        <v>맛있으면 김~치</v>
      </c>
      <c r="B12407" s="2" t="str">
        <f>IFERROR(__xludf.DUMMYFUNCTION("""COMPUTED_VALUE"""),"배추김치")</f>
        <v>배추김치</v>
      </c>
    </row>
    <row r="12408">
      <c r="A12408" s="2" t="str">
        <f>IFERROR(__xludf.DUMMYFUNCTION("""COMPUTED_VALUE"""),"맛있으면 김~치")</f>
        <v>맛있으면 김~치</v>
      </c>
      <c r="B12408" s="2" t="str">
        <f>IFERROR(__xludf.DUMMYFUNCTION("""COMPUTED_VALUE"""),"고구마순김치")</f>
        <v>고구마순김치</v>
      </c>
    </row>
    <row r="12409">
      <c r="A12409" s="2" t="str">
        <f>IFERROR(__xludf.DUMMYFUNCTION("""COMPUTED_VALUE"""),"맛있으면 김~치")</f>
        <v>맛있으면 김~치</v>
      </c>
      <c r="B12409" s="2" t="str">
        <f>IFERROR(__xludf.DUMMYFUNCTION("""COMPUTED_VALUE"""),"열무물김치")</f>
        <v>열무물김치</v>
      </c>
    </row>
    <row r="12410">
      <c r="A12410" s="2" t="str">
        <f>IFERROR(__xludf.DUMMYFUNCTION("""COMPUTED_VALUE"""),"맛있으면 김~치")</f>
        <v>맛있으면 김~치</v>
      </c>
      <c r="B12410" s="2" t="str">
        <f>IFERROR(__xludf.DUMMYFUNCTION("""COMPUTED_VALUE"""),"총각김치")</f>
        <v>총각김치</v>
      </c>
    </row>
    <row r="12411">
      <c r="A12411" s="2" t="str">
        <f>IFERROR(__xludf.DUMMYFUNCTION("""COMPUTED_VALUE"""),"맛있으면 김~치")</f>
        <v>맛있으면 김~치</v>
      </c>
      <c r="B12411" s="2" t="str">
        <f>IFERROR(__xludf.DUMMYFUNCTION("""COMPUTED_VALUE"""),"소 등심")</f>
        <v>소 등심</v>
      </c>
    </row>
    <row r="12412">
      <c r="A12412" s="2" t="str">
        <f>IFERROR(__xludf.DUMMYFUNCTION("""COMPUTED_VALUE"""),"맛있으면 김~치")</f>
        <v>맛있으면 김~치</v>
      </c>
      <c r="B12412" s="2" t="str">
        <f>IFERROR(__xludf.DUMMYFUNCTION("""COMPUTED_VALUE"""),"베이컨")</f>
        <v>베이컨</v>
      </c>
    </row>
    <row r="12413">
      <c r="A12413" s="2" t="str">
        <f>IFERROR(__xludf.DUMMYFUNCTION("""COMPUTED_VALUE"""),"맛있으면 김~치")</f>
        <v>맛있으면 김~치</v>
      </c>
      <c r="B12413" s="2" t="str">
        <f>IFERROR(__xludf.DUMMYFUNCTION("""COMPUTED_VALUE"""),"우유")</f>
        <v>우유</v>
      </c>
    </row>
    <row r="12414">
      <c r="A12414" s="2" t="str">
        <f>IFERROR(__xludf.DUMMYFUNCTION("""COMPUTED_VALUE"""),"맛있으면 김~치")</f>
        <v>맛있으면 김~치</v>
      </c>
      <c r="B12414" s="2" t="str">
        <f>IFERROR(__xludf.DUMMYFUNCTION("""COMPUTED_VALUE"""),"부추")</f>
        <v>부추</v>
      </c>
    </row>
    <row r="12415">
      <c r="A12415" s="2" t="str">
        <f>IFERROR(__xludf.DUMMYFUNCTION("""COMPUTED_VALUE"""),"맛있으면 김~치")</f>
        <v>맛있으면 김~치</v>
      </c>
      <c r="B12415" s="2" t="str">
        <f>IFERROR(__xludf.DUMMYFUNCTION("""COMPUTED_VALUE"""),"곶감")</f>
        <v>곶감</v>
      </c>
    </row>
    <row r="12416">
      <c r="A12416" s="2" t="str">
        <f>IFERROR(__xludf.DUMMYFUNCTION("""COMPUTED_VALUE"""),"맛있으면 김~치")</f>
        <v>맛있으면 김~치</v>
      </c>
      <c r="B12416" s="2" t="str">
        <f>IFERROR(__xludf.DUMMYFUNCTION("""COMPUTED_VALUE"""),"올리브오일")</f>
        <v>올리브오일</v>
      </c>
    </row>
    <row r="12417">
      <c r="A12417" s="2" t="str">
        <f>IFERROR(__xludf.DUMMYFUNCTION("""COMPUTED_VALUE"""),"맛있으면 김~치")</f>
        <v>맛있으면 김~치</v>
      </c>
      <c r="B12417" s="2" t="str">
        <f>IFERROR(__xludf.DUMMYFUNCTION("""COMPUTED_VALUE"""),"소금")</f>
        <v>소금</v>
      </c>
    </row>
    <row r="12418">
      <c r="A12418" s="2" t="str">
        <f>IFERROR(__xludf.DUMMYFUNCTION("""COMPUTED_VALUE"""),"맛있으면 김~치")</f>
        <v>맛있으면 김~치</v>
      </c>
      <c r="B12418" s="2" t="str">
        <f>IFERROR(__xludf.DUMMYFUNCTION("""COMPUTED_VALUE"""),"후추")</f>
        <v>후추</v>
      </c>
    </row>
    <row r="12419">
      <c r="A12419" s="2" t="str">
        <f>IFERROR(__xludf.DUMMYFUNCTION("""COMPUTED_VALUE"""),"맛있으면 김~치")</f>
        <v>맛있으면 김~치</v>
      </c>
      <c r="B12419" s="2" t="str">
        <f>IFERROR(__xludf.DUMMYFUNCTION("""COMPUTED_VALUE"""),"양파")</f>
        <v>양파</v>
      </c>
    </row>
    <row r="12420">
      <c r="A12420" s="2" t="str">
        <f>IFERROR(__xludf.DUMMYFUNCTION("""COMPUTED_VALUE"""),"맛있으면 김~치")</f>
        <v>맛있으면 김~치</v>
      </c>
      <c r="B12420" s="2" t="str">
        <f>IFERROR(__xludf.DUMMYFUNCTION("""COMPUTED_VALUE"""),"청양고추")</f>
        <v>청양고추</v>
      </c>
    </row>
    <row r="12421">
      <c r="A12421" s="2" t="str">
        <f>IFERROR(__xludf.DUMMYFUNCTION("""COMPUTED_VALUE"""),"맛있으면 김~치")</f>
        <v>맛있으면 김~치</v>
      </c>
      <c r="B12421" s="2" t="str">
        <f>IFERROR(__xludf.DUMMYFUNCTION("""COMPUTED_VALUE"""),"즉석밥")</f>
        <v>즉석밥</v>
      </c>
    </row>
    <row r="12422">
      <c r="A12422" s="2" t="str">
        <f>IFERROR(__xludf.DUMMYFUNCTION("""COMPUTED_VALUE"""),"맛있으면 김~치")</f>
        <v>맛있으면 김~치</v>
      </c>
      <c r="B12422" s="2" t="str">
        <f>IFERROR(__xludf.DUMMYFUNCTION("""COMPUTED_VALUE"""),"간장")</f>
        <v>간장</v>
      </c>
    </row>
    <row r="12423">
      <c r="A12423" s="2" t="str">
        <f>IFERROR(__xludf.DUMMYFUNCTION("""COMPUTED_VALUE"""),"맛있으면 김~치")</f>
        <v>맛있으면 김~치</v>
      </c>
      <c r="B12423" s="2" t="str">
        <f>IFERROR(__xludf.DUMMYFUNCTION("""COMPUTED_VALUE"""),"레드와인")</f>
        <v>레드와인</v>
      </c>
    </row>
    <row r="12424">
      <c r="A12424" s="2" t="str">
        <f>IFERROR(__xludf.DUMMYFUNCTION("""COMPUTED_VALUE"""),"맛있으면 김~치")</f>
        <v>맛있으면 김~치</v>
      </c>
      <c r="B12424" s="2" t="str">
        <f>IFERROR(__xludf.DUMMYFUNCTION("""COMPUTED_VALUE"""),"버터")</f>
        <v>버터</v>
      </c>
    </row>
    <row r="12425">
      <c r="A12425" s="2" t="str">
        <f>IFERROR(__xludf.DUMMYFUNCTION("""COMPUTED_VALUE"""),"맛있으면 김~치")</f>
        <v>맛있으면 김~치</v>
      </c>
      <c r="B12425" s="2" t="str">
        <f>IFERROR(__xludf.DUMMYFUNCTION("""COMPUTED_VALUE"""),"밀가루")</f>
        <v>밀가루</v>
      </c>
    </row>
    <row r="12426">
      <c r="A12426" s="2" t="str">
        <f>IFERROR(__xludf.DUMMYFUNCTION("""COMPUTED_VALUE"""),"함박84")</f>
        <v>함박84</v>
      </c>
      <c r="B12426" s="2" t="str">
        <f>IFERROR(__xludf.DUMMYFUNCTION("""COMPUTED_VALUE"""),"돼지목살")</f>
        <v>돼지목살</v>
      </c>
    </row>
    <row r="12427">
      <c r="A12427" s="2" t="str">
        <f>IFERROR(__xludf.DUMMYFUNCTION("""COMPUTED_VALUE"""),"함박84")</f>
        <v>함박84</v>
      </c>
      <c r="B12427" s="2" t="str">
        <f>IFERROR(__xludf.DUMMYFUNCTION("""COMPUTED_VALUE"""),"삼겹살")</f>
        <v>삼겹살</v>
      </c>
    </row>
    <row r="12428">
      <c r="A12428" s="2" t="str">
        <f>IFERROR(__xludf.DUMMYFUNCTION("""COMPUTED_VALUE"""),"함박84")</f>
        <v>함박84</v>
      </c>
      <c r="B12428" s="2" t="str">
        <f>IFERROR(__xludf.DUMMYFUNCTION("""COMPUTED_VALUE"""),"갈비탕 육수")</f>
        <v>갈비탕 육수</v>
      </c>
    </row>
    <row r="12429">
      <c r="A12429" s="2" t="str">
        <f>IFERROR(__xludf.DUMMYFUNCTION("""COMPUTED_VALUE"""),"함박84")</f>
        <v>함박84</v>
      </c>
      <c r="B12429" s="2" t="str">
        <f>IFERROR(__xludf.DUMMYFUNCTION("""COMPUTED_VALUE"""),"훈제 닭다리")</f>
        <v>훈제 닭다리</v>
      </c>
    </row>
    <row r="12430">
      <c r="A12430" s="2" t="str">
        <f>IFERROR(__xludf.DUMMYFUNCTION("""COMPUTED_VALUE"""),"함박84")</f>
        <v>함박84</v>
      </c>
      <c r="B12430" s="2" t="str">
        <f>IFERROR(__xludf.DUMMYFUNCTION("""COMPUTED_VALUE"""),"프랑크소시지")</f>
        <v>프랑크소시지</v>
      </c>
    </row>
    <row r="12431">
      <c r="A12431" s="2" t="str">
        <f>IFERROR(__xludf.DUMMYFUNCTION("""COMPUTED_VALUE"""),"함박84")</f>
        <v>함박84</v>
      </c>
      <c r="B12431" s="2" t="str">
        <f>IFERROR(__xludf.DUMMYFUNCTION("""COMPUTED_VALUE"""),"살사소스맛 과자")</f>
        <v>살사소스맛 과자</v>
      </c>
    </row>
    <row r="12432">
      <c r="A12432" s="2" t="str">
        <f>IFERROR(__xludf.DUMMYFUNCTION("""COMPUTED_VALUE"""),"함박84")</f>
        <v>함박84</v>
      </c>
      <c r="B12432" s="2" t="str">
        <f>IFERROR(__xludf.DUMMYFUNCTION("""COMPUTED_VALUE"""),"간장치킨맛 과자")</f>
        <v>간장치킨맛 과자</v>
      </c>
    </row>
    <row r="12433">
      <c r="A12433" s="2" t="str">
        <f>IFERROR(__xludf.DUMMYFUNCTION("""COMPUTED_VALUE"""),"함박84")</f>
        <v>함박84</v>
      </c>
      <c r="B12433" s="2" t="str">
        <f>IFERROR(__xludf.DUMMYFUNCTION("""COMPUTED_VALUE"""),"버터")</f>
        <v>버터</v>
      </c>
    </row>
    <row r="12434">
      <c r="A12434" s="2" t="str">
        <f>IFERROR(__xludf.DUMMYFUNCTION("""COMPUTED_VALUE"""),"함박84")</f>
        <v>함박84</v>
      </c>
      <c r="B12434" s="2" t="str">
        <f>IFERROR(__xludf.DUMMYFUNCTION("""COMPUTED_VALUE"""),"양파")</f>
        <v>양파</v>
      </c>
    </row>
    <row r="12435">
      <c r="A12435" s="2" t="str">
        <f>IFERROR(__xludf.DUMMYFUNCTION("""COMPUTED_VALUE"""),"함박84")</f>
        <v>함박84</v>
      </c>
      <c r="B12435" s="2" t="str">
        <f>IFERROR(__xludf.DUMMYFUNCTION("""COMPUTED_VALUE"""),"고추")</f>
        <v>고추</v>
      </c>
    </row>
    <row r="12436">
      <c r="A12436" s="2" t="str">
        <f>IFERROR(__xludf.DUMMYFUNCTION("""COMPUTED_VALUE"""),"함박84")</f>
        <v>함박84</v>
      </c>
      <c r="B12436" s="2" t="str">
        <f>IFERROR(__xludf.DUMMYFUNCTION("""COMPUTED_VALUE"""),"소금")</f>
        <v>소금</v>
      </c>
    </row>
    <row r="12437">
      <c r="A12437" s="2" t="str">
        <f>IFERROR(__xludf.DUMMYFUNCTION("""COMPUTED_VALUE"""),"함박84")</f>
        <v>함박84</v>
      </c>
      <c r="B12437" s="2" t="str">
        <f>IFERROR(__xludf.DUMMYFUNCTION("""COMPUTED_VALUE"""),"후추")</f>
        <v>후추</v>
      </c>
    </row>
    <row r="12438">
      <c r="A12438" s="2" t="str">
        <f>IFERROR(__xludf.DUMMYFUNCTION("""COMPUTED_VALUE"""),"함박84")</f>
        <v>함박84</v>
      </c>
      <c r="B12438" s="2" t="str">
        <f>IFERROR(__xludf.DUMMYFUNCTION("""COMPUTED_VALUE"""),"간장")</f>
        <v>간장</v>
      </c>
    </row>
    <row r="12439">
      <c r="A12439" s="2" t="str">
        <f>IFERROR(__xludf.DUMMYFUNCTION("""COMPUTED_VALUE"""),"함박84")</f>
        <v>함박84</v>
      </c>
      <c r="B12439" s="2" t="str">
        <f>IFERROR(__xludf.DUMMYFUNCTION("""COMPUTED_VALUE"""),"밀가루")</f>
        <v>밀가루</v>
      </c>
    </row>
    <row r="12440">
      <c r="A12440" s="2" t="str">
        <f>IFERROR(__xludf.DUMMYFUNCTION("""COMPUTED_VALUE"""),"함박84")</f>
        <v>함박84</v>
      </c>
      <c r="B12440" s="2" t="str">
        <f>IFERROR(__xludf.DUMMYFUNCTION("""COMPUTED_VALUE"""),"다진마늘")</f>
        <v>다진마늘</v>
      </c>
    </row>
    <row r="12441">
      <c r="A12441" s="2" t="str">
        <f>IFERROR(__xludf.DUMMYFUNCTION("""COMPUTED_VALUE"""),"함박84")</f>
        <v>함박84</v>
      </c>
      <c r="B12441" s="2" t="str">
        <f>IFERROR(__xludf.DUMMYFUNCTION("""COMPUTED_VALUE"""),"다진생강")</f>
        <v>다진생강</v>
      </c>
    </row>
    <row r="12442">
      <c r="A12442" s="2" t="str">
        <f>IFERROR(__xludf.DUMMYFUNCTION("""COMPUTED_VALUE"""),"함박84")</f>
        <v>함박84</v>
      </c>
      <c r="B12442" s="2" t="str">
        <f>IFERROR(__xludf.DUMMYFUNCTION("""COMPUTED_VALUE"""),"마늘")</f>
        <v>마늘</v>
      </c>
    </row>
    <row r="12443">
      <c r="A12443" s="2" t="str">
        <f>IFERROR(__xludf.DUMMYFUNCTION("""COMPUTED_VALUE"""),"함박84")</f>
        <v>함박84</v>
      </c>
      <c r="B12443" s="2" t="str">
        <f>IFERROR(__xludf.DUMMYFUNCTION("""COMPUTED_VALUE"""),"참기름")</f>
        <v>참기름</v>
      </c>
    </row>
    <row r="12444">
      <c r="A12444" s="2" t="str">
        <f>IFERROR(__xludf.DUMMYFUNCTION("""COMPUTED_VALUE"""),"함박84")</f>
        <v>함박84</v>
      </c>
      <c r="B12444" s="2" t="str">
        <f>IFERROR(__xludf.DUMMYFUNCTION("""COMPUTED_VALUE"""),"레몬")</f>
        <v>레몬</v>
      </c>
    </row>
    <row r="12445">
      <c r="A12445" s="2" t="str">
        <f>IFERROR(__xludf.DUMMYFUNCTION("""COMPUTED_VALUE"""),"함박84")</f>
        <v>함박84</v>
      </c>
      <c r="B12445" s="2" t="str">
        <f>IFERROR(__xludf.DUMMYFUNCTION("""COMPUTED_VALUE"""),"설탕")</f>
        <v>설탕</v>
      </c>
    </row>
    <row r="12446">
      <c r="A12446" s="2" t="str">
        <f>IFERROR(__xludf.DUMMYFUNCTION("""COMPUTED_VALUE"""),"함박84")</f>
        <v>함박84</v>
      </c>
      <c r="B12446" s="2" t="str">
        <f>IFERROR(__xludf.DUMMYFUNCTION("""COMPUTED_VALUE"""),"올리브오일")</f>
        <v>올리브오일</v>
      </c>
    </row>
    <row r="12447">
      <c r="A12447" s="2" t="str">
        <f>IFERROR(__xludf.DUMMYFUNCTION("""COMPUTED_VALUE"""),"함박84")</f>
        <v>함박84</v>
      </c>
      <c r="B12447" s="2" t="str">
        <f>IFERROR(__xludf.DUMMYFUNCTION("""COMPUTED_VALUE"""),"달걀")</f>
        <v>달걀</v>
      </c>
    </row>
    <row r="12448">
      <c r="A12448" s="2" t="str">
        <f>IFERROR(__xludf.DUMMYFUNCTION("""COMPUTED_VALUE"""),"목살84")</f>
        <v>목살84</v>
      </c>
      <c r="B12448" s="2" t="str">
        <f>IFERROR(__xludf.DUMMYFUNCTION("""COMPUTED_VALUE"""),"돼지목살")</f>
        <v>돼지목살</v>
      </c>
    </row>
    <row r="12449">
      <c r="A12449" s="2" t="str">
        <f>IFERROR(__xludf.DUMMYFUNCTION("""COMPUTED_VALUE"""),"목살84")</f>
        <v>목살84</v>
      </c>
      <c r="B12449" s="2" t="str">
        <f>IFERROR(__xludf.DUMMYFUNCTION("""COMPUTED_VALUE"""),"명란젓")</f>
        <v>명란젓</v>
      </c>
    </row>
    <row r="12450">
      <c r="A12450" s="2" t="str">
        <f>IFERROR(__xludf.DUMMYFUNCTION("""COMPUTED_VALUE"""),"목살84")</f>
        <v>목살84</v>
      </c>
      <c r="B12450" s="2" t="str">
        <f>IFERROR(__xludf.DUMMYFUNCTION("""COMPUTED_VALUE"""),"콜라")</f>
        <v>콜라</v>
      </c>
    </row>
    <row r="12451">
      <c r="A12451" s="2" t="str">
        <f>IFERROR(__xludf.DUMMYFUNCTION("""COMPUTED_VALUE"""),"목살84")</f>
        <v>목살84</v>
      </c>
      <c r="B12451" s="2" t="str">
        <f>IFERROR(__xludf.DUMMYFUNCTION("""COMPUTED_VALUE"""),"라면")</f>
        <v>라면</v>
      </c>
    </row>
    <row r="12452">
      <c r="A12452" s="2" t="str">
        <f>IFERROR(__xludf.DUMMYFUNCTION("""COMPUTED_VALUE"""),"목살84")</f>
        <v>목살84</v>
      </c>
      <c r="B12452" s="2" t="str">
        <f>IFERROR(__xludf.DUMMYFUNCTION("""COMPUTED_VALUE"""),"어묵탕 육수")</f>
        <v>어묵탕 육수</v>
      </c>
    </row>
    <row r="12453">
      <c r="A12453" s="2" t="str">
        <f>IFERROR(__xludf.DUMMYFUNCTION("""COMPUTED_VALUE"""),"목살84")</f>
        <v>목살84</v>
      </c>
      <c r="B12453" s="2" t="str">
        <f>IFERROR(__xludf.DUMMYFUNCTION("""COMPUTED_VALUE"""),"불닭 소스")</f>
        <v>불닭 소스</v>
      </c>
    </row>
    <row r="12454">
      <c r="A12454" s="2" t="str">
        <f>IFERROR(__xludf.DUMMYFUNCTION("""COMPUTED_VALUE"""),"목살84")</f>
        <v>목살84</v>
      </c>
      <c r="B12454" s="2" t="str">
        <f>IFERROR(__xludf.DUMMYFUNCTION("""COMPUTED_VALUE"""),"훈제 닭다리")</f>
        <v>훈제 닭다리</v>
      </c>
    </row>
    <row r="12455">
      <c r="A12455" s="2" t="str">
        <f>IFERROR(__xludf.DUMMYFUNCTION("""COMPUTED_VALUE"""),"목살84")</f>
        <v>목살84</v>
      </c>
      <c r="B12455" s="2" t="str">
        <f>IFERROR(__xludf.DUMMYFUNCTION("""COMPUTED_VALUE"""),"레드와인")</f>
        <v>레드와인</v>
      </c>
    </row>
    <row r="12456">
      <c r="A12456" s="2" t="str">
        <f>IFERROR(__xludf.DUMMYFUNCTION("""COMPUTED_VALUE"""),"목살84")</f>
        <v>목살84</v>
      </c>
      <c r="B12456" s="2" t="str">
        <f>IFERROR(__xludf.DUMMYFUNCTION("""COMPUTED_VALUE"""),"달걀")</f>
        <v>달걀</v>
      </c>
    </row>
    <row r="12457">
      <c r="A12457" s="2" t="str">
        <f>IFERROR(__xludf.DUMMYFUNCTION("""COMPUTED_VALUE"""),"목살84")</f>
        <v>목살84</v>
      </c>
      <c r="B12457" s="2" t="str">
        <f>IFERROR(__xludf.DUMMYFUNCTION("""COMPUTED_VALUE"""),"홍고추")</f>
        <v>홍고추</v>
      </c>
    </row>
    <row r="12458">
      <c r="A12458" s="2" t="str">
        <f>IFERROR(__xludf.DUMMYFUNCTION("""COMPUTED_VALUE"""),"목살84")</f>
        <v>목살84</v>
      </c>
      <c r="B12458" s="2" t="str">
        <f>IFERROR(__xludf.DUMMYFUNCTION("""COMPUTED_VALUE"""),"대파")</f>
        <v>대파</v>
      </c>
    </row>
    <row r="12459">
      <c r="A12459" s="2" t="str">
        <f>IFERROR(__xludf.DUMMYFUNCTION("""COMPUTED_VALUE"""),"목살84")</f>
        <v>목살84</v>
      </c>
      <c r="B12459" s="2" t="str">
        <f>IFERROR(__xludf.DUMMYFUNCTION("""COMPUTED_VALUE"""),"양파")</f>
        <v>양파</v>
      </c>
    </row>
    <row r="12460">
      <c r="A12460" s="2" t="str">
        <f>IFERROR(__xludf.DUMMYFUNCTION("""COMPUTED_VALUE"""),"목살84")</f>
        <v>목살84</v>
      </c>
      <c r="B12460" s="2" t="str">
        <f>IFERROR(__xludf.DUMMYFUNCTION("""COMPUTED_VALUE"""),"간장청양고추")</f>
        <v>간장청양고추</v>
      </c>
    </row>
    <row r="12461">
      <c r="A12461" s="2" t="str">
        <f>IFERROR(__xludf.DUMMYFUNCTION("""COMPUTED_VALUE"""),"목살84")</f>
        <v>목살84</v>
      </c>
      <c r="B12461" s="2" t="str">
        <f>IFERROR(__xludf.DUMMYFUNCTION("""COMPUTED_VALUE"""),"마요네즈")</f>
        <v>마요네즈</v>
      </c>
    </row>
    <row r="12462">
      <c r="A12462" s="2" t="str">
        <f>IFERROR(__xludf.DUMMYFUNCTION("""COMPUTED_VALUE"""),"목살84")</f>
        <v>목살84</v>
      </c>
      <c r="B12462" s="2" t="str">
        <f>IFERROR(__xludf.DUMMYFUNCTION("""COMPUTED_VALUE"""),"청주")</f>
        <v>청주</v>
      </c>
    </row>
    <row r="12463">
      <c r="A12463" s="2" t="str">
        <f>IFERROR(__xludf.DUMMYFUNCTION("""COMPUTED_VALUE"""),"목살84")</f>
        <v>목살84</v>
      </c>
      <c r="B12463" s="2" t="str">
        <f>IFERROR(__xludf.DUMMYFUNCTION("""COMPUTED_VALUE"""),"맛술")</f>
        <v>맛술</v>
      </c>
    </row>
    <row r="12464">
      <c r="A12464" s="2" t="str">
        <f>IFERROR(__xludf.DUMMYFUNCTION("""COMPUTED_VALUE"""),"목살84")</f>
        <v>목살84</v>
      </c>
      <c r="B12464" s="2" t="str">
        <f>IFERROR(__xludf.DUMMYFUNCTION("""COMPUTED_VALUE"""),"설탕")</f>
        <v>설탕</v>
      </c>
    </row>
    <row r="12465">
      <c r="A12465" s="2" t="str">
        <f>IFERROR(__xludf.DUMMYFUNCTION("""COMPUTED_VALUE"""),"목살84")</f>
        <v>목살84</v>
      </c>
      <c r="B12465" s="2" t="str">
        <f>IFERROR(__xludf.DUMMYFUNCTION("""COMPUTED_VALUE"""),"밀가루")</f>
        <v>밀가루</v>
      </c>
    </row>
    <row r="12466">
      <c r="A12466" s="2" t="str">
        <f>IFERROR(__xludf.DUMMYFUNCTION("""COMPUTED_VALUE"""),"목살84")</f>
        <v>목살84</v>
      </c>
      <c r="B12466" s="2" t="str">
        <f>IFERROR(__xludf.DUMMYFUNCTION("""COMPUTED_VALUE"""),"후추")</f>
        <v>후추</v>
      </c>
    </row>
    <row r="12467">
      <c r="A12467" s="2" t="str">
        <f>IFERROR(__xludf.DUMMYFUNCTION("""COMPUTED_VALUE"""),"목살84")</f>
        <v>목살84</v>
      </c>
      <c r="B12467" s="2" t="str">
        <f>IFERROR(__xludf.DUMMYFUNCTION("""COMPUTED_VALUE"""),"마늘")</f>
        <v>마늘</v>
      </c>
    </row>
    <row r="12468">
      <c r="A12468" s="2" t="str">
        <f>IFERROR(__xludf.DUMMYFUNCTION("""COMPUTED_VALUE"""),"목살84")</f>
        <v>목살84</v>
      </c>
      <c r="B12468" s="2" t="str">
        <f>IFERROR(__xludf.DUMMYFUNCTION("""COMPUTED_VALUE"""),"전분")</f>
        <v>전분</v>
      </c>
    </row>
    <row r="12469">
      <c r="A12469" s="2" t="str">
        <f>IFERROR(__xludf.DUMMYFUNCTION("""COMPUTED_VALUE"""),"덮밥왕")</f>
        <v>덮밥왕</v>
      </c>
      <c r="B12469" s="2" t="str">
        <f>IFERROR(__xludf.DUMMYFUNCTION("""COMPUTED_VALUE"""),"돼지목살")</f>
        <v>돼지목살</v>
      </c>
    </row>
    <row r="12470">
      <c r="A12470" s="2" t="str">
        <f>IFERROR(__xludf.DUMMYFUNCTION("""COMPUTED_VALUE"""),"덮밥왕")</f>
        <v>덮밥왕</v>
      </c>
      <c r="B12470" s="2" t="str">
        <f>IFERROR(__xludf.DUMMYFUNCTION("""COMPUTED_VALUE"""),"편의점 편육")</f>
        <v>편의점 편육</v>
      </c>
    </row>
    <row r="12471">
      <c r="A12471" s="2" t="str">
        <f>IFERROR(__xludf.DUMMYFUNCTION("""COMPUTED_VALUE"""),"덮밥왕")</f>
        <v>덮밥왕</v>
      </c>
      <c r="B12471" s="2" t="str">
        <f>IFERROR(__xludf.DUMMYFUNCTION("""COMPUTED_VALUE"""),"새우젓 양념")</f>
        <v>새우젓 양념</v>
      </c>
    </row>
    <row r="12472">
      <c r="A12472" s="2" t="str">
        <f>IFERROR(__xludf.DUMMYFUNCTION("""COMPUTED_VALUE"""),"덮밥왕")</f>
        <v>덮밥왕</v>
      </c>
      <c r="B12472" s="2" t="str">
        <f>IFERROR(__xludf.DUMMYFUNCTION("""COMPUTED_VALUE"""),"김치")</f>
        <v>김치</v>
      </c>
    </row>
    <row r="12473">
      <c r="A12473" s="2" t="str">
        <f>IFERROR(__xludf.DUMMYFUNCTION("""COMPUTED_VALUE"""),"덮밥왕")</f>
        <v>덮밥왕</v>
      </c>
      <c r="B12473" s="2" t="str">
        <f>IFERROR(__xludf.DUMMYFUNCTION("""COMPUTED_VALUE"""),"명란젓")</f>
        <v>명란젓</v>
      </c>
    </row>
    <row r="12474">
      <c r="A12474" s="2" t="str">
        <f>IFERROR(__xludf.DUMMYFUNCTION("""COMPUTED_VALUE"""),"덮밥왕")</f>
        <v>덮밥왕</v>
      </c>
      <c r="B12474" s="2" t="str">
        <f>IFERROR(__xludf.DUMMYFUNCTION("""COMPUTED_VALUE"""),"라면수프")</f>
        <v>라면수프</v>
      </c>
    </row>
    <row r="12475">
      <c r="A12475" s="2" t="str">
        <f>IFERROR(__xludf.DUMMYFUNCTION("""COMPUTED_VALUE"""),"덮밥왕")</f>
        <v>덮밥왕</v>
      </c>
      <c r="B12475" s="2" t="str">
        <f>IFERROR(__xludf.DUMMYFUNCTION("""COMPUTED_VALUE"""),"상추")</f>
        <v>상추</v>
      </c>
    </row>
    <row r="12476">
      <c r="A12476" s="2" t="str">
        <f>IFERROR(__xludf.DUMMYFUNCTION("""COMPUTED_VALUE"""),"덮밥왕")</f>
        <v>덮밥왕</v>
      </c>
      <c r="B12476" s="2" t="str">
        <f>IFERROR(__xludf.DUMMYFUNCTION("""COMPUTED_VALUE"""),"들기름")</f>
        <v>들기름</v>
      </c>
    </row>
    <row r="12477">
      <c r="A12477" s="2" t="str">
        <f>IFERROR(__xludf.DUMMYFUNCTION("""COMPUTED_VALUE"""),"덮밥왕")</f>
        <v>덮밥왕</v>
      </c>
      <c r="B12477" s="2" t="str">
        <f>IFERROR(__xludf.DUMMYFUNCTION("""COMPUTED_VALUE"""),"간장")</f>
        <v>간장</v>
      </c>
    </row>
    <row r="12478">
      <c r="A12478" s="2" t="str">
        <f>IFERROR(__xludf.DUMMYFUNCTION("""COMPUTED_VALUE"""),"덮밥왕")</f>
        <v>덮밥왕</v>
      </c>
      <c r="B12478" s="2" t="str">
        <f>IFERROR(__xludf.DUMMYFUNCTION("""COMPUTED_VALUE"""),"맛술")</f>
        <v>맛술</v>
      </c>
    </row>
    <row r="12479">
      <c r="A12479" s="2" t="str">
        <f>IFERROR(__xludf.DUMMYFUNCTION("""COMPUTED_VALUE"""),"덮밥왕")</f>
        <v>덮밥왕</v>
      </c>
      <c r="B12479" s="2" t="str">
        <f>IFERROR(__xludf.DUMMYFUNCTION("""COMPUTED_VALUE"""),"전분")</f>
        <v>전분</v>
      </c>
    </row>
    <row r="12480">
      <c r="A12480" s="2" t="str">
        <f>IFERROR(__xludf.DUMMYFUNCTION("""COMPUTED_VALUE"""),"덮밥왕")</f>
        <v>덮밥왕</v>
      </c>
      <c r="B12480" s="2" t="str">
        <f>IFERROR(__xludf.DUMMYFUNCTION("""COMPUTED_VALUE"""),"밀가루")</f>
        <v>밀가루</v>
      </c>
    </row>
    <row r="12481">
      <c r="A12481" s="2" t="str">
        <f>IFERROR(__xludf.DUMMYFUNCTION("""COMPUTED_VALUE"""),"덮밥왕")</f>
        <v>덮밥왕</v>
      </c>
      <c r="B12481" s="2" t="str">
        <f>IFERROR(__xludf.DUMMYFUNCTION("""COMPUTED_VALUE"""),"대파")</f>
        <v>대파</v>
      </c>
    </row>
    <row r="12482">
      <c r="A12482" s="2" t="str">
        <f>IFERROR(__xludf.DUMMYFUNCTION("""COMPUTED_VALUE"""),"덮밥왕")</f>
        <v>덮밥왕</v>
      </c>
      <c r="B12482" s="2" t="str">
        <f>IFERROR(__xludf.DUMMYFUNCTION("""COMPUTED_VALUE"""),"다진마늘")</f>
        <v>다진마늘</v>
      </c>
    </row>
    <row r="12483">
      <c r="A12483" s="2" t="str">
        <f>IFERROR(__xludf.DUMMYFUNCTION("""COMPUTED_VALUE"""),"덮밥왕")</f>
        <v>덮밥왕</v>
      </c>
      <c r="B12483" s="2" t="str">
        <f>IFERROR(__xludf.DUMMYFUNCTION("""COMPUTED_VALUE"""),"고춧가루")</f>
        <v>고춧가루</v>
      </c>
    </row>
    <row r="12484">
      <c r="A12484" s="2" t="str">
        <f>IFERROR(__xludf.DUMMYFUNCTION("""COMPUTED_VALUE"""),"덮밥왕")</f>
        <v>덮밥왕</v>
      </c>
      <c r="B12484" s="2" t="str">
        <f>IFERROR(__xludf.DUMMYFUNCTION("""COMPUTED_VALUE"""),"즉석밥")</f>
        <v>즉석밥</v>
      </c>
    </row>
    <row r="12485">
      <c r="A12485" s="2" t="str">
        <f>IFERROR(__xludf.DUMMYFUNCTION("""COMPUTED_VALUE"""),"덮밥왕")</f>
        <v>덮밥왕</v>
      </c>
      <c r="B12485" s="2" t="str">
        <f>IFERROR(__xludf.DUMMYFUNCTION("""COMPUTED_VALUE"""),"식초")</f>
        <v>식초</v>
      </c>
    </row>
    <row r="12486">
      <c r="A12486" s="2" t="str">
        <f>IFERROR(__xludf.DUMMYFUNCTION("""COMPUTED_VALUE"""),"덮밥왕")</f>
        <v>덮밥왕</v>
      </c>
      <c r="B12486" s="2" t="str">
        <f>IFERROR(__xludf.DUMMYFUNCTION("""COMPUTED_VALUE"""),"소금")</f>
        <v>소금</v>
      </c>
    </row>
    <row r="12487">
      <c r="A12487" s="2" t="str">
        <f>IFERROR(__xludf.DUMMYFUNCTION("""COMPUTED_VALUE"""),"덮밥왕")</f>
        <v>덮밥왕</v>
      </c>
      <c r="B12487" s="2" t="str">
        <f>IFERROR(__xludf.DUMMYFUNCTION("""COMPUTED_VALUE"""),"물엿")</f>
        <v>물엿</v>
      </c>
    </row>
    <row r="12488">
      <c r="A12488" s="2" t="str">
        <f>IFERROR(__xludf.DUMMYFUNCTION("""COMPUTED_VALUE"""),"덮밥왕")</f>
        <v>덮밥왕</v>
      </c>
      <c r="B12488" s="2" t="str">
        <f>IFERROR(__xludf.DUMMYFUNCTION("""COMPUTED_VALUE"""),"참기름")</f>
        <v>참기름</v>
      </c>
    </row>
    <row r="12489">
      <c r="A12489" s="2" t="str">
        <f>IFERROR(__xludf.DUMMYFUNCTION("""COMPUTED_VALUE"""),"덮밥왕")</f>
        <v>덮밥왕</v>
      </c>
      <c r="B12489" s="2" t="str">
        <f>IFERROR(__xludf.DUMMYFUNCTION("""COMPUTED_VALUE"""),"버터")</f>
        <v>버터</v>
      </c>
    </row>
    <row r="12490">
      <c r="A12490" s="2" t="str">
        <f>IFERROR(__xludf.DUMMYFUNCTION("""COMPUTED_VALUE"""),"덮밥왕")</f>
        <v>덮밥왕</v>
      </c>
      <c r="B12490" s="2" t="str">
        <f>IFERROR(__xludf.DUMMYFUNCTION("""COMPUTED_VALUE"""),"달걀")</f>
        <v>달걀</v>
      </c>
    </row>
    <row r="12491">
      <c r="A12491" s="2" t="str">
        <f>IFERROR(__xludf.DUMMYFUNCTION("""COMPUTED_VALUE"""),"내가 이길 소야")</f>
        <v>내가 이길 소야</v>
      </c>
      <c r="B12491" s="2" t="str">
        <f>IFERROR(__xludf.DUMMYFUNCTION("""COMPUTED_VALUE"""),"돼지목살")</f>
        <v>돼지목살</v>
      </c>
    </row>
    <row r="12492">
      <c r="A12492" s="2" t="str">
        <f>IFERROR(__xludf.DUMMYFUNCTION("""COMPUTED_VALUE"""),"내가 이길 소야")</f>
        <v>내가 이길 소야</v>
      </c>
      <c r="B12492" s="2" t="str">
        <f>IFERROR(__xludf.DUMMYFUNCTION("""COMPUTED_VALUE"""),"족발")</f>
        <v>족발</v>
      </c>
    </row>
    <row r="12493">
      <c r="A12493" s="2" t="str">
        <f>IFERROR(__xludf.DUMMYFUNCTION("""COMPUTED_VALUE"""),"내가 이길 소야")</f>
        <v>내가 이길 소야</v>
      </c>
      <c r="B12493" s="2" t="str">
        <f>IFERROR(__xludf.DUMMYFUNCTION("""COMPUTED_VALUE"""),"편의점 편육")</f>
        <v>편의점 편육</v>
      </c>
    </row>
    <row r="12494">
      <c r="A12494" s="2" t="str">
        <f>IFERROR(__xludf.DUMMYFUNCTION("""COMPUTED_VALUE"""),"내가 이길 소야")</f>
        <v>내가 이길 소야</v>
      </c>
      <c r="B12494" s="2" t="str">
        <f>IFERROR(__xludf.DUMMYFUNCTION("""COMPUTED_VALUE"""),"갈비탕 육수")</f>
        <v>갈비탕 육수</v>
      </c>
    </row>
    <row r="12495">
      <c r="A12495" s="2" t="str">
        <f>IFERROR(__xludf.DUMMYFUNCTION("""COMPUTED_VALUE"""),"내가 이길 소야")</f>
        <v>내가 이길 소야</v>
      </c>
      <c r="B12495" s="2" t="str">
        <f>IFERROR(__xludf.DUMMYFUNCTION("""COMPUTED_VALUE"""),"프랑크소시지")</f>
        <v>프랑크소시지</v>
      </c>
    </row>
    <row r="12496">
      <c r="A12496" s="2" t="str">
        <f>IFERROR(__xludf.DUMMYFUNCTION("""COMPUTED_VALUE"""),"내가 이길 소야")</f>
        <v>내가 이길 소야</v>
      </c>
      <c r="B12496" s="2" t="str">
        <f>IFERROR(__xludf.DUMMYFUNCTION("""COMPUTED_VALUE"""),"명란젓")</f>
        <v>명란젓</v>
      </c>
    </row>
    <row r="12497">
      <c r="A12497" s="2" t="str">
        <f>IFERROR(__xludf.DUMMYFUNCTION("""COMPUTED_VALUE"""),"내가 이길 소야")</f>
        <v>내가 이길 소야</v>
      </c>
      <c r="B12497" s="2" t="str">
        <f>IFERROR(__xludf.DUMMYFUNCTION("""COMPUTED_VALUE"""),"상추")</f>
        <v>상추</v>
      </c>
    </row>
    <row r="12498">
      <c r="A12498" s="2" t="str">
        <f>IFERROR(__xludf.DUMMYFUNCTION("""COMPUTED_VALUE"""),"내가 이길 소야")</f>
        <v>내가 이길 소야</v>
      </c>
      <c r="B12498" s="2" t="str">
        <f>IFERROR(__xludf.DUMMYFUNCTION("""COMPUTED_VALUE"""),"파인애플맛 탄산음료")</f>
        <v>파인애플맛 탄산음료</v>
      </c>
    </row>
    <row r="12499">
      <c r="A12499" s="2" t="str">
        <f>IFERROR(__xludf.DUMMYFUNCTION("""COMPUTED_VALUE"""),"내가 이길 소야")</f>
        <v>내가 이길 소야</v>
      </c>
      <c r="B12499" s="2" t="str">
        <f>IFERROR(__xludf.DUMMYFUNCTION("""COMPUTED_VALUE"""),"김치")</f>
        <v>김치</v>
      </c>
    </row>
    <row r="12500">
      <c r="A12500" s="2" t="str">
        <f>IFERROR(__xludf.DUMMYFUNCTION("""COMPUTED_VALUE"""),"내가 이길 소야")</f>
        <v>내가 이길 소야</v>
      </c>
      <c r="B12500" s="2" t="str">
        <f>IFERROR(__xludf.DUMMYFUNCTION("""COMPUTED_VALUE"""),"들기름")</f>
        <v>들기름</v>
      </c>
    </row>
    <row r="12501">
      <c r="A12501" s="2" t="str">
        <f>IFERROR(__xludf.DUMMYFUNCTION("""COMPUTED_VALUE"""),"내가 이길 소야")</f>
        <v>내가 이길 소야</v>
      </c>
      <c r="B12501" s="2" t="str">
        <f>IFERROR(__xludf.DUMMYFUNCTION("""COMPUTED_VALUE"""),"된장고춧가루")</f>
        <v>된장고춧가루</v>
      </c>
    </row>
    <row r="12502">
      <c r="A12502" s="2" t="str">
        <f>IFERROR(__xludf.DUMMYFUNCTION("""COMPUTED_VALUE"""),"내가 이길 소야")</f>
        <v>내가 이길 소야</v>
      </c>
      <c r="B12502" s="2" t="str">
        <f>IFERROR(__xludf.DUMMYFUNCTION("""COMPUTED_VALUE"""),"다진마늘")</f>
        <v>다진마늘</v>
      </c>
    </row>
    <row r="12503">
      <c r="A12503" s="2" t="str">
        <f>IFERROR(__xludf.DUMMYFUNCTION("""COMPUTED_VALUE"""),"내가 이길 소야")</f>
        <v>내가 이길 소야</v>
      </c>
      <c r="B12503" s="2" t="str">
        <f>IFERROR(__xludf.DUMMYFUNCTION("""COMPUTED_VALUE"""),"맛술")</f>
        <v>맛술</v>
      </c>
    </row>
    <row r="12504">
      <c r="A12504" s="2" t="str">
        <f>IFERROR(__xludf.DUMMYFUNCTION("""COMPUTED_VALUE"""),"내가 이길 소야")</f>
        <v>내가 이길 소야</v>
      </c>
      <c r="B12504" s="2" t="str">
        <f>IFERROR(__xludf.DUMMYFUNCTION("""COMPUTED_VALUE"""),"대파")</f>
        <v>대파</v>
      </c>
    </row>
    <row r="12505">
      <c r="A12505" s="2" t="str">
        <f>IFERROR(__xludf.DUMMYFUNCTION("""COMPUTED_VALUE"""),"내가 이길 소야")</f>
        <v>내가 이길 소야</v>
      </c>
      <c r="B12505" s="2" t="str">
        <f>IFERROR(__xludf.DUMMYFUNCTION("""COMPUTED_VALUE"""),"고추")</f>
        <v>고추</v>
      </c>
    </row>
    <row r="12506">
      <c r="A12506" s="2" t="str">
        <f>IFERROR(__xludf.DUMMYFUNCTION("""COMPUTED_VALUE"""),"내가 이길 소야")</f>
        <v>내가 이길 소야</v>
      </c>
      <c r="B12506" s="2" t="str">
        <f>IFERROR(__xludf.DUMMYFUNCTION("""COMPUTED_VALUE"""),"홍고추")</f>
        <v>홍고추</v>
      </c>
    </row>
    <row r="12507">
      <c r="A12507" s="2" t="str">
        <f>IFERROR(__xludf.DUMMYFUNCTION("""COMPUTED_VALUE"""),"내가 이길 소야")</f>
        <v>내가 이길 소야</v>
      </c>
      <c r="B12507" s="2" t="str">
        <f>IFERROR(__xludf.DUMMYFUNCTION("""COMPUTED_VALUE"""),"마늘")</f>
        <v>마늘</v>
      </c>
    </row>
    <row r="12508">
      <c r="A12508" s="2" t="str">
        <f>IFERROR(__xludf.DUMMYFUNCTION("""COMPUTED_VALUE"""),"내가 이길 소야")</f>
        <v>내가 이길 소야</v>
      </c>
      <c r="B12508" s="2" t="str">
        <f>IFERROR(__xludf.DUMMYFUNCTION("""COMPUTED_VALUE"""),"양파")</f>
        <v>양파</v>
      </c>
    </row>
    <row r="12509">
      <c r="A12509" s="2" t="str">
        <f>IFERROR(__xludf.DUMMYFUNCTION("""COMPUTED_VALUE"""),"내가 이길 소야")</f>
        <v>내가 이길 소야</v>
      </c>
      <c r="B12509" s="2" t="str">
        <f>IFERROR(__xludf.DUMMYFUNCTION("""COMPUTED_VALUE"""),"당근")</f>
        <v>당근</v>
      </c>
    </row>
    <row r="12510">
      <c r="A12510" s="2" t="str">
        <f>IFERROR(__xludf.DUMMYFUNCTION("""COMPUTED_VALUE"""),"내가 이길 소야")</f>
        <v>내가 이길 소야</v>
      </c>
      <c r="B12510" s="2" t="str">
        <f>IFERROR(__xludf.DUMMYFUNCTION("""COMPUTED_VALUE"""),"연겨자")</f>
        <v>연겨자</v>
      </c>
    </row>
    <row r="12511">
      <c r="A12511" s="2" t="str">
        <f>IFERROR(__xludf.DUMMYFUNCTION("""COMPUTED_VALUE"""),"내가 이길 소야")</f>
        <v>내가 이길 소야</v>
      </c>
      <c r="B12511" s="2" t="str">
        <f>IFERROR(__xludf.DUMMYFUNCTION("""COMPUTED_VALUE"""),"설탕")</f>
        <v>설탕</v>
      </c>
    </row>
    <row r="12512">
      <c r="A12512" s="2" t="str">
        <f>IFERROR(__xludf.DUMMYFUNCTION("""COMPUTED_VALUE"""),"내가 이길 소야")</f>
        <v>내가 이길 소야</v>
      </c>
      <c r="B12512" s="2" t="str">
        <f>IFERROR(__xludf.DUMMYFUNCTION("""COMPUTED_VALUE"""),"식초")</f>
        <v>식초</v>
      </c>
    </row>
    <row r="12513">
      <c r="A12513" s="2" t="str">
        <f>IFERROR(__xludf.DUMMYFUNCTION("""COMPUTED_VALUE"""),"내가 이길 소야")</f>
        <v>내가 이길 소야</v>
      </c>
      <c r="B12513" s="2" t="str">
        <f>IFERROR(__xludf.DUMMYFUNCTION("""COMPUTED_VALUE"""),"간장")</f>
        <v>간장</v>
      </c>
    </row>
    <row r="12514">
      <c r="A12514" s="2" t="str">
        <f>IFERROR(__xludf.DUMMYFUNCTION("""COMPUTED_VALUE"""),"내가 이길 소야")</f>
        <v>내가 이길 소야</v>
      </c>
      <c r="B12514" s="2" t="str">
        <f>IFERROR(__xludf.DUMMYFUNCTION("""COMPUTED_VALUE"""),"즉석밥")</f>
        <v>즉석밥</v>
      </c>
    </row>
    <row r="12515">
      <c r="A12515" s="2" t="str">
        <f>IFERROR(__xludf.DUMMYFUNCTION("""COMPUTED_VALUE"""),"내가 이길 소야")</f>
        <v>내가 이길 소야</v>
      </c>
      <c r="B12515" s="2" t="str">
        <f>IFERROR(__xludf.DUMMYFUNCTION("""COMPUTED_VALUE"""),"달걀")</f>
        <v>달걀</v>
      </c>
    </row>
    <row r="12516">
      <c r="A12516" s="2" t="str">
        <f>IFERROR(__xludf.DUMMYFUNCTION("""COMPUTED_VALUE"""),"내가 이길 소야")</f>
        <v>내가 이길 소야</v>
      </c>
      <c r="B12516" s="2" t="str">
        <f>IFERROR(__xludf.DUMMYFUNCTION("""COMPUTED_VALUE"""),"고추장")</f>
        <v>고추장</v>
      </c>
    </row>
    <row r="12517">
      <c r="A12517" s="2" t="str">
        <f>IFERROR(__xludf.DUMMYFUNCTION("""COMPUTED_VALUE"""),"내가 이길 소야")</f>
        <v>내가 이길 소야</v>
      </c>
      <c r="B12517" s="2" t="str">
        <f>IFERROR(__xludf.DUMMYFUNCTION("""COMPUTED_VALUE"""),"케첩")</f>
        <v>케첩</v>
      </c>
    </row>
    <row r="12518">
      <c r="A12518" s="2" t="str">
        <f>IFERROR(__xludf.DUMMYFUNCTION("""COMPUTED_VALUE"""),"내가 이길 소야")</f>
        <v>내가 이길 소야</v>
      </c>
      <c r="B12518" s="2" t="str">
        <f>IFERROR(__xludf.DUMMYFUNCTION("""COMPUTED_VALUE"""),"물엿")</f>
        <v>물엿</v>
      </c>
    </row>
    <row r="12519">
      <c r="A12519" s="2" t="str">
        <f>IFERROR(__xludf.DUMMYFUNCTION("""COMPUTED_VALUE"""),"내가 이길 소야")</f>
        <v>내가 이길 소야</v>
      </c>
      <c r="B12519" s="2" t="str">
        <f>IFERROR(__xludf.DUMMYFUNCTION("""COMPUTED_VALUE"""),"후추")</f>
        <v>후추</v>
      </c>
    </row>
    <row r="12520">
      <c r="A12520" s="2" t="str">
        <f>IFERROR(__xludf.DUMMYFUNCTION("""COMPUTED_VALUE"""),"내가 이길 소야")</f>
        <v>내가 이길 소야</v>
      </c>
      <c r="B12520" s="2" t="str">
        <f>IFERROR(__xludf.DUMMYFUNCTION("""COMPUTED_VALUE"""),"마요네즈")</f>
        <v>마요네즈</v>
      </c>
    </row>
    <row r="12521">
      <c r="A12521" s="2" t="str">
        <f>IFERROR(__xludf.DUMMYFUNCTION("""COMPUTED_VALUE"""),"소바로우")</f>
        <v>소바로우</v>
      </c>
      <c r="B12521" s="2" t="str">
        <f>IFERROR(__xludf.DUMMYFUNCTION("""COMPUTED_VALUE"""),"비엔나소시지")</f>
        <v>비엔나소시지</v>
      </c>
    </row>
    <row r="12522">
      <c r="A12522" s="2" t="str">
        <f>IFERROR(__xludf.DUMMYFUNCTION("""COMPUTED_VALUE"""),"소바로우")</f>
        <v>소바로우</v>
      </c>
      <c r="B12522" s="2" t="str">
        <f>IFERROR(__xludf.DUMMYFUNCTION("""COMPUTED_VALUE"""),"사과잼")</f>
        <v>사과잼</v>
      </c>
    </row>
    <row r="12523">
      <c r="A12523" s="2" t="str">
        <f>IFERROR(__xludf.DUMMYFUNCTION("""COMPUTED_VALUE"""),"소바로우")</f>
        <v>소바로우</v>
      </c>
      <c r="B12523" s="2" t="str">
        <f>IFERROR(__xludf.DUMMYFUNCTION("""COMPUTED_VALUE"""),"시나몬가루")</f>
        <v>시나몬가루</v>
      </c>
    </row>
    <row r="12524">
      <c r="A12524" s="2" t="str">
        <f>IFERROR(__xludf.DUMMYFUNCTION("""COMPUTED_VALUE"""),"소바로우")</f>
        <v>소바로우</v>
      </c>
      <c r="B12524" s="2" t="str">
        <f>IFERROR(__xludf.DUMMYFUNCTION("""COMPUTED_VALUE"""),"옥수수 통조림")</f>
        <v>옥수수 통조림</v>
      </c>
    </row>
    <row r="12525">
      <c r="A12525" s="2" t="str">
        <f>IFERROR(__xludf.DUMMYFUNCTION("""COMPUTED_VALUE"""),"소바로우")</f>
        <v>소바로우</v>
      </c>
      <c r="B12525" s="2" t="str">
        <f>IFERROR(__xludf.DUMMYFUNCTION("""COMPUTED_VALUE"""),"전분")</f>
        <v>전분</v>
      </c>
    </row>
    <row r="12526">
      <c r="A12526" s="2" t="str">
        <f>IFERROR(__xludf.DUMMYFUNCTION("""COMPUTED_VALUE"""),"소바로우")</f>
        <v>소바로우</v>
      </c>
      <c r="B12526" s="2" t="str">
        <f>IFERROR(__xludf.DUMMYFUNCTION("""COMPUTED_VALUE"""),"식용유")</f>
        <v>식용유</v>
      </c>
    </row>
    <row r="12527">
      <c r="A12527" s="2" t="str">
        <f>IFERROR(__xludf.DUMMYFUNCTION("""COMPUTED_VALUE"""),"소바로우")</f>
        <v>소바로우</v>
      </c>
      <c r="B12527" s="2" t="str">
        <f>IFERROR(__xludf.DUMMYFUNCTION("""COMPUTED_VALUE"""),"양파")</f>
        <v>양파</v>
      </c>
    </row>
    <row r="12528">
      <c r="A12528" s="2" t="str">
        <f>IFERROR(__xludf.DUMMYFUNCTION("""COMPUTED_VALUE"""),"소바로우")</f>
        <v>소바로우</v>
      </c>
      <c r="B12528" s="2" t="str">
        <f>IFERROR(__xludf.DUMMYFUNCTION("""COMPUTED_VALUE"""),"식초")</f>
        <v>식초</v>
      </c>
    </row>
    <row r="12529">
      <c r="A12529" s="2" t="str">
        <f>IFERROR(__xludf.DUMMYFUNCTION("""COMPUTED_VALUE"""),"소바로우")</f>
        <v>소바로우</v>
      </c>
      <c r="B12529" s="2" t="str">
        <f>IFERROR(__xludf.DUMMYFUNCTION("""COMPUTED_VALUE"""),"물엿")</f>
        <v>물엿</v>
      </c>
    </row>
    <row r="12530">
      <c r="A12530" s="2" t="str">
        <f>IFERROR(__xludf.DUMMYFUNCTION("""COMPUTED_VALUE"""),"소바로우")</f>
        <v>소바로우</v>
      </c>
      <c r="B12530" s="2" t="str">
        <f>IFERROR(__xludf.DUMMYFUNCTION("""COMPUTED_VALUE"""),"간장")</f>
        <v>간장</v>
      </c>
    </row>
    <row r="12531">
      <c r="A12531" s="2" t="str">
        <f>IFERROR(__xludf.DUMMYFUNCTION("""COMPUTED_VALUE"""),"해비한 소시지")</f>
        <v>해비한 소시지</v>
      </c>
      <c r="B12531" s="2" t="str">
        <f>IFERROR(__xludf.DUMMYFUNCTION("""COMPUTED_VALUE"""),"비엔나소시지")</f>
        <v>비엔나소시지</v>
      </c>
    </row>
    <row r="12532">
      <c r="A12532" s="2" t="str">
        <f>IFERROR(__xludf.DUMMYFUNCTION("""COMPUTED_VALUE"""),"해비한 소시지")</f>
        <v>해비한 소시지</v>
      </c>
      <c r="B12532" s="2" t="str">
        <f>IFERROR(__xludf.DUMMYFUNCTION("""COMPUTED_VALUE"""),"치즈맛 육포")</f>
        <v>치즈맛 육포</v>
      </c>
    </row>
    <row r="12533">
      <c r="A12533" s="2" t="str">
        <f>IFERROR(__xludf.DUMMYFUNCTION("""COMPUTED_VALUE"""),"해비한 소시지")</f>
        <v>해비한 소시지</v>
      </c>
      <c r="B12533" s="2" t="str">
        <f>IFERROR(__xludf.DUMMYFUNCTION("""COMPUTED_VALUE"""),"과일맛 탄산주")</f>
        <v>과일맛 탄산주</v>
      </c>
    </row>
    <row r="12534">
      <c r="A12534" s="2" t="str">
        <f>IFERROR(__xludf.DUMMYFUNCTION("""COMPUTED_VALUE"""),"해비한 소시지")</f>
        <v>해비한 소시지</v>
      </c>
      <c r="B12534" s="2" t="str">
        <f>IFERROR(__xludf.DUMMYFUNCTION("""COMPUTED_VALUE"""),"해바라기씨")</f>
        <v>해바라기씨</v>
      </c>
    </row>
    <row r="12535">
      <c r="A12535" s="2" t="str">
        <f>IFERROR(__xludf.DUMMYFUNCTION("""COMPUTED_VALUE"""),"해비한 소시지")</f>
        <v>해비한 소시지</v>
      </c>
      <c r="B12535" s="2" t="str">
        <f>IFERROR(__xludf.DUMMYFUNCTION("""COMPUTED_VALUE"""),"모둠 견과류")</f>
        <v>모둠 견과류</v>
      </c>
    </row>
    <row r="12536">
      <c r="A12536" s="2" t="str">
        <f>IFERROR(__xludf.DUMMYFUNCTION("""COMPUTED_VALUE"""),"해비한 소시지")</f>
        <v>해비한 소시지</v>
      </c>
      <c r="B12536" s="2" t="str">
        <f>IFERROR(__xludf.DUMMYFUNCTION("""COMPUTED_VALUE"""),"오이지무침")</f>
        <v>오이지무침</v>
      </c>
    </row>
    <row r="12537">
      <c r="A12537" s="2" t="str">
        <f>IFERROR(__xludf.DUMMYFUNCTION("""COMPUTED_VALUE"""),"해비한 소시지")</f>
        <v>해비한 소시지</v>
      </c>
      <c r="B12537" s="2" t="str">
        <f>IFERROR(__xludf.DUMMYFUNCTION("""COMPUTED_VALUE"""),"달걀")</f>
        <v>달걀</v>
      </c>
    </row>
    <row r="12538">
      <c r="A12538" s="2" t="str">
        <f>IFERROR(__xludf.DUMMYFUNCTION("""COMPUTED_VALUE"""),"해비한 소시지")</f>
        <v>해비한 소시지</v>
      </c>
      <c r="B12538" s="2" t="str">
        <f>IFERROR(__xludf.DUMMYFUNCTION("""COMPUTED_VALUE"""),"밀가루")</f>
        <v>밀가루</v>
      </c>
    </row>
    <row r="12539">
      <c r="A12539" s="2" t="str">
        <f>IFERROR(__xludf.DUMMYFUNCTION("""COMPUTED_VALUE"""),"해비한 소시지")</f>
        <v>해비한 소시지</v>
      </c>
      <c r="B12539" s="2" t="str">
        <f>IFERROR(__xludf.DUMMYFUNCTION("""COMPUTED_VALUE"""),"마요네즈")</f>
        <v>마요네즈</v>
      </c>
    </row>
    <row r="12540">
      <c r="A12540" s="2" t="str">
        <f>IFERROR(__xludf.DUMMYFUNCTION("""COMPUTED_VALUE"""),"해비한 소시지")</f>
        <v>해비한 소시지</v>
      </c>
      <c r="B12540" s="2" t="str">
        <f>IFERROR(__xludf.DUMMYFUNCTION("""COMPUTED_VALUE"""),"후추")</f>
        <v>후추</v>
      </c>
    </row>
    <row r="12541">
      <c r="A12541" s="2" t="str">
        <f>IFERROR(__xludf.DUMMYFUNCTION("""COMPUTED_VALUE"""),"등심은 맛있어♬")</f>
        <v>등심은 맛있어♬</v>
      </c>
      <c r="B12541" s="2" t="str">
        <f>IFERROR(__xludf.DUMMYFUNCTION("""COMPUTED_VALUE"""),"소 등심")</f>
        <v>소 등심</v>
      </c>
    </row>
    <row r="12542">
      <c r="A12542" s="2" t="str">
        <f>IFERROR(__xludf.DUMMYFUNCTION("""COMPUTED_VALUE"""),"등심은 맛있어♬")</f>
        <v>등심은 맛있어♬</v>
      </c>
      <c r="B12542" s="2" t="str">
        <f>IFERROR(__xludf.DUMMYFUNCTION("""COMPUTED_VALUE"""),"인스턴트 떡갈비")</f>
        <v>인스턴트 떡갈비</v>
      </c>
    </row>
    <row r="12543">
      <c r="A12543" s="2" t="str">
        <f>IFERROR(__xludf.DUMMYFUNCTION("""COMPUTED_VALUE"""),"등심은 맛있어♬")</f>
        <v>등심은 맛있어♬</v>
      </c>
      <c r="B12543" s="2" t="str">
        <f>IFERROR(__xludf.DUMMYFUNCTION("""COMPUTED_VALUE"""),"도가니탕 육수")</f>
        <v>도가니탕 육수</v>
      </c>
    </row>
    <row r="12544">
      <c r="A12544" s="2" t="str">
        <f>IFERROR(__xludf.DUMMYFUNCTION("""COMPUTED_VALUE"""),"등심은 맛있어♬")</f>
        <v>등심은 맛있어♬</v>
      </c>
      <c r="B12544" s="2" t="str">
        <f>IFERROR(__xludf.DUMMYFUNCTION("""COMPUTED_VALUE"""),"옥수수 통조림")</f>
        <v>옥수수 통조림</v>
      </c>
    </row>
    <row r="12545">
      <c r="A12545" s="2" t="str">
        <f>IFERROR(__xludf.DUMMYFUNCTION("""COMPUTED_VALUE"""),"등심은 맛있어♬")</f>
        <v>등심은 맛있어♬</v>
      </c>
      <c r="B12545" s="2" t="str">
        <f>IFERROR(__xludf.DUMMYFUNCTION("""COMPUTED_VALUE"""),"홀그레인 머스터드")</f>
        <v>홀그레인 머스터드</v>
      </c>
    </row>
    <row r="12546">
      <c r="A12546" s="2" t="str">
        <f>IFERROR(__xludf.DUMMYFUNCTION("""COMPUTED_VALUE"""),"등심은 맛있어♬")</f>
        <v>등심은 맛있어♬</v>
      </c>
      <c r="B12546" s="2" t="str">
        <f>IFERROR(__xludf.DUMMYFUNCTION("""COMPUTED_VALUE"""),"양파크림소스")</f>
        <v>양파크림소스</v>
      </c>
    </row>
    <row r="12547">
      <c r="A12547" s="2" t="str">
        <f>IFERROR(__xludf.DUMMYFUNCTION("""COMPUTED_VALUE"""),"등심은 맛있어♬")</f>
        <v>등심은 맛있어♬</v>
      </c>
      <c r="B12547" s="2" t="str">
        <f>IFERROR(__xludf.DUMMYFUNCTION("""COMPUTED_VALUE"""),"모둠 견과류")</f>
        <v>모둠 견과류</v>
      </c>
    </row>
    <row r="12548">
      <c r="A12548" s="2" t="str">
        <f>IFERROR(__xludf.DUMMYFUNCTION("""COMPUTED_VALUE"""),"등심은 맛있어♬")</f>
        <v>등심은 맛있어♬</v>
      </c>
      <c r="B12548" s="2" t="str">
        <f>IFERROR(__xludf.DUMMYFUNCTION("""COMPUTED_VALUE"""),"기름")</f>
        <v>기름</v>
      </c>
    </row>
    <row r="12549">
      <c r="A12549" s="2" t="str">
        <f>IFERROR(__xludf.DUMMYFUNCTION("""COMPUTED_VALUE"""),"등심은 맛있어♬")</f>
        <v>등심은 맛있어♬</v>
      </c>
      <c r="B12549" s="2" t="str">
        <f>IFERROR(__xludf.DUMMYFUNCTION("""COMPUTED_VALUE"""),"후추")</f>
        <v>후추</v>
      </c>
    </row>
    <row r="12550">
      <c r="A12550" s="2" t="str">
        <f>IFERROR(__xludf.DUMMYFUNCTION("""COMPUTED_VALUE"""),"등심은 맛있어♬")</f>
        <v>등심은 맛있어♬</v>
      </c>
      <c r="B12550" s="2" t="str">
        <f>IFERROR(__xludf.DUMMYFUNCTION("""COMPUTED_VALUE"""),"간장")</f>
        <v>간장</v>
      </c>
    </row>
    <row r="12551">
      <c r="A12551" s="2" t="str">
        <f>IFERROR(__xludf.DUMMYFUNCTION("""COMPUTED_VALUE"""),"등심은 맛있어♬")</f>
        <v>등심은 맛있어♬</v>
      </c>
      <c r="B12551" s="2" t="str">
        <f>IFERROR(__xludf.DUMMYFUNCTION("""COMPUTED_VALUE"""),"전분")</f>
        <v>전분</v>
      </c>
    </row>
    <row r="12552">
      <c r="A12552" s="2" t="str">
        <f>IFERROR(__xludf.DUMMYFUNCTION("""COMPUTED_VALUE"""),"등심은 맛있어♬")</f>
        <v>등심은 맛있어♬</v>
      </c>
      <c r="B12552" s="2" t="str">
        <f>IFERROR(__xludf.DUMMYFUNCTION("""COMPUTED_VALUE"""),"달걀")</f>
        <v>달걀</v>
      </c>
    </row>
    <row r="12553">
      <c r="A12553" s="2" t="str">
        <f>IFERROR(__xludf.DUMMYFUNCTION("""COMPUTED_VALUE"""),"등심은 맛있어♬")</f>
        <v>등심은 맛있어♬</v>
      </c>
      <c r="B12553" s="2" t="str">
        <f>IFERROR(__xludf.DUMMYFUNCTION("""COMPUTED_VALUE"""),"버터")</f>
        <v>버터</v>
      </c>
    </row>
    <row r="12554">
      <c r="A12554" s="2" t="str">
        <f>IFERROR(__xludf.DUMMYFUNCTION("""COMPUTED_VALUE"""),"등심은 맛있어♬")</f>
        <v>등심은 맛있어♬</v>
      </c>
      <c r="B12554" s="2" t="str">
        <f>IFERROR(__xludf.DUMMYFUNCTION("""COMPUTED_VALUE"""),"양파")</f>
        <v>양파</v>
      </c>
    </row>
    <row r="12555">
      <c r="A12555" s="2" t="str">
        <f>IFERROR(__xludf.DUMMYFUNCTION("""COMPUTED_VALUE"""),"등심은 맛있어♬")</f>
        <v>등심은 맛있어♬</v>
      </c>
      <c r="B12555" s="2" t="str">
        <f>IFERROR(__xludf.DUMMYFUNCTION("""COMPUTED_VALUE"""),"밀가루")</f>
        <v>밀가루</v>
      </c>
    </row>
    <row r="12556">
      <c r="A12556" s="2" t="str">
        <f>IFERROR(__xludf.DUMMYFUNCTION("""COMPUTED_VALUE"""),"등심은 맛있어♬")</f>
        <v>등심은 맛있어♬</v>
      </c>
      <c r="B12556" s="2" t="str">
        <f>IFERROR(__xludf.DUMMYFUNCTION("""COMPUTED_VALUE"""),"소금")</f>
        <v>소금</v>
      </c>
    </row>
    <row r="12557">
      <c r="A12557" s="2" t="str">
        <f>IFERROR(__xludf.DUMMYFUNCTION("""COMPUTED_VALUE"""),"등심은 맛있어♬")</f>
        <v>등심은 맛있어♬</v>
      </c>
      <c r="B12557" s="2" t="str">
        <f>IFERROR(__xludf.DUMMYFUNCTION("""COMPUTED_VALUE"""),"대파")</f>
        <v>대파</v>
      </c>
    </row>
    <row r="12558">
      <c r="A12558" s="2" t="str">
        <f>IFERROR(__xludf.DUMMYFUNCTION("""COMPUTED_VALUE"""),"고로케까지 생각했어♬")</f>
        <v>고로케까지 생각했어♬</v>
      </c>
      <c r="B12558" s="2" t="str">
        <f>IFERROR(__xludf.DUMMYFUNCTION("""COMPUTED_VALUE"""),"인스턴트 카레")</f>
        <v>인스턴트 카레</v>
      </c>
    </row>
    <row r="12559">
      <c r="A12559" s="2" t="str">
        <f>IFERROR(__xludf.DUMMYFUNCTION("""COMPUTED_VALUE"""),"고로케까지 생각했어♬")</f>
        <v>고로케까지 생각했어♬</v>
      </c>
      <c r="B12559" s="2" t="str">
        <f>IFERROR(__xludf.DUMMYFUNCTION("""COMPUTED_VALUE"""),"냉동 군고구마")</f>
        <v>냉동 군고구마</v>
      </c>
    </row>
    <row r="12560">
      <c r="A12560" s="2" t="str">
        <f>IFERROR(__xludf.DUMMYFUNCTION("""COMPUTED_VALUE"""),"고로케까지 생각했어♬")</f>
        <v>고로케까지 생각했어♬</v>
      </c>
      <c r="B12560" s="2" t="str">
        <f>IFERROR(__xludf.DUMMYFUNCTION("""COMPUTED_VALUE"""),"옥수수 통조림")</f>
        <v>옥수수 통조림</v>
      </c>
    </row>
    <row r="12561">
      <c r="A12561" s="2" t="str">
        <f>IFERROR(__xludf.DUMMYFUNCTION("""COMPUTED_VALUE"""),"고로케까지 생각했어♬")</f>
        <v>고로케까지 생각했어♬</v>
      </c>
      <c r="B12561" s="2" t="str">
        <f>IFERROR(__xludf.DUMMYFUNCTION("""COMPUTED_VALUE"""),"소 등심")</f>
        <v>소 등심</v>
      </c>
    </row>
    <row r="12562">
      <c r="A12562" s="2" t="str">
        <f>IFERROR(__xludf.DUMMYFUNCTION("""COMPUTED_VALUE"""),"고로케까지 생각했어♬")</f>
        <v>고로케까지 생각했어♬</v>
      </c>
      <c r="B12562" s="2" t="str">
        <f>IFERROR(__xludf.DUMMYFUNCTION("""COMPUTED_VALUE"""),"사과")</f>
        <v>사과</v>
      </c>
    </row>
    <row r="12563">
      <c r="A12563" s="2" t="str">
        <f>IFERROR(__xludf.DUMMYFUNCTION("""COMPUTED_VALUE"""),"고로케까지 생각했어♬")</f>
        <v>고로케까지 생각했어♬</v>
      </c>
      <c r="B12563" s="2" t="str">
        <f>IFERROR(__xludf.DUMMYFUNCTION("""COMPUTED_VALUE"""),"모둠 견과류")</f>
        <v>모둠 견과류</v>
      </c>
    </row>
    <row r="12564">
      <c r="A12564" s="2" t="str">
        <f>IFERROR(__xludf.DUMMYFUNCTION("""COMPUTED_VALUE"""),"고로케까지 생각했어♬")</f>
        <v>고로케까지 생각했어♬</v>
      </c>
      <c r="B12564" s="2" t="str">
        <f>IFERROR(__xludf.DUMMYFUNCTION("""COMPUTED_VALUE"""),"볶은 캐슈넛")</f>
        <v>볶은 캐슈넛</v>
      </c>
    </row>
    <row r="12565">
      <c r="A12565" s="2" t="str">
        <f>IFERROR(__xludf.DUMMYFUNCTION("""COMPUTED_VALUE"""),"고로케까지 생각했어♬")</f>
        <v>고로케까지 생각했어♬</v>
      </c>
      <c r="B12565" s="2" t="str">
        <f>IFERROR(__xludf.DUMMYFUNCTION("""COMPUTED_VALUE"""),"참치 통조림")</f>
        <v>참치 통조림</v>
      </c>
    </row>
    <row r="12566">
      <c r="A12566" s="2" t="str">
        <f>IFERROR(__xludf.DUMMYFUNCTION("""COMPUTED_VALUE"""),"고로케까지 생각했어♬")</f>
        <v>고로케까지 생각했어♬</v>
      </c>
      <c r="B12566" s="2" t="str">
        <f>IFERROR(__xludf.DUMMYFUNCTION("""COMPUTED_VALUE"""),"망고&amp;요거트맛 초콜릿")</f>
        <v>망고&amp;요거트맛 초콜릿</v>
      </c>
    </row>
    <row r="12567">
      <c r="A12567" s="2" t="str">
        <f>IFERROR(__xludf.DUMMYFUNCTION("""COMPUTED_VALUE"""),"고로케까지 생각했어♬")</f>
        <v>고로케까지 생각했어♬</v>
      </c>
      <c r="B12567" s="2" t="str">
        <f>IFERROR(__xludf.DUMMYFUNCTION("""COMPUTED_VALUE"""),"당근")</f>
        <v>당근</v>
      </c>
    </row>
    <row r="12568">
      <c r="A12568" s="2" t="str">
        <f>IFERROR(__xludf.DUMMYFUNCTION("""COMPUTED_VALUE"""),"고로케까지 생각했어♬")</f>
        <v>고로케까지 생각했어♬</v>
      </c>
      <c r="B12568" s="2" t="str">
        <f>IFERROR(__xludf.DUMMYFUNCTION("""COMPUTED_VALUE"""),"양파")</f>
        <v>양파</v>
      </c>
    </row>
    <row r="12569">
      <c r="A12569" s="2" t="str">
        <f>IFERROR(__xludf.DUMMYFUNCTION("""COMPUTED_VALUE"""),"고로케까지 생각했어♬")</f>
        <v>고로케까지 생각했어♬</v>
      </c>
      <c r="B12569" s="2" t="str">
        <f>IFERROR(__xludf.DUMMYFUNCTION("""COMPUTED_VALUE"""),"맛술")</f>
        <v>맛술</v>
      </c>
    </row>
    <row r="12570">
      <c r="A12570" s="2" t="str">
        <f>IFERROR(__xludf.DUMMYFUNCTION("""COMPUTED_VALUE"""),"고로케까지 생각했어♬")</f>
        <v>고로케까지 생각했어♬</v>
      </c>
      <c r="B12570" s="2" t="str">
        <f>IFERROR(__xludf.DUMMYFUNCTION("""COMPUTED_VALUE"""),"간장")</f>
        <v>간장</v>
      </c>
    </row>
    <row r="12571">
      <c r="A12571" s="2" t="str">
        <f>IFERROR(__xludf.DUMMYFUNCTION("""COMPUTED_VALUE"""),"고로케까지 생각했어♬")</f>
        <v>고로케까지 생각했어♬</v>
      </c>
      <c r="B12571" s="2" t="str">
        <f>IFERROR(__xludf.DUMMYFUNCTION("""COMPUTED_VALUE"""),"밀가루")</f>
        <v>밀가루</v>
      </c>
    </row>
    <row r="12572">
      <c r="A12572" s="2" t="str">
        <f>IFERROR(__xludf.DUMMYFUNCTION("""COMPUTED_VALUE"""),"고로케까지 생각했어♬")</f>
        <v>고로케까지 생각했어♬</v>
      </c>
      <c r="B12572" s="2" t="str">
        <f>IFERROR(__xludf.DUMMYFUNCTION("""COMPUTED_VALUE"""),"버터")</f>
        <v>버터</v>
      </c>
    </row>
    <row r="12573">
      <c r="A12573" s="2" t="str">
        <f>IFERROR(__xludf.DUMMYFUNCTION("""COMPUTED_VALUE"""),"고로케까지 생각했어♬")</f>
        <v>고로케까지 생각했어♬</v>
      </c>
      <c r="B12573" s="2" t="str">
        <f>IFERROR(__xludf.DUMMYFUNCTION("""COMPUTED_VALUE"""),"기름")</f>
        <v>기름</v>
      </c>
    </row>
    <row r="12574">
      <c r="A12574" s="2" t="str">
        <f>IFERROR(__xludf.DUMMYFUNCTION("""COMPUTED_VALUE"""),"고로케까지 생각했어♬")</f>
        <v>고로케까지 생각했어♬</v>
      </c>
      <c r="B12574" s="2" t="str">
        <f>IFERROR(__xludf.DUMMYFUNCTION("""COMPUTED_VALUE"""),"마요네즈")</f>
        <v>마요네즈</v>
      </c>
    </row>
    <row r="12575">
      <c r="A12575" s="2" t="str">
        <f>IFERROR(__xludf.DUMMYFUNCTION("""COMPUTED_VALUE"""),"오골계이득")</f>
        <v>오골계이득</v>
      </c>
      <c r="B12575" s="2" t="str">
        <f>IFERROR(__xludf.DUMMYFUNCTION("""COMPUTED_VALUE"""),"오골계")</f>
        <v>오골계</v>
      </c>
    </row>
    <row r="12576">
      <c r="A12576" s="2" t="str">
        <f>IFERROR(__xludf.DUMMYFUNCTION("""COMPUTED_VALUE"""),"오골계이득")</f>
        <v>오골계이득</v>
      </c>
      <c r="B12576" s="2" t="str">
        <f>IFERROR(__xludf.DUMMYFUNCTION("""COMPUTED_VALUE"""),"오골계 초란")</f>
        <v>오골계 초란</v>
      </c>
    </row>
    <row r="12577">
      <c r="A12577" s="2" t="str">
        <f>IFERROR(__xludf.DUMMYFUNCTION("""COMPUTED_VALUE"""),"오골계이득")</f>
        <v>오골계이득</v>
      </c>
      <c r="B12577" s="2" t="str">
        <f>IFERROR(__xludf.DUMMYFUNCTION("""COMPUTED_VALUE"""),"명란젓")</f>
        <v>명란젓</v>
      </c>
    </row>
    <row r="12578">
      <c r="A12578" s="2" t="str">
        <f>IFERROR(__xludf.DUMMYFUNCTION("""COMPUTED_VALUE"""),"오골계이득")</f>
        <v>오골계이득</v>
      </c>
      <c r="B12578" s="2" t="str">
        <f>IFERROR(__xludf.DUMMYFUNCTION("""COMPUTED_VALUE"""),"된장")</f>
        <v>된장</v>
      </c>
    </row>
    <row r="12579">
      <c r="A12579" s="2" t="str">
        <f>IFERROR(__xludf.DUMMYFUNCTION("""COMPUTED_VALUE"""),"오골계이득")</f>
        <v>오골계이득</v>
      </c>
      <c r="B12579" s="2" t="str">
        <f>IFERROR(__xludf.DUMMYFUNCTION("""COMPUTED_VALUE"""),"간장게장 국물")</f>
        <v>간장게장 국물</v>
      </c>
    </row>
    <row r="12580">
      <c r="A12580" s="2" t="str">
        <f>IFERROR(__xludf.DUMMYFUNCTION("""COMPUTED_VALUE"""),"오골계이득")</f>
        <v>오골계이득</v>
      </c>
      <c r="B12580" s="2" t="str">
        <f>IFERROR(__xludf.DUMMYFUNCTION("""COMPUTED_VALUE"""),"팽이버섯")</f>
        <v>팽이버섯</v>
      </c>
    </row>
    <row r="12581">
      <c r="A12581" s="2" t="str">
        <f>IFERROR(__xludf.DUMMYFUNCTION("""COMPUTED_VALUE"""),"오골계이득")</f>
        <v>오골계이득</v>
      </c>
      <c r="B12581" s="2" t="str">
        <f>IFERROR(__xludf.DUMMYFUNCTION("""COMPUTED_VALUE"""),"알배추")</f>
        <v>알배추</v>
      </c>
    </row>
    <row r="12582">
      <c r="A12582" s="2" t="str">
        <f>IFERROR(__xludf.DUMMYFUNCTION("""COMPUTED_VALUE"""),"오골계이득")</f>
        <v>오골계이득</v>
      </c>
      <c r="B12582" s="2" t="str">
        <f>IFERROR(__xludf.DUMMYFUNCTION("""COMPUTED_VALUE"""),"라이스페이퍼")</f>
        <v>라이스페이퍼</v>
      </c>
    </row>
    <row r="12583">
      <c r="A12583" s="2" t="str">
        <f>IFERROR(__xludf.DUMMYFUNCTION("""COMPUTED_VALUE"""),"오골계이득")</f>
        <v>오골계이득</v>
      </c>
      <c r="B12583" s="2" t="str">
        <f>IFERROR(__xludf.DUMMYFUNCTION("""COMPUTED_VALUE"""),"애호박")</f>
        <v>애호박</v>
      </c>
    </row>
    <row r="12584">
      <c r="A12584" s="2" t="str">
        <f>IFERROR(__xludf.DUMMYFUNCTION("""COMPUTED_VALUE"""),"오골계이득")</f>
        <v>오골계이득</v>
      </c>
      <c r="B12584" s="2" t="str">
        <f>IFERROR(__xludf.DUMMYFUNCTION("""COMPUTED_VALUE"""),"블랙트러플 절임")</f>
        <v>블랙트러플 절임</v>
      </c>
    </row>
    <row r="12585">
      <c r="A12585" s="2" t="str">
        <f>IFERROR(__xludf.DUMMYFUNCTION("""COMPUTED_VALUE"""),"오골계이득")</f>
        <v>오골계이득</v>
      </c>
      <c r="B12585" s="2" t="str">
        <f>IFERROR(__xludf.DUMMYFUNCTION("""COMPUTED_VALUE"""),"청귤청")</f>
        <v>청귤청</v>
      </c>
    </row>
    <row r="12586">
      <c r="A12586" s="2" t="str">
        <f>IFERROR(__xludf.DUMMYFUNCTION("""COMPUTED_VALUE"""),"오골계이득")</f>
        <v>오골계이득</v>
      </c>
      <c r="B12586" s="2" t="str">
        <f>IFERROR(__xludf.DUMMYFUNCTION("""COMPUTED_VALUE"""),"그린스리라차 소스")</f>
        <v>그린스리라차 소스</v>
      </c>
    </row>
    <row r="12587">
      <c r="A12587" s="2" t="str">
        <f>IFERROR(__xludf.DUMMYFUNCTION("""COMPUTED_VALUE"""),"오골계이득")</f>
        <v>오골계이득</v>
      </c>
      <c r="B12587" s="2" t="str">
        <f>IFERROR(__xludf.DUMMYFUNCTION("""COMPUTED_VALUE"""),"참기름")</f>
        <v>참기름</v>
      </c>
    </row>
    <row r="12588">
      <c r="A12588" s="2" t="str">
        <f>IFERROR(__xludf.DUMMYFUNCTION("""COMPUTED_VALUE"""),"오골계이득")</f>
        <v>오골계이득</v>
      </c>
      <c r="B12588" s="2" t="str">
        <f>IFERROR(__xludf.DUMMYFUNCTION("""COMPUTED_VALUE"""),"막걸리")</f>
        <v>막걸리</v>
      </c>
    </row>
    <row r="12589">
      <c r="A12589" s="2" t="str">
        <f>IFERROR(__xludf.DUMMYFUNCTION("""COMPUTED_VALUE"""),"오골계이득")</f>
        <v>오골계이득</v>
      </c>
      <c r="B12589" s="2" t="str">
        <f>IFERROR(__xludf.DUMMYFUNCTION("""COMPUTED_VALUE"""),"소금")</f>
        <v>소금</v>
      </c>
    </row>
    <row r="12590">
      <c r="A12590" s="2" t="str">
        <f>IFERROR(__xludf.DUMMYFUNCTION("""COMPUTED_VALUE"""),"오골계이득")</f>
        <v>오골계이득</v>
      </c>
      <c r="B12590" s="2" t="str">
        <f>IFERROR(__xludf.DUMMYFUNCTION("""COMPUTED_VALUE"""),"튀김가루")</f>
        <v>튀김가루</v>
      </c>
    </row>
    <row r="12591">
      <c r="A12591" s="2" t="str">
        <f>IFERROR(__xludf.DUMMYFUNCTION("""COMPUTED_VALUE"""),"오골계이득")</f>
        <v>오골계이득</v>
      </c>
      <c r="B12591" s="2" t="str">
        <f>IFERROR(__xludf.DUMMYFUNCTION("""COMPUTED_VALUE"""),"참기름")</f>
        <v>참기름</v>
      </c>
    </row>
    <row r="12592">
      <c r="A12592" s="2" t="str">
        <f>IFERROR(__xludf.DUMMYFUNCTION("""COMPUTED_VALUE"""),"오골계이득")</f>
        <v>오골계이득</v>
      </c>
      <c r="B12592" s="2" t="str">
        <f>IFERROR(__xludf.DUMMYFUNCTION("""COMPUTED_VALUE"""),"양파")</f>
        <v>양파</v>
      </c>
    </row>
    <row r="12593">
      <c r="A12593" s="2" t="str">
        <f>IFERROR(__xludf.DUMMYFUNCTION("""COMPUTED_VALUE"""),"오골계이득")</f>
        <v>오골계이득</v>
      </c>
      <c r="B12593" s="2" t="str">
        <f>IFERROR(__xludf.DUMMYFUNCTION("""COMPUTED_VALUE"""),"홍고추")</f>
        <v>홍고추</v>
      </c>
    </row>
    <row r="12594">
      <c r="A12594" s="2" t="str">
        <f>IFERROR(__xludf.DUMMYFUNCTION("""COMPUTED_VALUE"""),"오골계이득")</f>
        <v>오골계이득</v>
      </c>
      <c r="B12594" s="2" t="str">
        <f>IFERROR(__xludf.DUMMYFUNCTION("""COMPUTED_VALUE"""),"고추")</f>
        <v>고추</v>
      </c>
    </row>
    <row r="12595">
      <c r="A12595" s="2" t="str">
        <f>IFERROR(__xludf.DUMMYFUNCTION("""COMPUTED_VALUE"""),"오골계이득")</f>
        <v>오골계이득</v>
      </c>
      <c r="B12595" s="2" t="str">
        <f>IFERROR(__xludf.DUMMYFUNCTION("""COMPUTED_VALUE"""),"설탕")</f>
        <v>설탕</v>
      </c>
    </row>
    <row r="12596">
      <c r="A12596" s="2" t="str">
        <f>IFERROR(__xludf.DUMMYFUNCTION("""COMPUTED_VALUE"""),"오골계 국밥")</f>
        <v>오골계 국밥</v>
      </c>
      <c r="B12596" s="2" t="str">
        <f>IFERROR(__xludf.DUMMYFUNCTION("""COMPUTED_VALUE"""),"오골계")</f>
        <v>오골계</v>
      </c>
    </row>
    <row r="12597">
      <c r="A12597" s="2" t="str">
        <f>IFERROR(__xludf.DUMMYFUNCTION("""COMPUTED_VALUE"""),"오골계 국밥")</f>
        <v>오골계 국밥</v>
      </c>
      <c r="B12597" s="2" t="str">
        <f>IFERROR(__xludf.DUMMYFUNCTION("""COMPUTED_VALUE"""),"전복")</f>
        <v>전복</v>
      </c>
    </row>
    <row r="12598">
      <c r="A12598" s="2" t="str">
        <f>IFERROR(__xludf.DUMMYFUNCTION("""COMPUTED_VALUE"""),"오골계 국밥")</f>
        <v>오골계 국밥</v>
      </c>
      <c r="B12598" s="2" t="str">
        <f>IFERROR(__xludf.DUMMYFUNCTION("""COMPUTED_VALUE"""),"된장")</f>
        <v>된장</v>
      </c>
    </row>
    <row r="12599">
      <c r="A12599" s="2" t="str">
        <f>IFERROR(__xludf.DUMMYFUNCTION("""COMPUTED_VALUE"""),"오골계 국밥")</f>
        <v>오골계 국밥</v>
      </c>
      <c r="B12599" s="2" t="str">
        <f>IFERROR(__xludf.DUMMYFUNCTION("""COMPUTED_VALUE"""),"조림 간장")</f>
        <v>조림 간장</v>
      </c>
    </row>
    <row r="12600">
      <c r="A12600" s="2" t="str">
        <f>IFERROR(__xludf.DUMMYFUNCTION("""COMPUTED_VALUE"""),"오골계 국밥")</f>
        <v>오골계 국밥</v>
      </c>
      <c r="B12600" s="2" t="str">
        <f>IFERROR(__xludf.DUMMYFUNCTION("""COMPUTED_VALUE"""),"알배추")</f>
        <v>알배추</v>
      </c>
    </row>
    <row r="12601">
      <c r="A12601" s="2" t="str">
        <f>IFERROR(__xludf.DUMMYFUNCTION("""COMPUTED_VALUE"""),"오골계 국밥")</f>
        <v>오골계 국밥</v>
      </c>
      <c r="B12601" s="2" t="str">
        <f>IFERROR(__xludf.DUMMYFUNCTION("""COMPUTED_VALUE"""),"소금")</f>
        <v>소금</v>
      </c>
    </row>
    <row r="12602">
      <c r="A12602" s="2" t="str">
        <f>IFERROR(__xludf.DUMMYFUNCTION("""COMPUTED_VALUE"""),"오골계 국밥")</f>
        <v>오골계 국밥</v>
      </c>
      <c r="B12602" s="2" t="str">
        <f>IFERROR(__xludf.DUMMYFUNCTION("""COMPUTED_VALUE"""),"대파")</f>
        <v>대파</v>
      </c>
    </row>
    <row r="12603">
      <c r="A12603" s="2" t="str">
        <f>IFERROR(__xludf.DUMMYFUNCTION("""COMPUTED_VALUE"""),"오골계 국밥")</f>
        <v>오골계 국밥</v>
      </c>
      <c r="B12603" s="2" t="str">
        <f>IFERROR(__xludf.DUMMYFUNCTION("""COMPUTED_VALUE"""),"양파")</f>
        <v>양파</v>
      </c>
    </row>
    <row r="12604">
      <c r="A12604" s="2" t="str">
        <f>IFERROR(__xludf.DUMMYFUNCTION("""COMPUTED_VALUE"""),"오골계 국밥")</f>
        <v>오골계 국밥</v>
      </c>
      <c r="B12604" s="2" t="str">
        <f>IFERROR(__xludf.DUMMYFUNCTION("""COMPUTED_VALUE"""),"설탕")</f>
        <v>설탕</v>
      </c>
    </row>
    <row r="12605">
      <c r="A12605" s="2" t="str">
        <f>IFERROR(__xludf.DUMMYFUNCTION("""COMPUTED_VALUE"""),"오골계 국밥")</f>
        <v>오골계 국밥</v>
      </c>
      <c r="B12605" s="2" t="str">
        <f>IFERROR(__xludf.DUMMYFUNCTION("""COMPUTED_VALUE"""),"즉석밥")</f>
        <v>즉석밥</v>
      </c>
    </row>
    <row r="12606">
      <c r="A12606" s="2" t="str">
        <f>IFERROR(__xludf.DUMMYFUNCTION("""COMPUTED_VALUE"""),"오골계 국밥")</f>
        <v>오골계 국밥</v>
      </c>
      <c r="B12606" s="2" t="str">
        <f>IFERROR(__xludf.DUMMYFUNCTION("""COMPUTED_VALUE"""),"청양고추")</f>
        <v>청양고추</v>
      </c>
    </row>
    <row r="12607">
      <c r="A12607" s="2" t="str">
        <f>IFERROR(__xludf.DUMMYFUNCTION("""COMPUTED_VALUE"""),"오골계 국밥")</f>
        <v>오골계 국밥</v>
      </c>
      <c r="B12607" s="2" t="str">
        <f>IFERROR(__xludf.DUMMYFUNCTION("""COMPUTED_VALUE"""),"홍고추")</f>
        <v>홍고추</v>
      </c>
    </row>
    <row r="12608">
      <c r="A12608" s="2" t="str">
        <f>IFERROR(__xludf.DUMMYFUNCTION("""COMPUTED_VALUE"""),"오골계 국밥")</f>
        <v>오골계 국밥</v>
      </c>
      <c r="B12608" s="2" t="str">
        <f>IFERROR(__xludf.DUMMYFUNCTION("""COMPUTED_VALUE"""),"마늘")</f>
        <v>마늘</v>
      </c>
    </row>
    <row r="12609">
      <c r="A12609" s="2" t="str">
        <f>IFERROR(__xludf.DUMMYFUNCTION("""COMPUTED_VALUE"""),"오골계 국밥")</f>
        <v>오골계 국밥</v>
      </c>
      <c r="B12609" s="2" t="str">
        <f>IFERROR(__xludf.DUMMYFUNCTION("""COMPUTED_VALUE"""),"고춧가루")</f>
        <v>고춧가루</v>
      </c>
    </row>
    <row r="12610">
      <c r="A12610" s="2" t="str">
        <f>IFERROR(__xludf.DUMMYFUNCTION("""COMPUTED_VALUE"""),"바비큐 Baby~♬")</f>
        <v>바비큐 Baby~♬</v>
      </c>
      <c r="B12610" s="2" t="str">
        <f>IFERROR(__xludf.DUMMYFUNCTION("""COMPUTED_VALUE"""),"통삼겹살")</f>
        <v>통삼겹살</v>
      </c>
    </row>
    <row r="12611">
      <c r="A12611" s="2" t="str">
        <f>IFERROR(__xludf.DUMMYFUNCTION("""COMPUTED_VALUE"""),"바비큐 Baby~♬")</f>
        <v>바비큐 Baby~♬</v>
      </c>
      <c r="B12611" s="2" t="str">
        <f>IFERROR(__xludf.DUMMYFUNCTION("""COMPUTED_VALUE"""),"굴소스")</f>
        <v>굴소스</v>
      </c>
    </row>
    <row r="12612">
      <c r="A12612" s="2" t="str">
        <f>IFERROR(__xludf.DUMMYFUNCTION("""COMPUTED_VALUE"""),"바비큐 Baby~♬")</f>
        <v>바비큐 Baby~♬</v>
      </c>
      <c r="B12612" s="2" t="str">
        <f>IFERROR(__xludf.DUMMYFUNCTION("""COMPUTED_VALUE"""),"브로콜리")</f>
        <v>브로콜리</v>
      </c>
    </row>
    <row r="12613">
      <c r="A12613" s="2" t="str">
        <f>IFERROR(__xludf.DUMMYFUNCTION("""COMPUTED_VALUE"""),"바비큐 Baby~♬")</f>
        <v>바비큐 Baby~♬</v>
      </c>
      <c r="B12613" s="2" t="str">
        <f>IFERROR(__xludf.DUMMYFUNCTION("""COMPUTED_VALUE"""),"팽이버섯")</f>
        <v>팽이버섯</v>
      </c>
    </row>
    <row r="12614">
      <c r="A12614" s="2" t="str">
        <f>IFERROR(__xludf.DUMMYFUNCTION("""COMPUTED_VALUE"""),"바비큐 Baby~♬")</f>
        <v>바비큐 Baby~♬</v>
      </c>
      <c r="B12614" s="2" t="str">
        <f>IFERROR(__xludf.DUMMYFUNCTION("""COMPUTED_VALUE"""),"발사믹 식초")</f>
        <v>발사믹 식초</v>
      </c>
    </row>
    <row r="12615">
      <c r="A12615" s="2" t="str">
        <f>IFERROR(__xludf.DUMMYFUNCTION("""COMPUTED_VALUE"""),"바비큐 Baby~♬")</f>
        <v>바비큐 Baby~♬</v>
      </c>
      <c r="B12615" s="2" t="str">
        <f>IFERROR(__xludf.DUMMYFUNCTION("""COMPUTED_VALUE"""),"그린스리라차 소스")</f>
        <v>그린스리라차 소스</v>
      </c>
    </row>
    <row r="12616">
      <c r="A12616" s="2" t="str">
        <f>IFERROR(__xludf.DUMMYFUNCTION("""COMPUTED_VALUE"""),"바비큐 Baby~♬")</f>
        <v>바비큐 Baby~♬</v>
      </c>
      <c r="B12616" s="2" t="str">
        <f>IFERROR(__xludf.DUMMYFUNCTION("""COMPUTED_VALUE"""),"설탕")</f>
        <v>설탕</v>
      </c>
    </row>
    <row r="12617">
      <c r="A12617" s="2" t="str">
        <f>IFERROR(__xludf.DUMMYFUNCTION("""COMPUTED_VALUE"""),"바비큐 Baby~♬")</f>
        <v>바비큐 Baby~♬</v>
      </c>
      <c r="B12617" s="2" t="str">
        <f>IFERROR(__xludf.DUMMYFUNCTION("""COMPUTED_VALUE"""),"소금")</f>
        <v>소금</v>
      </c>
    </row>
    <row r="12618">
      <c r="A12618" s="2" t="str">
        <f>IFERROR(__xludf.DUMMYFUNCTION("""COMPUTED_VALUE"""),"바비큐 Baby~♬")</f>
        <v>바비큐 Baby~♬</v>
      </c>
      <c r="B12618" s="2" t="str">
        <f>IFERROR(__xludf.DUMMYFUNCTION("""COMPUTED_VALUE"""),"전분")</f>
        <v>전분</v>
      </c>
    </row>
    <row r="12619">
      <c r="A12619" s="2" t="str">
        <f>IFERROR(__xludf.DUMMYFUNCTION("""COMPUTED_VALUE"""),"바비큐 Baby~♬")</f>
        <v>바비큐 Baby~♬</v>
      </c>
      <c r="B12619" s="2" t="str">
        <f>IFERROR(__xludf.DUMMYFUNCTION("""COMPUTED_VALUE"""),"대파")</f>
        <v>대파</v>
      </c>
    </row>
    <row r="12620">
      <c r="A12620" s="2" t="str">
        <f>IFERROR(__xludf.DUMMYFUNCTION("""COMPUTED_VALUE"""),"바비큐 Baby~♬")</f>
        <v>바비큐 Baby~♬</v>
      </c>
      <c r="B12620" s="2" t="str">
        <f>IFERROR(__xludf.DUMMYFUNCTION("""COMPUTED_VALUE"""),"홍고추")</f>
        <v>홍고추</v>
      </c>
    </row>
    <row r="12621">
      <c r="A12621" s="2" t="str">
        <f>IFERROR(__xludf.DUMMYFUNCTION("""COMPUTED_VALUE"""),"바비큐 Baby~♬")</f>
        <v>바비큐 Baby~♬</v>
      </c>
      <c r="B12621" s="2" t="str">
        <f>IFERROR(__xludf.DUMMYFUNCTION("""COMPUTED_VALUE"""),"고추양파")</f>
        <v>고추양파</v>
      </c>
    </row>
    <row r="12622">
      <c r="A12622" s="2" t="str">
        <f>IFERROR(__xludf.DUMMYFUNCTION("""COMPUTED_VALUE"""),"바비큐 Baby~♬")</f>
        <v>바비큐 Baby~♬</v>
      </c>
      <c r="B12622" s="2" t="str">
        <f>IFERROR(__xludf.DUMMYFUNCTION("""COMPUTED_VALUE"""),"마늘")</f>
        <v>마늘</v>
      </c>
    </row>
    <row r="12623">
      <c r="A12623" s="2" t="str">
        <f>IFERROR(__xludf.DUMMYFUNCTION("""COMPUTED_VALUE"""),"바비큐 Baby~♬")</f>
        <v>바비큐 Baby~♬</v>
      </c>
      <c r="B12623" s="2" t="str">
        <f>IFERROR(__xludf.DUMMYFUNCTION("""COMPUTED_VALUE"""),"다진생강")</f>
        <v>다진생강</v>
      </c>
    </row>
    <row r="12624">
      <c r="A12624" s="2" t="str">
        <f>IFERROR(__xludf.DUMMYFUNCTION("""COMPUTED_VALUE"""),"바비큐 Baby~♬")</f>
        <v>바비큐 Baby~♬</v>
      </c>
      <c r="B12624" s="2" t="str">
        <f>IFERROR(__xludf.DUMMYFUNCTION("""COMPUTED_VALUE"""),"간장")</f>
        <v>간장</v>
      </c>
    </row>
    <row r="12625">
      <c r="A12625" s="2" t="str">
        <f>IFERROR(__xludf.DUMMYFUNCTION("""COMPUTED_VALUE"""),"바비큐 Baby~♬")</f>
        <v>바비큐 Baby~♬</v>
      </c>
      <c r="B12625" s="2" t="str">
        <f>IFERROR(__xludf.DUMMYFUNCTION("""COMPUTED_VALUE"""),"케첩")</f>
        <v>케첩</v>
      </c>
    </row>
    <row r="12626">
      <c r="A12626" s="2" t="str">
        <f>IFERROR(__xludf.DUMMYFUNCTION("""COMPUTED_VALUE"""),"바비큐 Baby~♬")</f>
        <v>바비큐 Baby~♬</v>
      </c>
      <c r="B12626" s="2" t="str">
        <f>IFERROR(__xludf.DUMMYFUNCTION("""COMPUTED_VALUE"""),"레몬")</f>
        <v>레몬</v>
      </c>
    </row>
    <row r="12627">
      <c r="A12627" s="2" t="str">
        <f>IFERROR(__xludf.DUMMYFUNCTION("""COMPUTED_VALUE"""),"이 돼지의 끝을 잡고♬")</f>
        <v>이 돼지의 끝을 잡고♬</v>
      </c>
      <c r="B12627" s="2" t="str">
        <f>IFERROR(__xludf.DUMMYFUNCTION("""COMPUTED_VALUE"""),"돼지 앞다리살")</f>
        <v>돼지 앞다리살</v>
      </c>
    </row>
    <row r="12628">
      <c r="A12628" s="2" t="str">
        <f>IFERROR(__xludf.DUMMYFUNCTION("""COMPUTED_VALUE"""),"이 돼지의 끝을 잡고♬")</f>
        <v>이 돼지의 끝을 잡고♬</v>
      </c>
      <c r="B12628" s="2" t="str">
        <f>IFERROR(__xludf.DUMMYFUNCTION("""COMPUTED_VALUE"""),"낙지젓")</f>
        <v>낙지젓</v>
      </c>
    </row>
    <row r="12629">
      <c r="A12629" s="2" t="str">
        <f>IFERROR(__xludf.DUMMYFUNCTION("""COMPUTED_VALUE"""),"이 돼지의 끝을 잡고♬")</f>
        <v>이 돼지의 끝을 잡고♬</v>
      </c>
      <c r="B12629" s="2" t="str">
        <f>IFERROR(__xludf.DUMMYFUNCTION("""COMPUTED_VALUE"""),"명란젓")</f>
        <v>명란젓</v>
      </c>
    </row>
    <row r="12630">
      <c r="A12630" s="2" t="str">
        <f>IFERROR(__xludf.DUMMYFUNCTION("""COMPUTED_VALUE"""),"이 돼지의 끝을 잡고♬")</f>
        <v>이 돼지의 끝을 잡고♬</v>
      </c>
      <c r="B12630" s="2" t="str">
        <f>IFERROR(__xludf.DUMMYFUNCTION("""COMPUTED_VALUE"""),"된장")</f>
        <v>된장</v>
      </c>
    </row>
    <row r="12631">
      <c r="A12631" s="2" t="str">
        <f>IFERROR(__xludf.DUMMYFUNCTION("""COMPUTED_VALUE"""),"이 돼지의 끝을 잡고♬")</f>
        <v>이 돼지의 끝을 잡고♬</v>
      </c>
      <c r="B12631" s="2" t="str">
        <f>IFERROR(__xludf.DUMMYFUNCTION("""COMPUTED_VALUE"""),"국간장")</f>
        <v>국간장</v>
      </c>
    </row>
    <row r="12632">
      <c r="A12632" s="2" t="str">
        <f>IFERROR(__xludf.DUMMYFUNCTION("""COMPUTED_VALUE"""),"이 돼지의 끝을 잡고♬")</f>
        <v>이 돼지의 끝을 잡고♬</v>
      </c>
      <c r="B12632" s="2" t="str">
        <f>IFERROR(__xludf.DUMMYFUNCTION("""COMPUTED_VALUE"""),"매실청")</f>
        <v>매실청</v>
      </c>
    </row>
    <row r="12633">
      <c r="A12633" s="2" t="str">
        <f>IFERROR(__xludf.DUMMYFUNCTION("""COMPUTED_VALUE"""),"이 돼지의 끝을 잡고♬")</f>
        <v>이 돼지의 끝을 잡고♬</v>
      </c>
      <c r="B12633" s="2" t="str">
        <f>IFERROR(__xludf.DUMMYFUNCTION("""COMPUTED_VALUE"""),"부추")</f>
        <v>부추</v>
      </c>
    </row>
    <row r="12634">
      <c r="A12634" s="2" t="str">
        <f>IFERROR(__xludf.DUMMYFUNCTION("""COMPUTED_VALUE"""),"이 돼지의 끝을 잡고♬")</f>
        <v>이 돼지의 끝을 잡고♬</v>
      </c>
      <c r="B12634" s="2" t="str">
        <f>IFERROR(__xludf.DUMMYFUNCTION("""COMPUTED_VALUE"""),"그린스리라차 소스")</f>
        <v>그린스리라차 소스</v>
      </c>
    </row>
    <row r="12635">
      <c r="A12635" s="2" t="str">
        <f>IFERROR(__xludf.DUMMYFUNCTION("""COMPUTED_VALUE"""),"이 돼지의 끝을 잡고♬")</f>
        <v>이 돼지의 끝을 잡고♬</v>
      </c>
      <c r="B12635" s="2" t="str">
        <f>IFERROR(__xludf.DUMMYFUNCTION("""COMPUTED_VALUE"""),"참기름")</f>
        <v>참기름</v>
      </c>
    </row>
    <row r="12636">
      <c r="A12636" s="2" t="str">
        <f>IFERROR(__xludf.DUMMYFUNCTION("""COMPUTED_VALUE"""),"이 돼지의 끝을 잡고♬")</f>
        <v>이 돼지의 끝을 잡고♬</v>
      </c>
      <c r="B12636" s="2" t="str">
        <f>IFERROR(__xludf.DUMMYFUNCTION("""COMPUTED_VALUE"""),"양파 드레싱")</f>
        <v>양파 드레싱</v>
      </c>
    </row>
    <row r="12637">
      <c r="A12637" s="2" t="str">
        <f>IFERROR(__xludf.DUMMYFUNCTION("""COMPUTED_VALUE"""),"이 돼지의 끝을 잡고♬")</f>
        <v>이 돼지의 끝을 잡고♬</v>
      </c>
      <c r="B12637" s="2" t="str">
        <f>IFERROR(__xludf.DUMMYFUNCTION("""COMPUTED_VALUE"""),"올리브오일참기름")</f>
        <v>올리브오일참기름</v>
      </c>
    </row>
    <row r="12638">
      <c r="A12638" s="2" t="str">
        <f>IFERROR(__xludf.DUMMYFUNCTION("""COMPUTED_VALUE"""),"이 돼지의 끝을 잡고♬")</f>
        <v>이 돼지의 끝을 잡고♬</v>
      </c>
      <c r="B12638" s="2" t="str">
        <f>IFERROR(__xludf.DUMMYFUNCTION("""COMPUTED_VALUE"""),"된장")</f>
        <v>된장</v>
      </c>
    </row>
    <row r="12639">
      <c r="A12639" s="2" t="str">
        <f>IFERROR(__xludf.DUMMYFUNCTION("""COMPUTED_VALUE"""),"이 돼지의 끝을 잡고♬")</f>
        <v>이 돼지의 끝을 잡고♬</v>
      </c>
      <c r="B12639" s="2" t="str">
        <f>IFERROR(__xludf.DUMMYFUNCTION("""COMPUTED_VALUE"""),"다진마늘")</f>
        <v>다진마늘</v>
      </c>
    </row>
    <row r="12640">
      <c r="A12640" s="2" t="str">
        <f>IFERROR(__xludf.DUMMYFUNCTION("""COMPUTED_VALUE"""),"이 돼지의 끝을 잡고♬")</f>
        <v>이 돼지의 끝을 잡고♬</v>
      </c>
      <c r="B12640" s="2" t="str">
        <f>IFERROR(__xludf.DUMMYFUNCTION("""COMPUTED_VALUE"""),"다진생강")</f>
        <v>다진생강</v>
      </c>
    </row>
    <row r="12641">
      <c r="A12641" s="2" t="str">
        <f>IFERROR(__xludf.DUMMYFUNCTION("""COMPUTED_VALUE"""),"이 돼지의 끝을 잡고♬")</f>
        <v>이 돼지의 끝을 잡고♬</v>
      </c>
      <c r="B12641" s="2" t="str">
        <f>IFERROR(__xludf.DUMMYFUNCTION("""COMPUTED_VALUE"""),"국간장")</f>
        <v>국간장</v>
      </c>
    </row>
    <row r="12642">
      <c r="A12642" s="2" t="str">
        <f>IFERROR(__xludf.DUMMYFUNCTION("""COMPUTED_VALUE"""),"이 돼지의 끝을 잡고♬")</f>
        <v>이 돼지의 끝을 잡고♬</v>
      </c>
      <c r="B12642" s="2" t="str">
        <f>IFERROR(__xludf.DUMMYFUNCTION("""COMPUTED_VALUE"""),"맛술")</f>
        <v>맛술</v>
      </c>
    </row>
    <row r="12643">
      <c r="A12643" s="2" t="str">
        <f>IFERROR(__xludf.DUMMYFUNCTION("""COMPUTED_VALUE"""),"이 돼지의 끝을 잡고♬")</f>
        <v>이 돼지의 끝을 잡고♬</v>
      </c>
      <c r="B12643" s="2" t="str">
        <f>IFERROR(__xludf.DUMMYFUNCTION("""COMPUTED_VALUE"""),"물엿")</f>
        <v>물엿</v>
      </c>
    </row>
    <row r="12644">
      <c r="A12644" s="2" t="str">
        <f>IFERROR(__xludf.DUMMYFUNCTION("""COMPUTED_VALUE"""),"이 돼지의 끝을 잡고♬")</f>
        <v>이 돼지의 끝을 잡고♬</v>
      </c>
      <c r="B12644" s="2" t="str">
        <f>IFERROR(__xludf.DUMMYFUNCTION("""COMPUTED_VALUE"""),"양파")</f>
        <v>양파</v>
      </c>
    </row>
    <row r="12645">
      <c r="A12645" s="2" t="str">
        <f>IFERROR(__xludf.DUMMYFUNCTION("""COMPUTED_VALUE"""),"이 돼지의 끝을 잡고♬")</f>
        <v>이 돼지의 끝을 잡고♬</v>
      </c>
      <c r="B12645" s="2" t="str">
        <f>IFERROR(__xludf.DUMMYFUNCTION("""COMPUTED_VALUE"""),"마늘")</f>
        <v>마늘</v>
      </c>
    </row>
    <row r="12646">
      <c r="A12646" s="2" t="str">
        <f>IFERROR(__xludf.DUMMYFUNCTION("""COMPUTED_VALUE"""),"이 돼지의 끝을 잡고♬")</f>
        <v>이 돼지의 끝을 잡고♬</v>
      </c>
      <c r="B12646" s="2" t="str">
        <f>IFERROR(__xludf.DUMMYFUNCTION("""COMPUTED_VALUE"""),"고추")</f>
        <v>고추</v>
      </c>
    </row>
    <row r="12647">
      <c r="A12647" s="2" t="str">
        <f>IFERROR(__xludf.DUMMYFUNCTION("""COMPUTED_VALUE"""),"이 돼지의 끝을 잡고♬")</f>
        <v>이 돼지의 끝을 잡고♬</v>
      </c>
      <c r="B12647" s="2" t="str">
        <f>IFERROR(__xludf.DUMMYFUNCTION("""COMPUTED_VALUE"""),"대파")</f>
        <v>대파</v>
      </c>
    </row>
    <row r="12648">
      <c r="A12648" s="2" t="str">
        <f>IFERROR(__xludf.DUMMYFUNCTION("""COMPUTED_VALUE"""),"이 돼지의 끝을 잡고♬")</f>
        <v>이 돼지의 끝을 잡고♬</v>
      </c>
      <c r="B12648" s="2" t="str">
        <f>IFERROR(__xludf.DUMMYFUNCTION("""COMPUTED_VALUE"""),"달걀")</f>
        <v>달걀</v>
      </c>
    </row>
    <row r="12649">
      <c r="A12649" s="2" t="str">
        <f>IFERROR(__xludf.DUMMYFUNCTION("""COMPUTED_VALUE"""),"이 돼지의 끝을 잡고♬")</f>
        <v>이 돼지의 끝을 잡고♬</v>
      </c>
      <c r="B12649" s="2" t="str">
        <f>IFERROR(__xludf.DUMMYFUNCTION("""COMPUTED_VALUE"""),"즉석밥")</f>
        <v>즉석밥</v>
      </c>
    </row>
    <row r="12650">
      <c r="A12650" s="2" t="str">
        <f>IFERROR(__xludf.DUMMYFUNCTION("""COMPUTED_VALUE"""),"이 돼지의 끝을 잡고♬")</f>
        <v>이 돼지의 끝을 잡고♬</v>
      </c>
      <c r="B12650" s="2" t="str">
        <f>IFERROR(__xludf.DUMMYFUNCTION("""COMPUTED_VALUE"""),"레몬즙")</f>
        <v>레몬즙</v>
      </c>
    </row>
    <row r="12651">
      <c r="A12651" s="2" t="str">
        <f>IFERROR(__xludf.DUMMYFUNCTION("""COMPUTED_VALUE"""),"이 돼지의 끝을 잡고♬")</f>
        <v>이 돼지의 끝을 잡고♬</v>
      </c>
      <c r="B12651" s="2" t="str">
        <f>IFERROR(__xludf.DUMMYFUNCTION("""COMPUTED_VALUE"""),"식초")</f>
        <v>식초</v>
      </c>
    </row>
    <row r="12652">
      <c r="A12652" s="2" t="str">
        <f>IFERROR(__xludf.DUMMYFUNCTION("""COMPUTED_VALUE"""),"이 돼지의 끝을 잡고♬")</f>
        <v>이 돼지의 끝을 잡고♬</v>
      </c>
      <c r="B12652" s="2" t="str">
        <f>IFERROR(__xludf.DUMMYFUNCTION("""COMPUTED_VALUE"""),"통깨")</f>
        <v>통깨</v>
      </c>
    </row>
    <row r="12653">
      <c r="A12653" s="2" t="str">
        <f>IFERROR(__xludf.DUMMYFUNCTION("""COMPUTED_VALUE"""),"꽃게찜 했다♬")</f>
        <v>꽃게찜 했다♬</v>
      </c>
      <c r="B12653" s="2" t="str">
        <f>IFERROR(__xludf.DUMMYFUNCTION("""COMPUTED_VALUE"""),"꽃게")</f>
        <v>꽃게</v>
      </c>
    </row>
    <row r="12654">
      <c r="A12654" s="2" t="str">
        <f>IFERROR(__xludf.DUMMYFUNCTION("""COMPUTED_VALUE"""),"꽃게찜 했다♬")</f>
        <v>꽃게찜 했다♬</v>
      </c>
      <c r="B12654" s="2" t="str">
        <f>IFERROR(__xludf.DUMMYFUNCTION("""COMPUTED_VALUE"""),"굴")</f>
        <v>굴</v>
      </c>
    </row>
    <row r="12655">
      <c r="A12655" s="2" t="str">
        <f>IFERROR(__xludf.DUMMYFUNCTION("""COMPUTED_VALUE"""),"꽃게찜 했다♬")</f>
        <v>꽃게찜 했다♬</v>
      </c>
      <c r="B12655" s="2" t="str">
        <f>IFERROR(__xludf.DUMMYFUNCTION("""COMPUTED_VALUE"""),"전복")</f>
        <v>전복</v>
      </c>
    </row>
    <row r="12656">
      <c r="A12656" s="2" t="str">
        <f>IFERROR(__xludf.DUMMYFUNCTION("""COMPUTED_VALUE"""),"꽃게찜 했다♬")</f>
        <v>꽃게찜 했다♬</v>
      </c>
      <c r="B12656" s="2" t="str">
        <f>IFERROR(__xludf.DUMMYFUNCTION("""COMPUTED_VALUE"""),"우유")</f>
        <v>우유</v>
      </c>
    </row>
    <row r="12657">
      <c r="A12657" s="2" t="str">
        <f>IFERROR(__xludf.DUMMYFUNCTION("""COMPUTED_VALUE"""),"꽃게찜 했다♬")</f>
        <v>꽃게찜 했다♬</v>
      </c>
      <c r="B12657" s="2" t="str">
        <f>IFERROR(__xludf.DUMMYFUNCTION("""COMPUTED_VALUE"""),"양송이버섯")</f>
        <v>양송이버섯</v>
      </c>
    </row>
    <row r="12658">
      <c r="A12658" s="2" t="str">
        <f>IFERROR(__xludf.DUMMYFUNCTION("""COMPUTED_VALUE"""),"꽃게찜 했다♬")</f>
        <v>꽃게찜 했다♬</v>
      </c>
      <c r="B12658" s="2" t="str">
        <f>IFERROR(__xludf.DUMMYFUNCTION("""COMPUTED_VALUE"""),"표고버섯")</f>
        <v>표고버섯</v>
      </c>
    </row>
    <row r="12659">
      <c r="A12659" s="2" t="str">
        <f>IFERROR(__xludf.DUMMYFUNCTION("""COMPUTED_VALUE"""),"꽃게찜 했다♬")</f>
        <v>꽃게찜 했다♬</v>
      </c>
      <c r="B12659" s="2" t="str">
        <f>IFERROR(__xludf.DUMMYFUNCTION("""COMPUTED_VALUE"""),"굴소스")</f>
        <v>굴소스</v>
      </c>
    </row>
    <row r="12660">
      <c r="A12660" s="2" t="str">
        <f>IFERROR(__xludf.DUMMYFUNCTION("""COMPUTED_VALUE"""),"꽃게찜 했다♬")</f>
        <v>꽃게찜 했다♬</v>
      </c>
      <c r="B12660" s="2" t="str">
        <f>IFERROR(__xludf.DUMMYFUNCTION("""COMPUTED_VALUE"""),"트러플소스")</f>
        <v>트러플소스</v>
      </c>
    </row>
    <row r="12661">
      <c r="A12661" s="2" t="str">
        <f>IFERROR(__xludf.DUMMYFUNCTION("""COMPUTED_VALUE"""),"꽃게찜 했다♬")</f>
        <v>꽃게찜 했다♬</v>
      </c>
      <c r="B12661" s="2" t="str">
        <f>IFERROR(__xludf.DUMMYFUNCTION("""COMPUTED_VALUE"""),"고수")</f>
        <v>고수</v>
      </c>
    </row>
    <row r="12662">
      <c r="A12662" s="2" t="str">
        <f>IFERROR(__xludf.DUMMYFUNCTION("""COMPUTED_VALUE"""),"꽃게찜 했다♬")</f>
        <v>꽃게찜 했다♬</v>
      </c>
      <c r="B12662" s="2" t="str">
        <f>IFERROR(__xludf.DUMMYFUNCTION("""COMPUTED_VALUE"""),"날치알")</f>
        <v>날치알</v>
      </c>
    </row>
    <row r="12663">
      <c r="A12663" s="2" t="str">
        <f>IFERROR(__xludf.DUMMYFUNCTION("""COMPUTED_VALUE"""),"꽃게찜 했다♬")</f>
        <v>꽃게찜 했다♬</v>
      </c>
      <c r="B12663" s="2" t="str">
        <f>IFERROR(__xludf.DUMMYFUNCTION("""COMPUTED_VALUE"""),"해물육수팩")</f>
        <v>해물육수팩</v>
      </c>
    </row>
    <row r="12664">
      <c r="A12664" s="2" t="str">
        <f>IFERROR(__xludf.DUMMYFUNCTION("""COMPUTED_VALUE"""),"꽃게찜 했다♬")</f>
        <v>꽃게찜 했다♬</v>
      </c>
      <c r="B12664" s="2" t="str">
        <f>IFERROR(__xludf.DUMMYFUNCTION("""COMPUTED_VALUE"""),"파르메산 치즈가루")</f>
        <v>파르메산 치즈가루</v>
      </c>
    </row>
    <row r="12665">
      <c r="A12665" s="2" t="str">
        <f>IFERROR(__xludf.DUMMYFUNCTION("""COMPUTED_VALUE"""),"꽃게찜 했다♬")</f>
        <v>꽃게찜 했다♬</v>
      </c>
      <c r="B12665" s="2" t="str">
        <f>IFERROR(__xludf.DUMMYFUNCTION("""COMPUTED_VALUE"""),"토마토")</f>
        <v>토마토</v>
      </c>
    </row>
    <row r="12666">
      <c r="A12666" s="2" t="str">
        <f>IFERROR(__xludf.DUMMYFUNCTION("""COMPUTED_VALUE"""),"꽃게찜 했다♬")</f>
        <v>꽃게찜 했다♬</v>
      </c>
      <c r="B12666" s="2" t="str">
        <f>IFERROR(__xludf.DUMMYFUNCTION("""COMPUTED_VALUE"""),"베트남고추")</f>
        <v>베트남고추</v>
      </c>
    </row>
    <row r="12667">
      <c r="A12667" s="2" t="str">
        <f>IFERROR(__xludf.DUMMYFUNCTION("""COMPUTED_VALUE"""),"꽃게찜 했다♬")</f>
        <v>꽃게찜 했다♬</v>
      </c>
      <c r="B12667" s="2" t="str">
        <f>IFERROR(__xludf.DUMMYFUNCTION("""COMPUTED_VALUE"""),"달걀")</f>
        <v>달걀</v>
      </c>
    </row>
    <row r="12668">
      <c r="A12668" s="2" t="str">
        <f>IFERROR(__xludf.DUMMYFUNCTION("""COMPUTED_VALUE"""),"꽃게찜 했다♬")</f>
        <v>꽃게찜 했다♬</v>
      </c>
      <c r="B12668" s="2" t="str">
        <f>IFERROR(__xludf.DUMMYFUNCTION("""COMPUTED_VALUE"""),"버터")</f>
        <v>버터</v>
      </c>
    </row>
    <row r="12669">
      <c r="A12669" s="2" t="str">
        <f>IFERROR(__xludf.DUMMYFUNCTION("""COMPUTED_VALUE"""),"꽃게찜 했다♬")</f>
        <v>꽃게찜 했다♬</v>
      </c>
      <c r="B12669" s="2" t="str">
        <f>IFERROR(__xludf.DUMMYFUNCTION("""COMPUTED_VALUE"""),"밀가루")</f>
        <v>밀가루</v>
      </c>
    </row>
    <row r="12670">
      <c r="A12670" s="2" t="str">
        <f>IFERROR(__xludf.DUMMYFUNCTION("""COMPUTED_VALUE"""),"꽃게찜 했다♬")</f>
        <v>꽃게찜 했다♬</v>
      </c>
      <c r="B12670" s="2" t="str">
        <f>IFERROR(__xludf.DUMMYFUNCTION("""COMPUTED_VALUE"""),"양파")</f>
        <v>양파</v>
      </c>
    </row>
    <row r="12671">
      <c r="A12671" s="2" t="str">
        <f>IFERROR(__xludf.DUMMYFUNCTION("""COMPUTED_VALUE"""),"꽃게찜 했다♬")</f>
        <v>꽃게찜 했다♬</v>
      </c>
      <c r="B12671" s="2" t="str">
        <f>IFERROR(__xludf.DUMMYFUNCTION("""COMPUTED_VALUE"""),"후추")</f>
        <v>후추</v>
      </c>
    </row>
    <row r="12672">
      <c r="A12672" s="2" t="str">
        <f>IFERROR(__xludf.DUMMYFUNCTION("""COMPUTED_VALUE"""),"꽃게찜 했다♬")</f>
        <v>꽃게찜 했다♬</v>
      </c>
      <c r="B12672" s="2" t="str">
        <f>IFERROR(__xludf.DUMMYFUNCTION("""COMPUTED_VALUE"""),"소금")</f>
        <v>소금</v>
      </c>
    </row>
    <row r="12673">
      <c r="A12673" s="2" t="str">
        <f>IFERROR(__xludf.DUMMYFUNCTION("""COMPUTED_VALUE"""),"꽃게찜 했다♬")</f>
        <v>꽃게찜 했다♬</v>
      </c>
      <c r="B12673" s="2" t="str">
        <f>IFERROR(__xludf.DUMMYFUNCTION("""COMPUTED_VALUE"""),"간장")</f>
        <v>간장</v>
      </c>
    </row>
    <row r="12674">
      <c r="A12674" s="2" t="str">
        <f>IFERROR(__xludf.DUMMYFUNCTION("""COMPUTED_VALUE"""),"꽃게찜 했다♬")</f>
        <v>꽃게찜 했다♬</v>
      </c>
      <c r="B12674" s="2" t="str">
        <f>IFERROR(__xludf.DUMMYFUNCTION("""COMPUTED_VALUE"""),"맛술")</f>
        <v>맛술</v>
      </c>
    </row>
    <row r="12675">
      <c r="A12675" s="2" t="str">
        <f>IFERROR(__xludf.DUMMYFUNCTION("""COMPUTED_VALUE"""),"꽃게찜 했다♬")</f>
        <v>꽃게찜 했다♬</v>
      </c>
      <c r="B12675" s="2" t="str">
        <f>IFERROR(__xludf.DUMMYFUNCTION("""COMPUTED_VALUE"""),"전분")</f>
        <v>전분</v>
      </c>
    </row>
    <row r="12676">
      <c r="A12676" s="2" t="str">
        <f>IFERROR(__xludf.DUMMYFUNCTION("""COMPUTED_VALUE"""),"씨푸드파이터")</f>
        <v>씨푸드파이터</v>
      </c>
      <c r="B12676" s="2" t="str">
        <f>IFERROR(__xludf.DUMMYFUNCTION("""COMPUTED_VALUE"""),"매생이")</f>
        <v>매생이</v>
      </c>
    </row>
    <row r="12677">
      <c r="A12677" s="2" t="str">
        <f>IFERROR(__xludf.DUMMYFUNCTION("""COMPUTED_VALUE"""),"씨푸드파이터")</f>
        <v>씨푸드파이터</v>
      </c>
      <c r="B12677" s="2" t="str">
        <f>IFERROR(__xludf.DUMMYFUNCTION("""COMPUTED_VALUE"""),"전복")</f>
        <v>전복</v>
      </c>
    </row>
    <row r="12678">
      <c r="A12678" s="2" t="str">
        <f>IFERROR(__xludf.DUMMYFUNCTION("""COMPUTED_VALUE"""),"씨푸드파이터")</f>
        <v>씨푸드파이터</v>
      </c>
      <c r="B12678" s="2" t="str">
        <f>IFERROR(__xludf.DUMMYFUNCTION("""COMPUTED_VALUE"""),"굴")</f>
        <v>굴</v>
      </c>
    </row>
    <row r="12679">
      <c r="A12679" s="2" t="str">
        <f>IFERROR(__xludf.DUMMYFUNCTION("""COMPUTED_VALUE"""),"씨푸드파이터")</f>
        <v>씨푸드파이터</v>
      </c>
      <c r="B12679" s="2" t="str">
        <f>IFERROR(__xludf.DUMMYFUNCTION("""COMPUTED_VALUE"""),"낙지")</f>
        <v>낙지</v>
      </c>
    </row>
    <row r="12680">
      <c r="A12680" s="2" t="str">
        <f>IFERROR(__xludf.DUMMYFUNCTION("""COMPUTED_VALUE"""),"씨푸드파이터")</f>
        <v>씨푸드파이터</v>
      </c>
      <c r="B12680" s="2" t="str">
        <f>IFERROR(__xludf.DUMMYFUNCTION("""COMPUTED_VALUE"""),"사과")</f>
        <v>사과</v>
      </c>
    </row>
    <row r="12681">
      <c r="A12681" s="2" t="str">
        <f>IFERROR(__xludf.DUMMYFUNCTION("""COMPUTED_VALUE"""),"씨푸드파이터")</f>
        <v>씨푸드파이터</v>
      </c>
      <c r="B12681" s="2" t="str">
        <f>IFERROR(__xludf.DUMMYFUNCTION("""COMPUTED_VALUE"""),"토마토")</f>
        <v>토마토</v>
      </c>
    </row>
    <row r="12682">
      <c r="A12682" s="2" t="str">
        <f>IFERROR(__xludf.DUMMYFUNCTION("""COMPUTED_VALUE"""),"씨푸드파이터")</f>
        <v>씨푸드파이터</v>
      </c>
      <c r="B12682" s="2" t="str">
        <f>IFERROR(__xludf.DUMMYFUNCTION("""COMPUTED_VALUE"""),"석류")</f>
        <v>석류</v>
      </c>
    </row>
    <row r="12683">
      <c r="A12683" s="2" t="str">
        <f>IFERROR(__xludf.DUMMYFUNCTION("""COMPUTED_VALUE"""),"씨푸드파이터")</f>
        <v>씨푸드파이터</v>
      </c>
      <c r="B12683" s="2" t="str">
        <f>IFERROR(__xludf.DUMMYFUNCTION("""COMPUTED_VALUE"""),"고수")</f>
        <v>고수</v>
      </c>
    </row>
    <row r="12684">
      <c r="A12684" s="2" t="str">
        <f>IFERROR(__xludf.DUMMYFUNCTION("""COMPUTED_VALUE"""),"씨푸드파이터")</f>
        <v>씨푸드파이터</v>
      </c>
      <c r="B12684" s="2" t="str">
        <f>IFERROR(__xludf.DUMMYFUNCTION("""COMPUTED_VALUE"""),"애호박")</f>
        <v>애호박</v>
      </c>
    </row>
    <row r="12685">
      <c r="A12685" s="2" t="str">
        <f>IFERROR(__xludf.DUMMYFUNCTION("""COMPUTED_VALUE"""),"씨푸드파이터")</f>
        <v>씨푸드파이터</v>
      </c>
      <c r="B12685" s="2" t="str">
        <f>IFERROR(__xludf.DUMMYFUNCTION("""COMPUTED_VALUE"""),"우유")</f>
        <v>우유</v>
      </c>
    </row>
    <row r="12686">
      <c r="A12686" s="2" t="str">
        <f>IFERROR(__xludf.DUMMYFUNCTION("""COMPUTED_VALUE"""),"씨푸드파이터")</f>
        <v>씨푸드파이터</v>
      </c>
      <c r="B12686" s="2" t="str">
        <f>IFERROR(__xludf.DUMMYFUNCTION("""COMPUTED_VALUE"""),"유자청")</f>
        <v>유자청</v>
      </c>
    </row>
    <row r="12687">
      <c r="A12687" s="2" t="str">
        <f>IFERROR(__xludf.DUMMYFUNCTION("""COMPUTED_VALUE"""),"씨푸드파이터")</f>
        <v>씨푸드파이터</v>
      </c>
      <c r="B12687" s="2" t="str">
        <f>IFERROR(__xludf.DUMMYFUNCTION("""COMPUTED_VALUE"""),"샐러드 채소")</f>
        <v>샐러드 채소</v>
      </c>
    </row>
    <row r="12688">
      <c r="A12688" s="2" t="str">
        <f>IFERROR(__xludf.DUMMYFUNCTION("""COMPUTED_VALUE"""),"씨푸드파이터")</f>
        <v>씨푸드파이터</v>
      </c>
      <c r="B12688" s="2" t="str">
        <f>IFERROR(__xludf.DUMMYFUNCTION("""COMPUTED_VALUE"""),"벌화분")</f>
        <v>벌화분</v>
      </c>
    </row>
    <row r="12689">
      <c r="A12689" s="2" t="str">
        <f>IFERROR(__xludf.DUMMYFUNCTION("""COMPUTED_VALUE"""),"씨푸드파이터")</f>
        <v>씨푸드파이터</v>
      </c>
      <c r="B12689" s="2" t="str">
        <f>IFERROR(__xludf.DUMMYFUNCTION("""COMPUTED_VALUE"""),"맥주달걀")</f>
        <v>맥주달걀</v>
      </c>
    </row>
    <row r="12690">
      <c r="A12690" s="2" t="str">
        <f>IFERROR(__xludf.DUMMYFUNCTION("""COMPUTED_VALUE"""),"씨푸드파이터")</f>
        <v>씨푸드파이터</v>
      </c>
      <c r="B12690" s="2" t="str">
        <f>IFERROR(__xludf.DUMMYFUNCTION("""COMPUTED_VALUE"""),"소금")</f>
        <v>소금</v>
      </c>
    </row>
    <row r="12691">
      <c r="A12691" s="2" t="str">
        <f>IFERROR(__xludf.DUMMYFUNCTION("""COMPUTED_VALUE"""),"씨푸드파이터")</f>
        <v>씨푸드파이터</v>
      </c>
      <c r="B12691" s="2" t="str">
        <f>IFERROR(__xludf.DUMMYFUNCTION("""COMPUTED_VALUE"""),"밀가루")</f>
        <v>밀가루</v>
      </c>
    </row>
    <row r="12692">
      <c r="A12692" s="2" t="str">
        <f>IFERROR(__xludf.DUMMYFUNCTION("""COMPUTED_VALUE"""),"씨푸드파이터")</f>
        <v>씨푸드파이터</v>
      </c>
      <c r="B12692" s="2" t="str">
        <f>IFERROR(__xludf.DUMMYFUNCTION("""COMPUTED_VALUE"""),"버터")</f>
        <v>버터</v>
      </c>
    </row>
    <row r="12693">
      <c r="A12693" s="2" t="str">
        <f>IFERROR(__xludf.DUMMYFUNCTION("""COMPUTED_VALUE"""),"씨푸드파이터")</f>
        <v>씨푸드파이터</v>
      </c>
      <c r="B12693" s="2" t="str">
        <f>IFERROR(__xludf.DUMMYFUNCTION("""COMPUTED_VALUE"""),"후추")</f>
        <v>후추</v>
      </c>
    </row>
    <row r="12694">
      <c r="A12694" s="2" t="str">
        <f>IFERROR(__xludf.DUMMYFUNCTION("""COMPUTED_VALUE"""),"씨푸드파이터")</f>
        <v>씨푸드파이터</v>
      </c>
      <c r="B12694" s="2" t="str">
        <f>IFERROR(__xludf.DUMMYFUNCTION("""COMPUTED_VALUE"""),"올리브오일")</f>
        <v>올리브오일</v>
      </c>
    </row>
    <row r="12695">
      <c r="A12695" s="2" t="str">
        <f>IFERROR(__xludf.DUMMYFUNCTION("""COMPUTED_VALUE"""),"씨푸드파이터")</f>
        <v>씨푸드파이터</v>
      </c>
      <c r="B12695" s="2" t="str">
        <f>IFERROR(__xludf.DUMMYFUNCTION("""COMPUTED_VALUE"""),"레몬")</f>
        <v>레몬</v>
      </c>
    </row>
    <row r="12696">
      <c r="A12696" s="2" t="str">
        <f>IFERROR(__xludf.DUMMYFUNCTION("""COMPUTED_VALUE"""),"씨푸드파이터")</f>
        <v>씨푸드파이터</v>
      </c>
      <c r="B12696" s="2" t="str">
        <f>IFERROR(__xludf.DUMMYFUNCTION("""COMPUTED_VALUE"""),"양파")</f>
        <v>양파</v>
      </c>
    </row>
    <row r="12697">
      <c r="A12697" s="2" t="str">
        <f>IFERROR(__xludf.DUMMYFUNCTION("""COMPUTED_VALUE"""),"씨푸드파이터")</f>
        <v>씨푸드파이터</v>
      </c>
      <c r="B12697" s="2" t="str">
        <f>IFERROR(__xludf.DUMMYFUNCTION("""COMPUTED_VALUE"""),"청양고추")</f>
        <v>청양고추</v>
      </c>
    </row>
    <row r="12698">
      <c r="A12698" s="2" t="str">
        <f>IFERROR(__xludf.DUMMYFUNCTION("""COMPUTED_VALUE"""),"씨푸드파이터")</f>
        <v>씨푸드파이터</v>
      </c>
      <c r="B12698" s="2" t="str">
        <f>IFERROR(__xludf.DUMMYFUNCTION("""COMPUTED_VALUE"""),"마늘")</f>
        <v>마늘</v>
      </c>
    </row>
    <row r="12699">
      <c r="A12699" s="2" t="str">
        <f>IFERROR(__xludf.DUMMYFUNCTION("""COMPUTED_VALUE"""),"고수의 고수")</f>
        <v>고수의 고수</v>
      </c>
      <c r="B12699" s="2" t="str">
        <f>IFERROR(__xludf.DUMMYFUNCTION("""COMPUTED_VALUE"""),"고수")</f>
        <v>고수</v>
      </c>
    </row>
    <row r="12700">
      <c r="A12700" s="2" t="str">
        <f>IFERROR(__xludf.DUMMYFUNCTION("""COMPUTED_VALUE"""),"고수의 고수")</f>
        <v>고수의 고수</v>
      </c>
      <c r="B12700" s="2" t="str">
        <f>IFERROR(__xludf.DUMMYFUNCTION("""COMPUTED_VALUE"""),"살치살")</f>
        <v>살치살</v>
      </c>
    </row>
    <row r="12701">
      <c r="A12701" s="2" t="str">
        <f>IFERROR(__xludf.DUMMYFUNCTION("""COMPUTED_VALUE"""),"고수의 고수")</f>
        <v>고수의 고수</v>
      </c>
      <c r="B12701" s="2" t="str">
        <f>IFERROR(__xludf.DUMMYFUNCTION("""COMPUTED_VALUE"""),"감자")</f>
        <v>감자</v>
      </c>
    </row>
    <row r="12702">
      <c r="A12702" s="2" t="str">
        <f>IFERROR(__xludf.DUMMYFUNCTION("""COMPUTED_VALUE"""),"고수의 고수")</f>
        <v>고수의 고수</v>
      </c>
      <c r="B12702" s="2" t="str">
        <f>IFERROR(__xludf.DUMMYFUNCTION("""COMPUTED_VALUE"""),"바질페스토")</f>
        <v>바질페스토</v>
      </c>
    </row>
    <row r="12703">
      <c r="A12703" s="2" t="str">
        <f>IFERROR(__xludf.DUMMYFUNCTION("""COMPUTED_VALUE"""),"고수의 고수")</f>
        <v>고수의 고수</v>
      </c>
      <c r="B12703" s="2" t="str">
        <f>IFERROR(__xludf.DUMMYFUNCTION("""COMPUTED_VALUE"""),"양송이버섯")</f>
        <v>양송이버섯</v>
      </c>
    </row>
    <row r="12704">
      <c r="A12704" s="2" t="str">
        <f>IFERROR(__xludf.DUMMYFUNCTION("""COMPUTED_VALUE"""),"고수의 고수")</f>
        <v>고수의 고수</v>
      </c>
      <c r="B12704" s="2" t="str">
        <f>IFERROR(__xludf.DUMMYFUNCTION("""COMPUTED_VALUE"""),"표고버섯")</f>
        <v>표고버섯</v>
      </c>
    </row>
    <row r="12705">
      <c r="A12705" s="2" t="str">
        <f>IFERROR(__xludf.DUMMYFUNCTION("""COMPUTED_VALUE"""),"고수의 고수")</f>
        <v>고수의 고수</v>
      </c>
      <c r="B12705" s="2" t="str">
        <f>IFERROR(__xludf.DUMMYFUNCTION("""COMPUTED_VALUE"""),"느타리버섯")</f>
        <v>느타리버섯</v>
      </c>
    </row>
    <row r="12706">
      <c r="A12706" s="2" t="str">
        <f>IFERROR(__xludf.DUMMYFUNCTION("""COMPUTED_VALUE"""),"고수의 고수")</f>
        <v>고수의 고수</v>
      </c>
      <c r="B12706" s="2" t="str">
        <f>IFERROR(__xludf.DUMMYFUNCTION("""COMPUTED_VALUE"""),"석류")</f>
        <v>석류</v>
      </c>
    </row>
    <row r="12707">
      <c r="A12707" s="2" t="str">
        <f>IFERROR(__xludf.DUMMYFUNCTION("""COMPUTED_VALUE"""),"고수의 고수")</f>
        <v>고수의 고수</v>
      </c>
      <c r="B12707" s="2" t="str">
        <f>IFERROR(__xludf.DUMMYFUNCTION("""COMPUTED_VALUE"""),"망고")</f>
        <v>망고</v>
      </c>
    </row>
    <row r="12708">
      <c r="A12708" s="2" t="str">
        <f>IFERROR(__xludf.DUMMYFUNCTION("""COMPUTED_VALUE"""),"고수의 고수")</f>
        <v>고수의 고수</v>
      </c>
      <c r="B12708" s="2" t="str">
        <f>IFERROR(__xludf.DUMMYFUNCTION("""COMPUTED_VALUE"""),"쌀겨가루")</f>
        <v>쌀겨가루</v>
      </c>
    </row>
    <row r="12709">
      <c r="A12709" s="2" t="str">
        <f>IFERROR(__xludf.DUMMYFUNCTION("""COMPUTED_VALUE"""),"고수의 고수")</f>
        <v>고수의 고수</v>
      </c>
      <c r="B12709" s="2" t="str">
        <f>IFERROR(__xludf.DUMMYFUNCTION("""COMPUTED_VALUE"""),"트러플소스마늘")</f>
        <v>트러플소스마늘</v>
      </c>
    </row>
    <row r="12710">
      <c r="A12710" s="2" t="str">
        <f>IFERROR(__xludf.DUMMYFUNCTION("""COMPUTED_VALUE"""),"고수의 고수")</f>
        <v>고수의 고수</v>
      </c>
      <c r="B12710" s="2" t="str">
        <f>IFERROR(__xludf.DUMMYFUNCTION("""COMPUTED_VALUE"""),"소금")</f>
        <v>소금</v>
      </c>
    </row>
    <row r="12711">
      <c r="A12711" s="2" t="str">
        <f>IFERROR(__xludf.DUMMYFUNCTION("""COMPUTED_VALUE"""),"고수의 고수")</f>
        <v>고수의 고수</v>
      </c>
      <c r="B12711" s="2" t="str">
        <f>IFERROR(__xludf.DUMMYFUNCTION("""COMPUTED_VALUE"""),"후추")</f>
        <v>후추</v>
      </c>
    </row>
    <row r="12712">
      <c r="A12712" s="2" t="str">
        <f>IFERROR(__xludf.DUMMYFUNCTION("""COMPUTED_VALUE"""),"고수의 고수")</f>
        <v>고수의 고수</v>
      </c>
      <c r="B12712" s="2" t="str">
        <f>IFERROR(__xludf.DUMMYFUNCTION("""COMPUTED_VALUE"""),"올리브오일")</f>
        <v>올리브오일</v>
      </c>
    </row>
    <row r="12713">
      <c r="A12713" s="2" t="str">
        <f>IFERROR(__xludf.DUMMYFUNCTION("""COMPUTED_VALUE"""),"고수의 고수")</f>
        <v>고수의 고수</v>
      </c>
      <c r="B12713" s="2" t="str">
        <f>IFERROR(__xludf.DUMMYFUNCTION("""COMPUTED_VALUE"""),"달걀")</f>
        <v>달걀</v>
      </c>
    </row>
    <row r="12714">
      <c r="A12714" s="2" t="str">
        <f>IFERROR(__xludf.DUMMYFUNCTION("""COMPUTED_VALUE"""),"고수의 고수")</f>
        <v>고수의 고수</v>
      </c>
      <c r="B12714" s="2" t="str">
        <f>IFERROR(__xludf.DUMMYFUNCTION("""COMPUTED_VALUE"""),"레몬")</f>
        <v>레몬</v>
      </c>
    </row>
    <row r="12715">
      <c r="A12715" s="2" t="str">
        <f>IFERROR(__xludf.DUMMYFUNCTION("""COMPUTED_VALUE"""),"고수의 고수")</f>
        <v>고수의 고수</v>
      </c>
      <c r="B12715" s="2" t="str">
        <f>IFERROR(__xludf.DUMMYFUNCTION("""COMPUTED_VALUE"""),"밀가루")</f>
        <v>밀가루</v>
      </c>
    </row>
    <row r="12716">
      <c r="A12716" s="2" t="str">
        <f>IFERROR(__xludf.DUMMYFUNCTION("""COMPUTED_VALUE"""),"고수의 고수")</f>
        <v>고수의 고수</v>
      </c>
      <c r="B12716" s="2" t="str">
        <f>IFERROR(__xludf.DUMMYFUNCTION("""COMPUTED_VALUE"""),"식초")</f>
        <v>식초</v>
      </c>
    </row>
    <row r="12717">
      <c r="A12717" s="2" t="str">
        <f>IFERROR(__xludf.DUMMYFUNCTION("""COMPUTED_VALUE"""),"고수의 고수")</f>
        <v>고수의 고수</v>
      </c>
      <c r="B12717" s="2" t="str">
        <f>IFERROR(__xludf.DUMMYFUNCTION("""COMPUTED_VALUE"""),"설탕")</f>
        <v>설탕</v>
      </c>
    </row>
    <row r="12718">
      <c r="A12718" s="2" t="str">
        <f>IFERROR(__xludf.DUMMYFUNCTION("""COMPUTED_VALUE"""),"고수테이크")</f>
        <v>고수테이크</v>
      </c>
      <c r="B12718" s="2" t="str">
        <f>IFERROR(__xludf.DUMMYFUNCTION("""COMPUTED_VALUE"""),"고수")</f>
        <v>고수</v>
      </c>
    </row>
    <row r="12719">
      <c r="A12719" s="2" t="str">
        <f>IFERROR(__xludf.DUMMYFUNCTION("""COMPUTED_VALUE"""),"고수테이크")</f>
        <v>고수테이크</v>
      </c>
      <c r="B12719" s="2" t="str">
        <f>IFERROR(__xludf.DUMMYFUNCTION("""COMPUTED_VALUE"""),"대패삼겹살")</f>
        <v>대패삼겹살</v>
      </c>
    </row>
    <row r="12720">
      <c r="A12720" s="2" t="str">
        <f>IFERROR(__xludf.DUMMYFUNCTION("""COMPUTED_VALUE"""),"고수테이크")</f>
        <v>고수테이크</v>
      </c>
      <c r="B12720" s="2" t="str">
        <f>IFERROR(__xludf.DUMMYFUNCTION("""COMPUTED_VALUE"""),"살치살")</f>
        <v>살치살</v>
      </c>
    </row>
    <row r="12721">
      <c r="A12721" s="2" t="str">
        <f>IFERROR(__xludf.DUMMYFUNCTION("""COMPUTED_VALUE"""),"고수테이크")</f>
        <v>고수테이크</v>
      </c>
      <c r="B12721" s="2" t="str">
        <f>IFERROR(__xludf.DUMMYFUNCTION("""COMPUTED_VALUE"""),"트러플소스")</f>
        <v>트러플소스</v>
      </c>
    </row>
    <row r="12722">
      <c r="A12722" s="2" t="str">
        <f>IFERROR(__xludf.DUMMYFUNCTION("""COMPUTED_VALUE"""),"고수테이크")</f>
        <v>고수테이크</v>
      </c>
      <c r="B12722" s="2" t="str">
        <f>IFERROR(__xludf.DUMMYFUNCTION("""COMPUTED_VALUE"""),"토마토")</f>
        <v>토마토</v>
      </c>
    </row>
    <row r="12723">
      <c r="A12723" s="2" t="str">
        <f>IFERROR(__xludf.DUMMYFUNCTION("""COMPUTED_VALUE"""),"고수테이크")</f>
        <v>고수테이크</v>
      </c>
      <c r="B12723" s="2" t="str">
        <f>IFERROR(__xludf.DUMMYFUNCTION("""COMPUTED_VALUE"""),"망고")</f>
        <v>망고</v>
      </c>
    </row>
    <row r="12724">
      <c r="A12724" s="2" t="str">
        <f>IFERROR(__xludf.DUMMYFUNCTION("""COMPUTED_VALUE"""),"고수테이크")</f>
        <v>고수테이크</v>
      </c>
      <c r="B12724" s="2" t="str">
        <f>IFERROR(__xludf.DUMMYFUNCTION("""COMPUTED_VALUE"""),"양송이버섯")</f>
        <v>양송이버섯</v>
      </c>
    </row>
    <row r="12725">
      <c r="A12725" s="2" t="str">
        <f>IFERROR(__xludf.DUMMYFUNCTION("""COMPUTED_VALUE"""),"고수테이크")</f>
        <v>고수테이크</v>
      </c>
      <c r="B12725" s="2" t="str">
        <f>IFERROR(__xludf.DUMMYFUNCTION("""COMPUTED_VALUE"""),"바질페스토")</f>
        <v>바질페스토</v>
      </c>
    </row>
    <row r="12726">
      <c r="A12726" s="2" t="str">
        <f>IFERROR(__xludf.DUMMYFUNCTION("""COMPUTED_VALUE"""),"고수테이크")</f>
        <v>고수테이크</v>
      </c>
      <c r="B12726" s="2" t="str">
        <f>IFERROR(__xludf.DUMMYFUNCTION("""COMPUTED_VALUE"""),"슬라이스 치즈")</f>
        <v>슬라이스 치즈</v>
      </c>
    </row>
    <row r="12727">
      <c r="A12727" s="2" t="str">
        <f>IFERROR(__xludf.DUMMYFUNCTION("""COMPUTED_VALUE"""),"고수테이크")</f>
        <v>고수테이크</v>
      </c>
      <c r="B12727" s="2" t="str">
        <f>IFERROR(__xludf.DUMMYFUNCTION("""COMPUTED_VALUE"""),"닭가슴살 소시지")</f>
        <v>닭가슴살 소시지</v>
      </c>
    </row>
    <row r="12728">
      <c r="A12728" s="2" t="str">
        <f>IFERROR(__xludf.DUMMYFUNCTION("""COMPUTED_VALUE"""),"고수테이크")</f>
        <v>고수테이크</v>
      </c>
      <c r="B12728" s="2" t="str">
        <f>IFERROR(__xludf.DUMMYFUNCTION("""COMPUTED_VALUE"""),"냉이")</f>
        <v>냉이</v>
      </c>
    </row>
    <row r="12729">
      <c r="A12729" s="2" t="str">
        <f>IFERROR(__xludf.DUMMYFUNCTION("""COMPUTED_VALUE"""),"고수테이크")</f>
        <v>고수테이크</v>
      </c>
      <c r="B12729" s="2" t="str">
        <f>IFERROR(__xludf.DUMMYFUNCTION("""COMPUTED_VALUE"""),"우유전분")</f>
        <v>우유전분</v>
      </c>
    </row>
    <row r="12730">
      <c r="A12730" s="2" t="str">
        <f>IFERROR(__xludf.DUMMYFUNCTION("""COMPUTED_VALUE"""),"고수테이크")</f>
        <v>고수테이크</v>
      </c>
      <c r="B12730" s="2" t="str">
        <f>IFERROR(__xludf.DUMMYFUNCTION("""COMPUTED_VALUE"""),"후추")</f>
        <v>후추</v>
      </c>
    </row>
    <row r="12731">
      <c r="A12731" s="2" t="str">
        <f>IFERROR(__xludf.DUMMYFUNCTION("""COMPUTED_VALUE"""),"고수테이크")</f>
        <v>고수테이크</v>
      </c>
      <c r="B12731" s="2" t="str">
        <f>IFERROR(__xludf.DUMMYFUNCTION("""COMPUTED_VALUE"""),"소금")</f>
        <v>소금</v>
      </c>
    </row>
    <row r="12732">
      <c r="A12732" s="2" t="str">
        <f>IFERROR(__xludf.DUMMYFUNCTION("""COMPUTED_VALUE"""),"고수테이크")</f>
        <v>고수테이크</v>
      </c>
      <c r="B12732" s="2" t="str">
        <f>IFERROR(__xludf.DUMMYFUNCTION("""COMPUTED_VALUE"""),"올리브오일")</f>
        <v>올리브오일</v>
      </c>
    </row>
    <row r="12733">
      <c r="A12733" s="2" t="str">
        <f>IFERROR(__xludf.DUMMYFUNCTION("""COMPUTED_VALUE"""),"고수테이크")</f>
        <v>고수테이크</v>
      </c>
      <c r="B12733" s="2" t="str">
        <f>IFERROR(__xludf.DUMMYFUNCTION("""COMPUTED_VALUE"""),"버터")</f>
        <v>버터</v>
      </c>
    </row>
    <row r="12734">
      <c r="A12734" s="2" t="str">
        <f>IFERROR(__xludf.DUMMYFUNCTION("""COMPUTED_VALUE"""),"고수테이크")</f>
        <v>고수테이크</v>
      </c>
      <c r="B12734" s="2" t="str">
        <f>IFERROR(__xludf.DUMMYFUNCTION("""COMPUTED_VALUE"""),"와인")</f>
        <v>와인</v>
      </c>
    </row>
    <row r="12735">
      <c r="A12735" s="2" t="str">
        <f>IFERROR(__xludf.DUMMYFUNCTION("""COMPUTED_VALUE"""),"고수테이크")</f>
        <v>고수테이크</v>
      </c>
      <c r="B12735" s="2" t="str">
        <f>IFERROR(__xludf.DUMMYFUNCTION("""COMPUTED_VALUE"""),"대파")</f>
        <v>대파</v>
      </c>
    </row>
    <row r="12736">
      <c r="A12736" s="2" t="str">
        <f>IFERROR(__xludf.DUMMYFUNCTION("""COMPUTED_VALUE"""),"고수테이크")</f>
        <v>고수테이크</v>
      </c>
      <c r="B12736" s="2" t="str">
        <f>IFERROR(__xludf.DUMMYFUNCTION("""COMPUTED_VALUE"""),"양파")</f>
        <v>양파</v>
      </c>
    </row>
    <row r="12737">
      <c r="A12737" s="2" t="str">
        <f>IFERROR(__xludf.DUMMYFUNCTION("""COMPUTED_VALUE"""),"고수테이크")</f>
        <v>고수테이크</v>
      </c>
      <c r="B12737" s="2" t="str">
        <f>IFERROR(__xludf.DUMMYFUNCTION("""COMPUTED_VALUE"""),"밀가루")</f>
        <v>밀가루</v>
      </c>
    </row>
    <row r="12738">
      <c r="A12738" s="2" t="str">
        <f>IFERROR(__xludf.DUMMYFUNCTION("""COMPUTED_VALUE"""),"소울 담아 구워 드림")</f>
        <v>소울 담아 구워 드림</v>
      </c>
      <c r="B12738" s="2" t="str">
        <f>IFERROR(__xludf.DUMMYFUNCTION("""COMPUTED_VALUE"""),"등갈비")</f>
        <v>등갈비</v>
      </c>
    </row>
    <row r="12739">
      <c r="A12739" s="2" t="str">
        <f>IFERROR(__xludf.DUMMYFUNCTION("""COMPUTED_VALUE"""),"소울 담아 구워 드림")</f>
        <v>소울 담아 구워 드림</v>
      </c>
      <c r="B12739" s="2" t="str">
        <f>IFERROR(__xludf.DUMMYFUNCTION("""COMPUTED_VALUE"""),"갈치")</f>
        <v>갈치</v>
      </c>
    </row>
    <row r="12740">
      <c r="A12740" s="2" t="str">
        <f>IFERROR(__xludf.DUMMYFUNCTION("""COMPUTED_VALUE"""),"소울 담아 구워 드림")</f>
        <v>소울 담아 구워 드림</v>
      </c>
      <c r="B12740" s="2" t="str">
        <f>IFERROR(__xludf.DUMMYFUNCTION("""COMPUTED_VALUE"""),"닭다리살")</f>
        <v>닭다리살</v>
      </c>
    </row>
    <row r="12741">
      <c r="A12741" s="2" t="str">
        <f>IFERROR(__xludf.DUMMYFUNCTION("""COMPUTED_VALUE"""),"소울 담아 구워 드림")</f>
        <v>소울 담아 구워 드림</v>
      </c>
      <c r="B12741" s="2" t="str">
        <f>IFERROR(__xludf.DUMMYFUNCTION("""COMPUTED_VALUE"""),"쯔유")</f>
        <v>쯔유</v>
      </c>
    </row>
    <row r="12742">
      <c r="A12742" s="2" t="str">
        <f>IFERROR(__xludf.DUMMYFUNCTION("""COMPUTED_VALUE"""),"소울 담아 구워 드림")</f>
        <v>소울 담아 구워 드림</v>
      </c>
      <c r="B12742" s="2" t="str">
        <f>IFERROR(__xludf.DUMMYFUNCTION("""COMPUTED_VALUE"""),"레몬청")</f>
        <v>레몬청</v>
      </c>
    </row>
    <row r="12743">
      <c r="A12743" s="2" t="str">
        <f>IFERROR(__xludf.DUMMYFUNCTION("""COMPUTED_VALUE"""),"소울 담아 구워 드림")</f>
        <v>소울 담아 구워 드림</v>
      </c>
      <c r="B12743" s="2" t="str">
        <f>IFERROR(__xludf.DUMMYFUNCTION("""COMPUTED_VALUE"""),"마늘종")</f>
        <v>마늘종</v>
      </c>
    </row>
    <row r="12744">
      <c r="A12744" s="2" t="str">
        <f>IFERROR(__xludf.DUMMYFUNCTION("""COMPUTED_VALUE"""),"소울 담아 구워 드림")</f>
        <v>소울 담아 구워 드림</v>
      </c>
      <c r="B12744" s="2" t="str">
        <f>IFERROR(__xludf.DUMMYFUNCTION("""COMPUTED_VALUE"""),"굴소스")</f>
        <v>굴소스</v>
      </c>
    </row>
    <row r="12745">
      <c r="A12745" s="2" t="str">
        <f>IFERROR(__xludf.DUMMYFUNCTION("""COMPUTED_VALUE"""),"소울 담아 구워 드림")</f>
        <v>소울 담아 구워 드림</v>
      </c>
      <c r="B12745" s="2" t="str">
        <f>IFERROR(__xludf.DUMMYFUNCTION("""COMPUTED_VALUE"""),"파프리카")</f>
        <v>파프리카</v>
      </c>
    </row>
    <row r="12746">
      <c r="A12746" s="2" t="str">
        <f>IFERROR(__xludf.DUMMYFUNCTION("""COMPUTED_VALUE"""),"소울 담아 구워 드림")</f>
        <v>소울 담아 구워 드림</v>
      </c>
      <c r="B12746" s="2" t="str">
        <f>IFERROR(__xludf.DUMMYFUNCTION("""COMPUTED_VALUE"""),"알배추")</f>
        <v>알배추</v>
      </c>
    </row>
    <row r="12747">
      <c r="A12747" s="2" t="str">
        <f>IFERROR(__xludf.DUMMYFUNCTION("""COMPUTED_VALUE"""),"소울 담아 구워 드림")</f>
        <v>소울 담아 구워 드림</v>
      </c>
      <c r="B12747" s="2" t="str">
        <f>IFERROR(__xludf.DUMMYFUNCTION("""COMPUTED_VALUE"""),"애호박")</f>
        <v>애호박</v>
      </c>
    </row>
    <row r="12748">
      <c r="A12748" s="2" t="str">
        <f>IFERROR(__xludf.DUMMYFUNCTION("""COMPUTED_VALUE"""),"소울 담아 구워 드림")</f>
        <v>소울 담아 구워 드림</v>
      </c>
      <c r="B12748" s="2" t="str">
        <f>IFERROR(__xludf.DUMMYFUNCTION("""COMPUTED_VALUE"""),"표고버섯")</f>
        <v>표고버섯</v>
      </c>
    </row>
    <row r="12749">
      <c r="A12749" s="2" t="str">
        <f>IFERROR(__xludf.DUMMYFUNCTION("""COMPUTED_VALUE"""),"소울 담아 구워 드림")</f>
        <v>소울 담아 구워 드림</v>
      </c>
      <c r="B12749" s="2" t="str">
        <f>IFERROR(__xludf.DUMMYFUNCTION("""COMPUTED_VALUE"""),"쌀")</f>
        <v>쌀</v>
      </c>
    </row>
    <row r="12750">
      <c r="A12750" s="2" t="str">
        <f>IFERROR(__xludf.DUMMYFUNCTION("""COMPUTED_VALUE"""),"소울 담아 구워 드림")</f>
        <v>소울 담아 구워 드림</v>
      </c>
      <c r="B12750" s="2" t="str">
        <f>IFERROR(__xludf.DUMMYFUNCTION("""COMPUTED_VALUE"""),"설탕")</f>
        <v>설탕</v>
      </c>
    </row>
    <row r="12751">
      <c r="A12751" s="2" t="str">
        <f>IFERROR(__xludf.DUMMYFUNCTION("""COMPUTED_VALUE"""),"소울 담아 구워 드림")</f>
        <v>소울 담아 구워 드림</v>
      </c>
      <c r="B12751" s="2" t="str">
        <f>IFERROR(__xludf.DUMMYFUNCTION("""COMPUTED_VALUE"""),"간장")</f>
        <v>간장</v>
      </c>
    </row>
    <row r="12752">
      <c r="A12752" s="2" t="str">
        <f>IFERROR(__xludf.DUMMYFUNCTION("""COMPUTED_VALUE"""),"소울 담아 구워 드림")</f>
        <v>소울 담아 구워 드림</v>
      </c>
      <c r="B12752" s="2" t="str">
        <f>IFERROR(__xludf.DUMMYFUNCTION("""COMPUTED_VALUE"""),"레몬 대파")</f>
        <v>레몬 대파</v>
      </c>
    </row>
    <row r="12753">
      <c r="A12753" s="2" t="str">
        <f>IFERROR(__xludf.DUMMYFUNCTION("""COMPUTED_VALUE"""),"소울 담아 구워 드림")</f>
        <v>소울 담아 구워 드림</v>
      </c>
      <c r="B12753" s="2" t="str">
        <f>IFERROR(__xludf.DUMMYFUNCTION("""COMPUTED_VALUE"""),"고추")</f>
        <v>고추</v>
      </c>
    </row>
    <row r="12754">
      <c r="A12754" s="2" t="str">
        <f>IFERROR(__xludf.DUMMYFUNCTION("""COMPUTED_VALUE"""),"소울 담아 구워 드림")</f>
        <v>소울 담아 구워 드림</v>
      </c>
      <c r="B12754" s="2" t="str">
        <f>IFERROR(__xludf.DUMMYFUNCTION("""COMPUTED_VALUE"""),"양파")</f>
        <v>양파</v>
      </c>
    </row>
    <row r="12755">
      <c r="A12755" s="2" t="str">
        <f>IFERROR(__xludf.DUMMYFUNCTION("""COMPUTED_VALUE"""),"소울 담아 구워 드림")</f>
        <v>소울 담아 구워 드림</v>
      </c>
      <c r="B12755" s="2" t="str">
        <f>IFERROR(__xludf.DUMMYFUNCTION("""COMPUTED_VALUE"""),"마늘")</f>
        <v>마늘</v>
      </c>
    </row>
    <row r="12756">
      <c r="A12756" s="2" t="str">
        <f>IFERROR(__xludf.DUMMYFUNCTION("""COMPUTED_VALUE"""),"소울 담아 구워 드림")</f>
        <v>소울 담아 구워 드림</v>
      </c>
      <c r="B12756" s="2" t="str">
        <f>IFERROR(__xludf.DUMMYFUNCTION("""COMPUTED_VALUE"""),"고춧가루")</f>
        <v>고춧가루</v>
      </c>
    </row>
    <row r="12757">
      <c r="A12757" s="2" t="str">
        <f>IFERROR(__xludf.DUMMYFUNCTION("""COMPUTED_VALUE"""),"소울 담아 구워 드림")</f>
        <v>소울 담아 구워 드림</v>
      </c>
      <c r="B12757" s="2" t="str">
        <f>IFERROR(__xludf.DUMMYFUNCTION("""COMPUTED_VALUE"""),"당근")</f>
        <v>당근</v>
      </c>
    </row>
    <row r="12758">
      <c r="A12758" s="2" t="str">
        <f>IFERROR(__xludf.DUMMYFUNCTION("""COMPUTED_VALUE"""),"소울 담아 구워 드림")</f>
        <v>소울 담아 구워 드림</v>
      </c>
      <c r="B12758" s="2" t="str">
        <f>IFERROR(__xludf.DUMMYFUNCTION("""COMPUTED_VALUE"""),"고추장")</f>
        <v>고추장</v>
      </c>
    </row>
    <row r="12759">
      <c r="A12759" s="2" t="str">
        <f>IFERROR(__xludf.DUMMYFUNCTION("""COMPUTED_VALUE"""),"소울 담아 구워 드림")</f>
        <v>소울 담아 구워 드림</v>
      </c>
      <c r="B12759" s="2" t="str">
        <f>IFERROR(__xludf.DUMMYFUNCTION("""COMPUTED_VALUE"""),"들기름")</f>
        <v>들기름</v>
      </c>
    </row>
    <row r="12760">
      <c r="A12760" s="2" t="str">
        <f>IFERROR(__xludf.DUMMYFUNCTION("""COMPUTED_VALUE"""),"별난 스테이크")</f>
        <v>별난 스테이크</v>
      </c>
      <c r="B12760" s="2" t="str">
        <f>IFERROR(__xludf.DUMMYFUNCTION("""COMPUTED_VALUE"""),"소고기 안심")</f>
        <v>소고기 안심</v>
      </c>
    </row>
    <row r="12761">
      <c r="A12761" s="2" t="str">
        <f>IFERROR(__xludf.DUMMYFUNCTION("""COMPUTED_VALUE"""),"별난 스테이크")</f>
        <v>별난 스테이크</v>
      </c>
      <c r="B12761" s="2" t="str">
        <f>IFERROR(__xludf.DUMMYFUNCTION("""COMPUTED_VALUE"""),"연어")</f>
        <v>연어</v>
      </c>
    </row>
    <row r="12762">
      <c r="A12762" s="2" t="str">
        <f>IFERROR(__xludf.DUMMYFUNCTION("""COMPUTED_VALUE"""),"별난 스테이크")</f>
        <v>별난 스테이크</v>
      </c>
      <c r="B12762" s="2" t="str">
        <f>IFERROR(__xludf.DUMMYFUNCTION("""COMPUTED_VALUE"""),"새우")</f>
        <v>새우</v>
      </c>
    </row>
    <row r="12763">
      <c r="A12763" s="2" t="str">
        <f>IFERROR(__xludf.DUMMYFUNCTION("""COMPUTED_VALUE"""),"별난 스테이크")</f>
        <v>별난 스테이크</v>
      </c>
      <c r="B12763" s="2" t="str">
        <f>IFERROR(__xludf.DUMMYFUNCTION("""COMPUTED_VALUE"""),"말린 국화")</f>
        <v>말린 국화</v>
      </c>
    </row>
    <row r="12764">
      <c r="A12764" s="2" t="str">
        <f>IFERROR(__xludf.DUMMYFUNCTION("""COMPUTED_VALUE"""),"별난 스테이크")</f>
        <v>별난 스테이크</v>
      </c>
      <c r="B12764" s="2" t="str">
        <f>IFERROR(__xludf.DUMMYFUNCTION("""COMPUTED_VALUE"""),"아보카도")</f>
        <v>아보카도</v>
      </c>
    </row>
    <row r="12765">
      <c r="A12765" s="2" t="str">
        <f>IFERROR(__xludf.DUMMYFUNCTION("""COMPUTED_VALUE"""),"별난 스테이크")</f>
        <v>별난 스테이크</v>
      </c>
      <c r="B12765" s="2" t="str">
        <f>IFERROR(__xludf.DUMMYFUNCTION("""COMPUTED_VALUE"""),"바비큐소스")</f>
        <v>바비큐소스</v>
      </c>
    </row>
    <row r="12766">
      <c r="A12766" s="2" t="str">
        <f>IFERROR(__xludf.DUMMYFUNCTION("""COMPUTED_VALUE"""),"별난 스테이크")</f>
        <v>별난 스테이크</v>
      </c>
      <c r="B12766" s="2" t="str">
        <f>IFERROR(__xludf.DUMMYFUNCTION("""COMPUTED_VALUE"""),"시금치")</f>
        <v>시금치</v>
      </c>
    </row>
    <row r="12767">
      <c r="A12767" s="2" t="str">
        <f>IFERROR(__xludf.DUMMYFUNCTION("""COMPUTED_VALUE"""),"별난 스테이크")</f>
        <v>별난 스테이크</v>
      </c>
      <c r="B12767" s="2" t="str">
        <f>IFERROR(__xludf.DUMMYFUNCTION("""COMPUTED_VALUE"""),"베트남고추")</f>
        <v>베트남고추</v>
      </c>
    </row>
    <row r="12768">
      <c r="A12768" s="2" t="str">
        <f>IFERROR(__xludf.DUMMYFUNCTION("""COMPUTED_VALUE"""),"별난 스테이크")</f>
        <v>별난 스테이크</v>
      </c>
      <c r="B12768" s="2" t="str">
        <f>IFERROR(__xludf.DUMMYFUNCTION("""COMPUTED_VALUE"""),"로제소스")</f>
        <v>로제소스</v>
      </c>
    </row>
    <row r="12769">
      <c r="A12769" s="2" t="str">
        <f>IFERROR(__xludf.DUMMYFUNCTION("""COMPUTED_VALUE"""),"별난 스테이크")</f>
        <v>별난 스테이크</v>
      </c>
      <c r="B12769" s="2" t="str">
        <f>IFERROR(__xludf.DUMMYFUNCTION("""COMPUTED_VALUE"""),"양송이버섯")</f>
        <v>양송이버섯</v>
      </c>
    </row>
    <row r="12770">
      <c r="A12770" s="2" t="str">
        <f>IFERROR(__xludf.DUMMYFUNCTION("""COMPUTED_VALUE"""),"별난 스테이크")</f>
        <v>별난 스테이크</v>
      </c>
      <c r="B12770" s="2" t="str">
        <f>IFERROR(__xludf.DUMMYFUNCTION("""COMPUTED_VALUE"""),"마늘")</f>
        <v>마늘</v>
      </c>
    </row>
    <row r="12771">
      <c r="A12771" s="2" t="str">
        <f>IFERROR(__xludf.DUMMYFUNCTION("""COMPUTED_VALUE"""),"별난 스테이크")</f>
        <v>별난 스테이크</v>
      </c>
      <c r="B12771" s="2" t="str">
        <f>IFERROR(__xludf.DUMMYFUNCTION("""COMPUTED_VALUE"""),"대파")</f>
        <v>대파</v>
      </c>
    </row>
    <row r="12772">
      <c r="A12772" s="2" t="str">
        <f>IFERROR(__xludf.DUMMYFUNCTION("""COMPUTED_VALUE"""),"별난 스테이크")</f>
        <v>별난 스테이크</v>
      </c>
      <c r="B12772" s="2" t="str">
        <f>IFERROR(__xludf.DUMMYFUNCTION("""COMPUTED_VALUE"""),"레몬간장")</f>
        <v>레몬간장</v>
      </c>
    </row>
    <row r="12773">
      <c r="A12773" s="2" t="str">
        <f>IFERROR(__xludf.DUMMYFUNCTION("""COMPUTED_VALUE"""),"별난 스테이크")</f>
        <v>별난 스테이크</v>
      </c>
      <c r="B12773" s="2" t="str">
        <f>IFERROR(__xludf.DUMMYFUNCTION("""COMPUTED_VALUE"""),"물엿")</f>
        <v>물엿</v>
      </c>
    </row>
    <row r="12774">
      <c r="A12774" s="2" t="str">
        <f>IFERROR(__xludf.DUMMYFUNCTION("""COMPUTED_VALUE"""),"별난 스테이크")</f>
        <v>별난 스테이크</v>
      </c>
      <c r="B12774" s="2" t="str">
        <f>IFERROR(__xludf.DUMMYFUNCTION("""COMPUTED_VALUE"""),"소금")</f>
        <v>소금</v>
      </c>
    </row>
    <row r="12775">
      <c r="A12775" s="2" t="str">
        <f>IFERROR(__xludf.DUMMYFUNCTION("""COMPUTED_VALUE"""),"별난 스테이크")</f>
        <v>별난 스테이크</v>
      </c>
      <c r="B12775" s="2" t="str">
        <f>IFERROR(__xludf.DUMMYFUNCTION("""COMPUTED_VALUE"""),"후추")</f>
        <v>후추</v>
      </c>
    </row>
    <row r="12776">
      <c r="A12776" s="2" t="str">
        <f>IFERROR(__xludf.DUMMYFUNCTION("""COMPUTED_VALUE"""),"별난 스테이크")</f>
        <v>별난 스테이크</v>
      </c>
      <c r="B12776" s="2" t="str">
        <f>IFERROR(__xludf.DUMMYFUNCTION("""COMPUTED_VALUE"""),"올리브오일")</f>
        <v>올리브오일</v>
      </c>
    </row>
    <row r="12777">
      <c r="A12777" s="2" t="str">
        <f>IFERROR(__xludf.DUMMYFUNCTION("""COMPUTED_VALUE"""),"별난 스테이크")</f>
        <v>별난 스테이크</v>
      </c>
      <c r="B12777" s="2" t="str">
        <f>IFERROR(__xludf.DUMMYFUNCTION("""COMPUTED_VALUE"""),"양파")</f>
        <v>양파</v>
      </c>
    </row>
    <row r="12778">
      <c r="A12778" s="2" t="str">
        <f>IFERROR(__xludf.DUMMYFUNCTION("""COMPUTED_VALUE"""),"별난 스테이크")</f>
        <v>별난 스테이크</v>
      </c>
      <c r="B12778" s="2" t="str">
        <f>IFERROR(__xludf.DUMMYFUNCTION("""COMPUTED_VALUE"""),"화이트와인")</f>
        <v>화이트와인</v>
      </c>
    </row>
    <row r="12779">
      <c r="A12779" s="2" t="str">
        <f>IFERROR(__xludf.DUMMYFUNCTION("""COMPUTED_VALUE"""),"하얀 닭발이라고~ 까만 닭발이라고♬")</f>
        <v>하얀 닭발이라고~ 까만 닭발이라고♬</v>
      </c>
      <c r="B12779" s="2" t="str">
        <f>IFERROR(__xludf.DUMMYFUNCTION("""COMPUTED_VALUE"""),"닭발")</f>
        <v>닭발</v>
      </c>
    </row>
    <row r="12780">
      <c r="A12780" s="2" t="str">
        <f>IFERROR(__xludf.DUMMYFUNCTION("""COMPUTED_VALUE"""),"하얀 닭발이라고~ 까만 닭발이라고♬")</f>
        <v>하얀 닭발이라고~ 까만 닭발이라고♬</v>
      </c>
      <c r="B12780" s="2" t="str">
        <f>IFERROR(__xludf.DUMMYFUNCTION("""COMPUTED_VALUE"""),"베트남고추")</f>
        <v>베트남고추</v>
      </c>
    </row>
    <row r="12781">
      <c r="A12781" s="2" t="str">
        <f>IFERROR(__xludf.DUMMYFUNCTION("""COMPUTED_VALUE"""),"하얀 닭발이라고~ 까만 닭발이라고♬")</f>
        <v>하얀 닭발이라고~ 까만 닭발이라고♬</v>
      </c>
      <c r="B12781" s="2" t="str">
        <f>IFERROR(__xludf.DUMMYFUNCTION("""COMPUTED_VALUE"""),"콜라")</f>
        <v>콜라</v>
      </c>
    </row>
    <row r="12782">
      <c r="A12782" s="2" t="str">
        <f>IFERROR(__xludf.DUMMYFUNCTION("""COMPUTED_VALUE"""),"하얀 닭발이라고~ 까만 닭발이라고♬")</f>
        <v>하얀 닭발이라고~ 까만 닭발이라고♬</v>
      </c>
      <c r="B12782" s="2" t="str">
        <f>IFERROR(__xludf.DUMMYFUNCTION("""COMPUTED_VALUE"""),"마늘종")</f>
        <v>마늘종</v>
      </c>
    </row>
    <row r="12783">
      <c r="A12783" s="2" t="str">
        <f>IFERROR(__xludf.DUMMYFUNCTION("""COMPUTED_VALUE"""),"하얀 닭발이라고~ 까만 닭발이라고♬")</f>
        <v>하얀 닭발이라고~ 까만 닭발이라고♬</v>
      </c>
      <c r="B12783" s="2" t="str">
        <f>IFERROR(__xludf.DUMMYFUNCTION("""COMPUTED_VALUE"""),"콩나물")</f>
        <v>콩나물</v>
      </c>
    </row>
    <row r="12784">
      <c r="A12784" s="2" t="str">
        <f>IFERROR(__xludf.DUMMYFUNCTION("""COMPUTED_VALUE"""),"하얀 닭발이라고~ 까만 닭발이라고♬")</f>
        <v>하얀 닭발이라고~ 까만 닭발이라고♬</v>
      </c>
      <c r="B12784" s="2" t="str">
        <f>IFERROR(__xludf.DUMMYFUNCTION("""COMPUTED_VALUE"""),"들깻가루")</f>
        <v>들깻가루</v>
      </c>
    </row>
    <row r="12785">
      <c r="A12785" s="2" t="str">
        <f>IFERROR(__xludf.DUMMYFUNCTION("""COMPUTED_VALUE"""),"하얀 닭발이라고~ 까만 닭발이라고♬")</f>
        <v>하얀 닭발이라고~ 까만 닭발이라고♬</v>
      </c>
      <c r="B12785" s="2" t="str">
        <f>IFERROR(__xludf.DUMMYFUNCTION("""COMPUTED_VALUE"""),"꿀")</f>
        <v>꿀</v>
      </c>
    </row>
    <row r="12786">
      <c r="A12786" s="2" t="str">
        <f>IFERROR(__xludf.DUMMYFUNCTION("""COMPUTED_VALUE"""),"하얀 닭발이라고~ 까만 닭발이라고♬")</f>
        <v>하얀 닭발이라고~ 까만 닭발이라고♬</v>
      </c>
      <c r="B12786" s="2" t="str">
        <f>IFERROR(__xludf.DUMMYFUNCTION("""COMPUTED_VALUE"""),"매실청")</f>
        <v>매실청</v>
      </c>
    </row>
    <row r="12787">
      <c r="A12787" s="2" t="str">
        <f>IFERROR(__xludf.DUMMYFUNCTION("""COMPUTED_VALUE"""),"하얀 닭발이라고~ 까만 닭발이라고♬")</f>
        <v>하얀 닭발이라고~ 까만 닭발이라고♬</v>
      </c>
      <c r="B12787" s="2" t="str">
        <f>IFERROR(__xludf.DUMMYFUNCTION("""COMPUTED_VALUE"""),"굴소스")</f>
        <v>굴소스</v>
      </c>
    </row>
    <row r="12788">
      <c r="A12788" s="2" t="str">
        <f>IFERROR(__xludf.DUMMYFUNCTION("""COMPUTED_VALUE"""),"하얀 닭발이라고~ 까만 닭발이라고♬")</f>
        <v>하얀 닭발이라고~ 까만 닭발이라고♬</v>
      </c>
      <c r="B12788" s="2" t="str">
        <f>IFERROR(__xludf.DUMMYFUNCTION("""COMPUTED_VALUE"""),"치킨스톡")</f>
        <v>치킨스톡</v>
      </c>
    </row>
    <row r="12789">
      <c r="A12789" s="2" t="str">
        <f>IFERROR(__xludf.DUMMYFUNCTION("""COMPUTED_VALUE"""),"하얀 닭발이라고~ 까만 닭발이라고♬")</f>
        <v>하얀 닭발이라고~ 까만 닭발이라고♬</v>
      </c>
      <c r="B12789" s="2" t="str">
        <f>IFERROR(__xludf.DUMMYFUNCTION("""COMPUTED_VALUE"""),"소금")</f>
        <v>소금</v>
      </c>
    </row>
    <row r="12790">
      <c r="A12790" s="2" t="str">
        <f>IFERROR(__xludf.DUMMYFUNCTION("""COMPUTED_VALUE"""),"하얀 닭발이라고~ 까만 닭발이라고♬")</f>
        <v>하얀 닭발이라고~ 까만 닭발이라고♬</v>
      </c>
      <c r="B12790" s="2" t="str">
        <f>IFERROR(__xludf.DUMMYFUNCTION("""COMPUTED_VALUE"""),"마늘")</f>
        <v>마늘</v>
      </c>
    </row>
    <row r="12791">
      <c r="A12791" s="2" t="str">
        <f>IFERROR(__xludf.DUMMYFUNCTION("""COMPUTED_VALUE"""),"하얀 닭발이라고~ 까만 닭발이라고♬")</f>
        <v>하얀 닭발이라고~ 까만 닭발이라고♬</v>
      </c>
      <c r="B12791" s="2" t="str">
        <f>IFERROR(__xludf.DUMMYFUNCTION("""COMPUTED_VALUE"""),"맛술")</f>
        <v>맛술</v>
      </c>
    </row>
    <row r="12792">
      <c r="A12792" s="2" t="str">
        <f>IFERROR(__xludf.DUMMYFUNCTION("""COMPUTED_VALUE"""),"하얀 닭발이라고~ 까만 닭발이라고♬")</f>
        <v>하얀 닭발이라고~ 까만 닭발이라고♬</v>
      </c>
      <c r="B12792" s="2" t="str">
        <f>IFERROR(__xludf.DUMMYFUNCTION("""COMPUTED_VALUE"""),"청주")</f>
        <v>청주</v>
      </c>
    </row>
    <row r="12793">
      <c r="A12793" s="2" t="str">
        <f>IFERROR(__xludf.DUMMYFUNCTION("""COMPUTED_VALUE"""),"하얀 닭발이라고~ 까만 닭발이라고♬")</f>
        <v>하얀 닭발이라고~ 까만 닭발이라고♬</v>
      </c>
      <c r="B12793" s="2" t="str">
        <f>IFERROR(__xludf.DUMMYFUNCTION("""COMPUTED_VALUE"""),"간장")</f>
        <v>간장</v>
      </c>
    </row>
    <row r="12794">
      <c r="A12794" s="2" t="str">
        <f>IFERROR(__xludf.DUMMYFUNCTION("""COMPUTED_VALUE"""),"하얀 닭발이라고~ 까만 닭발이라고♬")</f>
        <v>하얀 닭발이라고~ 까만 닭발이라고♬</v>
      </c>
      <c r="B12794" s="2" t="str">
        <f>IFERROR(__xludf.DUMMYFUNCTION("""COMPUTED_VALUE"""),"다진생강")</f>
        <v>다진생강</v>
      </c>
    </row>
    <row r="12795">
      <c r="A12795" s="2" t="str">
        <f>IFERROR(__xludf.DUMMYFUNCTION("""COMPUTED_VALUE"""),"하얀 닭발이라고~ 까만 닭발이라고♬")</f>
        <v>하얀 닭발이라고~ 까만 닭발이라고♬</v>
      </c>
      <c r="B12795" s="2" t="str">
        <f>IFERROR(__xludf.DUMMYFUNCTION("""COMPUTED_VALUE"""),"전분")</f>
        <v>전분</v>
      </c>
    </row>
    <row r="12796">
      <c r="A12796" s="2" t="str">
        <f>IFERROR(__xludf.DUMMYFUNCTION("""COMPUTED_VALUE"""),"하얀 닭발이라고~ 까만 닭발이라고♬")</f>
        <v>하얀 닭발이라고~ 까만 닭발이라고♬</v>
      </c>
      <c r="B12796" s="2" t="str">
        <f>IFERROR(__xludf.DUMMYFUNCTION("""COMPUTED_VALUE"""),"고춧가루")</f>
        <v>고춧가루</v>
      </c>
    </row>
    <row r="12797">
      <c r="A12797" s="2" t="str">
        <f>IFERROR(__xludf.DUMMYFUNCTION("""COMPUTED_VALUE"""),"하얀 닭발이라고~ 까만 닭발이라고♬")</f>
        <v>하얀 닭발이라고~ 까만 닭발이라고♬</v>
      </c>
      <c r="B12797" s="2" t="str">
        <f>IFERROR(__xludf.DUMMYFUNCTION("""COMPUTED_VALUE"""),"참기름")</f>
        <v>참기름</v>
      </c>
    </row>
    <row r="12798">
      <c r="A12798" s="2" t="str">
        <f>IFERROR(__xludf.DUMMYFUNCTION("""COMPUTED_VALUE"""),"닭발라드")</f>
        <v>닭발라드</v>
      </c>
      <c r="B12798" s="2" t="str">
        <f>IFERROR(__xludf.DUMMYFUNCTION("""COMPUTED_VALUE"""),"닭발")</f>
        <v>닭발</v>
      </c>
    </row>
    <row r="12799">
      <c r="A12799" s="2" t="str">
        <f>IFERROR(__xludf.DUMMYFUNCTION("""COMPUTED_VALUE"""),"닭발라드")</f>
        <v>닭발라드</v>
      </c>
      <c r="B12799" s="2" t="str">
        <f>IFERROR(__xludf.DUMMYFUNCTION("""COMPUTED_VALUE"""),"라조장")</f>
        <v>라조장</v>
      </c>
    </row>
    <row r="12800">
      <c r="A12800" s="2" t="str">
        <f>IFERROR(__xludf.DUMMYFUNCTION("""COMPUTED_VALUE"""),"닭발라드")</f>
        <v>닭발라드</v>
      </c>
      <c r="B12800" s="2" t="str">
        <f>IFERROR(__xludf.DUMMYFUNCTION("""COMPUTED_VALUE"""),"표고버섯")</f>
        <v>표고버섯</v>
      </c>
    </row>
    <row r="12801">
      <c r="A12801" s="2" t="str">
        <f>IFERROR(__xludf.DUMMYFUNCTION("""COMPUTED_VALUE"""),"닭발라드")</f>
        <v>닭발라드</v>
      </c>
      <c r="B12801" s="2" t="str">
        <f>IFERROR(__xludf.DUMMYFUNCTION("""COMPUTED_VALUE"""),"만가닥버섯")</f>
        <v>만가닥버섯</v>
      </c>
    </row>
    <row r="12802">
      <c r="A12802" s="2" t="str">
        <f>IFERROR(__xludf.DUMMYFUNCTION("""COMPUTED_VALUE"""),"닭발라드")</f>
        <v>닭발라드</v>
      </c>
      <c r="B12802" s="2" t="str">
        <f>IFERROR(__xludf.DUMMYFUNCTION("""COMPUTED_VALUE"""),"마늘종")</f>
        <v>마늘종</v>
      </c>
    </row>
    <row r="12803">
      <c r="A12803" s="2" t="str">
        <f>IFERROR(__xludf.DUMMYFUNCTION("""COMPUTED_VALUE"""),"닭발라드")</f>
        <v>닭발라드</v>
      </c>
      <c r="B12803" s="2" t="str">
        <f>IFERROR(__xludf.DUMMYFUNCTION("""COMPUTED_VALUE"""),"굴소스")</f>
        <v>굴소스</v>
      </c>
    </row>
    <row r="12804">
      <c r="A12804" s="2" t="str">
        <f>IFERROR(__xludf.DUMMYFUNCTION("""COMPUTED_VALUE"""),"닭발라드")</f>
        <v>닭발라드</v>
      </c>
      <c r="B12804" s="2" t="str">
        <f>IFERROR(__xludf.DUMMYFUNCTION("""COMPUTED_VALUE"""),"간장")</f>
        <v>간장</v>
      </c>
    </row>
    <row r="12805">
      <c r="A12805" s="2" t="str">
        <f>IFERROR(__xludf.DUMMYFUNCTION("""COMPUTED_VALUE"""),"닭발라드")</f>
        <v>닭발라드</v>
      </c>
      <c r="B12805" s="2" t="str">
        <f>IFERROR(__xludf.DUMMYFUNCTION("""COMPUTED_VALUE"""),"다진 생강")</f>
        <v>다진 생강</v>
      </c>
    </row>
    <row r="12806">
      <c r="A12806" s="2" t="str">
        <f>IFERROR(__xludf.DUMMYFUNCTION("""COMPUTED_VALUE"""),"닭발라드")</f>
        <v>닭발라드</v>
      </c>
      <c r="B12806" s="2" t="str">
        <f>IFERROR(__xludf.DUMMYFUNCTION("""COMPUTED_VALUE"""),"대파")</f>
        <v>대파</v>
      </c>
    </row>
    <row r="12807">
      <c r="A12807" s="2" t="str">
        <f>IFERROR(__xludf.DUMMYFUNCTION("""COMPUTED_VALUE"""),"닭발라드")</f>
        <v>닭발라드</v>
      </c>
      <c r="B12807" s="2" t="str">
        <f>IFERROR(__xludf.DUMMYFUNCTION("""COMPUTED_VALUE"""),"마늘")</f>
        <v>마늘</v>
      </c>
    </row>
    <row r="12808">
      <c r="A12808" s="2" t="str">
        <f>IFERROR(__xludf.DUMMYFUNCTION("""COMPUTED_VALUE"""),"닭발라드")</f>
        <v>닭발라드</v>
      </c>
      <c r="B12808" s="2" t="str">
        <f>IFERROR(__xludf.DUMMYFUNCTION("""COMPUTED_VALUE"""),"고춧가루")</f>
        <v>고춧가루</v>
      </c>
    </row>
    <row r="12809">
      <c r="A12809" s="2" t="str">
        <f>IFERROR(__xludf.DUMMYFUNCTION("""COMPUTED_VALUE"""),"닭발라드")</f>
        <v>닭발라드</v>
      </c>
      <c r="B12809" s="2" t="str">
        <f>IFERROR(__xludf.DUMMYFUNCTION("""COMPUTED_VALUE"""),"홍고추")</f>
        <v>홍고추</v>
      </c>
    </row>
    <row r="12810">
      <c r="A12810" s="2" t="str">
        <f>IFERROR(__xludf.DUMMYFUNCTION("""COMPUTED_VALUE"""),"닭발라드")</f>
        <v>닭발라드</v>
      </c>
      <c r="B12810" s="2" t="str">
        <f>IFERROR(__xludf.DUMMYFUNCTION("""COMPUTED_VALUE"""),"청양고추")</f>
        <v>청양고추</v>
      </c>
    </row>
    <row r="12811">
      <c r="A12811" s="2" t="str">
        <f>IFERROR(__xludf.DUMMYFUNCTION("""COMPUTED_VALUE"""),"닭발라드")</f>
        <v>닭발라드</v>
      </c>
      <c r="B12811" s="2" t="str">
        <f>IFERROR(__xludf.DUMMYFUNCTION("""COMPUTED_VALUE"""),"양파")</f>
        <v>양파</v>
      </c>
    </row>
    <row r="12812">
      <c r="A12812" s="2" t="str">
        <f>IFERROR(__xludf.DUMMYFUNCTION("""COMPUTED_VALUE"""),"닭발라드")</f>
        <v>닭발라드</v>
      </c>
      <c r="B12812" s="2" t="str">
        <f>IFERROR(__xludf.DUMMYFUNCTION("""COMPUTED_VALUE"""),"설탕")</f>
        <v>설탕</v>
      </c>
    </row>
    <row r="12813">
      <c r="A12813" s="2" t="str">
        <f>IFERROR(__xludf.DUMMYFUNCTION("""COMPUTED_VALUE"""),"닭발라드")</f>
        <v>닭발라드</v>
      </c>
      <c r="B12813" s="2" t="str">
        <f>IFERROR(__xludf.DUMMYFUNCTION("""COMPUTED_VALUE"""),"튀김가루")</f>
        <v>튀김가루</v>
      </c>
    </row>
    <row r="12814">
      <c r="A12814" s="2" t="str">
        <f>IFERROR(__xludf.DUMMYFUNCTION("""COMPUTED_VALUE"""),"닭발라드")</f>
        <v>닭발라드</v>
      </c>
      <c r="B12814" s="2" t="str">
        <f>IFERROR(__xludf.DUMMYFUNCTION("""COMPUTED_VALUE"""),"들기름")</f>
        <v>들기름</v>
      </c>
    </row>
    <row r="12815">
      <c r="A12815" s="2" t="str">
        <f>IFERROR(__xludf.DUMMYFUNCTION("""COMPUTED_VALUE"""),"양갈비~ Save Us♬")</f>
        <v>양갈비~ Save Us♬</v>
      </c>
      <c r="B12815" s="2" t="str">
        <f>IFERROR(__xludf.DUMMYFUNCTION("""COMPUTED_VALUE"""),"양갈비")</f>
        <v>양갈비</v>
      </c>
    </row>
    <row r="12816">
      <c r="A12816" s="2" t="str">
        <f>IFERROR(__xludf.DUMMYFUNCTION("""COMPUTED_VALUE"""),"양갈비~ Save Us♬")</f>
        <v>양갈비~ Save Us♬</v>
      </c>
      <c r="B12816" s="2" t="str">
        <f>IFERROR(__xludf.DUMMYFUNCTION("""COMPUTED_VALUE"""),"귀리우유")</f>
        <v>귀리우유</v>
      </c>
    </row>
    <row r="12817">
      <c r="A12817" s="2" t="str">
        <f>IFERROR(__xludf.DUMMYFUNCTION("""COMPUTED_VALUE"""),"양갈비~ Save Us♬")</f>
        <v>양갈비~ Save Us♬</v>
      </c>
      <c r="B12817" s="2" t="str">
        <f>IFERROR(__xludf.DUMMYFUNCTION("""COMPUTED_VALUE"""),"미숫가루")</f>
        <v>미숫가루</v>
      </c>
    </row>
    <row r="12818">
      <c r="A12818" s="2" t="str">
        <f>IFERROR(__xludf.DUMMYFUNCTION("""COMPUTED_VALUE"""),"양갈비~ Save Us♬")</f>
        <v>양갈비~ Save Us♬</v>
      </c>
      <c r="B12818" s="2" t="str">
        <f>IFERROR(__xludf.DUMMYFUNCTION("""COMPUTED_VALUE"""),"낙지")</f>
        <v>낙지</v>
      </c>
    </row>
    <row r="12819">
      <c r="A12819" s="2" t="str">
        <f>IFERROR(__xludf.DUMMYFUNCTION("""COMPUTED_VALUE"""),"양갈비~ Save Us♬")</f>
        <v>양갈비~ Save Us♬</v>
      </c>
      <c r="B12819" s="2" t="str">
        <f>IFERROR(__xludf.DUMMYFUNCTION("""COMPUTED_VALUE"""),"데리야키소스")</f>
        <v>데리야키소스</v>
      </c>
    </row>
    <row r="12820">
      <c r="A12820" s="2" t="str">
        <f>IFERROR(__xludf.DUMMYFUNCTION("""COMPUTED_VALUE"""),"양갈비~ Save Us♬")</f>
        <v>양갈비~ Save Us♬</v>
      </c>
      <c r="B12820" s="2" t="str">
        <f>IFERROR(__xludf.DUMMYFUNCTION("""COMPUTED_VALUE"""),"찜닭소스")</f>
        <v>찜닭소스</v>
      </c>
    </row>
    <row r="12821">
      <c r="A12821" s="2" t="str">
        <f>IFERROR(__xludf.DUMMYFUNCTION("""COMPUTED_VALUE"""),"양갈비~ Save Us♬")</f>
        <v>양갈비~ Save Us♬</v>
      </c>
      <c r="B12821" s="2" t="str">
        <f>IFERROR(__xludf.DUMMYFUNCTION("""COMPUTED_VALUE"""),"자숙새우")</f>
        <v>자숙새우</v>
      </c>
    </row>
    <row r="12822">
      <c r="A12822" s="2" t="str">
        <f>IFERROR(__xludf.DUMMYFUNCTION("""COMPUTED_VALUE"""),"양갈비~ Save Us♬")</f>
        <v>양갈비~ Save Us♬</v>
      </c>
      <c r="B12822" s="2" t="str">
        <f>IFERROR(__xludf.DUMMYFUNCTION("""COMPUTED_VALUE"""),"매생이")</f>
        <v>매생이</v>
      </c>
    </row>
    <row r="12823">
      <c r="A12823" s="2" t="str">
        <f>IFERROR(__xludf.DUMMYFUNCTION("""COMPUTED_VALUE"""),"양갈비~ Save Us♬")</f>
        <v>양갈비~ Save Us♬</v>
      </c>
      <c r="B12823" s="2" t="str">
        <f>IFERROR(__xludf.DUMMYFUNCTION("""COMPUTED_VALUE"""),"굴소스")</f>
        <v>굴소스</v>
      </c>
    </row>
    <row r="12824">
      <c r="A12824" s="2" t="str">
        <f>IFERROR(__xludf.DUMMYFUNCTION("""COMPUTED_VALUE"""),"양갈비~ Save Us♬")</f>
        <v>양갈비~ Save Us♬</v>
      </c>
      <c r="B12824" s="2" t="str">
        <f>IFERROR(__xludf.DUMMYFUNCTION("""COMPUTED_VALUE"""),"초콜릿시럽")</f>
        <v>초콜릿시럽</v>
      </c>
    </row>
    <row r="12825">
      <c r="A12825" s="2" t="str">
        <f>IFERROR(__xludf.DUMMYFUNCTION("""COMPUTED_VALUE"""),"양갈비~ Save Us♬")</f>
        <v>양갈비~ Save Us♬</v>
      </c>
      <c r="B12825" s="2" t="str">
        <f>IFERROR(__xludf.DUMMYFUNCTION("""COMPUTED_VALUE"""),"허니머스터드 소스")</f>
        <v>허니머스터드 소스</v>
      </c>
    </row>
    <row r="12826">
      <c r="A12826" s="2" t="str">
        <f>IFERROR(__xludf.DUMMYFUNCTION("""COMPUTED_VALUE"""),"양갈비~ Save Us♬")</f>
        <v>양갈비~ Save Us♬</v>
      </c>
      <c r="B12826" s="2" t="str">
        <f>IFERROR(__xludf.DUMMYFUNCTION("""COMPUTED_VALUE"""),"토마토")</f>
        <v>토마토</v>
      </c>
    </row>
    <row r="12827">
      <c r="A12827" s="2" t="str">
        <f>IFERROR(__xludf.DUMMYFUNCTION("""COMPUTED_VALUE"""),"양갈비~ Save Us♬")</f>
        <v>양갈비~ Save Us♬</v>
      </c>
      <c r="B12827" s="2" t="str">
        <f>IFERROR(__xludf.DUMMYFUNCTION("""COMPUTED_VALUE"""),"복분자원액")</f>
        <v>복분자원액</v>
      </c>
    </row>
    <row r="12828">
      <c r="A12828" s="2" t="str">
        <f>IFERROR(__xludf.DUMMYFUNCTION("""COMPUTED_VALUE"""),"양갈비~ Save Us♬")</f>
        <v>양갈비~ Save Us♬</v>
      </c>
      <c r="B12828" s="2" t="str">
        <f>IFERROR(__xludf.DUMMYFUNCTION("""COMPUTED_VALUE"""),"복분자퓌레")</f>
        <v>복분자퓌레</v>
      </c>
    </row>
    <row r="12829">
      <c r="A12829" s="2" t="str">
        <f>IFERROR(__xludf.DUMMYFUNCTION("""COMPUTED_VALUE"""),"양갈비~ Save Us♬")</f>
        <v>양갈비~ Save Us♬</v>
      </c>
      <c r="B12829" s="2" t="str">
        <f>IFERROR(__xludf.DUMMYFUNCTION("""COMPUTED_VALUE"""),"레드와인")</f>
        <v>레드와인</v>
      </c>
    </row>
    <row r="12830">
      <c r="A12830" s="2" t="str">
        <f>IFERROR(__xludf.DUMMYFUNCTION("""COMPUTED_VALUE"""),"양갈비~ Save Us♬")</f>
        <v>양갈비~ Save Us♬</v>
      </c>
      <c r="B12830" s="2" t="str">
        <f>IFERROR(__xludf.DUMMYFUNCTION("""COMPUTED_VALUE"""),"다진마늘")</f>
        <v>다진마늘</v>
      </c>
    </row>
    <row r="12831">
      <c r="A12831" s="2" t="str">
        <f>IFERROR(__xludf.DUMMYFUNCTION("""COMPUTED_VALUE"""),"양갈비~ Save Us♬")</f>
        <v>양갈비~ Save Us♬</v>
      </c>
      <c r="B12831" s="2" t="str">
        <f>IFERROR(__xludf.DUMMYFUNCTION("""COMPUTED_VALUE"""),"양파")</f>
        <v>양파</v>
      </c>
    </row>
    <row r="12832">
      <c r="A12832" s="2" t="str">
        <f>IFERROR(__xludf.DUMMYFUNCTION("""COMPUTED_VALUE"""),"양갈비~ Save Us♬")</f>
        <v>양갈비~ Save Us♬</v>
      </c>
      <c r="B12832" s="2" t="str">
        <f>IFERROR(__xludf.DUMMYFUNCTION("""COMPUTED_VALUE"""),"후추")</f>
        <v>후추</v>
      </c>
    </row>
    <row r="12833">
      <c r="A12833" s="2" t="str">
        <f>IFERROR(__xludf.DUMMYFUNCTION("""COMPUTED_VALUE"""),"양갈비~ Save Us♬")</f>
        <v>양갈비~ Save Us♬</v>
      </c>
      <c r="B12833" s="2" t="str">
        <f>IFERROR(__xludf.DUMMYFUNCTION("""COMPUTED_VALUE"""),"밀가루")</f>
        <v>밀가루</v>
      </c>
    </row>
    <row r="12834">
      <c r="A12834" s="2" t="str">
        <f>IFERROR(__xludf.DUMMYFUNCTION("""COMPUTED_VALUE"""),"양갈비~ Save Us♬")</f>
        <v>양갈비~ Save Us♬</v>
      </c>
      <c r="B12834" s="2" t="str">
        <f>IFERROR(__xludf.DUMMYFUNCTION("""COMPUTED_VALUE"""),"올리브오일")</f>
        <v>올리브오일</v>
      </c>
    </row>
    <row r="12835">
      <c r="A12835" s="2" t="str">
        <f>IFERROR(__xludf.DUMMYFUNCTION("""COMPUTED_VALUE"""),"양갈비~ Save Us♬")</f>
        <v>양갈비~ Save Us♬</v>
      </c>
      <c r="B12835" s="2" t="str">
        <f>IFERROR(__xludf.DUMMYFUNCTION("""COMPUTED_VALUE"""),"대파")</f>
        <v>대파</v>
      </c>
    </row>
    <row r="12836">
      <c r="A12836" s="2" t="str">
        <f>IFERROR(__xludf.DUMMYFUNCTION("""COMPUTED_VALUE"""),"양갈비~ Save Us♬")</f>
        <v>양갈비~ Save Us♬</v>
      </c>
      <c r="B12836" s="2" t="str">
        <f>IFERROR(__xludf.DUMMYFUNCTION("""COMPUTED_VALUE"""),"즉석밥")</f>
        <v>즉석밥</v>
      </c>
    </row>
    <row r="12837">
      <c r="A12837" s="2" t="str">
        <f>IFERROR(__xludf.DUMMYFUNCTION("""COMPUTED_VALUE"""),"양갈비~ Save Us♬")</f>
        <v>양갈비~ Save Us♬</v>
      </c>
      <c r="B12837" s="2" t="str">
        <f>IFERROR(__xludf.DUMMYFUNCTION("""COMPUTED_VALUE"""),"버터")</f>
        <v>버터</v>
      </c>
    </row>
    <row r="12838">
      <c r="A12838" s="2" t="str">
        <f>IFERROR(__xludf.DUMMYFUNCTION("""COMPUTED_VALUE"""),"양갈비~ Save Us♬")</f>
        <v>양갈비~ Save Us♬</v>
      </c>
      <c r="B12838" s="2" t="str">
        <f>IFERROR(__xludf.DUMMYFUNCTION("""COMPUTED_VALUE"""),"올리브오일")</f>
        <v>올리브오일</v>
      </c>
    </row>
    <row r="12839">
      <c r="A12839" s="2" t="str">
        <f>IFERROR(__xludf.DUMMYFUNCTION("""COMPUTED_VALUE"""),"황도 스피릿")</f>
        <v>황도 스피릿</v>
      </c>
      <c r="B12839" s="2" t="str">
        <f>IFERROR(__xludf.DUMMYFUNCTION("""COMPUTED_VALUE"""),"쌀식빵")</f>
        <v>쌀식빵</v>
      </c>
    </row>
    <row r="12840">
      <c r="A12840" s="2" t="str">
        <f>IFERROR(__xludf.DUMMYFUNCTION("""COMPUTED_VALUE"""),"황도 스피릿")</f>
        <v>황도 스피릿</v>
      </c>
      <c r="B12840" s="2" t="str">
        <f>IFERROR(__xludf.DUMMYFUNCTION("""COMPUTED_VALUE"""),"통조림 황도")</f>
        <v>통조림 황도</v>
      </c>
    </row>
    <row r="12841">
      <c r="A12841" s="2" t="str">
        <f>IFERROR(__xludf.DUMMYFUNCTION("""COMPUTED_VALUE"""),"황도 스피릿")</f>
        <v>황도 스피릿</v>
      </c>
      <c r="B12841" s="2" t="str">
        <f>IFERROR(__xludf.DUMMYFUNCTION("""COMPUTED_VALUE"""),"블루베리")</f>
        <v>블루베리</v>
      </c>
    </row>
    <row r="12842">
      <c r="A12842" s="2" t="str">
        <f>IFERROR(__xludf.DUMMYFUNCTION("""COMPUTED_VALUE"""),"황도 스피릿")</f>
        <v>황도 스피릿</v>
      </c>
      <c r="B12842" s="2" t="str">
        <f>IFERROR(__xludf.DUMMYFUNCTION("""COMPUTED_VALUE"""),"코코넛시럽")</f>
        <v>코코넛시럽</v>
      </c>
    </row>
    <row r="12843">
      <c r="A12843" s="2" t="str">
        <f>IFERROR(__xludf.DUMMYFUNCTION("""COMPUTED_VALUE"""),"황도 스피릿")</f>
        <v>황도 스피릿</v>
      </c>
      <c r="B12843" s="2" t="str">
        <f>IFERROR(__xludf.DUMMYFUNCTION("""COMPUTED_VALUE"""),"초콜릿시럽")</f>
        <v>초콜릿시럽</v>
      </c>
    </row>
    <row r="12844">
      <c r="A12844" s="2" t="str">
        <f>IFERROR(__xludf.DUMMYFUNCTION("""COMPUTED_VALUE"""),"황도 스피릿")</f>
        <v>황도 스피릿</v>
      </c>
      <c r="B12844" s="2" t="str">
        <f>IFERROR(__xludf.DUMMYFUNCTION("""COMPUTED_VALUE"""),"장미꽃잼")</f>
        <v>장미꽃잼</v>
      </c>
    </row>
    <row r="12845">
      <c r="A12845" s="2" t="str">
        <f>IFERROR(__xludf.DUMMYFUNCTION("""COMPUTED_VALUE"""),"황도 스피릿")</f>
        <v>황도 스피릿</v>
      </c>
      <c r="B12845" s="2" t="str">
        <f>IFERROR(__xludf.DUMMYFUNCTION("""COMPUTED_VALUE"""),"양상추")</f>
        <v>양상추</v>
      </c>
    </row>
    <row r="12846">
      <c r="A12846" s="2" t="str">
        <f>IFERROR(__xludf.DUMMYFUNCTION("""COMPUTED_VALUE"""),"황도 스피릿")</f>
        <v>황도 스피릿</v>
      </c>
      <c r="B12846" s="2" t="str">
        <f>IFERROR(__xludf.DUMMYFUNCTION("""COMPUTED_VALUE"""),"배도라지즙")</f>
        <v>배도라지즙</v>
      </c>
    </row>
    <row r="12847">
      <c r="A12847" s="2" t="str">
        <f>IFERROR(__xludf.DUMMYFUNCTION("""COMPUTED_VALUE"""),"황도 스피릿")</f>
        <v>황도 스피릿</v>
      </c>
      <c r="B12847" s="2" t="str">
        <f>IFERROR(__xludf.DUMMYFUNCTION("""COMPUTED_VALUE"""),"딸기")</f>
        <v>딸기</v>
      </c>
    </row>
    <row r="12848">
      <c r="A12848" s="2" t="str">
        <f>IFERROR(__xludf.DUMMYFUNCTION("""COMPUTED_VALUE"""),"황도 스피릿")</f>
        <v>황도 스피릿</v>
      </c>
      <c r="B12848" s="2" t="str">
        <f>IFERROR(__xludf.DUMMYFUNCTION("""COMPUTED_VALUE"""),"복분자원액")</f>
        <v>복분자원액</v>
      </c>
    </row>
    <row r="12849">
      <c r="A12849" s="2" t="str">
        <f>IFERROR(__xludf.DUMMYFUNCTION("""COMPUTED_VALUE"""),"황도 스피릿")</f>
        <v>황도 스피릿</v>
      </c>
      <c r="B12849" s="2" t="str">
        <f>IFERROR(__xludf.DUMMYFUNCTION("""COMPUTED_VALUE"""),"휘핑크림")</f>
        <v>휘핑크림</v>
      </c>
    </row>
    <row r="12850">
      <c r="A12850" s="2" t="str">
        <f>IFERROR(__xludf.DUMMYFUNCTION("""COMPUTED_VALUE"""),"황도 스피릿")</f>
        <v>황도 스피릿</v>
      </c>
      <c r="B12850" s="2" t="str">
        <f>IFERROR(__xludf.DUMMYFUNCTION("""COMPUTED_VALUE"""),"복분자퓌레")</f>
        <v>복분자퓌레</v>
      </c>
    </row>
    <row r="12851">
      <c r="A12851" s="2" t="str">
        <f>IFERROR(__xludf.DUMMYFUNCTION("""COMPUTED_VALUE"""),"황도 스피릿")</f>
        <v>황도 스피릿</v>
      </c>
      <c r="B12851" s="2" t="str">
        <f>IFERROR(__xludf.DUMMYFUNCTION("""COMPUTED_VALUE"""),"설탕")</f>
        <v>설탕</v>
      </c>
    </row>
    <row r="12852">
      <c r="A12852" s="2" t="str">
        <f>IFERROR(__xludf.DUMMYFUNCTION("""COMPUTED_VALUE"""),"황도 스피릿")</f>
        <v>황도 스피릿</v>
      </c>
      <c r="B12852" s="2" t="str">
        <f>IFERROR(__xludf.DUMMYFUNCTION("""COMPUTED_VALUE"""),"레몬")</f>
        <v>레몬</v>
      </c>
    </row>
    <row r="12853">
      <c r="A12853" s="2" t="str">
        <f>IFERROR(__xludf.DUMMYFUNCTION("""COMPUTED_VALUE"""),"황도 스피릿")</f>
        <v>황도 스피릿</v>
      </c>
      <c r="B12853" s="2" t="str">
        <f>IFERROR(__xludf.DUMMYFUNCTION("""COMPUTED_VALUE"""),"전분")</f>
        <v>전분</v>
      </c>
    </row>
    <row r="12854">
      <c r="A12854" s="2" t="str">
        <f>IFERROR(__xludf.DUMMYFUNCTION("""COMPUTED_VALUE"""),"고샌 끝에 낙이 온다")</f>
        <v>고샌 끝에 낙이 온다</v>
      </c>
      <c r="B12854" s="2" t="str">
        <f>IFERROR(__xludf.DUMMYFUNCTION("""COMPUTED_VALUE"""),"쌀식빵")</f>
        <v>쌀식빵</v>
      </c>
    </row>
    <row r="12855">
      <c r="A12855" s="2" t="str">
        <f>IFERROR(__xludf.DUMMYFUNCTION("""COMPUTED_VALUE"""),"고샌 끝에 낙이 온다")</f>
        <v>고샌 끝에 낙이 온다</v>
      </c>
      <c r="B12855" s="2" t="str">
        <f>IFERROR(__xludf.DUMMYFUNCTION("""COMPUTED_VALUE"""),"고등어")</f>
        <v>고등어</v>
      </c>
    </row>
    <row r="12856">
      <c r="A12856" s="2" t="str">
        <f>IFERROR(__xludf.DUMMYFUNCTION("""COMPUTED_VALUE"""),"고샌 끝에 낙이 온다")</f>
        <v>고샌 끝에 낙이 온다</v>
      </c>
      <c r="B12856" s="2" t="str">
        <f>IFERROR(__xludf.DUMMYFUNCTION("""COMPUTED_VALUE"""),"자숙새우")</f>
        <v>자숙새우</v>
      </c>
    </row>
    <row r="12857">
      <c r="A12857" s="2" t="str">
        <f>IFERROR(__xludf.DUMMYFUNCTION("""COMPUTED_VALUE"""),"고샌 끝에 낙이 온다")</f>
        <v>고샌 끝에 낙이 온다</v>
      </c>
      <c r="B12857" s="2" t="str">
        <f>IFERROR(__xludf.DUMMYFUNCTION("""COMPUTED_VALUE"""),"낙지")</f>
        <v>낙지</v>
      </c>
    </row>
    <row r="12858">
      <c r="A12858" s="2" t="str">
        <f>IFERROR(__xludf.DUMMYFUNCTION("""COMPUTED_VALUE"""),"고샌 끝에 낙이 온다")</f>
        <v>고샌 끝에 낙이 온다</v>
      </c>
      <c r="B12858" s="2" t="str">
        <f>IFERROR(__xludf.DUMMYFUNCTION("""COMPUTED_VALUE"""),"토마토")</f>
        <v>토마토</v>
      </c>
    </row>
    <row r="12859">
      <c r="A12859" s="2" t="str">
        <f>IFERROR(__xludf.DUMMYFUNCTION("""COMPUTED_VALUE"""),"고샌 끝에 낙이 온다")</f>
        <v>고샌 끝에 낙이 온다</v>
      </c>
      <c r="B12859" s="2" t="str">
        <f>IFERROR(__xludf.DUMMYFUNCTION("""COMPUTED_VALUE"""),"사과")</f>
        <v>사과</v>
      </c>
    </row>
    <row r="12860">
      <c r="A12860" s="2" t="str">
        <f>IFERROR(__xludf.DUMMYFUNCTION("""COMPUTED_VALUE"""),"고샌 끝에 낙이 온다")</f>
        <v>고샌 끝에 낙이 온다</v>
      </c>
      <c r="B12860" s="2" t="str">
        <f>IFERROR(__xludf.DUMMYFUNCTION("""COMPUTED_VALUE"""),"통조림 황도")</f>
        <v>통조림 황도</v>
      </c>
    </row>
    <row r="12861">
      <c r="A12861" s="2" t="str">
        <f>IFERROR(__xludf.DUMMYFUNCTION("""COMPUTED_VALUE"""),"고샌 끝에 낙이 온다")</f>
        <v>고샌 끝에 낙이 온다</v>
      </c>
      <c r="B12861" s="2" t="str">
        <f>IFERROR(__xludf.DUMMYFUNCTION("""COMPUTED_VALUE"""),"유자조청")</f>
        <v>유자조청</v>
      </c>
    </row>
    <row r="12862">
      <c r="A12862" s="2" t="str">
        <f>IFERROR(__xludf.DUMMYFUNCTION("""COMPUTED_VALUE"""),"고샌 끝에 낙이 온다")</f>
        <v>고샌 끝에 낙이 온다</v>
      </c>
      <c r="B12862" s="2" t="str">
        <f>IFERROR(__xludf.DUMMYFUNCTION("""COMPUTED_VALUE"""),"굴소스")</f>
        <v>굴소스</v>
      </c>
    </row>
    <row r="12863">
      <c r="A12863" s="2" t="str">
        <f>IFERROR(__xludf.DUMMYFUNCTION("""COMPUTED_VALUE"""),"고샌 끝에 낙이 온다")</f>
        <v>고샌 끝에 낙이 온다</v>
      </c>
      <c r="B12863" s="2" t="str">
        <f>IFERROR(__xludf.DUMMYFUNCTION("""COMPUTED_VALUE"""),"데리야키소스")</f>
        <v>데리야키소스</v>
      </c>
    </row>
    <row r="12864">
      <c r="A12864" s="2" t="str">
        <f>IFERROR(__xludf.DUMMYFUNCTION("""COMPUTED_VALUE"""),"고샌 끝에 낙이 온다")</f>
        <v>고샌 끝에 낙이 온다</v>
      </c>
      <c r="B12864" s="2" t="str">
        <f>IFERROR(__xludf.DUMMYFUNCTION("""COMPUTED_VALUE"""),"양파")</f>
        <v>양파</v>
      </c>
    </row>
    <row r="12865">
      <c r="A12865" s="2" t="str">
        <f>IFERROR(__xludf.DUMMYFUNCTION("""COMPUTED_VALUE"""),"고샌 끝에 낙이 온다")</f>
        <v>고샌 끝에 낙이 온다</v>
      </c>
      <c r="B12865" s="2" t="str">
        <f>IFERROR(__xludf.DUMMYFUNCTION("""COMPUTED_VALUE"""),"식초")</f>
        <v>식초</v>
      </c>
    </row>
    <row r="12866">
      <c r="A12866" s="2" t="str">
        <f>IFERROR(__xludf.DUMMYFUNCTION("""COMPUTED_VALUE"""),"고샌 끝에 낙이 온다")</f>
        <v>고샌 끝에 낙이 온다</v>
      </c>
      <c r="B12866" s="2" t="str">
        <f>IFERROR(__xludf.DUMMYFUNCTION("""COMPUTED_VALUE"""),"고춧가루")</f>
        <v>고춧가루</v>
      </c>
    </row>
    <row r="12867">
      <c r="A12867" s="2" t="str">
        <f>IFERROR(__xludf.DUMMYFUNCTION("""COMPUTED_VALUE"""),"고샌 끝에 낙이 온다")</f>
        <v>고샌 끝에 낙이 온다</v>
      </c>
      <c r="B12867" s="2" t="str">
        <f>IFERROR(__xludf.DUMMYFUNCTION("""COMPUTED_VALUE"""),"참기름")</f>
        <v>참기름</v>
      </c>
    </row>
    <row r="12868">
      <c r="A12868" s="2" t="str">
        <f>IFERROR(__xludf.DUMMYFUNCTION("""COMPUTED_VALUE"""),"고샌 끝에 낙이 온다")</f>
        <v>고샌 끝에 낙이 온다</v>
      </c>
      <c r="B12868" s="2" t="str">
        <f>IFERROR(__xludf.DUMMYFUNCTION("""COMPUTED_VALUE"""),"후추")</f>
        <v>후추</v>
      </c>
    </row>
    <row r="12869">
      <c r="A12869" s="2" t="str">
        <f>IFERROR(__xludf.DUMMYFUNCTION("""COMPUTED_VALUE"""),"고샌 끝에 낙이 온다")</f>
        <v>고샌 끝에 낙이 온다</v>
      </c>
      <c r="B12869" s="2" t="str">
        <f>IFERROR(__xludf.DUMMYFUNCTION("""COMPUTED_VALUE"""),"소금")</f>
        <v>소금</v>
      </c>
    </row>
    <row r="12870">
      <c r="A12870" s="2" t="str">
        <f>IFERROR(__xludf.DUMMYFUNCTION("""COMPUTED_VALUE"""),"고샌 끝에 낙이 온다")</f>
        <v>고샌 끝에 낙이 온다</v>
      </c>
      <c r="B12870" s="2" t="str">
        <f>IFERROR(__xludf.DUMMYFUNCTION("""COMPUTED_VALUE"""),"달걀")</f>
        <v>달걀</v>
      </c>
    </row>
    <row r="12871">
      <c r="A12871" s="2" t="str">
        <f>IFERROR(__xludf.DUMMYFUNCTION("""COMPUTED_VALUE"""),"고샌 끝에 낙이 온다")</f>
        <v>고샌 끝에 낙이 온다</v>
      </c>
      <c r="B12871" s="2" t="str">
        <f>IFERROR(__xludf.DUMMYFUNCTION("""COMPUTED_VALUE"""),"올리브오일")</f>
        <v>올리브오일</v>
      </c>
    </row>
    <row r="12872">
      <c r="A12872" s="2" t="str">
        <f>IFERROR(__xludf.DUMMYFUNCTION("""COMPUTED_VALUE"""),"고샌 끝에 낙이 온다")</f>
        <v>고샌 끝에 낙이 온다</v>
      </c>
      <c r="B12872" s="2" t="str">
        <f>IFERROR(__xludf.DUMMYFUNCTION("""COMPUTED_VALUE"""),"레몬")</f>
        <v>레몬</v>
      </c>
    </row>
    <row r="12873">
      <c r="A12873" s="2" t="str">
        <f>IFERROR(__xludf.DUMMYFUNCTION("""COMPUTED_VALUE"""),"고샌 끝에 낙이 온다")</f>
        <v>고샌 끝에 낙이 온다</v>
      </c>
      <c r="B12873" s="2" t="str">
        <f>IFERROR(__xludf.DUMMYFUNCTION("""COMPUTED_VALUE"""),"대파")</f>
        <v>대파</v>
      </c>
    </row>
    <row r="12874">
      <c r="A12874" s="2" t="str">
        <f>IFERROR(__xludf.DUMMYFUNCTION("""COMPUTED_VALUE"""),"고샌 끝에 낙이 온다")</f>
        <v>고샌 끝에 낙이 온다</v>
      </c>
      <c r="B12874" s="2" t="str">
        <f>IFERROR(__xludf.DUMMYFUNCTION("""COMPUTED_VALUE"""),"마늘")</f>
        <v>마늘</v>
      </c>
    </row>
    <row r="12875">
      <c r="A12875" s="2" t="str">
        <f>IFERROR(__xludf.DUMMYFUNCTION("""COMPUTED_VALUE"""),"고샌 끝에 낙이 온다")</f>
        <v>고샌 끝에 낙이 온다</v>
      </c>
      <c r="B12875" s="2" t="str">
        <f>IFERROR(__xludf.DUMMYFUNCTION("""COMPUTED_VALUE"""),"청양고추")</f>
        <v>청양고추</v>
      </c>
    </row>
    <row r="12876">
      <c r="A12876" s="2" t="str">
        <f>IFERROR(__xludf.DUMMYFUNCTION("""COMPUTED_VALUE"""),"고샌 끝에 낙이 온다")</f>
        <v>고샌 끝에 낙이 온다</v>
      </c>
      <c r="B12876" s="2" t="str">
        <f>IFERROR(__xludf.DUMMYFUNCTION("""COMPUTED_VALUE"""),"물엿")</f>
        <v>물엿</v>
      </c>
    </row>
    <row r="12877">
      <c r="A12877" s="2" t="str">
        <f>IFERROR(__xludf.DUMMYFUNCTION("""COMPUTED_VALUE"""),"고샌 끝에 낙이 온다")</f>
        <v>고샌 끝에 낙이 온다</v>
      </c>
      <c r="B12877" s="2" t="str">
        <f>IFERROR(__xludf.DUMMYFUNCTION("""COMPUTED_VALUE"""),"마요네즈")</f>
        <v>마요네즈</v>
      </c>
    </row>
    <row r="12878">
      <c r="A12878" s="2" t="str">
        <f>IFERROR(__xludf.DUMMYFUNCTION("""COMPUTED_VALUE"""),"고샌 끝에 낙이 온다")</f>
        <v>고샌 끝에 낙이 온다</v>
      </c>
      <c r="B12878" s="2" t="str">
        <f>IFERROR(__xludf.DUMMYFUNCTION("""COMPUTED_VALUE"""),"깨")</f>
        <v>깨</v>
      </c>
    </row>
    <row r="12879">
      <c r="A12879" s="2" t="str">
        <f>IFERROR(__xludf.DUMMYFUNCTION("""COMPUTED_VALUE"""),"내가 이길 거고등")</f>
        <v>내가 이길 거고등</v>
      </c>
      <c r="B12879" s="2" t="str">
        <f>IFERROR(__xludf.DUMMYFUNCTION("""COMPUTED_VALUE"""),"쌀식빵")</f>
        <v>쌀식빵</v>
      </c>
    </row>
    <row r="12880">
      <c r="A12880" s="2" t="str">
        <f>IFERROR(__xludf.DUMMYFUNCTION("""COMPUTED_VALUE"""),"내가 이길 거고등")</f>
        <v>내가 이길 거고등</v>
      </c>
      <c r="B12880" s="2" t="str">
        <f>IFERROR(__xludf.DUMMYFUNCTION("""COMPUTED_VALUE"""),"고등어")</f>
        <v>고등어</v>
      </c>
    </row>
    <row r="12881">
      <c r="A12881" s="2" t="str">
        <f>IFERROR(__xludf.DUMMYFUNCTION("""COMPUTED_VALUE"""),"내가 이길 거고등")</f>
        <v>내가 이길 거고등</v>
      </c>
      <c r="B12881" s="2" t="str">
        <f>IFERROR(__xludf.DUMMYFUNCTION("""COMPUTED_VALUE"""),"복분자즙")</f>
        <v>복분자즙</v>
      </c>
    </row>
    <row r="12882">
      <c r="A12882" s="2" t="str">
        <f>IFERROR(__xludf.DUMMYFUNCTION("""COMPUTED_VALUE"""),"내가 이길 거고등")</f>
        <v>내가 이길 거고등</v>
      </c>
      <c r="B12882" s="2" t="str">
        <f>IFERROR(__xludf.DUMMYFUNCTION("""COMPUTED_VALUE"""),"통조림 황도")</f>
        <v>통조림 황도</v>
      </c>
    </row>
    <row r="12883">
      <c r="A12883" s="2" t="str">
        <f>IFERROR(__xludf.DUMMYFUNCTION("""COMPUTED_VALUE"""),"내가 이길 거고등")</f>
        <v>내가 이길 거고등</v>
      </c>
      <c r="B12883" s="2" t="str">
        <f>IFERROR(__xludf.DUMMYFUNCTION("""COMPUTED_VALUE"""),"통조림 골뱅이")</f>
        <v>통조림 골뱅이</v>
      </c>
    </row>
    <row r="12884">
      <c r="A12884" s="2" t="str">
        <f>IFERROR(__xludf.DUMMYFUNCTION("""COMPUTED_VALUE"""),"내가 이길 거고등")</f>
        <v>내가 이길 거고등</v>
      </c>
      <c r="B12884" s="2" t="str">
        <f>IFERROR(__xludf.DUMMYFUNCTION("""COMPUTED_VALUE"""),"토마토")</f>
        <v>토마토</v>
      </c>
    </row>
    <row r="12885">
      <c r="A12885" s="2" t="str">
        <f>IFERROR(__xludf.DUMMYFUNCTION("""COMPUTED_VALUE"""),"내가 이길 거고등")</f>
        <v>내가 이길 거고등</v>
      </c>
      <c r="B12885" s="2" t="str">
        <f>IFERROR(__xludf.DUMMYFUNCTION("""COMPUTED_VALUE"""),"사과")</f>
        <v>사과</v>
      </c>
    </row>
    <row r="12886">
      <c r="A12886" s="2" t="str">
        <f>IFERROR(__xludf.DUMMYFUNCTION("""COMPUTED_VALUE"""),"내가 이길 거고등")</f>
        <v>내가 이길 거고등</v>
      </c>
      <c r="B12886" s="2" t="str">
        <f>IFERROR(__xludf.DUMMYFUNCTION("""COMPUTED_VALUE"""),"자숙새우")</f>
        <v>자숙새우</v>
      </c>
    </row>
    <row r="12887">
      <c r="A12887" s="2" t="str">
        <f>IFERROR(__xludf.DUMMYFUNCTION("""COMPUTED_VALUE"""),"내가 이길 거고등")</f>
        <v>내가 이길 거고등</v>
      </c>
      <c r="B12887" s="2" t="str">
        <f>IFERROR(__xludf.DUMMYFUNCTION("""COMPUTED_VALUE"""),"낙지")</f>
        <v>낙지</v>
      </c>
    </row>
    <row r="12888">
      <c r="A12888" s="2" t="str">
        <f>IFERROR(__xludf.DUMMYFUNCTION("""COMPUTED_VALUE"""),"내가 이길 거고등")</f>
        <v>내가 이길 거고등</v>
      </c>
      <c r="B12888" s="2" t="str">
        <f>IFERROR(__xludf.DUMMYFUNCTION("""COMPUTED_VALUE"""),"양상추")</f>
        <v>양상추</v>
      </c>
    </row>
    <row r="12889">
      <c r="A12889" s="2" t="str">
        <f>IFERROR(__xludf.DUMMYFUNCTION("""COMPUTED_VALUE"""),"내가 이길 거고등")</f>
        <v>내가 이길 거고등</v>
      </c>
      <c r="B12889" s="2" t="str">
        <f>IFERROR(__xludf.DUMMYFUNCTION("""COMPUTED_VALUE"""),"복분자퓌레")</f>
        <v>복분자퓌레</v>
      </c>
    </row>
    <row r="12890">
      <c r="A12890" s="2" t="str">
        <f>IFERROR(__xludf.DUMMYFUNCTION("""COMPUTED_VALUE"""),"내가 이길 거고등")</f>
        <v>내가 이길 거고등</v>
      </c>
      <c r="B12890" s="2" t="str">
        <f>IFERROR(__xludf.DUMMYFUNCTION("""COMPUTED_VALUE"""),"달걀")</f>
        <v>달걀</v>
      </c>
    </row>
    <row r="12891">
      <c r="A12891" s="2" t="str">
        <f>IFERROR(__xludf.DUMMYFUNCTION("""COMPUTED_VALUE"""),"내가 이길 거고등")</f>
        <v>내가 이길 거고등</v>
      </c>
      <c r="B12891" s="2" t="str">
        <f>IFERROR(__xludf.DUMMYFUNCTION("""COMPUTED_VALUE"""),"소금")</f>
        <v>소금</v>
      </c>
    </row>
    <row r="12892">
      <c r="A12892" s="2" t="str">
        <f>IFERROR(__xludf.DUMMYFUNCTION("""COMPUTED_VALUE"""),"내가 이길 거고등")</f>
        <v>내가 이길 거고등</v>
      </c>
      <c r="B12892" s="2" t="str">
        <f>IFERROR(__xludf.DUMMYFUNCTION("""COMPUTED_VALUE"""),"설탕")</f>
        <v>설탕</v>
      </c>
    </row>
    <row r="12893">
      <c r="A12893" s="2" t="str">
        <f>IFERROR(__xludf.DUMMYFUNCTION("""COMPUTED_VALUE"""),"내가 이길 거고등")</f>
        <v>내가 이길 거고등</v>
      </c>
      <c r="B12893" s="2" t="str">
        <f>IFERROR(__xludf.DUMMYFUNCTION("""COMPUTED_VALUE"""),"청주")</f>
        <v>청주</v>
      </c>
    </row>
    <row r="12894">
      <c r="A12894" s="2" t="str">
        <f>IFERROR(__xludf.DUMMYFUNCTION("""COMPUTED_VALUE"""),"내가 이길 거고등")</f>
        <v>내가 이길 거고등</v>
      </c>
      <c r="B12894" s="2" t="str">
        <f>IFERROR(__xludf.DUMMYFUNCTION("""COMPUTED_VALUE"""),"맛술")</f>
        <v>맛술</v>
      </c>
    </row>
    <row r="12895">
      <c r="A12895" s="2" t="str">
        <f>IFERROR(__xludf.DUMMYFUNCTION("""COMPUTED_VALUE"""),"내가 이길 거고등")</f>
        <v>내가 이길 거고등</v>
      </c>
      <c r="B12895" s="2" t="str">
        <f>IFERROR(__xludf.DUMMYFUNCTION("""COMPUTED_VALUE"""),"간장")</f>
        <v>간장</v>
      </c>
    </row>
    <row r="12896">
      <c r="A12896" s="2" t="str">
        <f>IFERROR(__xludf.DUMMYFUNCTION("""COMPUTED_VALUE"""),"내가 이길 거고등")</f>
        <v>내가 이길 거고등</v>
      </c>
      <c r="B12896" s="2" t="str">
        <f>IFERROR(__xludf.DUMMYFUNCTION("""COMPUTED_VALUE"""),"후추")</f>
        <v>후추</v>
      </c>
    </row>
    <row r="12897">
      <c r="A12897" s="2" t="str">
        <f>IFERROR(__xludf.DUMMYFUNCTION("""COMPUTED_VALUE"""),"내가 이길 거고등")</f>
        <v>내가 이길 거고등</v>
      </c>
      <c r="B12897" s="2" t="str">
        <f>IFERROR(__xludf.DUMMYFUNCTION("""COMPUTED_VALUE"""),"밀가루")</f>
        <v>밀가루</v>
      </c>
    </row>
    <row r="12898">
      <c r="A12898" s="2" t="str">
        <f>IFERROR(__xludf.DUMMYFUNCTION("""COMPUTED_VALUE"""),"내가 이길 거고등")</f>
        <v>내가 이길 거고등</v>
      </c>
      <c r="B12898" s="2" t="str">
        <f>IFERROR(__xludf.DUMMYFUNCTION("""COMPUTED_VALUE"""),"기름")</f>
        <v>기름</v>
      </c>
    </row>
    <row r="12899">
      <c r="A12899" s="2" t="str">
        <f>IFERROR(__xludf.DUMMYFUNCTION("""COMPUTED_VALUE"""),"내가 이길 거고등")</f>
        <v>내가 이길 거고등</v>
      </c>
      <c r="B12899" s="2" t="str">
        <f>IFERROR(__xludf.DUMMYFUNCTION("""COMPUTED_VALUE"""),"올리브오일")</f>
        <v>올리브오일</v>
      </c>
    </row>
    <row r="12900">
      <c r="A12900" s="2" t="str">
        <f>IFERROR(__xludf.DUMMYFUNCTION("""COMPUTED_VALUE"""),"내가 이길 거고등")</f>
        <v>내가 이길 거고등</v>
      </c>
      <c r="B12900" s="2" t="str">
        <f>IFERROR(__xludf.DUMMYFUNCTION("""COMPUTED_VALUE"""),"식초")</f>
        <v>식초</v>
      </c>
    </row>
    <row r="12901">
      <c r="A12901" s="2" t="str">
        <f>IFERROR(__xludf.DUMMYFUNCTION("""COMPUTED_VALUE"""),"내가 이길 거고등")</f>
        <v>내가 이길 거고등</v>
      </c>
      <c r="B12901" s="2" t="str">
        <f>IFERROR(__xludf.DUMMYFUNCTION("""COMPUTED_VALUE"""),"양파")</f>
        <v>양파</v>
      </c>
    </row>
    <row r="12902">
      <c r="A12902" s="2" t="str">
        <f>IFERROR(__xludf.DUMMYFUNCTION("""COMPUTED_VALUE"""),"내가 이길 거고등")</f>
        <v>내가 이길 거고등</v>
      </c>
      <c r="B12902" s="2" t="str">
        <f>IFERROR(__xludf.DUMMYFUNCTION("""COMPUTED_VALUE"""),"레몬")</f>
        <v>레몬</v>
      </c>
    </row>
    <row r="12903">
      <c r="A12903" s="2" t="str">
        <f>IFERROR(__xludf.DUMMYFUNCTION("""COMPUTED_VALUE"""),"내가 이길 거고등")</f>
        <v>내가 이길 거고등</v>
      </c>
      <c r="B12903" s="2" t="str">
        <f>IFERROR(__xludf.DUMMYFUNCTION("""COMPUTED_VALUE"""),"마요네즈")</f>
        <v>마요네즈</v>
      </c>
    </row>
    <row r="12904">
      <c r="A12904" s="2" t="str">
        <f>IFERROR(__xludf.DUMMYFUNCTION("""COMPUTED_VALUE"""),"파짱쫀")</f>
        <v>파짱쫀</v>
      </c>
      <c r="B12904" s="2" t="str">
        <f>IFERROR(__xludf.DUMMYFUNCTION("""COMPUTED_VALUE"""),"불고기용 소고기")</f>
        <v>불고기용 소고기</v>
      </c>
    </row>
    <row r="12905">
      <c r="A12905" s="2" t="str">
        <f>IFERROR(__xludf.DUMMYFUNCTION("""COMPUTED_VALUE"""),"파짱쫀")</f>
        <v>파짱쫀</v>
      </c>
      <c r="B12905" s="2" t="str">
        <f>IFERROR(__xludf.DUMMYFUNCTION("""COMPUTED_VALUE"""),"까나리액젓")</f>
        <v>까나리액젓</v>
      </c>
    </row>
    <row r="12906">
      <c r="A12906" s="2" t="str">
        <f>IFERROR(__xludf.DUMMYFUNCTION("""COMPUTED_VALUE"""),"파짱쫀")</f>
        <v>파짱쫀</v>
      </c>
      <c r="B12906" s="2" t="str">
        <f>IFERROR(__xludf.DUMMYFUNCTION("""COMPUTED_VALUE"""),"라이스페이퍼")</f>
        <v>라이스페이퍼</v>
      </c>
    </row>
    <row r="12907">
      <c r="A12907" s="2" t="str">
        <f>IFERROR(__xludf.DUMMYFUNCTION("""COMPUTED_VALUE"""),"파짱쫀")</f>
        <v>파짱쫀</v>
      </c>
      <c r="B12907" s="2" t="str">
        <f>IFERROR(__xludf.DUMMYFUNCTION("""COMPUTED_VALUE"""),"쯔유")</f>
        <v>쯔유</v>
      </c>
    </row>
    <row r="12908">
      <c r="A12908" s="2" t="str">
        <f>IFERROR(__xludf.DUMMYFUNCTION("""COMPUTED_VALUE"""),"파짱쫀")</f>
        <v>파짱쫀</v>
      </c>
      <c r="B12908" s="2" t="str">
        <f>IFERROR(__xludf.DUMMYFUNCTION("""COMPUTED_VALUE"""),"굴소스")</f>
        <v>굴소스</v>
      </c>
    </row>
    <row r="12909">
      <c r="A12909" s="2" t="str">
        <f>IFERROR(__xludf.DUMMYFUNCTION("""COMPUTED_VALUE"""),"파짱쫀")</f>
        <v>파짱쫀</v>
      </c>
      <c r="B12909" s="2" t="str">
        <f>IFERROR(__xludf.DUMMYFUNCTION("""COMPUTED_VALUE"""),"삶은 돼지껍질")</f>
        <v>삶은 돼지껍질</v>
      </c>
    </row>
    <row r="12910">
      <c r="A12910" s="2" t="str">
        <f>IFERROR(__xludf.DUMMYFUNCTION("""COMPUTED_VALUE"""),"파짱쫀")</f>
        <v>파짱쫀</v>
      </c>
      <c r="B12910" s="2" t="str">
        <f>IFERROR(__xludf.DUMMYFUNCTION("""COMPUTED_VALUE"""),"모과청")</f>
        <v>모과청</v>
      </c>
    </row>
    <row r="12911">
      <c r="A12911" s="2" t="str">
        <f>IFERROR(__xludf.DUMMYFUNCTION("""COMPUTED_VALUE"""),"파짱쫀")</f>
        <v>파짱쫀</v>
      </c>
      <c r="B12911" s="2" t="str">
        <f>IFERROR(__xludf.DUMMYFUNCTION("""COMPUTED_VALUE"""),"들기름")</f>
        <v>들기름</v>
      </c>
    </row>
    <row r="12912">
      <c r="A12912" s="2" t="str">
        <f>IFERROR(__xludf.DUMMYFUNCTION("""COMPUTED_VALUE"""),"파짱쫀")</f>
        <v>파짱쫀</v>
      </c>
      <c r="B12912" s="2" t="str">
        <f>IFERROR(__xludf.DUMMYFUNCTION("""COMPUTED_VALUE"""),"비빔간장")</f>
        <v>비빔간장</v>
      </c>
    </row>
    <row r="12913">
      <c r="A12913" s="2" t="str">
        <f>IFERROR(__xludf.DUMMYFUNCTION("""COMPUTED_VALUE"""),"파짱쫀")</f>
        <v>파짱쫀</v>
      </c>
      <c r="B12913" s="2" t="str">
        <f>IFERROR(__xludf.DUMMYFUNCTION("""COMPUTED_VALUE"""),"대파")</f>
        <v>대파</v>
      </c>
    </row>
    <row r="12914">
      <c r="A12914" s="2" t="str">
        <f>IFERROR(__xludf.DUMMYFUNCTION("""COMPUTED_VALUE"""),"파짱쫀")</f>
        <v>파짱쫀</v>
      </c>
      <c r="B12914" s="2" t="str">
        <f>IFERROR(__xludf.DUMMYFUNCTION("""COMPUTED_VALUE"""),"고춧가루")</f>
        <v>고춧가루</v>
      </c>
    </row>
    <row r="12915">
      <c r="A12915" s="2" t="str">
        <f>IFERROR(__xludf.DUMMYFUNCTION("""COMPUTED_VALUE"""),"파짱쫀")</f>
        <v>파짱쫀</v>
      </c>
      <c r="B12915" s="2" t="str">
        <f>IFERROR(__xludf.DUMMYFUNCTION("""COMPUTED_VALUE"""),"전분")</f>
        <v>전분</v>
      </c>
    </row>
    <row r="12916">
      <c r="A12916" s="2" t="str">
        <f>IFERROR(__xludf.DUMMYFUNCTION("""COMPUTED_VALUE"""),"파짱쫀")</f>
        <v>파짱쫀</v>
      </c>
      <c r="B12916" s="2" t="str">
        <f>IFERROR(__xludf.DUMMYFUNCTION("""COMPUTED_VALUE"""),"달걀")</f>
        <v>달걀</v>
      </c>
    </row>
    <row r="12917">
      <c r="A12917" s="2" t="str">
        <f>IFERROR(__xludf.DUMMYFUNCTION("""COMPUTED_VALUE"""),"파짱쫀")</f>
        <v>파짱쫀</v>
      </c>
      <c r="B12917" s="2" t="str">
        <f>IFERROR(__xludf.DUMMYFUNCTION("""COMPUTED_VALUE"""),"식초")</f>
        <v>식초</v>
      </c>
    </row>
    <row r="12918">
      <c r="A12918" s="2" t="str">
        <f>IFERROR(__xludf.DUMMYFUNCTION("""COMPUTED_VALUE"""),"파짱쫀")</f>
        <v>파짱쫀</v>
      </c>
      <c r="B12918" s="2" t="str">
        <f>IFERROR(__xludf.DUMMYFUNCTION("""COMPUTED_VALUE"""),"레몬")</f>
        <v>레몬</v>
      </c>
    </row>
    <row r="12919">
      <c r="A12919" s="2" t="str">
        <f>IFERROR(__xludf.DUMMYFUNCTION("""COMPUTED_VALUE"""),"대파 Two")</f>
        <v>대파 Two</v>
      </c>
      <c r="B12919" s="2" t="str">
        <f>IFERROR(__xludf.DUMMYFUNCTION("""COMPUTED_VALUE"""),"소고기 등심")</f>
        <v>소고기 등심</v>
      </c>
    </row>
    <row r="12920">
      <c r="A12920" s="2" t="str">
        <f>IFERROR(__xludf.DUMMYFUNCTION("""COMPUTED_VALUE"""),"대파 Two")</f>
        <v>대파 Two</v>
      </c>
      <c r="B12920" s="2" t="str">
        <f>IFERROR(__xludf.DUMMYFUNCTION("""COMPUTED_VALUE"""),"삼치")</f>
        <v>삼치</v>
      </c>
    </row>
    <row r="12921">
      <c r="A12921" s="2" t="str">
        <f>IFERROR(__xludf.DUMMYFUNCTION("""COMPUTED_VALUE"""),"대파 Two")</f>
        <v>대파 Two</v>
      </c>
      <c r="B12921" s="2" t="str">
        <f>IFERROR(__xludf.DUMMYFUNCTION("""COMPUTED_VALUE"""),"관자")</f>
        <v>관자</v>
      </c>
    </row>
    <row r="12922">
      <c r="A12922" s="2" t="str">
        <f>IFERROR(__xludf.DUMMYFUNCTION("""COMPUTED_VALUE"""),"대파 Two")</f>
        <v>대파 Two</v>
      </c>
      <c r="B12922" s="2" t="str">
        <f>IFERROR(__xludf.DUMMYFUNCTION("""COMPUTED_VALUE"""),"삶은 전복")</f>
        <v>삶은 전복</v>
      </c>
    </row>
    <row r="12923">
      <c r="A12923" s="2" t="str">
        <f>IFERROR(__xludf.DUMMYFUNCTION("""COMPUTED_VALUE"""),"대파 Two")</f>
        <v>대파 Two</v>
      </c>
      <c r="B12923" s="2" t="str">
        <f>IFERROR(__xludf.DUMMYFUNCTION("""COMPUTED_VALUE"""),"삶은 문어")</f>
        <v>삶은 문어</v>
      </c>
    </row>
    <row r="12924">
      <c r="A12924" s="2" t="str">
        <f>IFERROR(__xludf.DUMMYFUNCTION("""COMPUTED_VALUE"""),"대파 Two")</f>
        <v>대파 Two</v>
      </c>
      <c r="B12924" s="2" t="str">
        <f>IFERROR(__xludf.DUMMYFUNCTION("""COMPUTED_VALUE"""),"자숙새우")</f>
        <v>자숙새우</v>
      </c>
    </row>
    <row r="12925">
      <c r="A12925" s="2" t="str">
        <f>IFERROR(__xludf.DUMMYFUNCTION("""COMPUTED_VALUE"""),"대파 Two")</f>
        <v>대파 Two</v>
      </c>
      <c r="B12925" s="2" t="str">
        <f>IFERROR(__xludf.DUMMYFUNCTION("""COMPUTED_VALUE"""),"멸치육수")</f>
        <v>멸치육수</v>
      </c>
    </row>
    <row r="12926">
      <c r="A12926" s="2" t="str">
        <f>IFERROR(__xludf.DUMMYFUNCTION("""COMPUTED_VALUE"""),"대파 Two")</f>
        <v>대파 Two</v>
      </c>
      <c r="B12926" s="2" t="str">
        <f>IFERROR(__xludf.DUMMYFUNCTION("""COMPUTED_VALUE"""),"건새우")</f>
        <v>건새우</v>
      </c>
    </row>
    <row r="12927">
      <c r="A12927" s="2" t="str">
        <f>IFERROR(__xludf.DUMMYFUNCTION("""COMPUTED_VALUE"""),"대파 Two")</f>
        <v>대파 Two</v>
      </c>
      <c r="B12927" s="2" t="str">
        <f>IFERROR(__xludf.DUMMYFUNCTION("""COMPUTED_VALUE"""),"국물용 멸치")</f>
        <v>국물용 멸치</v>
      </c>
    </row>
    <row r="12928">
      <c r="A12928" s="2" t="str">
        <f>IFERROR(__xludf.DUMMYFUNCTION("""COMPUTED_VALUE"""),"대파 Two")</f>
        <v>대파 Two</v>
      </c>
      <c r="B12928" s="2" t="str">
        <f>IFERROR(__xludf.DUMMYFUNCTION("""COMPUTED_VALUE"""),"밴댕이(디포리)")</f>
        <v>밴댕이(디포리)</v>
      </c>
    </row>
    <row r="12929">
      <c r="A12929" s="2" t="str">
        <f>IFERROR(__xludf.DUMMYFUNCTION("""COMPUTED_VALUE"""),"대파 Two")</f>
        <v>대파 Two</v>
      </c>
      <c r="B12929" s="2" t="str">
        <f>IFERROR(__xludf.DUMMYFUNCTION("""COMPUTED_VALUE"""),"파뿌리북어대가리")</f>
        <v>파뿌리북어대가리</v>
      </c>
    </row>
    <row r="12930">
      <c r="A12930" s="2" t="str">
        <f>IFERROR(__xludf.DUMMYFUNCTION("""COMPUTED_VALUE"""),"대파 Two")</f>
        <v>대파 Two</v>
      </c>
      <c r="B12930" s="2" t="str">
        <f>IFERROR(__xludf.DUMMYFUNCTION("""COMPUTED_VALUE"""),"마늘장아찌")</f>
        <v>마늘장아찌</v>
      </c>
    </row>
    <row r="12931">
      <c r="A12931" s="2" t="str">
        <f>IFERROR(__xludf.DUMMYFUNCTION("""COMPUTED_VALUE"""),"대파 Two")</f>
        <v>대파 Two</v>
      </c>
      <c r="B12931" s="2" t="str">
        <f>IFERROR(__xludf.DUMMYFUNCTION("""COMPUTED_VALUE"""),"매실청")</f>
        <v>매실청</v>
      </c>
    </row>
    <row r="12932">
      <c r="A12932" s="2" t="str">
        <f>IFERROR(__xludf.DUMMYFUNCTION("""COMPUTED_VALUE"""),"대파 Two")</f>
        <v>대파 Two</v>
      </c>
      <c r="B12932" s="2" t="str">
        <f>IFERROR(__xludf.DUMMYFUNCTION("""COMPUTED_VALUE"""),"까나리액젓")</f>
        <v>까나리액젓</v>
      </c>
    </row>
    <row r="12933">
      <c r="A12933" s="2" t="str">
        <f>IFERROR(__xludf.DUMMYFUNCTION("""COMPUTED_VALUE"""),"대파 Two")</f>
        <v>대파 Two</v>
      </c>
      <c r="B12933" s="2" t="str">
        <f>IFERROR(__xludf.DUMMYFUNCTION("""COMPUTED_VALUE"""),"국간장")</f>
        <v>국간장</v>
      </c>
    </row>
    <row r="12934">
      <c r="A12934" s="2" t="str">
        <f>IFERROR(__xludf.DUMMYFUNCTION("""COMPUTED_VALUE"""),"대파 Two")</f>
        <v>대파 Two</v>
      </c>
      <c r="B12934" s="2" t="str">
        <f>IFERROR(__xludf.DUMMYFUNCTION("""COMPUTED_VALUE"""),"쯔유")</f>
        <v>쯔유</v>
      </c>
    </row>
    <row r="12935">
      <c r="A12935" s="2" t="str">
        <f>IFERROR(__xludf.DUMMYFUNCTION("""COMPUTED_VALUE"""),"대파 Two")</f>
        <v>대파 Two</v>
      </c>
      <c r="B12935" s="2" t="str">
        <f>IFERROR(__xludf.DUMMYFUNCTION("""COMPUTED_VALUE"""),"통후추")</f>
        <v>통후추</v>
      </c>
    </row>
    <row r="12936">
      <c r="A12936" s="2" t="str">
        <f>IFERROR(__xludf.DUMMYFUNCTION("""COMPUTED_VALUE"""),"대파 Two")</f>
        <v>대파 Two</v>
      </c>
      <c r="B12936" s="2" t="str">
        <f>IFERROR(__xludf.DUMMYFUNCTION("""COMPUTED_VALUE"""),"맛술")</f>
        <v>맛술</v>
      </c>
    </row>
    <row r="12937">
      <c r="A12937" s="2" t="str">
        <f>IFERROR(__xludf.DUMMYFUNCTION("""COMPUTED_VALUE"""),"대파 Two")</f>
        <v>대파 Two</v>
      </c>
      <c r="B12937" s="2" t="str">
        <f>IFERROR(__xludf.DUMMYFUNCTION("""COMPUTED_VALUE"""),"대파")</f>
        <v>대파</v>
      </c>
    </row>
    <row r="12938">
      <c r="A12938" s="2" t="str">
        <f>IFERROR(__xludf.DUMMYFUNCTION("""COMPUTED_VALUE"""),"대파 Two")</f>
        <v>대파 Two</v>
      </c>
      <c r="B12938" s="2" t="str">
        <f>IFERROR(__xludf.DUMMYFUNCTION("""COMPUTED_VALUE"""),"소금")</f>
        <v>소금</v>
      </c>
    </row>
    <row r="12939">
      <c r="A12939" s="2" t="str">
        <f>IFERROR(__xludf.DUMMYFUNCTION("""COMPUTED_VALUE"""),"대파 Two")</f>
        <v>대파 Two</v>
      </c>
      <c r="B12939" s="2" t="str">
        <f>IFERROR(__xludf.DUMMYFUNCTION("""COMPUTED_VALUE"""),"전분")</f>
        <v>전분</v>
      </c>
    </row>
    <row r="12940">
      <c r="A12940" s="2" t="str">
        <f>IFERROR(__xludf.DUMMYFUNCTION("""COMPUTED_VALUE"""),"대파 Two")</f>
        <v>대파 Two</v>
      </c>
      <c r="B12940" s="2" t="str">
        <f>IFERROR(__xludf.DUMMYFUNCTION("""COMPUTED_VALUE"""),"달걀")</f>
        <v>달걀</v>
      </c>
    </row>
    <row r="12941">
      <c r="A12941" s="2" t="str">
        <f>IFERROR(__xludf.DUMMYFUNCTION("""COMPUTED_VALUE"""),"대파 Two")</f>
        <v>대파 Two</v>
      </c>
      <c r="B12941" s="2" t="str">
        <f>IFERROR(__xludf.DUMMYFUNCTION("""COMPUTED_VALUE"""),"된장")</f>
        <v>된장</v>
      </c>
    </row>
    <row r="12942">
      <c r="A12942" s="2" t="str">
        <f>IFERROR(__xludf.DUMMYFUNCTION("""COMPUTED_VALUE"""),"대파 Two")</f>
        <v>대파 Two</v>
      </c>
      <c r="B12942" s="2" t="str">
        <f>IFERROR(__xludf.DUMMYFUNCTION("""COMPUTED_VALUE"""),"다진마늘")</f>
        <v>다진마늘</v>
      </c>
    </row>
    <row r="12943">
      <c r="A12943" s="2" t="str">
        <f>IFERROR(__xludf.DUMMYFUNCTION("""COMPUTED_VALUE"""),"대파 Two")</f>
        <v>대파 Two</v>
      </c>
      <c r="B12943" s="2" t="str">
        <f>IFERROR(__xludf.DUMMYFUNCTION("""COMPUTED_VALUE"""),"참기름고춧가루")</f>
        <v>참기름고춧가루</v>
      </c>
    </row>
    <row r="12944">
      <c r="A12944" s="2" t="str">
        <f>IFERROR(__xludf.DUMMYFUNCTION("""COMPUTED_VALUE"""),"대파 Two")</f>
        <v>대파 Two</v>
      </c>
      <c r="B12944" s="2" t="str">
        <f>IFERROR(__xludf.DUMMYFUNCTION("""COMPUTED_VALUE"""),"청양고추")</f>
        <v>청양고추</v>
      </c>
    </row>
    <row r="12945">
      <c r="A12945" s="2" t="str">
        <f>IFERROR(__xludf.DUMMYFUNCTION("""COMPUTED_VALUE"""),"오~ 김치 코리아♬")</f>
        <v>오~ 김치 코리아♬</v>
      </c>
      <c r="B12945" s="2" t="str">
        <f>IFERROR(__xludf.DUMMYFUNCTION("""COMPUTED_VALUE"""),"불고기용 소고기")</f>
        <v>불고기용 소고기</v>
      </c>
    </row>
    <row r="12946">
      <c r="A12946" s="2" t="str">
        <f>IFERROR(__xludf.DUMMYFUNCTION("""COMPUTED_VALUE"""),"오~ 김치 코리아♬")</f>
        <v>오~ 김치 코리아♬</v>
      </c>
      <c r="B12946" s="2" t="str">
        <f>IFERROR(__xludf.DUMMYFUNCTION("""COMPUTED_VALUE"""),"소고기 등심")</f>
        <v>소고기 등심</v>
      </c>
    </row>
    <row r="12947">
      <c r="A12947" s="2" t="str">
        <f>IFERROR(__xludf.DUMMYFUNCTION("""COMPUTED_VALUE"""),"오~ 김치 코리아♬")</f>
        <v>오~ 김치 코리아♬</v>
      </c>
      <c r="B12947" s="2" t="str">
        <f>IFERROR(__xludf.DUMMYFUNCTION("""COMPUTED_VALUE"""),"전복")</f>
        <v>전복</v>
      </c>
    </row>
    <row r="12948">
      <c r="A12948" s="2" t="str">
        <f>IFERROR(__xludf.DUMMYFUNCTION("""COMPUTED_VALUE"""),"오~ 김치 코리아♬")</f>
        <v>오~ 김치 코리아♬</v>
      </c>
      <c r="B12948" s="2" t="str">
        <f>IFERROR(__xludf.DUMMYFUNCTION("""COMPUTED_VALUE"""),"관자")</f>
        <v>관자</v>
      </c>
    </row>
    <row r="12949">
      <c r="A12949" s="2" t="str">
        <f>IFERROR(__xludf.DUMMYFUNCTION("""COMPUTED_VALUE"""),"오~ 김치 코리아♬")</f>
        <v>오~ 김치 코리아♬</v>
      </c>
      <c r="B12949" s="2" t="str">
        <f>IFERROR(__xludf.DUMMYFUNCTION("""COMPUTED_VALUE"""),"자숙새우")</f>
        <v>자숙새우</v>
      </c>
    </row>
    <row r="12950">
      <c r="A12950" s="2" t="str">
        <f>IFERROR(__xludf.DUMMYFUNCTION("""COMPUTED_VALUE"""),"오~ 김치 코리아♬")</f>
        <v>오~ 김치 코리아♬</v>
      </c>
      <c r="B12950" s="2" t="str">
        <f>IFERROR(__xludf.DUMMYFUNCTION("""COMPUTED_VALUE"""),"주꾸미")</f>
        <v>주꾸미</v>
      </c>
    </row>
    <row r="12951">
      <c r="A12951" s="2" t="str">
        <f>IFERROR(__xludf.DUMMYFUNCTION("""COMPUTED_VALUE"""),"오~ 김치 코리아♬")</f>
        <v>오~ 김치 코리아♬</v>
      </c>
      <c r="B12951" s="2" t="str">
        <f>IFERROR(__xludf.DUMMYFUNCTION("""COMPUTED_VALUE"""),"삶은 문어")</f>
        <v>삶은 문어</v>
      </c>
    </row>
    <row r="12952">
      <c r="A12952" s="2" t="str">
        <f>IFERROR(__xludf.DUMMYFUNCTION("""COMPUTED_VALUE"""),"오~ 김치 코리아♬")</f>
        <v>오~ 김치 코리아♬</v>
      </c>
      <c r="B12952" s="2" t="str">
        <f>IFERROR(__xludf.DUMMYFUNCTION("""COMPUTED_VALUE"""),"멸치육수")</f>
        <v>멸치육수</v>
      </c>
    </row>
    <row r="12953">
      <c r="A12953" s="2" t="str">
        <f>IFERROR(__xludf.DUMMYFUNCTION("""COMPUTED_VALUE"""),"오~ 김치 코리아♬")</f>
        <v>오~ 김치 코리아♬</v>
      </c>
      <c r="B12953" s="2" t="str">
        <f>IFERROR(__xludf.DUMMYFUNCTION("""COMPUTED_VALUE"""),"굴소스")</f>
        <v>굴소스</v>
      </c>
    </row>
    <row r="12954">
      <c r="A12954" s="2" t="str">
        <f>IFERROR(__xludf.DUMMYFUNCTION("""COMPUTED_VALUE"""),"오~ 김치 코리아♬")</f>
        <v>오~ 김치 코리아♬</v>
      </c>
      <c r="B12954" s="2" t="str">
        <f>IFERROR(__xludf.DUMMYFUNCTION("""COMPUTED_VALUE"""),"쯔유")</f>
        <v>쯔유</v>
      </c>
    </row>
    <row r="12955">
      <c r="A12955" s="2" t="str">
        <f>IFERROR(__xludf.DUMMYFUNCTION("""COMPUTED_VALUE"""),"오~ 김치 코리아♬")</f>
        <v>오~ 김치 코리아♬</v>
      </c>
      <c r="B12955" s="2" t="str">
        <f>IFERROR(__xludf.DUMMYFUNCTION("""COMPUTED_VALUE"""),"고수")</f>
        <v>고수</v>
      </c>
    </row>
    <row r="12956">
      <c r="A12956" s="2" t="str">
        <f>IFERROR(__xludf.DUMMYFUNCTION("""COMPUTED_VALUE"""),"오~ 김치 코리아♬")</f>
        <v>오~ 김치 코리아♬</v>
      </c>
      <c r="B12956" s="2" t="str">
        <f>IFERROR(__xludf.DUMMYFUNCTION("""COMPUTED_VALUE"""),"밴댕이(디포리)")</f>
        <v>밴댕이(디포리)</v>
      </c>
    </row>
    <row r="12957">
      <c r="A12957" s="2" t="str">
        <f>IFERROR(__xludf.DUMMYFUNCTION("""COMPUTED_VALUE"""),"오~ 김치 코리아♬")</f>
        <v>오~ 김치 코리아♬</v>
      </c>
      <c r="B12957" s="2" t="str">
        <f>IFERROR(__xludf.DUMMYFUNCTION("""COMPUTED_VALUE"""),"북어대가리")</f>
        <v>북어대가리</v>
      </c>
    </row>
    <row r="12958">
      <c r="A12958" s="2" t="str">
        <f>IFERROR(__xludf.DUMMYFUNCTION("""COMPUTED_VALUE"""),"오~ 김치 코리아♬")</f>
        <v>오~ 김치 코리아♬</v>
      </c>
      <c r="B12958" s="2" t="str">
        <f>IFERROR(__xludf.DUMMYFUNCTION("""COMPUTED_VALUE"""),"건새우")</f>
        <v>건새우</v>
      </c>
    </row>
    <row r="12959">
      <c r="A12959" s="2" t="str">
        <f>IFERROR(__xludf.DUMMYFUNCTION("""COMPUTED_VALUE"""),"오~ 김치 코리아♬")</f>
        <v>오~ 김치 코리아♬</v>
      </c>
      <c r="B12959" s="2" t="str">
        <f>IFERROR(__xludf.DUMMYFUNCTION("""COMPUTED_VALUE"""),"배추김치")</f>
        <v>배추김치</v>
      </c>
    </row>
    <row r="12960">
      <c r="A12960" s="2" t="str">
        <f>IFERROR(__xludf.DUMMYFUNCTION("""COMPUTED_VALUE"""),"오~ 김치 코리아♬")</f>
        <v>오~ 김치 코리아♬</v>
      </c>
      <c r="B12960" s="2" t="str">
        <f>IFERROR(__xludf.DUMMYFUNCTION("""COMPUTED_VALUE"""),"대파")</f>
        <v>대파</v>
      </c>
    </row>
    <row r="12961">
      <c r="A12961" s="2" t="str">
        <f>IFERROR(__xludf.DUMMYFUNCTION("""COMPUTED_VALUE"""),"오~ 김치 코리아♬")</f>
        <v>오~ 김치 코리아♬</v>
      </c>
      <c r="B12961" s="2" t="str">
        <f>IFERROR(__xludf.DUMMYFUNCTION("""COMPUTED_VALUE"""),"맛술")</f>
        <v>맛술</v>
      </c>
    </row>
    <row r="12962">
      <c r="A12962" s="2" t="str">
        <f>IFERROR(__xludf.DUMMYFUNCTION("""COMPUTED_VALUE"""),"오~ 김치 코리아♬")</f>
        <v>오~ 김치 코리아♬</v>
      </c>
      <c r="B12962" s="2" t="str">
        <f>IFERROR(__xludf.DUMMYFUNCTION("""COMPUTED_VALUE"""),"다진생강")</f>
        <v>다진생강</v>
      </c>
    </row>
    <row r="12963">
      <c r="A12963" s="2" t="str">
        <f>IFERROR(__xludf.DUMMYFUNCTION("""COMPUTED_VALUE"""),"오~ 김치 코리아♬")</f>
        <v>오~ 김치 코리아♬</v>
      </c>
      <c r="B12963" s="2" t="str">
        <f>IFERROR(__xludf.DUMMYFUNCTION("""COMPUTED_VALUE"""),"전분")</f>
        <v>전분</v>
      </c>
    </row>
    <row r="12964">
      <c r="A12964" s="2" t="str">
        <f>IFERROR(__xludf.DUMMYFUNCTION("""COMPUTED_VALUE"""),"오~ 김치 코리아♬")</f>
        <v>오~ 김치 코리아♬</v>
      </c>
      <c r="B12964" s="2" t="str">
        <f>IFERROR(__xludf.DUMMYFUNCTION("""COMPUTED_VALUE"""),"청양고추")</f>
        <v>청양고추</v>
      </c>
    </row>
    <row r="12965">
      <c r="A12965" s="2" t="str">
        <f>IFERROR(__xludf.DUMMYFUNCTION("""COMPUTED_VALUE"""),"오~ 김치 코리아♬")</f>
        <v>오~ 김치 코리아♬</v>
      </c>
      <c r="B12965" s="2" t="str">
        <f>IFERROR(__xludf.DUMMYFUNCTION("""COMPUTED_VALUE"""),"고춧가루")</f>
        <v>고춧가루</v>
      </c>
    </row>
    <row r="12966">
      <c r="A12966" s="2" t="str">
        <f>IFERROR(__xludf.DUMMYFUNCTION("""COMPUTED_VALUE"""),"오~ 김치 코리아♬")</f>
        <v>오~ 김치 코리아♬</v>
      </c>
      <c r="B12966" s="2" t="str">
        <f>IFERROR(__xludf.DUMMYFUNCTION("""COMPUTED_VALUE"""),"설탕")</f>
        <v>설탕</v>
      </c>
    </row>
    <row r="12967">
      <c r="A12967" s="2" t="str">
        <f>IFERROR(__xludf.DUMMYFUNCTION("""COMPUTED_VALUE"""),"오~ 김치 코리아♬")</f>
        <v>오~ 김치 코리아♬</v>
      </c>
      <c r="B12967" s="2" t="str">
        <f>IFERROR(__xludf.DUMMYFUNCTION("""COMPUTED_VALUE"""),"참기름")</f>
        <v>참기름</v>
      </c>
    </row>
    <row r="12968">
      <c r="A12968" s="2" t="str">
        <f>IFERROR(__xludf.DUMMYFUNCTION("""COMPUTED_VALUE"""),"나 백숙 할래♬")</f>
        <v>나 백숙 할래♬</v>
      </c>
      <c r="B12968" s="2" t="str">
        <f>IFERROR(__xludf.DUMMYFUNCTION("""COMPUTED_VALUE"""),"소고기 등심")</f>
        <v>소고기 등심</v>
      </c>
    </row>
    <row r="12969">
      <c r="A12969" s="2" t="str">
        <f>IFERROR(__xludf.DUMMYFUNCTION("""COMPUTED_VALUE"""),"나 백숙 할래♬")</f>
        <v>나 백숙 할래♬</v>
      </c>
      <c r="B12969" s="2" t="str">
        <f>IFERROR(__xludf.DUMMYFUNCTION("""COMPUTED_VALUE"""),"전복")</f>
        <v>전복</v>
      </c>
    </row>
    <row r="12970">
      <c r="A12970" s="2" t="str">
        <f>IFERROR(__xludf.DUMMYFUNCTION("""COMPUTED_VALUE"""),"나 백숙 할래♬")</f>
        <v>나 백숙 할래♬</v>
      </c>
      <c r="B12970" s="2" t="str">
        <f>IFERROR(__xludf.DUMMYFUNCTION("""COMPUTED_VALUE"""),"관자")</f>
        <v>관자</v>
      </c>
    </row>
    <row r="12971">
      <c r="A12971" s="2" t="str">
        <f>IFERROR(__xludf.DUMMYFUNCTION("""COMPUTED_VALUE"""),"나 백숙 할래♬")</f>
        <v>나 백숙 할래♬</v>
      </c>
      <c r="B12971" s="2" t="str">
        <f>IFERROR(__xludf.DUMMYFUNCTION("""COMPUTED_VALUE"""),"주꾸미")</f>
        <v>주꾸미</v>
      </c>
    </row>
    <row r="12972">
      <c r="A12972" s="2" t="str">
        <f>IFERROR(__xludf.DUMMYFUNCTION("""COMPUTED_VALUE"""),"나 백숙 할래♬")</f>
        <v>나 백숙 할래♬</v>
      </c>
      <c r="B12972" s="2" t="str">
        <f>IFERROR(__xludf.DUMMYFUNCTION("""COMPUTED_VALUE"""),"삶은 문어")</f>
        <v>삶은 문어</v>
      </c>
    </row>
    <row r="12973">
      <c r="A12973" s="2" t="str">
        <f>IFERROR(__xludf.DUMMYFUNCTION("""COMPUTED_VALUE"""),"나 백숙 할래♬")</f>
        <v>나 백숙 할래♬</v>
      </c>
      <c r="B12973" s="2" t="str">
        <f>IFERROR(__xludf.DUMMYFUNCTION("""COMPUTED_VALUE"""),"누룽지")</f>
        <v>누룽지</v>
      </c>
    </row>
    <row r="12974">
      <c r="A12974" s="2" t="str">
        <f>IFERROR(__xludf.DUMMYFUNCTION("""COMPUTED_VALUE"""),"나 백숙 할래♬")</f>
        <v>나 백숙 할래♬</v>
      </c>
      <c r="B12974" s="2" t="str">
        <f>IFERROR(__xludf.DUMMYFUNCTION("""COMPUTED_VALUE"""),"홍삼진액")</f>
        <v>홍삼진액</v>
      </c>
    </row>
    <row r="12975">
      <c r="A12975" s="2" t="str">
        <f>IFERROR(__xludf.DUMMYFUNCTION("""COMPUTED_VALUE"""),"나 백숙 할래♬")</f>
        <v>나 백숙 할래♬</v>
      </c>
      <c r="B12975" s="2" t="str">
        <f>IFERROR(__xludf.DUMMYFUNCTION("""COMPUTED_VALUE"""),"고수")</f>
        <v>고수</v>
      </c>
    </row>
    <row r="12976">
      <c r="A12976" s="2" t="str">
        <f>IFERROR(__xludf.DUMMYFUNCTION("""COMPUTED_VALUE"""),"나 백숙 할래♬")</f>
        <v>나 백숙 할래♬</v>
      </c>
      <c r="B12976" s="2" t="str">
        <f>IFERROR(__xludf.DUMMYFUNCTION("""COMPUTED_VALUE"""),"현미식초")</f>
        <v>현미식초</v>
      </c>
    </row>
    <row r="12977">
      <c r="A12977" s="2" t="str">
        <f>IFERROR(__xludf.DUMMYFUNCTION("""COMPUTED_VALUE"""),"나 백숙 할래♬")</f>
        <v>나 백숙 할래♬</v>
      </c>
      <c r="B12977" s="2" t="str">
        <f>IFERROR(__xludf.DUMMYFUNCTION("""COMPUTED_VALUE"""),"배추김치")</f>
        <v>배추김치</v>
      </c>
    </row>
    <row r="12978">
      <c r="A12978" s="2" t="str">
        <f>IFERROR(__xludf.DUMMYFUNCTION("""COMPUTED_VALUE"""),"나 백숙 할래♬")</f>
        <v>나 백숙 할래♬</v>
      </c>
      <c r="B12978" s="2" t="str">
        <f>IFERROR(__xludf.DUMMYFUNCTION("""COMPUTED_VALUE"""),"멸치육수")</f>
        <v>멸치육수</v>
      </c>
    </row>
    <row r="12979">
      <c r="A12979" s="2" t="str">
        <f>IFERROR(__xludf.DUMMYFUNCTION("""COMPUTED_VALUE"""),"나 백숙 할래♬")</f>
        <v>나 백숙 할래♬</v>
      </c>
      <c r="B12979" s="2" t="str">
        <f>IFERROR(__xludf.DUMMYFUNCTION("""COMPUTED_VALUE"""),"자숙새우")</f>
        <v>자숙새우</v>
      </c>
    </row>
    <row r="12980">
      <c r="A12980" s="2" t="str">
        <f>IFERROR(__xludf.DUMMYFUNCTION("""COMPUTED_VALUE"""),"나 백숙 할래♬")</f>
        <v>나 백숙 할래♬</v>
      </c>
      <c r="B12980" s="2" t="str">
        <f>IFERROR(__xludf.DUMMYFUNCTION("""COMPUTED_VALUE"""),"버터간장")</f>
        <v>버터간장</v>
      </c>
    </row>
    <row r="12981">
      <c r="A12981" s="2" t="str">
        <f>IFERROR(__xludf.DUMMYFUNCTION("""COMPUTED_VALUE"""),"나 백숙 할래♬")</f>
        <v>나 백숙 할래♬</v>
      </c>
      <c r="B12981" s="2" t="str">
        <f>IFERROR(__xludf.DUMMYFUNCTION("""COMPUTED_VALUE"""),"참기름")</f>
        <v>참기름</v>
      </c>
    </row>
    <row r="12982">
      <c r="A12982" s="2" t="str">
        <f>IFERROR(__xludf.DUMMYFUNCTION("""COMPUTED_VALUE"""),"나 백숙 할래♬")</f>
        <v>나 백숙 할래♬</v>
      </c>
      <c r="B12982" s="2" t="str">
        <f>IFERROR(__xludf.DUMMYFUNCTION("""COMPUTED_VALUE"""),"양파")</f>
        <v>양파</v>
      </c>
    </row>
    <row r="12983">
      <c r="A12983" s="2" t="str">
        <f>IFERROR(__xludf.DUMMYFUNCTION("""COMPUTED_VALUE"""),"나 백숙 할래♬")</f>
        <v>나 백숙 할래♬</v>
      </c>
      <c r="B12983" s="2" t="str">
        <f>IFERROR(__xludf.DUMMYFUNCTION("""COMPUTED_VALUE"""),"대파")</f>
        <v>대파</v>
      </c>
    </row>
    <row r="12984">
      <c r="A12984" s="2" t="str">
        <f>IFERROR(__xludf.DUMMYFUNCTION("""COMPUTED_VALUE"""),"나 백숙 할래♬")</f>
        <v>나 백숙 할래♬</v>
      </c>
      <c r="B12984" s="2" t="str">
        <f>IFERROR(__xludf.DUMMYFUNCTION("""COMPUTED_VALUE"""),"식초")</f>
        <v>식초</v>
      </c>
    </row>
    <row r="12985">
      <c r="A12985" s="2" t="str">
        <f>IFERROR(__xludf.DUMMYFUNCTION("""COMPUTED_VALUE"""),"나 백숙 할래♬")</f>
        <v>나 백숙 할래♬</v>
      </c>
      <c r="B12985" s="2" t="str">
        <f>IFERROR(__xludf.DUMMYFUNCTION("""COMPUTED_VALUE"""),"설탕")</f>
        <v>설탕</v>
      </c>
    </row>
    <row r="12986">
      <c r="A12986" s="2" t="str">
        <f>IFERROR(__xludf.DUMMYFUNCTION("""COMPUTED_VALUE"""),"나 백숙 할래♬")</f>
        <v>나 백숙 할래♬</v>
      </c>
      <c r="B12986" s="2" t="str">
        <f>IFERROR(__xludf.DUMMYFUNCTION("""COMPUTED_VALUE"""),"마늘")</f>
        <v>마늘</v>
      </c>
    </row>
    <row r="12987">
      <c r="A12987" s="2" t="str">
        <f>IFERROR(__xludf.DUMMYFUNCTION("""COMPUTED_VALUE"""),"나 백숙 할래♬")</f>
        <v>나 백숙 할래♬</v>
      </c>
      <c r="B12987" s="2" t="str">
        <f>IFERROR(__xludf.DUMMYFUNCTION("""COMPUTED_VALUE"""),"홍고추")</f>
        <v>홍고추</v>
      </c>
    </row>
    <row r="12988">
      <c r="A12988" s="2" t="str">
        <f>IFERROR(__xludf.DUMMYFUNCTION("""COMPUTED_VALUE"""),"나 백숙 할래♬")</f>
        <v>나 백숙 할래♬</v>
      </c>
      <c r="B12988" s="2" t="str">
        <f>IFERROR(__xludf.DUMMYFUNCTION("""COMPUTED_VALUE"""),"청양고추")</f>
        <v>청양고추</v>
      </c>
    </row>
    <row r="12989">
      <c r="A12989" s="2" t="str">
        <f>IFERROR(__xludf.DUMMYFUNCTION("""COMPUTED_VALUE"""),"나 백숙 할래♬")</f>
        <v>나 백숙 할래♬</v>
      </c>
      <c r="B12989" s="2" t="str">
        <f>IFERROR(__xludf.DUMMYFUNCTION("""COMPUTED_VALUE"""),"참기름")</f>
        <v>참기름</v>
      </c>
    </row>
    <row r="12990">
      <c r="A12990" s="2" t="str">
        <f>IFERROR(__xludf.DUMMYFUNCTION("""COMPUTED_VALUE"""),"나 백숙 할래♬")</f>
        <v>나 백숙 할래♬</v>
      </c>
      <c r="B12990" s="2" t="str">
        <f>IFERROR(__xludf.DUMMYFUNCTION("""COMPUTED_VALUE"""),"고춧가루")</f>
        <v>고춧가루</v>
      </c>
    </row>
    <row r="12991">
      <c r="A12991" s="2" t="str">
        <f>IFERROR(__xludf.DUMMYFUNCTION("""COMPUTED_VALUE"""),"나 백숙 할래♬")</f>
        <v>나 백숙 할래♬</v>
      </c>
      <c r="B12991" s="2" t="str">
        <f>IFERROR(__xludf.DUMMYFUNCTION("""COMPUTED_VALUE"""),"연겨자")</f>
        <v>연겨자</v>
      </c>
    </row>
    <row r="12992">
      <c r="A12992" s="2" t="str">
        <f>IFERROR(__xludf.DUMMYFUNCTION("""COMPUTED_VALUE"""),"나 백숙 할래♬")</f>
        <v>나 백숙 할래♬</v>
      </c>
      <c r="B12992" s="2" t="str">
        <f>IFERROR(__xludf.DUMMYFUNCTION("""COMPUTED_VALUE"""),"통깨")</f>
        <v>통깨</v>
      </c>
    </row>
    <row r="12993">
      <c r="A12993" s="2" t="str">
        <f>IFERROR(__xludf.DUMMYFUNCTION("""COMPUTED_VALUE"""),"맵다고 가지 마라")</f>
        <v>맵다고 가지 마라</v>
      </c>
      <c r="B12993" s="2" t="str">
        <f>IFERROR(__xludf.DUMMYFUNCTION("""COMPUTED_VALUE"""),"삼겹살")</f>
        <v>삼겹살</v>
      </c>
    </row>
    <row r="12994">
      <c r="A12994" s="2" t="str">
        <f>IFERROR(__xludf.DUMMYFUNCTION("""COMPUTED_VALUE"""),"맵다고 가지 마라")</f>
        <v>맵다고 가지 마라</v>
      </c>
      <c r="B12994" s="2" t="str">
        <f>IFERROR(__xludf.DUMMYFUNCTION("""COMPUTED_VALUE"""),"대패삼겹살")</f>
        <v>대패삼겹살</v>
      </c>
    </row>
    <row r="12995">
      <c r="A12995" s="2" t="str">
        <f>IFERROR(__xludf.DUMMYFUNCTION("""COMPUTED_VALUE"""),"맵다고 가지 마라")</f>
        <v>맵다고 가지 마라</v>
      </c>
      <c r="B12995" s="2" t="str">
        <f>IFERROR(__xludf.DUMMYFUNCTION("""COMPUTED_VALUE"""),"자숙새우")</f>
        <v>자숙새우</v>
      </c>
    </row>
    <row r="12996">
      <c r="A12996" s="2" t="str">
        <f>IFERROR(__xludf.DUMMYFUNCTION("""COMPUTED_VALUE"""),"맵다고 가지 마라")</f>
        <v>맵다고 가지 마라</v>
      </c>
      <c r="B12996" s="2" t="str">
        <f>IFERROR(__xludf.DUMMYFUNCTION("""COMPUTED_VALUE"""),"가지")</f>
        <v>가지</v>
      </c>
    </row>
    <row r="12997">
      <c r="A12997" s="2" t="str">
        <f>IFERROR(__xludf.DUMMYFUNCTION("""COMPUTED_VALUE"""),"맵다고 가지 마라")</f>
        <v>맵다고 가지 마라</v>
      </c>
      <c r="B12997" s="2" t="str">
        <f>IFERROR(__xludf.DUMMYFUNCTION("""COMPUTED_VALUE"""),"춘장")</f>
        <v>춘장</v>
      </c>
    </row>
    <row r="12998">
      <c r="A12998" s="2" t="str">
        <f>IFERROR(__xludf.DUMMYFUNCTION("""COMPUTED_VALUE"""),"맵다고 가지 마라")</f>
        <v>맵다고 가지 마라</v>
      </c>
      <c r="B12998" s="2" t="str">
        <f>IFERROR(__xludf.DUMMYFUNCTION("""COMPUTED_VALUE"""),"표고버섯")</f>
        <v>표고버섯</v>
      </c>
    </row>
    <row r="12999">
      <c r="A12999" s="2" t="str">
        <f>IFERROR(__xludf.DUMMYFUNCTION("""COMPUTED_VALUE"""),"맵다고 가지 마라")</f>
        <v>맵다고 가지 마라</v>
      </c>
      <c r="B12999" s="2" t="str">
        <f>IFERROR(__xludf.DUMMYFUNCTION("""COMPUTED_VALUE"""),"양송이버섯")</f>
        <v>양송이버섯</v>
      </c>
    </row>
    <row r="13000">
      <c r="A13000" s="2" t="str">
        <f>IFERROR(__xludf.DUMMYFUNCTION("""COMPUTED_VALUE"""),"맵다고 가지 마라")</f>
        <v>맵다고 가지 마라</v>
      </c>
      <c r="B13000" s="2" t="str">
        <f>IFERROR(__xludf.DUMMYFUNCTION("""COMPUTED_VALUE"""),"굴소스")</f>
        <v>굴소스</v>
      </c>
    </row>
    <row r="13001">
      <c r="A13001" s="2" t="str">
        <f>IFERROR(__xludf.DUMMYFUNCTION("""COMPUTED_VALUE"""),"맵다고 가지 마라")</f>
        <v>맵다고 가지 마라</v>
      </c>
      <c r="B13001" s="2" t="str">
        <f>IFERROR(__xludf.DUMMYFUNCTION("""COMPUTED_VALUE"""),"생강")</f>
        <v>생강</v>
      </c>
    </row>
    <row r="13002">
      <c r="A13002" s="2" t="str">
        <f>IFERROR(__xludf.DUMMYFUNCTION("""COMPUTED_VALUE"""),"맵다고 가지 마라")</f>
        <v>맵다고 가지 마라</v>
      </c>
      <c r="B13002" s="2" t="str">
        <f>IFERROR(__xludf.DUMMYFUNCTION("""COMPUTED_VALUE"""),"그린올리브")</f>
        <v>그린올리브</v>
      </c>
    </row>
    <row r="13003">
      <c r="A13003" s="2" t="str">
        <f>IFERROR(__xludf.DUMMYFUNCTION("""COMPUTED_VALUE"""),"맵다고 가지 마라")</f>
        <v>맵다고 가지 마라</v>
      </c>
      <c r="B13003" s="2" t="str">
        <f>IFERROR(__xludf.DUMMYFUNCTION("""COMPUTED_VALUE"""),"알배추")</f>
        <v>알배추</v>
      </c>
    </row>
    <row r="13004">
      <c r="A13004" s="2" t="str">
        <f>IFERROR(__xludf.DUMMYFUNCTION("""COMPUTED_VALUE"""),"맵다고 가지 마라")</f>
        <v>맵다고 가지 마라</v>
      </c>
      <c r="B13004" s="2" t="str">
        <f>IFERROR(__xludf.DUMMYFUNCTION("""COMPUTED_VALUE"""),"마라탕 소스")</f>
        <v>마라탕 소스</v>
      </c>
    </row>
    <row r="13005">
      <c r="A13005" s="2" t="str">
        <f>IFERROR(__xludf.DUMMYFUNCTION("""COMPUTED_VALUE"""),"맵다고 가지 마라")</f>
        <v>맵다고 가지 마라</v>
      </c>
      <c r="B13005" s="2" t="str">
        <f>IFERROR(__xludf.DUMMYFUNCTION("""COMPUTED_VALUE"""),"매운 김치")</f>
        <v>매운 김치</v>
      </c>
    </row>
    <row r="13006">
      <c r="A13006" s="2" t="str">
        <f>IFERROR(__xludf.DUMMYFUNCTION("""COMPUTED_VALUE"""),"맵다고 가지 마라")</f>
        <v>맵다고 가지 마라</v>
      </c>
      <c r="B13006" s="2" t="str">
        <f>IFERROR(__xludf.DUMMYFUNCTION("""COMPUTED_VALUE"""),"중국당면")</f>
        <v>중국당면</v>
      </c>
    </row>
    <row r="13007">
      <c r="A13007" s="2" t="str">
        <f>IFERROR(__xludf.DUMMYFUNCTION("""COMPUTED_VALUE"""),"맵다고 가지 마라")</f>
        <v>맵다고 가지 마라</v>
      </c>
      <c r="B13007" s="2" t="str">
        <f>IFERROR(__xludf.DUMMYFUNCTION("""COMPUTED_VALUE"""),"고수")</f>
        <v>고수</v>
      </c>
    </row>
    <row r="13008">
      <c r="A13008" s="2" t="str">
        <f>IFERROR(__xludf.DUMMYFUNCTION("""COMPUTED_VALUE"""),"맵다고 가지 마라")</f>
        <v>맵다고 가지 마라</v>
      </c>
      <c r="B13008" s="2" t="str">
        <f>IFERROR(__xludf.DUMMYFUNCTION("""COMPUTED_VALUE"""),"애호박")</f>
        <v>애호박</v>
      </c>
    </row>
    <row r="13009">
      <c r="A13009" s="2" t="str">
        <f>IFERROR(__xludf.DUMMYFUNCTION("""COMPUTED_VALUE"""),"맵다고 가지 마라")</f>
        <v>맵다고 가지 마라</v>
      </c>
      <c r="B13009" s="2" t="str">
        <f>IFERROR(__xludf.DUMMYFUNCTION("""COMPUTED_VALUE"""),"쯔유")</f>
        <v>쯔유</v>
      </c>
    </row>
    <row r="13010">
      <c r="A13010" s="2" t="str">
        <f>IFERROR(__xludf.DUMMYFUNCTION("""COMPUTED_VALUE"""),"맵다고 가지 마라")</f>
        <v>맵다고 가지 마라</v>
      </c>
      <c r="B13010" s="2" t="str">
        <f>IFERROR(__xludf.DUMMYFUNCTION("""COMPUTED_VALUE"""),"XO소스")</f>
        <v>XO소스</v>
      </c>
    </row>
    <row r="13011">
      <c r="A13011" s="2" t="str">
        <f>IFERROR(__xludf.DUMMYFUNCTION("""COMPUTED_VALUE"""),"맵다고 가지 마라")</f>
        <v>맵다고 가지 마라</v>
      </c>
      <c r="B13011" s="2" t="str">
        <f>IFERROR(__xludf.DUMMYFUNCTION("""COMPUTED_VALUE"""),"태국고추")</f>
        <v>태국고추</v>
      </c>
    </row>
    <row r="13012">
      <c r="A13012" s="2" t="str">
        <f>IFERROR(__xludf.DUMMYFUNCTION("""COMPUTED_VALUE"""),"맵다고 가지 마라")</f>
        <v>맵다고 가지 마라</v>
      </c>
      <c r="B13012" s="2" t="str">
        <f>IFERROR(__xludf.DUMMYFUNCTION("""COMPUTED_VALUE"""),"대파")</f>
        <v>대파</v>
      </c>
    </row>
    <row r="13013">
      <c r="A13013" s="2" t="str">
        <f>IFERROR(__xludf.DUMMYFUNCTION("""COMPUTED_VALUE"""),"맵다고 가지 마라")</f>
        <v>맵다고 가지 마라</v>
      </c>
      <c r="B13013" s="2" t="str">
        <f>IFERROR(__xludf.DUMMYFUNCTION("""COMPUTED_VALUE"""),"고춧가루")</f>
        <v>고춧가루</v>
      </c>
    </row>
    <row r="13014">
      <c r="A13014" s="2" t="str">
        <f>IFERROR(__xludf.DUMMYFUNCTION("""COMPUTED_VALUE"""),"맵다고 가지 마라")</f>
        <v>맵다고 가지 마라</v>
      </c>
      <c r="B13014" s="2" t="str">
        <f>IFERROR(__xludf.DUMMYFUNCTION("""COMPUTED_VALUE"""),"다진생강")</f>
        <v>다진생강</v>
      </c>
    </row>
    <row r="13015">
      <c r="A13015" s="2" t="str">
        <f>IFERROR(__xludf.DUMMYFUNCTION("""COMPUTED_VALUE"""),"맵다고 가지 마라")</f>
        <v>맵다고 가지 마라</v>
      </c>
      <c r="B13015" s="2" t="str">
        <f>IFERROR(__xludf.DUMMYFUNCTION("""COMPUTED_VALUE"""),"맛술")</f>
        <v>맛술</v>
      </c>
    </row>
    <row r="13016">
      <c r="A13016" s="2" t="str">
        <f>IFERROR(__xludf.DUMMYFUNCTION("""COMPUTED_VALUE"""),"맵다고 가지 마라")</f>
        <v>맵다고 가지 마라</v>
      </c>
      <c r="B13016" s="2" t="str">
        <f>IFERROR(__xludf.DUMMYFUNCTION("""COMPUTED_VALUE"""),"전분")</f>
        <v>전분</v>
      </c>
    </row>
    <row r="13017">
      <c r="A13017" s="2" t="str">
        <f>IFERROR(__xludf.DUMMYFUNCTION("""COMPUTED_VALUE"""),"맵다고 가지 마라")</f>
        <v>맵다고 가지 마라</v>
      </c>
      <c r="B13017" s="2" t="str">
        <f>IFERROR(__xludf.DUMMYFUNCTION("""COMPUTED_VALUE"""),"달걀")</f>
        <v>달걀</v>
      </c>
    </row>
    <row r="13018">
      <c r="A13018" s="2" t="str">
        <f>IFERROR(__xludf.DUMMYFUNCTION("""COMPUTED_VALUE"""),"맵다고 가지 마라")</f>
        <v>맵다고 가지 마라</v>
      </c>
      <c r="B13018" s="2" t="str">
        <f>IFERROR(__xludf.DUMMYFUNCTION("""COMPUTED_VALUE"""),"양파")</f>
        <v>양파</v>
      </c>
    </row>
    <row r="13019">
      <c r="A13019" s="2" t="str">
        <f>IFERROR(__xludf.DUMMYFUNCTION("""COMPUTED_VALUE"""),"맵다고 가지 마라")</f>
        <v>맵다고 가지 마라</v>
      </c>
      <c r="B13019" s="2" t="str">
        <f>IFERROR(__xludf.DUMMYFUNCTION("""COMPUTED_VALUE"""),"설탕")</f>
        <v>설탕</v>
      </c>
    </row>
    <row r="13020">
      <c r="A13020" s="2" t="str">
        <f>IFERROR(__xludf.DUMMYFUNCTION("""COMPUTED_VALUE"""),"맵다고 가지 마라")</f>
        <v>맵다고 가지 마라</v>
      </c>
      <c r="B13020" s="2" t="str">
        <f>IFERROR(__xludf.DUMMYFUNCTION("""COMPUTED_VALUE"""),"식초")</f>
        <v>식초</v>
      </c>
    </row>
    <row r="13021">
      <c r="A13021" s="2" t="str">
        <f>IFERROR(__xludf.DUMMYFUNCTION("""COMPUTED_VALUE"""),"맵다고 가지 마라")</f>
        <v>맵다고 가지 마라</v>
      </c>
      <c r="B13021" s="2" t="str">
        <f>IFERROR(__xludf.DUMMYFUNCTION("""COMPUTED_VALUE"""),"소금")</f>
        <v>소금</v>
      </c>
    </row>
    <row r="13022">
      <c r="A13022" s="2" t="str">
        <f>IFERROR(__xludf.DUMMYFUNCTION("""COMPUTED_VALUE"""),"보헤미안 앤초비")</f>
        <v>보헤미안 앤초비</v>
      </c>
      <c r="B13022" s="2" t="str">
        <f>IFERROR(__xludf.DUMMYFUNCTION("""COMPUTED_VALUE"""),"소 안심")</f>
        <v>소 안심</v>
      </c>
    </row>
    <row r="13023">
      <c r="A13023" s="2" t="str">
        <f>IFERROR(__xludf.DUMMYFUNCTION("""COMPUTED_VALUE"""),"보헤미안 앤초비")</f>
        <v>보헤미안 앤초비</v>
      </c>
      <c r="B13023" s="2" t="str">
        <f>IFERROR(__xludf.DUMMYFUNCTION("""COMPUTED_VALUE"""),"다진 소고기")</f>
        <v>다진 소고기</v>
      </c>
    </row>
    <row r="13024">
      <c r="A13024" s="2" t="str">
        <f>IFERROR(__xludf.DUMMYFUNCTION("""COMPUTED_VALUE"""),"보헤미안 앤초비")</f>
        <v>보헤미안 앤초비</v>
      </c>
      <c r="B13024" s="2" t="str">
        <f>IFERROR(__xludf.DUMMYFUNCTION("""COMPUTED_VALUE"""),"표고버섯")</f>
        <v>표고버섯</v>
      </c>
    </row>
    <row r="13025">
      <c r="A13025" s="2" t="str">
        <f>IFERROR(__xludf.DUMMYFUNCTION("""COMPUTED_VALUE"""),"보헤미안 앤초비")</f>
        <v>보헤미안 앤초비</v>
      </c>
      <c r="B13025" s="2" t="str">
        <f>IFERROR(__xludf.DUMMYFUNCTION("""COMPUTED_VALUE"""),"허브양념새우")</f>
        <v>허브양념새우</v>
      </c>
    </row>
    <row r="13026">
      <c r="A13026" s="2" t="str">
        <f>IFERROR(__xludf.DUMMYFUNCTION("""COMPUTED_VALUE"""),"보헤미안 앤초비")</f>
        <v>보헤미안 앤초비</v>
      </c>
      <c r="B13026" s="2" t="str">
        <f>IFERROR(__xludf.DUMMYFUNCTION("""COMPUTED_VALUE"""),"똠얌꿍소스")</f>
        <v>똠얌꿍소스</v>
      </c>
    </row>
    <row r="13027">
      <c r="A13027" s="2" t="str">
        <f>IFERROR(__xludf.DUMMYFUNCTION("""COMPUTED_VALUE"""),"보헤미안 앤초비")</f>
        <v>보헤미안 앤초비</v>
      </c>
      <c r="B13027" s="2" t="str">
        <f>IFERROR(__xludf.DUMMYFUNCTION("""COMPUTED_VALUE"""),"태국고추")</f>
        <v>태국고추</v>
      </c>
    </row>
    <row r="13028">
      <c r="A13028" s="2" t="str">
        <f>IFERROR(__xludf.DUMMYFUNCTION("""COMPUTED_VALUE"""),"보헤미안 앤초비")</f>
        <v>보헤미안 앤초비</v>
      </c>
      <c r="B13028" s="2" t="str">
        <f>IFERROR(__xludf.DUMMYFUNCTION("""COMPUTED_VALUE"""),"고수")</f>
        <v>고수</v>
      </c>
    </row>
    <row r="13029">
      <c r="A13029" s="2" t="str">
        <f>IFERROR(__xludf.DUMMYFUNCTION("""COMPUTED_VALUE"""),"보헤미안 앤초비")</f>
        <v>보헤미안 앤초비</v>
      </c>
      <c r="B13029" s="2" t="str">
        <f>IFERROR(__xludf.DUMMYFUNCTION("""COMPUTED_VALUE"""),"브로콜리")</f>
        <v>브로콜리</v>
      </c>
    </row>
    <row r="13030">
      <c r="A13030" s="2" t="str">
        <f>IFERROR(__xludf.DUMMYFUNCTION("""COMPUTED_VALUE"""),"보헤미안 앤초비")</f>
        <v>보헤미안 앤초비</v>
      </c>
      <c r="B13030" s="2" t="str">
        <f>IFERROR(__xludf.DUMMYFUNCTION("""COMPUTED_VALUE"""),"앤초비")</f>
        <v>앤초비</v>
      </c>
    </row>
    <row r="13031">
      <c r="A13031" s="2" t="str">
        <f>IFERROR(__xludf.DUMMYFUNCTION("""COMPUTED_VALUE"""),"보헤미안 앤초비")</f>
        <v>보헤미안 앤초비</v>
      </c>
      <c r="B13031" s="2" t="str">
        <f>IFERROR(__xludf.DUMMYFUNCTION("""COMPUTED_VALUE"""),"그린올리브")</f>
        <v>그린올리브</v>
      </c>
    </row>
    <row r="13032">
      <c r="A13032" s="2" t="str">
        <f>IFERROR(__xludf.DUMMYFUNCTION("""COMPUTED_VALUE"""),"보헤미안 앤초비")</f>
        <v>보헤미안 앤초비</v>
      </c>
      <c r="B13032" s="2" t="str">
        <f>IFERROR(__xludf.DUMMYFUNCTION("""COMPUTED_VALUE"""),"배")</f>
        <v>배</v>
      </c>
    </row>
    <row r="13033">
      <c r="A13033" s="2" t="str">
        <f>IFERROR(__xludf.DUMMYFUNCTION("""COMPUTED_VALUE"""),"보헤미안 앤초비")</f>
        <v>보헤미안 앤초비</v>
      </c>
      <c r="B13033" s="2" t="str">
        <f>IFERROR(__xludf.DUMMYFUNCTION("""COMPUTED_VALUE"""),"생강")</f>
        <v>생강</v>
      </c>
    </row>
    <row r="13034">
      <c r="A13034" s="2" t="str">
        <f>IFERROR(__xludf.DUMMYFUNCTION("""COMPUTED_VALUE"""),"보헤미안 앤초비")</f>
        <v>보헤미안 앤초비</v>
      </c>
      <c r="B13034" s="2" t="str">
        <f>IFERROR(__xludf.DUMMYFUNCTION("""COMPUTED_VALUE"""),"파스타면")</f>
        <v>파스타면</v>
      </c>
    </row>
    <row r="13035">
      <c r="A13035" s="2" t="str">
        <f>IFERROR(__xludf.DUMMYFUNCTION("""COMPUTED_VALUE"""),"보헤미안 앤초비")</f>
        <v>보헤미안 앤초비</v>
      </c>
      <c r="B13035" s="2" t="str">
        <f>IFERROR(__xludf.DUMMYFUNCTION("""COMPUTED_VALUE"""),"바비큐소스")</f>
        <v>바비큐소스</v>
      </c>
    </row>
    <row r="13036">
      <c r="A13036" s="2" t="str">
        <f>IFERROR(__xludf.DUMMYFUNCTION("""COMPUTED_VALUE"""),"보헤미안 앤초비")</f>
        <v>보헤미안 앤초비</v>
      </c>
      <c r="B13036" s="2" t="str">
        <f>IFERROR(__xludf.DUMMYFUNCTION("""COMPUTED_VALUE"""),"중국고춧가루")</f>
        <v>중국고춧가루</v>
      </c>
    </row>
    <row r="13037">
      <c r="A13037" s="2" t="str">
        <f>IFERROR(__xludf.DUMMYFUNCTION("""COMPUTED_VALUE"""),"보헤미안 앤초비")</f>
        <v>보헤미안 앤초비</v>
      </c>
      <c r="B13037" s="2" t="str">
        <f>IFERROR(__xludf.DUMMYFUNCTION("""COMPUTED_VALUE"""),"올리브오일")</f>
        <v>올리브오일</v>
      </c>
    </row>
    <row r="13038">
      <c r="A13038" s="2" t="str">
        <f>IFERROR(__xludf.DUMMYFUNCTION("""COMPUTED_VALUE"""),"보헤미안 앤초비")</f>
        <v>보헤미안 앤초비</v>
      </c>
      <c r="B13038" s="2" t="str">
        <f>IFERROR(__xludf.DUMMYFUNCTION("""COMPUTED_VALUE"""),"양파")</f>
        <v>양파</v>
      </c>
    </row>
    <row r="13039">
      <c r="A13039" s="2" t="str">
        <f>IFERROR(__xludf.DUMMYFUNCTION("""COMPUTED_VALUE"""),"보헤미안 앤초비")</f>
        <v>보헤미안 앤초비</v>
      </c>
      <c r="B13039" s="2" t="str">
        <f>IFERROR(__xludf.DUMMYFUNCTION("""COMPUTED_VALUE"""),"마늘")</f>
        <v>마늘</v>
      </c>
    </row>
    <row r="13040">
      <c r="A13040" s="2" t="str">
        <f>IFERROR(__xludf.DUMMYFUNCTION("""COMPUTED_VALUE"""),"보헤미안 앤초비")</f>
        <v>보헤미안 앤초비</v>
      </c>
      <c r="B13040" s="2" t="str">
        <f>IFERROR(__xludf.DUMMYFUNCTION("""COMPUTED_VALUE"""),"밀가루")</f>
        <v>밀가루</v>
      </c>
    </row>
    <row r="13041">
      <c r="A13041" s="2" t="str">
        <f>IFERROR(__xludf.DUMMYFUNCTION("""COMPUTED_VALUE"""),"보헤미안 앤초비")</f>
        <v>보헤미안 앤초비</v>
      </c>
      <c r="B13041" s="2" t="str">
        <f>IFERROR(__xludf.DUMMYFUNCTION("""COMPUTED_VALUE"""),"후추")</f>
        <v>후추</v>
      </c>
    </row>
    <row r="13042">
      <c r="A13042" s="2" t="str">
        <f>IFERROR(__xludf.DUMMYFUNCTION("""COMPUTED_VALUE"""),"보헤미안 앤초비")</f>
        <v>보헤미안 앤초비</v>
      </c>
      <c r="B13042" s="2" t="str">
        <f>IFERROR(__xludf.DUMMYFUNCTION("""COMPUTED_VALUE"""),"소금")</f>
        <v>소금</v>
      </c>
    </row>
    <row r="13043">
      <c r="A13043" s="2" t="str">
        <f>IFERROR(__xludf.DUMMYFUNCTION("""COMPUTED_VALUE"""),"생강나는 장어")</f>
        <v>생강나는 장어</v>
      </c>
      <c r="B13043" s="2" t="str">
        <f>IFERROR(__xludf.DUMMYFUNCTION("""COMPUTED_VALUE"""),"장어")</f>
        <v>장어</v>
      </c>
    </row>
    <row r="13044">
      <c r="A13044" s="2" t="str">
        <f>IFERROR(__xludf.DUMMYFUNCTION("""COMPUTED_VALUE"""),"생강나는 장어")</f>
        <v>생강나는 장어</v>
      </c>
      <c r="B13044" s="2" t="str">
        <f>IFERROR(__xludf.DUMMYFUNCTION("""COMPUTED_VALUE"""),"생강")</f>
        <v>생강</v>
      </c>
    </row>
    <row r="13045">
      <c r="A13045" s="2" t="str">
        <f>IFERROR(__xludf.DUMMYFUNCTION("""COMPUTED_VALUE"""),"생강나는 장어")</f>
        <v>생강나는 장어</v>
      </c>
      <c r="B13045" s="2" t="str">
        <f>IFERROR(__xludf.DUMMYFUNCTION("""COMPUTED_VALUE"""),"쯔유")</f>
        <v>쯔유</v>
      </c>
    </row>
    <row r="13046">
      <c r="A13046" s="2" t="str">
        <f>IFERROR(__xludf.DUMMYFUNCTION("""COMPUTED_VALUE"""),"생강나는 장어")</f>
        <v>생강나는 장어</v>
      </c>
      <c r="B13046" s="2" t="str">
        <f>IFERROR(__xludf.DUMMYFUNCTION("""COMPUTED_VALUE"""),"베트남고추소스")</f>
        <v>베트남고추소스</v>
      </c>
    </row>
    <row r="13047">
      <c r="A13047" s="2" t="str">
        <f>IFERROR(__xludf.DUMMYFUNCTION("""COMPUTED_VALUE"""),"생강나는 장어")</f>
        <v>생강나는 장어</v>
      </c>
      <c r="B13047" s="2" t="str">
        <f>IFERROR(__xludf.DUMMYFUNCTION("""COMPUTED_VALUE"""),"굴소스")</f>
        <v>굴소스</v>
      </c>
    </row>
    <row r="13048">
      <c r="A13048" s="2" t="str">
        <f>IFERROR(__xludf.DUMMYFUNCTION("""COMPUTED_VALUE"""),"생강나는 장어")</f>
        <v>생강나는 장어</v>
      </c>
      <c r="B13048" s="2" t="str">
        <f>IFERROR(__xludf.DUMMYFUNCTION("""COMPUTED_VALUE"""),"알배추")</f>
        <v>알배추</v>
      </c>
    </row>
    <row r="13049">
      <c r="A13049" s="2" t="str">
        <f>IFERROR(__xludf.DUMMYFUNCTION("""COMPUTED_VALUE"""),"생강나는 장어")</f>
        <v>생강나는 장어</v>
      </c>
      <c r="B13049" s="2" t="str">
        <f>IFERROR(__xludf.DUMMYFUNCTION("""COMPUTED_VALUE"""),"고수")</f>
        <v>고수</v>
      </c>
    </row>
    <row r="13050">
      <c r="A13050" s="2" t="str">
        <f>IFERROR(__xludf.DUMMYFUNCTION("""COMPUTED_VALUE"""),"생강나는 장어")</f>
        <v>생강나는 장어</v>
      </c>
      <c r="B13050" s="2" t="str">
        <f>IFERROR(__xludf.DUMMYFUNCTION("""COMPUTED_VALUE"""),"마라소스")</f>
        <v>마라소스</v>
      </c>
    </row>
    <row r="13051">
      <c r="A13051" s="2" t="str">
        <f>IFERROR(__xludf.DUMMYFUNCTION("""COMPUTED_VALUE"""),"생강나는 장어")</f>
        <v>생강나는 장어</v>
      </c>
      <c r="B13051" s="2" t="str">
        <f>IFERROR(__xludf.DUMMYFUNCTION("""COMPUTED_VALUE"""),"중국고춧가루")</f>
        <v>중국고춧가루</v>
      </c>
    </row>
    <row r="13052">
      <c r="A13052" s="2" t="str">
        <f>IFERROR(__xludf.DUMMYFUNCTION("""COMPUTED_VALUE"""),"생강나는 장어")</f>
        <v>생강나는 장어</v>
      </c>
      <c r="B13052" s="2" t="str">
        <f>IFERROR(__xludf.DUMMYFUNCTION("""COMPUTED_VALUE"""),"청양고춧가루")</f>
        <v>청양고춧가루</v>
      </c>
    </row>
    <row r="13053">
      <c r="A13053" s="2" t="str">
        <f>IFERROR(__xludf.DUMMYFUNCTION("""COMPUTED_VALUE"""),"생강나는 장어")</f>
        <v>생강나는 장어</v>
      </c>
      <c r="B13053" s="2" t="str">
        <f>IFERROR(__xludf.DUMMYFUNCTION("""COMPUTED_VALUE"""),"하바네로 핫소스")</f>
        <v>하바네로 핫소스</v>
      </c>
    </row>
    <row r="13054">
      <c r="A13054" s="2" t="str">
        <f>IFERROR(__xludf.DUMMYFUNCTION("""COMPUTED_VALUE"""),"생강나는 장어")</f>
        <v>생강나는 장어</v>
      </c>
      <c r="B13054" s="2" t="str">
        <f>IFERROR(__xludf.DUMMYFUNCTION("""COMPUTED_VALUE"""),"다진생강")</f>
        <v>다진생강</v>
      </c>
    </row>
    <row r="13055">
      <c r="A13055" s="2" t="str">
        <f>IFERROR(__xludf.DUMMYFUNCTION("""COMPUTED_VALUE"""),"생강나는 장어")</f>
        <v>생강나는 장어</v>
      </c>
      <c r="B13055" s="2" t="str">
        <f>IFERROR(__xludf.DUMMYFUNCTION("""COMPUTED_VALUE"""),"대파")</f>
        <v>대파</v>
      </c>
    </row>
    <row r="13056">
      <c r="A13056" s="2" t="str">
        <f>IFERROR(__xludf.DUMMYFUNCTION("""COMPUTED_VALUE"""),"생강나는 장어")</f>
        <v>생강나는 장어</v>
      </c>
      <c r="B13056" s="2" t="str">
        <f>IFERROR(__xludf.DUMMYFUNCTION("""COMPUTED_VALUE"""),"간장")</f>
        <v>간장</v>
      </c>
    </row>
    <row r="13057">
      <c r="A13057" s="2" t="str">
        <f>IFERROR(__xludf.DUMMYFUNCTION("""COMPUTED_VALUE"""),"생강나는 장어")</f>
        <v>생강나는 장어</v>
      </c>
      <c r="B13057" s="2" t="str">
        <f>IFERROR(__xludf.DUMMYFUNCTION("""COMPUTED_VALUE"""),"맛술")</f>
        <v>맛술</v>
      </c>
    </row>
    <row r="13058">
      <c r="A13058" s="2" t="str">
        <f>IFERROR(__xludf.DUMMYFUNCTION("""COMPUTED_VALUE"""),"생강나는 장어")</f>
        <v>생강나는 장어</v>
      </c>
      <c r="B13058" s="2" t="str">
        <f>IFERROR(__xludf.DUMMYFUNCTION("""COMPUTED_VALUE"""),"설탕")</f>
        <v>설탕</v>
      </c>
    </row>
    <row r="13059">
      <c r="A13059" s="2" t="str">
        <f>IFERROR(__xludf.DUMMYFUNCTION("""COMPUTED_VALUE"""),"생강나는 장어")</f>
        <v>생강나는 장어</v>
      </c>
      <c r="B13059" s="2" t="str">
        <f>IFERROR(__xludf.DUMMYFUNCTION("""COMPUTED_VALUE"""),"식초")</f>
        <v>식초</v>
      </c>
    </row>
    <row r="13060">
      <c r="A13060" s="2" t="str">
        <f>IFERROR(__xludf.DUMMYFUNCTION("""COMPUTED_VALUE"""),"생강나는 장어")</f>
        <v>생강나는 장어</v>
      </c>
      <c r="B13060" s="2" t="str">
        <f>IFERROR(__xludf.DUMMYFUNCTION("""COMPUTED_VALUE"""),"전분")</f>
        <v>전분</v>
      </c>
    </row>
    <row r="13061">
      <c r="A13061" s="2" t="str">
        <f>IFERROR(__xludf.DUMMYFUNCTION("""COMPUTED_VALUE"""),"매워도 안심하으~리")</f>
        <v>매워도 안심하으~리</v>
      </c>
      <c r="B13061" s="2" t="str">
        <f>IFERROR(__xludf.DUMMYFUNCTION("""COMPUTED_VALUE"""),"소 안심")</f>
        <v>소 안심</v>
      </c>
    </row>
    <row r="13062">
      <c r="A13062" s="2" t="str">
        <f>IFERROR(__xludf.DUMMYFUNCTION("""COMPUTED_VALUE"""),"매워도 안심하으~리")</f>
        <v>매워도 안심하으~리</v>
      </c>
      <c r="B13062" s="2" t="str">
        <f>IFERROR(__xludf.DUMMYFUNCTION("""COMPUTED_VALUE"""),"표고버섯")</f>
        <v>표고버섯</v>
      </c>
    </row>
    <row r="13063">
      <c r="A13063" s="2" t="str">
        <f>IFERROR(__xludf.DUMMYFUNCTION("""COMPUTED_VALUE"""),"매워도 안심하으~리")</f>
        <v>매워도 안심하으~리</v>
      </c>
      <c r="B13063" s="2" t="str">
        <f>IFERROR(__xludf.DUMMYFUNCTION("""COMPUTED_VALUE"""),"XO소스")</f>
        <v>XO소스</v>
      </c>
    </row>
    <row r="13064">
      <c r="A13064" s="2" t="str">
        <f>IFERROR(__xludf.DUMMYFUNCTION("""COMPUTED_VALUE"""),"매워도 안심하으~리")</f>
        <v>매워도 안심하으~리</v>
      </c>
      <c r="B13064" s="2" t="str">
        <f>IFERROR(__xludf.DUMMYFUNCTION("""COMPUTED_VALUE"""),"마라소스")</f>
        <v>마라소스</v>
      </c>
    </row>
    <row r="13065">
      <c r="A13065" s="2" t="str">
        <f>IFERROR(__xludf.DUMMYFUNCTION("""COMPUTED_VALUE"""),"매워도 안심하으~리")</f>
        <v>매워도 안심하으~리</v>
      </c>
      <c r="B13065" s="2" t="str">
        <f>IFERROR(__xludf.DUMMYFUNCTION("""COMPUTED_VALUE"""),"굴")</f>
        <v>굴</v>
      </c>
    </row>
    <row r="13066">
      <c r="A13066" s="2" t="str">
        <f>IFERROR(__xludf.DUMMYFUNCTION("""COMPUTED_VALUE"""),"매워도 안심하으~리")</f>
        <v>매워도 안심하으~리</v>
      </c>
      <c r="B13066" s="2" t="str">
        <f>IFERROR(__xludf.DUMMYFUNCTION("""COMPUTED_VALUE"""),"우렁이")</f>
        <v>우렁이</v>
      </c>
    </row>
    <row r="13067">
      <c r="A13067" s="2" t="str">
        <f>IFERROR(__xludf.DUMMYFUNCTION("""COMPUTED_VALUE"""),"매워도 안심하으~리")</f>
        <v>매워도 안심하으~리</v>
      </c>
      <c r="B13067" s="2" t="str">
        <f>IFERROR(__xludf.DUMMYFUNCTION("""COMPUTED_VALUE"""),"중국고춧가루")</f>
        <v>중국고춧가루</v>
      </c>
    </row>
    <row r="13068">
      <c r="A13068" s="2" t="str">
        <f>IFERROR(__xludf.DUMMYFUNCTION("""COMPUTED_VALUE"""),"매워도 안심하으~리")</f>
        <v>매워도 안심하으~리</v>
      </c>
      <c r="B13068" s="2" t="str">
        <f>IFERROR(__xludf.DUMMYFUNCTION("""COMPUTED_VALUE"""),"고추기름")</f>
        <v>고추기름</v>
      </c>
    </row>
    <row r="13069">
      <c r="A13069" s="2" t="str">
        <f>IFERROR(__xludf.DUMMYFUNCTION("""COMPUTED_VALUE"""),"매워도 안심하으~리")</f>
        <v>매워도 안심하으~리</v>
      </c>
      <c r="B13069" s="2" t="str">
        <f>IFERROR(__xludf.DUMMYFUNCTION("""COMPUTED_VALUE"""),"태국고추")</f>
        <v>태국고추</v>
      </c>
    </row>
    <row r="13070">
      <c r="A13070" s="2" t="str">
        <f>IFERROR(__xludf.DUMMYFUNCTION("""COMPUTED_VALUE"""),"매워도 안심하으~리")</f>
        <v>매워도 안심하으~리</v>
      </c>
      <c r="B13070" s="2" t="str">
        <f>IFERROR(__xludf.DUMMYFUNCTION("""COMPUTED_VALUE"""),"감자")</f>
        <v>감자</v>
      </c>
    </row>
    <row r="13071">
      <c r="A13071" s="2" t="str">
        <f>IFERROR(__xludf.DUMMYFUNCTION("""COMPUTED_VALUE"""),"매워도 안심하으~리")</f>
        <v>매워도 안심하으~리</v>
      </c>
      <c r="B13071" s="2" t="str">
        <f>IFERROR(__xludf.DUMMYFUNCTION("""COMPUTED_VALUE"""),"생강")</f>
        <v>생강</v>
      </c>
    </row>
    <row r="13072">
      <c r="A13072" s="2" t="str">
        <f>IFERROR(__xludf.DUMMYFUNCTION("""COMPUTED_VALUE"""),"매워도 안심하으~리")</f>
        <v>매워도 안심하으~리</v>
      </c>
      <c r="B13072" s="2" t="str">
        <f>IFERROR(__xludf.DUMMYFUNCTION("""COMPUTED_VALUE"""),"허브양념새우")</f>
        <v>허브양념새우</v>
      </c>
    </row>
    <row r="13073">
      <c r="A13073" s="2" t="str">
        <f>IFERROR(__xludf.DUMMYFUNCTION("""COMPUTED_VALUE"""),"매워도 안심하으~리")</f>
        <v>매워도 안심하으~리</v>
      </c>
      <c r="B13073" s="2" t="str">
        <f>IFERROR(__xludf.DUMMYFUNCTION("""COMPUTED_VALUE"""),"앤초비")</f>
        <v>앤초비</v>
      </c>
    </row>
    <row r="13074">
      <c r="A13074" s="2" t="str">
        <f>IFERROR(__xludf.DUMMYFUNCTION("""COMPUTED_VALUE"""),"매워도 안심하으~리")</f>
        <v>매워도 안심하으~리</v>
      </c>
      <c r="B13074" s="2" t="str">
        <f>IFERROR(__xludf.DUMMYFUNCTION("""COMPUTED_VALUE"""),"그린올리브")</f>
        <v>그린올리브</v>
      </c>
    </row>
    <row r="13075">
      <c r="A13075" s="2" t="str">
        <f>IFERROR(__xludf.DUMMYFUNCTION("""COMPUTED_VALUE"""),"매워도 안심하으~리")</f>
        <v>매워도 안심하으~리</v>
      </c>
      <c r="B13075" s="2" t="str">
        <f>IFERROR(__xludf.DUMMYFUNCTION("""COMPUTED_VALUE"""),"토마토")</f>
        <v>토마토</v>
      </c>
    </row>
    <row r="13076">
      <c r="A13076" s="2" t="str">
        <f>IFERROR(__xludf.DUMMYFUNCTION("""COMPUTED_VALUE"""),"매워도 안심하으~리")</f>
        <v>매워도 안심하으~리</v>
      </c>
      <c r="B13076" s="2" t="str">
        <f>IFERROR(__xludf.DUMMYFUNCTION("""COMPUTED_VALUE"""),"사과")</f>
        <v>사과</v>
      </c>
    </row>
    <row r="13077">
      <c r="A13077" s="2" t="str">
        <f>IFERROR(__xludf.DUMMYFUNCTION("""COMPUTED_VALUE"""),"매워도 안심하으~리")</f>
        <v>매워도 안심하으~리</v>
      </c>
      <c r="B13077" s="2" t="str">
        <f>IFERROR(__xludf.DUMMYFUNCTION("""COMPUTED_VALUE"""),"파인애플")</f>
        <v>파인애플</v>
      </c>
    </row>
    <row r="13078">
      <c r="A13078" s="2" t="str">
        <f>IFERROR(__xludf.DUMMYFUNCTION("""COMPUTED_VALUE"""),"매워도 안심하으~리")</f>
        <v>매워도 안심하으~리</v>
      </c>
      <c r="B13078" s="2" t="str">
        <f>IFERROR(__xludf.DUMMYFUNCTION("""COMPUTED_VALUE"""),"요구르트")</f>
        <v>요구르트</v>
      </c>
    </row>
    <row r="13079">
      <c r="A13079" s="2" t="str">
        <f>IFERROR(__xludf.DUMMYFUNCTION("""COMPUTED_VALUE"""),"매워도 안심하으~리")</f>
        <v>매워도 안심하으~리</v>
      </c>
      <c r="B13079" s="2" t="str">
        <f>IFERROR(__xludf.DUMMYFUNCTION("""COMPUTED_VALUE"""),"플레인요거트")</f>
        <v>플레인요거트</v>
      </c>
    </row>
    <row r="13080">
      <c r="A13080" s="2" t="str">
        <f>IFERROR(__xludf.DUMMYFUNCTION("""COMPUTED_VALUE"""),"매워도 안심하으~리")</f>
        <v>매워도 안심하으~리</v>
      </c>
      <c r="B13080" s="2" t="str">
        <f>IFERROR(__xludf.DUMMYFUNCTION("""COMPUTED_VALUE"""),"대파")</f>
        <v>대파</v>
      </c>
    </row>
    <row r="13081">
      <c r="A13081" s="2" t="str">
        <f>IFERROR(__xludf.DUMMYFUNCTION("""COMPUTED_VALUE"""),"매워도 안심하으~리")</f>
        <v>매워도 안심하으~리</v>
      </c>
      <c r="B13081" s="2" t="str">
        <f>IFERROR(__xludf.DUMMYFUNCTION("""COMPUTED_VALUE"""),"소금")</f>
        <v>소금</v>
      </c>
    </row>
    <row r="13082">
      <c r="A13082" s="2" t="str">
        <f>IFERROR(__xludf.DUMMYFUNCTION("""COMPUTED_VALUE"""),"매워도 안심하으~리")</f>
        <v>매워도 안심하으~리</v>
      </c>
      <c r="B13082" s="2" t="str">
        <f>IFERROR(__xludf.DUMMYFUNCTION("""COMPUTED_VALUE"""),"후추")</f>
        <v>후추</v>
      </c>
    </row>
    <row r="13083">
      <c r="A13083" s="2" t="str">
        <f>IFERROR(__xludf.DUMMYFUNCTION("""COMPUTED_VALUE"""),"매워도 안심하으~리")</f>
        <v>매워도 안심하으~리</v>
      </c>
      <c r="B13083" s="2" t="str">
        <f>IFERROR(__xludf.DUMMYFUNCTION("""COMPUTED_VALUE"""),"청양고추")</f>
        <v>청양고추</v>
      </c>
    </row>
    <row r="13084">
      <c r="A13084" s="2" t="str">
        <f>IFERROR(__xludf.DUMMYFUNCTION("""COMPUTED_VALUE"""),"매워도 안심하으~리")</f>
        <v>매워도 안심하으~리</v>
      </c>
      <c r="B13084" s="2" t="str">
        <f>IFERROR(__xludf.DUMMYFUNCTION("""COMPUTED_VALUE"""),"홍고추")</f>
        <v>홍고추</v>
      </c>
    </row>
    <row r="13085">
      <c r="A13085" s="2" t="str">
        <f>IFERROR(__xludf.DUMMYFUNCTION("""COMPUTED_VALUE"""),"매워도 안심하으~리")</f>
        <v>매워도 안심하으~리</v>
      </c>
      <c r="B13085" s="2" t="str">
        <f>IFERROR(__xludf.DUMMYFUNCTION("""COMPUTED_VALUE"""),"전분")</f>
        <v>전분</v>
      </c>
    </row>
    <row r="13086">
      <c r="A13086" s="2" t="str">
        <f>IFERROR(__xludf.DUMMYFUNCTION("""COMPUTED_VALUE"""),"매워도 안심하으~리")</f>
        <v>매워도 안심하으~리</v>
      </c>
      <c r="B13086" s="2" t="str">
        <f>IFERROR(__xludf.DUMMYFUNCTION("""COMPUTED_VALUE"""),"양파")</f>
        <v>양파</v>
      </c>
    </row>
    <row r="13087">
      <c r="A13087" s="2" t="str">
        <f>IFERROR(__xludf.DUMMYFUNCTION("""COMPUTED_VALUE"""),"참치 먹고 싶은 사람? 하이!")</f>
        <v>참치 먹고 싶은 사람? 하이!</v>
      </c>
      <c r="B13087" s="2" t="str">
        <f>IFERROR(__xludf.DUMMYFUNCTION("""COMPUTED_VALUE"""),"참치")</f>
        <v>참치</v>
      </c>
    </row>
    <row r="13088">
      <c r="A13088" s="2" t="str">
        <f>IFERROR(__xludf.DUMMYFUNCTION("""COMPUTED_VALUE"""),"참치 먹고 싶은 사람? 하이!")</f>
        <v>참치 먹고 싶은 사람? 하이!</v>
      </c>
      <c r="B13088" s="2" t="str">
        <f>IFERROR(__xludf.DUMMYFUNCTION("""COMPUTED_VALUE"""),"소 앞다릿살")</f>
        <v>소 앞다릿살</v>
      </c>
    </row>
    <row r="13089">
      <c r="A13089" s="2" t="str">
        <f>IFERROR(__xludf.DUMMYFUNCTION("""COMPUTED_VALUE"""),"참치 먹고 싶은 사람? 하이!")</f>
        <v>참치 먹고 싶은 사람? 하이!</v>
      </c>
      <c r="B13089" s="2" t="str">
        <f>IFERROR(__xludf.DUMMYFUNCTION("""COMPUTED_VALUE"""),"알배추")</f>
        <v>알배추</v>
      </c>
    </row>
    <row r="13090">
      <c r="A13090" s="2" t="str">
        <f>IFERROR(__xludf.DUMMYFUNCTION("""COMPUTED_VALUE"""),"참치 먹고 싶은 사람? 하이!")</f>
        <v>참치 먹고 싶은 사람? 하이!</v>
      </c>
      <c r="B13090" s="2" t="str">
        <f>IFERROR(__xludf.DUMMYFUNCTION("""COMPUTED_VALUE"""),"시금치")</f>
        <v>시금치</v>
      </c>
    </row>
    <row r="13091">
      <c r="A13091" s="2" t="str">
        <f>IFERROR(__xludf.DUMMYFUNCTION("""COMPUTED_VALUE"""),"참치 먹고 싶은 사람? 하이!")</f>
        <v>참치 먹고 싶은 사람? 하이!</v>
      </c>
      <c r="B13091" s="2" t="str">
        <f>IFERROR(__xludf.DUMMYFUNCTION("""COMPUTED_VALUE"""),"오코노미야키 소스")</f>
        <v>오코노미야키 소스</v>
      </c>
    </row>
    <row r="13092">
      <c r="A13092" s="2" t="str">
        <f>IFERROR(__xludf.DUMMYFUNCTION("""COMPUTED_VALUE"""),"참치 먹고 싶은 사람? 하이!")</f>
        <v>참치 먹고 싶은 사람? 하이!</v>
      </c>
      <c r="B13092" s="2" t="str">
        <f>IFERROR(__xludf.DUMMYFUNCTION("""COMPUTED_VALUE"""),"유자폰즈소스")</f>
        <v>유자폰즈소스</v>
      </c>
    </row>
    <row r="13093">
      <c r="A13093" s="2" t="str">
        <f>IFERROR(__xludf.DUMMYFUNCTION("""COMPUTED_VALUE"""),"참치 먹고 싶은 사람? 하이!")</f>
        <v>참치 먹고 싶은 사람? 하이!</v>
      </c>
      <c r="B13093" s="2" t="str">
        <f>IFERROR(__xludf.DUMMYFUNCTION("""COMPUTED_VALUE"""),"미소")</f>
        <v>미소</v>
      </c>
    </row>
    <row r="13094">
      <c r="A13094" s="2" t="str">
        <f>IFERROR(__xludf.DUMMYFUNCTION("""COMPUTED_VALUE"""),"참치 먹고 싶은 사람? 하이!")</f>
        <v>참치 먹고 싶은 사람? 하이!</v>
      </c>
      <c r="B13094" s="2" t="str">
        <f>IFERROR(__xludf.DUMMYFUNCTION("""COMPUTED_VALUE"""),"아보카도")</f>
        <v>아보카도</v>
      </c>
    </row>
    <row r="13095">
      <c r="A13095" s="2" t="str">
        <f>IFERROR(__xludf.DUMMYFUNCTION("""COMPUTED_VALUE"""),"참치 먹고 싶은 사람? 하이!")</f>
        <v>참치 먹고 싶은 사람? 하이!</v>
      </c>
      <c r="B13095" s="2" t="str">
        <f>IFERROR(__xludf.DUMMYFUNCTION("""COMPUTED_VALUE"""),"불고기소스")</f>
        <v>불고기소스</v>
      </c>
    </row>
    <row r="13096">
      <c r="A13096" s="2" t="str">
        <f>IFERROR(__xludf.DUMMYFUNCTION("""COMPUTED_VALUE"""),"참치 먹고 싶은 사람? 하이!")</f>
        <v>참치 먹고 싶은 사람? 하이!</v>
      </c>
      <c r="B13096" s="2" t="str">
        <f>IFERROR(__xludf.DUMMYFUNCTION("""COMPUTED_VALUE"""),"가쓰오부시")</f>
        <v>가쓰오부시</v>
      </c>
    </row>
    <row r="13097">
      <c r="A13097" s="2" t="str">
        <f>IFERROR(__xludf.DUMMYFUNCTION("""COMPUTED_VALUE"""),"참치 먹고 싶은 사람? 하이!")</f>
        <v>참치 먹고 싶은 사람? 하이!</v>
      </c>
      <c r="B13097" s="2" t="str">
        <f>IFERROR(__xludf.DUMMYFUNCTION("""COMPUTED_VALUE"""),"팽이버섯")</f>
        <v>팽이버섯</v>
      </c>
    </row>
    <row r="13098">
      <c r="A13098" s="2" t="str">
        <f>IFERROR(__xludf.DUMMYFUNCTION("""COMPUTED_VALUE"""),"참치 먹고 싶은 사람? 하이!")</f>
        <v>참치 먹고 싶은 사람? 하이!</v>
      </c>
      <c r="B13098" s="2" t="str">
        <f>IFERROR(__xludf.DUMMYFUNCTION("""COMPUTED_VALUE"""),"양송이버섯")</f>
        <v>양송이버섯</v>
      </c>
    </row>
    <row r="13099">
      <c r="A13099" s="2" t="str">
        <f>IFERROR(__xludf.DUMMYFUNCTION("""COMPUTED_VALUE"""),"참치 먹고 싶은 사람? 하이!")</f>
        <v>참치 먹고 싶은 사람? 하이!</v>
      </c>
      <c r="B13099" s="2" t="str">
        <f>IFERROR(__xludf.DUMMYFUNCTION("""COMPUTED_VALUE"""),"양배추")</f>
        <v>양배추</v>
      </c>
    </row>
    <row r="13100">
      <c r="A13100" s="2" t="str">
        <f>IFERROR(__xludf.DUMMYFUNCTION("""COMPUTED_VALUE"""),"참치 먹고 싶은 사람? 하이!")</f>
        <v>참치 먹고 싶은 사람? 하이!</v>
      </c>
      <c r="B13100" s="2" t="str">
        <f>IFERROR(__xludf.DUMMYFUNCTION("""COMPUTED_VALUE"""),"채소육수팩")</f>
        <v>채소육수팩</v>
      </c>
    </row>
    <row r="13101">
      <c r="A13101" s="2" t="str">
        <f>IFERROR(__xludf.DUMMYFUNCTION("""COMPUTED_VALUE"""),"참치 먹고 싶은 사람? 하이!")</f>
        <v>참치 먹고 싶은 사람? 하이!</v>
      </c>
      <c r="B13101" s="2" t="str">
        <f>IFERROR(__xludf.DUMMYFUNCTION("""COMPUTED_VALUE"""),"우동면")</f>
        <v>우동면</v>
      </c>
    </row>
    <row r="13102">
      <c r="A13102" s="2" t="str">
        <f>IFERROR(__xludf.DUMMYFUNCTION("""COMPUTED_VALUE"""),"참치 먹고 싶은 사람? 하이!")</f>
        <v>참치 먹고 싶은 사람? 하이!</v>
      </c>
      <c r="B13102" s="2" t="str">
        <f>IFERROR(__xludf.DUMMYFUNCTION("""COMPUTED_VALUE"""),"명란젓")</f>
        <v>명란젓</v>
      </c>
    </row>
    <row r="13103">
      <c r="A13103" s="2" t="str">
        <f>IFERROR(__xludf.DUMMYFUNCTION("""COMPUTED_VALUE"""),"참치 먹고 싶은 사람? 하이!")</f>
        <v>참치 먹고 싶은 사람? 하이!</v>
      </c>
      <c r="B13103" s="2" t="str">
        <f>IFERROR(__xludf.DUMMYFUNCTION("""COMPUTED_VALUE"""),"대파")</f>
        <v>대파</v>
      </c>
    </row>
    <row r="13104">
      <c r="A13104" s="2" t="str">
        <f>IFERROR(__xludf.DUMMYFUNCTION("""COMPUTED_VALUE"""),"참치 먹고 싶은 사람? 하이!")</f>
        <v>참치 먹고 싶은 사람? 하이!</v>
      </c>
      <c r="B13104" s="2" t="str">
        <f>IFERROR(__xludf.DUMMYFUNCTION("""COMPUTED_VALUE"""),"양파")</f>
        <v>양파</v>
      </c>
    </row>
    <row r="13105">
      <c r="A13105" s="2" t="str">
        <f>IFERROR(__xludf.DUMMYFUNCTION("""COMPUTED_VALUE"""),"참치 먹고 싶은 사람? 하이!")</f>
        <v>참치 먹고 싶은 사람? 하이!</v>
      </c>
      <c r="B13105" s="2" t="str">
        <f>IFERROR(__xludf.DUMMYFUNCTION("""COMPUTED_VALUE"""),"전분")</f>
        <v>전분</v>
      </c>
    </row>
    <row r="13106">
      <c r="A13106" s="2" t="str">
        <f>IFERROR(__xludf.DUMMYFUNCTION("""COMPUTED_VALUE"""),"참치 먹고 싶은 사람? 하이!")</f>
        <v>참치 먹고 싶은 사람? 하이!</v>
      </c>
      <c r="B13106" s="2" t="str">
        <f>IFERROR(__xludf.DUMMYFUNCTION("""COMPUTED_VALUE"""),"다진 생강")</f>
        <v>다진 생강</v>
      </c>
    </row>
    <row r="13107">
      <c r="A13107" s="2" t="str">
        <f>IFERROR(__xludf.DUMMYFUNCTION("""COMPUTED_VALUE"""),"참치 먹고 싶은 사람? 하이!")</f>
        <v>참치 먹고 싶은 사람? 하이!</v>
      </c>
      <c r="B13107" s="2" t="str">
        <f>IFERROR(__xludf.DUMMYFUNCTION("""COMPUTED_VALUE"""),"맛술")</f>
        <v>맛술</v>
      </c>
    </row>
    <row r="13108">
      <c r="A13108" s="2" t="str">
        <f>IFERROR(__xludf.DUMMYFUNCTION("""COMPUTED_VALUE"""),"참치 먹고 싶은 사람? 하이!")</f>
        <v>참치 먹고 싶은 사람? 하이!</v>
      </c>
      <c r="B13108" s="2" t="str">
        <f>IFERROR(__xludf.DUMMYFUNCTION("""COMPUTED_VALUE"""),"간장")</f>
        <v>간장</v>
      </c>
    </row>
    <row r="13109">
      <c r="A13109" s="2" t="str">
        <f>IFERROR(__xludf.DUMMYFUNCTION("""COMPUTED_VALUE"""),"참치 먹고 싶은 사람? 하이!")</f>
        <v>참치 먹고 싶은 사람? 하이!</v>
      </c>
      <c r="B13109" s="2" t="str">
        <f>IFERROR(__xludf.DUMMYFUNCTION("""COMPUTED_VALUE"""),"레몬즙")</f>
        <v>레몬즙</v>
      </c>
    </row>
    <row r="13110">
      <c r="A13110" s="2" t="str">
        <f>IFERROR(__xludf.DUMMYFUNCTION("""COMPUTED_VALUE"""),"참치 먹고 싶은 사람? 하이!")</f>
        <v>참치 먹고 싶은 사람? 하이!</v>
      </c>
      <c r="B13110" s="2" t="str">
        <f>IFERROR(__xludf.DUMMYFUNCTION("""COMPUTED_VALUE"""),"설탕")</f>
        <v>설탕</v>
      </c>
    </row>
    <row r="13111">
      <c r="A13111" s="2" t="str">
        <f>IFERROR(__xludf.DUMMYFUNCTION("""COMPUTED_VALUE"""),"참치 먹고 싶은 사람? 하이!")</f>
        <v>참치 먹고 싶은 사람? 하이!</v>
      </c>
      <c r="B13111" s="2" t="str">
        <f>IFERROR(__xludf.DUMMYFUNCTION("""COMPUTED_VALUE"""),"고춧가루")</f>
        <v>고춧가루</v>
      </c>
    </row>
    <row r="13112">
      <c r="A13112" s="2" t="str">
        <f>IFERROR(__xludf.DUMMYFUNCTION("""COMPUTED_VALUE"""),"참치 먹고 싶은 사람? 하이!")</f>
        <v>참치 먹고 싶은 사람? 하이!</v>
      </c>
      <c r="B13112" s="2" t="str">
        <f>IFERROR(__xludf.DUMMYFUNCTION("""COMPUTED_VALUE"""),"다진 마늘")</f>
        <v>다진 마늘</v>
      </c>
    </row>
    <row r="13113">
      <c r="A13113" s="2" t="str">
        <f>IFERROR(__xludf.DUMMYFUNCTION("""COMPUTED_VALUE"""),"참치 먹고 싶은 사람? 하이!")</f>
        <v>참치 먹고 싶은 사람? 하이!</v>
      </c>
      <c r="B13113" s="2" t="str">
        <f>IFERROR(__xludf.DUMMYFUNCTION("""COMPUTED_VALUE"""),"소금")</f>
        <v>소금</v>
      </c>
    </row>
    <row r="13114">
      <c r="A13114" s="2" t="str">
        <f>IFERROR(__xludf.DUMMYFUNCTION("""COMPUTED_VALUE"""),"추풍낙엽")</f>
        <v>추풍낙엽</v>
      </c>
      <c r="B13114" s="2" t="str">
        <f>IFERROR(__xludf.DUMMYFUNCTION("""COMPUTED_VALUE"""),"소 앞다릿살")</f>
        <v>소 앞다릿살</v>
      </c>
    </row>
    <row r="13115">
      <c r="A13115" s="2" t="str">
        <f>IFERROR(__xludf.DUMMYFUNCTION("""COMPUTED_VALUE"""),"추풍낙엽")</f>
        <v>추풍낙엽</v>
      </c>
      <c r="B13115" s="2" t="str">
        <f>IFERROR(__xludf.DUMMYFUNCTION("""COMPUTED_VALUE"""),"우동면")</f>
        <v>우동면</v>
      </c>
    </row>
    <row r="13116">
      <c r="A13116" s="2" t="str">
        <f>IFERROR(__xludf.DUMMYFUNCTION("""COMPUTED_VALUE"""),"추풍낙엽")</f>
        <v>추풍낙엽</v>
      </c>
      <c r="B13116" s="2" t="str">
        <f>IFERROR(__xludf.DUMMYFUNCTION("""COMPUTED_VALUE"""),"유자폰즈소스")</f>
        <v>유자폰즈소스</v>
      </c>
    </row>
    <row r="13117">
      <c r="A13117" s="2" t="str">
        <f>IFERROR(__xludf.DUMMYFUNCTION("""COMPUTED_VALUE"""),"추풍낙엽")</f>
        <v>추풍낙엽</v>
      </c>
      <c r="B13117" s="2" t="str">
        <f>IFERROR(__xludf.DUMMYFUNCTION("""COMPUTED_VALUE"""),"쯔유")</f>
        <v>쯔유</v>
      </c>
    </row>
    <row r="13118">
      <c r="A13118" s="2" t="str">
        <f>IFERROR(__xludf.DUMMYFUNCTION("""COMPUTED_VALUE"""),"추풍낙엽")</f>
        <v>추풍낙엽</v>
      </c>
      <c r="B13118" s="2" t="str">
        <f>IFERROR(__xludf.DUMMYFUNCTION("""COMPUTED_VALUE"""),"토마토")</f>
        <v>토마토</v>
      </c>
    </row>
    <row r="13119">
      <c r="A13119" s="2" t="str">
        <f>IFERROR(__xludf.DUMMYFUNCTION("""COMPUTED_VALUE"""),"추풍낙엽")</f>
        <v>추풍낙엽</v>
      </c>
      <c r="B13119" s="2" t="str">
        <f>IFERROR(__xludf.DUMMYFUNCTION("""COMPUTED_VALUE"""),"팽이버섯")</f>
        <v>팽이버섯</v>
      </c>
    </row>
    <row r="13120">
      <c r="A13120" s="2" t="str">
        <f>IFERROR(__xludf.DUMMYFUNCTION("""COMPUTED_VALUE"""),"추풍낙엽")</f>
        <v>추풍낙엽</v>
      </c>
      <c r="B13120" s="2" t="str">
        <f>IFERROR(__xludf.DUMMYFUNCTION("""COMPUTED_VALUE"""),"잣")</f>
        <v>잣</v>
      </c>
    </row>
    <row r="13121">
      <c r="A13121" s="2" t="str">
        <f>IFERROR(__xludf.DUMMYFUNCTION("""COMPUTED_VALUE"""),"추풍낙엽")</f>
        <v>추풍낙엽</v>
      </c>
      <c r="B13121" s="2" t="str">
        <f>IFERROR(__xludf.DUMMYFUNCTION("""COMPUTED_VALUE"""),"알배추")</f>
        <v>알배추</v>
      </c>
    </row>
    <row r="13122">
      <c r="A13122" s="2" t="str">
        <f>IFERROR(__xludf.DUMMYFUNCTION("""COMPUTED_VALUE"""),"추풍낙엽")</f>
        <v>추풍낙엽</v>
      </c>
      <c r="B13122" s="2" t="str">
        <f>IFERROR(__xludf.DUMMYFUNCTION("""COMPUTED_VALUE"""),"파인애플")</f>
        <v>파인애플</v>
      </c>
    </row>
    <row r="13123">
      <c r="A13123" s="2" t="str">
        <f>IFERROR(__xludf.DUMMYFUNCTION("""COMPUTED_VALUE"""),"추풍낙엽")</f>
        <v>추풍낙엽</v>
      </c>
      <c r="B13123" s="2" t="str">
        <f>IFERROR(__xludf.DUMMYFUNCTION("""COMPUTED_VALUE"""),"꿀")</f>
        <v>꿀</v>
      </c>
    </row>
    <row r="13124">
      <c r="A13124" s="2" t="str">
        <f>IFERROR(__xludf.DUMMYFUNCTION("""COMPUTED_VALUE"""),"추풍낙엽")</f>
        <v>추풍낙엽</v>
      </c>
      <c r="B13124" s="2" t="str">
        <f>IFERROR(__xludf.DUMMYFUNCTION("""COMPUTED_VALUE"""),"식초")</f>
        <v>식초</v>
      </c>
    </row>
    <row r="13125">
      <c r="A13125" s="2" t="str">
        <f>IFERROR(__xludf.DUMMYFUNCTION("""COMPUTED_VALUE"""),"추풍낙엽")</f>
        <v>추풍낙엽</v>
      </c>
      <c r="B13125" s="2" t="str">
        <f>IFERROR(__xludf.DUMMYFUNCTION("""COMPUTED_VALUE"""),"설탕")</f>
        <v>설탕</v>
      </c>
    </row>
    <row r="13126">
      <c r="A13126" s="2" t="str">
        <f>IFERROR(__xludf.DUMMYFUNCTION("""COMPUTED_VALUE"""),"추풍낙엽")</f>
        <v>추풍낙엽</v>
      </c>
      <c r="B13126" s="2" t="str">
        <f>IFERROR(__xludf.DUMMYFUNCTION("""COMPUTED_VALUE"""),"소금")</f>
        <v>소금</v>
      </c>
    </row>
    <row r="13127">
      <c r="A13127" s="2" t="str">
        <f>IFERROR(__xludf.DUMMYFUNCTION("""COMPUTED_VALUE"""),"추풍낙엽")</f>
        <v>추풍낙엽</v>
      </c>
      <c r="B13127" s="2" t="str">
        <f>IFERROR(__xludf.DUMMYFUNCTION("""COMPUTED_VALUE"""),"대파")</f>
        <v>대파</v>
      </c>
    </row>
    <row r="13128">
      <c r="A13128" s="2" t="str">
        <f>IFERROR(__xludf.DUMMYFUNCTION("""COMPUTED_VALUE"""),"추풍낙엽")</f>
        <v>추풍낙엽</v>
      </c>
      <c r="B13128" s="2" t="str">
        <f>IFERROR(__xludf.DUMMYFUNCTION("""COMPUTED_VALUE"""),"간장")</f>
        <v>간장</v>
      </c>
    </row>
    <row r="13129">
      <c r="A13129" s="2" t="str">
        <f>IFERROR(__xludf.DUMMYFUNCTION("""COMPUTED_VALUE"""),"추풍낙엽")</f>
        <v>추풍낙엽</v>
      </c>
      <c r="B13129" s="2" t="str">
        <f>IFERROR(__xludf.DUMMYFUNCTION("""COMPUTED_VALUE"""),"달걀")</f>
        <v>달걀</v>
      </c>
    </row>
    <row r="13130">
      <c r="A13130" s="2" t="str">
        <f>IFERROR(__xludf.DUMMYFUNCTION("""COMPUTED_VALUE"""),"추풍낙엽")</f>
        <v>추풍낙엽</v>
      </c>
      <c r="B13130" s="2" t="str">
        <f>IFERROR(__xludf.DUMMYFUNCTION("""COMPUTED_VALUE"""),"전분")</f>
        <v>전분</v>
      </c>
    </row>
    <row r="13131">
      <c r="A13131" s="2" t="str">
        <f>IFERROR(__xludf.DUMMYFUNCTION("""COMPUTED_VALUE"""),"추풍낙엽")</f>
        <v>추풍낙엽</v>
      </c>
      <c r="B13131" s="2" t="str">
        <f>IFERROR(__xludf.DUMMYFUNCTION("""COMPUTED_VALUE"""),"다진 마늘")</f>
        <v>다진 마늘</v>
      </c>
    </row>
    <row r="13132">
      <c r="A13132" s="2" t="str">
        <f>IFERROR(__xludf.DUMMYFUNCTION("""COMPUTED_VALUE"""),"추풍낙엽")</f>
        <v>추풍낙엽</v>
      </c>
      <c r="B13132" s="2" t="str">
        <f>IFERROR(__xludf.DUMMYFUNCTION("""COMPUTED_VALUE"""),"고춧가루")</f>
        <v>고춧가루</v>
      </c>
    </row>
    <row r="13133">
      <c r="A13133" s="2" t="str">
        <f>IFERROR(__xludf.DUMMYFUNCTION("""COMPUTED_VALUE"""),"추풍낙엽")</f>
        <v>추풍낙엽</v>
      </c>
      <c r="B13133" s="2" t="str">
        <f>IFERROR(__xludf.DUMMYFUNCTION("""COMPUTED_VALUE"""),"기름")</f>
        <v>기름</v>
      </c>
    </row>
    <row r="13134">
      <c r="A13134" s="2" t="str">
        <f>IFERROR(__xludf.DUMMYFUNCTION("""COMPUTED_VALUE"""),"가슴속에 차오르는 연~어♬")</f>
        <v>가슴속에 차오르는 연~어♬</v>
      </c>
      <c r="B13134" s="2" t="str">
        <f>IFERROR(__xludf.DUMMYFUNCTION("""COMPUTED_VALUE"""),"연어")</f>
        <v>연어</v>
      </c>
    </row>
    <row r="13135">
      <c r="A13135" s="2" t="str">
        <f>IFERROR(__xludf.DUMMYFUNCTION("""COMPUTED_VALUE"""),"가슴속에 차오르는 연~어♬")</f>
        <v>가슴속에 차오르는 연~어♬</v>
      </c>
      <c r="B13135" s="2" t="str">
        <f>IFERROR(__xludf.DUMMYFUNCTION("""COMPUTED_VALUE"""),"양송이버섯")</f>
        <v>양송이버섯</v>
      </c>
    </row>
    <row r="13136">
      <c r="A13136" s="2" t="str">
        <f>IFERROR(__xludf.DUMMYFUNCTION("""COMPUTED_VALUE"""),"가슴속에 차오르는 연~어♬")</f>
        <v>가슴속에 차오르는 연~어♬</v>
      </c>
      <c r="B13136" s="2" t="str">
        <f>IFERROR(__xludf.DUMMYFUNCTION("""COMPUTED_VALUE"""),"애호박")</f>
        <v>애호박</v>
      </c>
    </row>
    <row r="13137">
      <c r="A13137" s="2" t="str">
        <f>IFERROR(__xludf.DUMMYFUNCTION("""COMPUTED_VALUE"""),"가슴속에 차오르는 연~어♬")</f>
        <v>가슴속에 차오르는 연~어♬</v>
      </c>
      <c r="B13137" s="2" t="str">
        <f>IFERROR(__xludf.DUMMYFUNCTION("""COMPUTED_VALUE"""),"파프리카")</f>
        <v>파프리카</v>
      </c>
    </row>
    <row r="13138">
      <c r="A13138" s="2" t="str">
        <f>IFERROR(__xludf.DUMMYFUNCTION("""COMPUTED_VALUE"""),"가슴속에 차오르는 연~어♬")</f>
        <v>가슴속에 차오르는 연~어♬</v>
      </c>
      <c r="B13138" s="2" t="str">
        <f>IFERROR(__xludf.DUMMYFUNCTION("""COMPUTED_VALUE"""),"고구마")</f>
        <v>고구마</v>
      </c>
    </row>
    <row r="13139">
      <c r="A13139" s="2" t="str">
        <f>IFERROR(__xludf.DUMMYFUNCTION("""COMPUTED_VALUE"""),"가슴속에 차오르는 연~어♬")</f>
        <v>가슴속에 차오르는 연~어♬</v>
      </c>
      <c r="B13139" s="2" t="str">
        <f>IFERROR(__xludf.DUMMYFUNCTION("""COMPUTED_VALUE"""),"닭가슴살")</f>
        <v>닭가슴살</v>
      </c>
    </row>
    <row r="13140">
      <c r="A13140" s="2" t="str">
        <f>IFERROR(__xludf.DUMMYFUNCTION("""COMPUTED_VALUE"""),"가슴속에 차오르는 연~어♬")</f>
        <v>가슴속에 차오르는 연~어♬</v>
      </c>
      <c r="B13140" s="2" t="str">
        <f>IFERROR(__xludf.DUMMYFUNCTION("""COMPUTED_VALUE"""),"파인애플")</f>
        <v>파인애플</v>
      </c>
    </row>
    <row r="13141">
      <c r="A13141" s="2" t="str">
        <f>IFERROR(__xludf.DUMMYFUNCTION("""COMPUTED_VALUE"""),"가슴속에 차오르는 연~어♬")</f>
        <v>가슴속에 차오르는 연~어♬</v>
      </c>
      <c r="B13141" s="2" t="str">
        <f>IFERROR(__xludf.DUMMYFUNCTION("""COMPUTED_VALUE"""),"토마토파스타 소스")</f>
        <v>토마토파스타 소스</v>
      </c>
    </row>
    <row r="13142">
      <c r="A13142" s="2" t="str">
        <f>IFERROR(__xludf.DUMMYFUNCTION("""COMPUTED_VALUE"""),"가슴속에 차오르는 연~어♬")</f>
        <v>가슴속에 차오르는 연~어♬</v>
      </c>
      <c r="B13142" s="2" t="str">
        <f>IFERROR(__xludf.DUMMYFUNCTION("""COMPUTED_VALUE"""),"파르메산 치즈")</f>
        <v>파르메산 치즈</v>
      </c>
    </row>
    <row r="13143">
      <c r="A13143" s="2" t="str">
        <f>IFERROR(__xludf.DUMMYFUNCTION("""COMPUTED_VALUE"""),"가슴속에 차오르는 연~어♬")</f>
        <v>가슴속에 차오르는 연~어♬</v>
      </c>
      <c r="B13143" s="2" t="str">
        <f>IFERROR(__xludf.DUMMYFUNCTION("""COMPUTED_VALUE"""),"알프레도파스타 소스")</f>
        <v>알프레도파스타 소스</v>
      </c>
    </row>
    <row r="13144">
      <c r="A13144" s="2" t="str">
        <f>IFERROR(__xludf.DUMMYFUNCTION("""COMPUTED_VALUE"""),"가슴속에 차오르는 연~어♬")</f>
        <v>가슴속에 차오르는 연~어♬</v>
      </c>
      <c r="B13144" s="2" t="str">
        <f>IFERROR(__xludf.DUMMYFUNCTION("""COMPUTED_VALUE"""),"발사믹크림")</f>
        <v>발사믹크림</v>
      </c>
    </row>
    <row r="13145">
      <c r="A13145" s="2" t="str">
        <f>IFERROR(__xludf.DUMMYFUNCTION("""COMPUTED_VALUE"""),"가슴속에 차오르는 연~어♬")</f>
        <v>가슴속에 차오르는 연~어♬</v>
      </c>
      <c r="B13145" s="2" t="str">
        <f>IFERROR(__xludf.DUMMYFUNCTION("""COMPUTED_VALUE"""),"시금치")</f>
        <v>시금치</v>
      </c>
    </row>
    <row r="13146">
      <c r="A13146" s="2" t="str">
        <f>IFERROR(__xludf.DUMMYFUNCTION("""COMPUTED_VALUE"""),"가슴속에 차오르는 연~어♬")</f>
        <v>가슴속에 차오르는 연~어♬</v>
      </c>
      <c r="B13146" s="2" t="str">
        <f>IFERROR(__xludf.DUMMYFUNCTION("""COMPUTED_VALUE"""),"아보카도")</f>
        <v>아보카도</v>
      </c>
    </row>
    <row r="13147">
      <c r="A13147" s="2" t="str">
        <f>IFERROR(__xludf.DUMMYFUNCTION("""COMPUTED_VALUE"""),"가슴속에 차오르는 연~어♬")</f>
        <v>가슴속에 차오르는 연~어♬</v>
      </c>
      <c r="B13147" s="2" t="str">
        <f>IFERROR(__xludf.DUMMYFUNCTION("""COMPUTED_VALUE"""),"잣")</f>
        <v>잣</v>
      </c>
    </row>
    <row r="13148">
      <c r="A13148" s="2" t="str">
        <f>IFERROR(__xludf.DUMMYFUNCTION("""COMPUTED_VALUE"""),"가슴속에 차오르는 연~어♬")</f>
        <v>가슴속에 차오르는 연~어♬</v>
      </c>
      <c r="B13148" s="2" t="str">
        <f>IFERROR(__xludf.DUMMYFUNCTION("""COMPUTED_VALUE"""),"바나나")</f>
        <v>바나나</v>
      </c>
    </row>
    <row r="13149">
      <c r="A13149" s="2" t="str">
        <f>IFERROR(__xludf.DUMMYFUNCTION("""COMPUTED_VALUE"""),"가슴속에 차오르는 연~어♬")</f>
        <v>가슴속에 차오르는 연~어♬</v>
      </c>
      <c r="B13149" s="2" t="str">
        <f>IFERROR(__xludf.DUMMYFUNCTION("""COMPUTED_VALUE"""),"마늘")</f>
        <v>마늘</v>
      </c>
    </row>
    <row r="13150">
      <c r="A13150" s="2" t="str">
        <f>IFERROR(__xludf.DUMMYFUNCTION("""COMPUTED_VALUE"""),"가슴속에 차오르는 연~어♬")</f>
        <v>가슴속에 차오르는 연~어♬</v>
      </c>
      <c r="B13150" s="2" t="str">
        <f>IFERROR(__xludf.DUMMYFUNCTION("""COMPUTED_VALUE"""),"올리브오일")</f>
        <v>올리브오일</v>
      </c>
    </row>
    <row r="13151">
      <c r="A13151" s="2" t="str">
        <f>IFERROR(__xludf.DUMMYFUNCTION("""COMPUTED_VALUE"""),"가슴속에 차오르는 연~어♬")</f>
        <v>가슴속에 차오르는 연~어♬</v>
      </c>
      <c r="B13151" s="2" t="str">
        <f>IFERROR(__xludf.DUMMYFUNCTION("""COMPUTED_VALUE"""),"소금")</f>
        <v>소금</v>
      </c>
    </row>
    <row r="13152">
      <c r="A13152" s="2" t="str">
        <f>IFERROR(__xludf.DUMMYFUNCTION("""COMPUTED_VALUE"""),"가슴속에 차오르는 연~어♬")</f>
        <v>가슴속에 차오르는 연~어♬</v>
      </c>
      <c r="B13152" s="2" t="str">
        <f>IFERROR(__xludf.DUMMYFUNCTION("""COMPUTED_VALUE"""),"후추")</f>
        <v>후추</v>
      </c>
    </row>
    <row r="13153">
      <c r="A13153" s="2" t="str">
        <f>IFERROR(__xludf.DUMMYFUNCTION("""COMPUTED_VALUE"""),"가슴속에 차오르는 연~어♬")</f>
        <v>가슴속에 차오르는 연~어♬</v>
      </c>
      <c r="B13153" s="2" t="str">
        <f>IFERROR(__xludf.DUMMYFUNCTION("""COMPUTED_VALUE"""),"버터")</f>
        <v>버터</v>
      </c>
    </row>
    <row r="13154">
      <c r="A13154" s="2" t="str">
        <f>IFERROR(__xludf.DUMMYFUNCTION("""COMPUTED_VALUE"""),"가슴속에 차오르는 연~어♬")</f>
        <v>가슴속에 차오르는 연~어♬</v>
      </c>
      <c r="B13154" s="2" t="str">
        <f>IFERROR(__xludf.DUMMYFUNCTION("""COMPUTED_VALUE"""),"기름")</f>
        <v>기름</v>
      </c>
    </row>
    <row r="13155">
      <c r="A13155" s="2" t="str">
        <f>IFERROR(__xludf.DUMMYFUNCTION("""COMPUTED_VALUE"""),"가슴속에 차오르는 연~어♬")</f>
        <v>가슴속에 차오르는 연~어♬</v>
      </c>
      <c r="B13155" s="2" t="str">
        <f>IFERROR(__xludf.DUMMYFUNCTION("""COMPUTED_VALUE"""),"양파")</f>
        <v>양파</v>
      </c>
    </row>
    <row r="13156">
      <c r="A13156" s="2" t="str">
        <f>IFERROR(__xludf.DUMMYFUNCTION("""COMPUTED_VALUE"""),"가슴속에 차오르는 연~어♬")</f>
        <v>가슴속에 차오르는 연~어♬</v>
      </c>
      <c r="B13156" s="2" t="str">
        <f>IFERROR(__xludf.DUMMYFUNCTION("""COMPUTED_VALUE"""),"레몬")</f>
        <v>레몬</v>
      </c>
    </row>
    <row r="13157">
      <c r="A13157" s="2" t="str">
        <f>IFERROR(__xludf.DUMMYFUNCTION("""COMPUTED_VALUE"""),"가슴속에 차오르는 연~어♬")</f>
        <v>가슴속에 차오르는 연~어♬</v>
      </c>
      <c r="B13157" s="2" t="str">
        <f>IFERROR(__xludf.DUMMYFUNCTION("""COMPUTED_VALUE"""),"다진 마늘")</f>
        <v>다진 마늘</v>
      </c>
    </row>
    <row r="13158">
      <c r="A13158" s="2" t="str">
        <f>IFERROR(__xludf.DUMMYFUNCTION("""COMPUTED_VALUE"""),"베이징닭")</f>
        <v>베이징닭</v>
      </c>
      <c r="B13158" s="2" t="str">
        <f>IFERROR(__xludf.DUMMYFUNCTION("""COMPUTED_VALUE"""),"생닭")</f>
        <v>생닭</v>
      </c>
    </row>
    <row r="13159">
      <c r="A13159" s="2" t="str">
        <f>IFERROR(__xludf.DUMMYFUNCTION("""COMPUTED_VALUE"""),"베이징닭")</f>
        <v>베이징닭</v>
      </c>
      <c r="B13159" s="2" t="str">
        <f>IFERROR(__xludf.DUMMYFUNCTION("""COMPUTED_VALUE"""),"오코노미야키 소스")</f>
        <v>오코노미야키 소스</v>
      </c>
    </row>
    <row r="13160">
      <c r="A13160" s="2" t="str">
        <f>IFERROR(__xludf.DUMMYFUNCTION("""COMPUTED_VALUE"""),"베이징닭")</f>
        <v>베이징닭</v>
      </c>
      <c r="B13160" s="2" t="str">
        <f>IFERROR(__xludf.DUMMYFUNCTION("""COMPUTED_VALUE"""),"미소")</f>
        <v>미소</v>
      </c>
    </row>
    <row r="13161">
      <c r="A13161" s="2" t="str">
        <f>IFERROR(__xludf.DUMMYFUNCTION("""COMPUTED_VALUE"""),"베이징닭")</f>
        <v>베이징닭</v>
      </c>
      <c r="B13161" s="2" t="str">
        <f>IFERROR(__xludf.DUMMYFUNCTION("""COMPUTED_VALUE"""),"가쓰오부시")</f>
        <v>가쓰오부시</v>
      </c>
    </row>
    <row r="13162">
      <c r="A13162" s="2" t="str">
        <f>IFERROR(__xludf.DUMMYFUNCTION("""COMPUTED_VALUE"""),"베이징닭")</f>
        <v>베이징닭</v>
      </c>
      <c r="B13162" s="2" t="str">
        <f>IFERROR(__xludf.DUMMYFUNCTION("""COMPUTED_VALUE"""),"알배추")</f>
        <v>알배추</v>
      </c>
    </row>
    <row r="13163">
      <c r="A13163" s="2" t="str">
        <f>IFERROR(__xludf.DUMMYFUNCTION("""COMPUTED_VALUE"""),"베이징닭")</f>
        <v>베이징닭</v>
      </c>
      <c r="B13163" s="2" t="str">
        <f>IFERROR(__xludf.DUMMYFUNCTION("""COMPUTED_VALUE"""),"셀러리")</f>
        <v>셀러리</v>
      </c>
    </row>
    <row r="13164">
      <c r="A13164" s="2" t="str">
        <f>IFERROR(__xludf.DUMMYFUNCTION("""COMPUTED_VALUE"""),"베이징닭")</f>
        <v>베이징닭</v>
      </c>
      <c r="B13164" s="2" t="str">
        <f>IFERROR(__xludf.DUMMYFUNCTION("""COMPUTED_VALUE"""),"파프리카")</f>
        <v>파프리카</v>
      </c>
    </row>
    <row r="13165">
      <c r="A13165" s="2" t="str">
        <f>IFERROR(__xludf.DUMMYFUNCTION("""COMPUTED_VALUE"""),"베이징닭")</f>
        <v>베이징닭</v>
      </c>
      <c r="B13165" s="2" t="str">
        <f>IFERROR(__xludf.DUMMYFUNCTION("""COMPUTED_VALUE"""),"화이트와인")</f>
        <v>화이트와인</v>
      </c>
    </row>
    <row r="13166">
      <c r="A13166" s="2" t="str">
        <f>IFERROR(__xludf.DUMMYFUNCTION("""COMPUTED_VALUE"""),"베이징닭")</f>
        <v>베이징닭</v>
      </c>
      <c r="B13166" s="2" t="str">
        <f>IFERROR(__xludf.DUMMYFUNCTION("""COMPUTED_VALUE"""),"스키야키 소스")</f>
        <v>스키야키 소스</v>
      </c>
    </row>
    <row r="13167">
      <c r="A13167" s="2" t="str">
        <f>IFERROR(__xludf.DUMMYFUNCTION("""COMPUTED_VALUE"""),"베이징닭")</f>
        <v>베이징닭</v>
      </c>
      <c r="B13167" s="2" t="str">
        <f>IFERROR(__xludf.DUMMYFUNCTION("""COMPUTED_VALUE"""),"콤부차")</f>
        <v>콤부차</v>
      </c>
    </row>
    <row r="13168">
      <c r="A13168" s="2" t="str">
        <f>IFERROR(__xludf.DUMMYFUNCTION("""COMPUTED_VALUE"""),"베이징닭")</f>
        <v>베이징닭</v>
      </c>
      <c r="B13168" s="2" t="str">
        <f>IFERROR(__xludf.DUMMYFUNCTION("""COMPUTED_VALUE"""),"채소육수팩")</f>
        <v>채소육수팩</v>
      </c>
    </row>
    <row r="13169">
      <c r="A13169" s="2" t="str">
        <f>IFERROR(__xludf.DUMMYFUNCTION("""COMPUTED_VALUE"""),"베이징닭")</f>
        <v>베이징닭</v>
      </c>
      <c r="B13169" s="2" t="str">
        <f>IFERROR(__xludf.DUMMYFUNCTION("""COMPUTED_VALUE"""),"식빵")</f>
        <v>식빵</v>
      </c>
    </row>
    <row r="13170">
      <c r="A13170" s="2" t="str">
        <f>IFERROR(__xludf.DUMMYFUNCTION("""COMPUTED_VALUE"""),"베이징닭")</f>
        <v>베이징닭</v>
      </c>
      <c r="B13170" s="2" t="str">
        <f>IFERROR(__xludf.DUMMYFUNCTION("""COMPUTED_VALUE"""),"잣")</f>
        <v>잣</v>
      </c>
    </row>
    <row r="13171">
      <c r="A13171" s="2" t="str">
        <f>IFERROR(__xludf.DUMMYFUNCTION("""COMPUTED_VALUE"""),"베이징닭")</f>
        <v>베이징닭</v>
      </c>
      <c r="B13171" s="2" t="str">
        <f>IFERROR(__xludf.DUMMYFUNCTION("""COMPUTED_VALUE"""),"생강")</f>
        <v>생강</v>
      </c>
    </row>
    <row r="13172">
      <c r="A13172" s="2" t="str">
        <f>IFERROR(__xludf.DUMMYFUNCTION("""COMPUTED_VALUE"""),"베이징닭")</f>
        <v>베이징닭</v>
      </c>
      <c r="B13172" s="2" t="str">
        <f>IFERROR(__xludf.DUMMYFUNCTION("""COMPUTED_VALUE"""),"데미글라스 소스")</f>
        <v>데미글라스 소스</v>
      </c>
    </row>
    <row r="13173">
      <c r="A13173" s="2" t="str">
        <f>IFERROR(__xludf.DUMMYFUNCTION("""COMPUTED_VALUE"""),"베이징닭")</f>
        <v>베이징닭</v>
      </c>
      <c r="B13173" s="2" t="str">
        <f>IFERROR(__xludf.DUMMYFUNCTION("""COMPUTED_VALUE"""),"참깨드레싱")</f>
        <v>참깨드레싱</v>
      </c>
    </row>
    <row r="13174">
      <c r="A13174" s="2" t="str">
        <f>IFERROR(__xludf.DUMMYFUNCTION("""COMPUTED_VALUE"""),"베이징닭")</f>
        <v>베이징닭</v>
      </c>
      <c r="B13174" s="2" t="str">
        <f>IFERROR(__xludf.DUMMYFUNCTION("""COMPUTED_VALUE"""),"설탕")</f>
        <v>설탕</v>
      </c>
    </row>
    <row r="13175">
      <c r="A13175" s="2" t="str">
        <f>IFERROR(__xludf.DUMMYFUNCTION("""COMPUTED_VALUE"""),"베이징닭")</f>
        <v>베이징닭</v>
      </c>
      <c r="B13175" s="2" t="str">
        <f>IFERROR(__xludf.DUMMYFUNCTION("""COMPUTED_VALUE"""),"간장")</f>
        <v>간장</v>
      </c>
    </row>
    <row r="13176">
      <c r="A13176" s="2" t="str">
        <f>IFERROR(__xludf.DUMMYFUNCTION("""COMPUTED_VALUE"""),"베이징닭")</f>
        <v>베이징닭</v>
      </c>
      <c r="B13176" s="2" t="str">
        <f>IFERROR(__xludf.DUMMYFUNCTION("""COMPUTED_VALUE"""),"마늘")</f>
        <v>마늘</v>
      </c>
    </row>
    <row r="13177">
      <c r="A13177" s="2" t="str">
        <f>IFERROR(__xludf.DUMMYFUNCTION("""COMPUTED_VALUE"""),"베이징닭")</f>
        <v>베이징닭</v>
      </c>
      <c r="B13177" s="2" t="str">
        <f>IFERROR(__xludf.DUMMYFUNCTION("""COMPUTED_VALUE"""),"전분")</f>
        <v>전분</v>
      </c>
    </row>
    <row r="13178">
      <c r="A13178" s="2" t="str">
        <f>IFERROR(__xludf.DUMMYFUNCTION("""COMPUTED_VALUE"""),"베이징닭")</f>
        <v>베이징닭</v>
      </c>
      <c r="B13178" s="2" t="str">
        <f>IFERROR(__xludf.DUMMYFUNCTION("""COMPUTED_VALUE"""),"대파")</f>
        <v>대파</v>
      </c>
    </row>
    <row r="13179">
      <c r="A13179" s="2" t="str">
        <f>IFERROR(__xludf.DUMMYFUNCTION("""COMPUTED_VALUE"""),"베이징닭")</f>
        <v>베이징닭</v>
      </c>
      <c r="B13179" s="2" t="str">
        <f>IFERROR(__xludf.DUMMYFUNCTION("""COMPUTED_VALUE"""),"당근")</f>
        <v>당근</v>
      </c>
    </row>
    <row r="13180">
      <c r="A13180" s="2" t="str">
        <f>IFERROR(__xludf.DUMMYFUNCTION("""COMPUTED_VALUE"""),"베이징닭")</f>
        <v>베이징닭</v>
      </c>
      <c r="B13180" s="2" t="str">
        <f>IFERROR(__xludf.DUMMYFUNCTION("""COMPUTED_VALUE"""),"맛술")</f>
        <v>맛술</v>
      </c>
    </row>
    <row r="13181">
      <c r="A13181" s="2" t="str">
        <f>IFERROR(__xludf.DUMMYFUNCTION("""COMPUTED_VALUE"""),"베이징닭")</f>
        <v>베이징닭</v>
      </c>
      <c r="B13181" s="2" t="str">
        <f>IFERROR(__xludf.DUMMYFUNCTION("""COMPUTED_VALUE"""),"식초")</f>
        <v>식초</v>
      </c>
    </row>
    <row r="13182">
      <c r="A13182" s="2" t="str">
        <f>IFERROR(__xludf.DUMMYFUNCTION("""COMPUTED_VALUE"""),"베이징닭")</f>
        <v>베이징닭</v>
      </c>
      <c r="B13182" s="2" t="str">
        <f>IFERROR(__xludf.DUMMYFUNCTION("""COMPUTED_VALUE"""),"고춧가루")</f>
        <v>고춧가루</v>
      </c>
    </row>
    <row r="13183">
      <c r="A13183" s="2" t="str">
        <f>IFERROR(__xludf.DUMMYFUNCTION("""COMPUTED_VALUE"""),"나의 사랑 나의 김치")</f>
        <v>나의 사랑 나의 김치</v>
      </c>
      <c r="B13183" s="2" t="str">
        <f>IFERROR(__xludf.DUMMYFUNCTION("""COMPUTED_VALUE"""),"배추김치")</f>
        <v>배추김치</v>
      </c>
    </row>
    <row r="13184">
      <c r="A13184" s="2" t="str">
        <f>IFERROR(__xludf.DUMMYFUNCTION("""COMPUTED_VALUE"""),"나의 사랑 나의 김치")</f>
        <v>나의 사랑 나의 김치</v>
      </c>
      <c r="B13184" s="2" t="str">
        <f>IFERROR(__xludf.DUMMYFUNCTION("""COMPUTED_VALUE"""),"총각김치")</f>
        <v>총각김치</v>
      </c>
    </row>
    <row r="13185">
      <c r="A13185" s="2" t="str">
        <f>IFERROR(__xludf.DUMMYFUNCTION("""COMPUTED_VALUE"""),"나의 사랑 나의 김치")</f>
        <v>나의 사랑 나의 김치</v>
      </c>
      <c r="B13185" s="2" t="str">
        <f>IFERROR(__xludf.DUMMYFUNCTION("""COMPUTED_VALUE"""),"인스턴트 곰탕")</f>
        <v>인스턴트 곰탕</v>
      </c>
    </row>
    <row r="13186">
      <c r="A13186" s="2" t="str">
        <f>IFERROR(__xludf.DUMMYFUNCTION("""COMPUTED_VALUE"""),"나의 사랑 나의 김치")</f>
        <v>나의 사랑 나의 김치</v>
      </c>
      <c r="B13186" s="2" t="str">
        <f>IFERROR(__xludf.DUMMYFUNCTION("""COMPUTED_VALUE"""),"멸치육수")</f>
        <v>멸치육수</v>
      </c>
    </row>
    <row r="13187">
      <c r="A13187" s="2" t="str">
        <f>IFERROR(__xludf.DUMMYFUNCTION("""COMPUTED_VALUE"""),"나의 사랑 나의 김치")</f>
        <v>나의 사랑 나의 김치</v>
      </c>
      <c r="B13187" s="2" t="str">
        <f>IFERROR(__xludf.DUMMYFUNCTION("""COMPUTED_VALUE"""),"맛간장")</f>
        <v>맛간장</v>
      </c>
    </row>
    <row r="13188">
      <c r="A13188" s="2" t="str">
        <f>IFERROR(__xludf.DUMMYFUNCTION("""COMPUTED_VALUE"""),"나의 사랑 나의 김치")</f>
        <v>나의 사랑 나의 김치</v>
      </c>
      <c r="B13188" s="2" t="str">
        <f>IFERROR(__xludf.DUMMYFUNCTION("""COMPUTED_VALUE"""),"꽃게")</f>
        <v>꽃게</v>
      </c>
    </row>
    <row r="13189">
      <c r="A13189" s="2" t="str">
        <f>IFERROR(__xludf.DUMMYFUNCTION("""COMPUTED_VALUE"""),"나의 사랑 나의 김치")</f>
        <v>나의 사랑 나의 김치</v>
      </c>
      <c r="B13189" s="2" t="str">
        <f>IFERROR(__xludf.DUMMYFUNCTION("""COMPUTED_VALUE"""),"황태")</f>
        <v>황태</v>
      </c>
    </row>
    <row r="13190">
      <c r="A13190" s="2" t="str">
        <f>IFERROR(__xludf.DUMMYFUNCTION("""COMPUTED_VALUE"""),"나의 사랑 나의 김치")</f>
        <v>나의 사랑 나의 김치</v>
      </c>
      <c r="B13190" s="2" t="str">
        <f>IFERROR(__xludf.DUMMYFUNCTION("""COMPUTED_VALUE"""),"무말랭이")</f>
        <v>무말랭이</v>
      </c>
    </row>
    <row r="13191">
      <c r="A13191" s="2" t="str">
        <f>IFERROR(__xludf.DUMMYFUNCTION("""COMPUTED_VALUE"""),"나의 사랑 나의 김치")</f>
        <v>나의 사랑 나의 김치</v>
      </c>
      <c r="B13191" s="2" t="str">
        <f>IFERROR(__xludf.DUMMYFUNCTION("""COMPUTED_VALUE"""),"고춧가루")</f>
        <v>고춧가루</v>
      </c>
    </row>
    <row r="13192">
      <c r="A13192" s="2" t="str">
        <f>IFERROR(__xludf.DUMMYFUNCTION("""COMPUTED_VALUE"""),"나의 사랑 나의 김치")</f>
        <v>나의 사랑 나의 김치</v>
      </c>
      <c r="B13192" s="2" t="str">
        <f>IFERROR(__xludf.DUMMYFUNCTION("""COMPUTED_VALUE"""),"들기름")</f>
        <v>들기름</v>
      </c>
    </row>
    <row r="13193">
      <c r="A13193" s="2" t="str">
        <f>IFERROR(__xludf.DUMMYFUNCTION("""COMPUTED_VALUE"""),"나의 사랑 나의 김치")</f>
        <v>나의 사랑 나의 김치</v>
      </c>
      <c r="B13193" s="2" t="str">
        <f>IFERROR(__xludf.DUMMYFUNCTION("""COMPUTED_VALUE"""),"국물용 조미료")</f>
        <v>국물용 조미료</v>
      </c>
    </row>
    <row r="13194">
      <c r="A13194" s="2" t="str">
        <f>IFERROR(__xludf.DUMMYFUNCTION("""COMPUTED_VALUE"""),"나의 사랑 나의 김치")</f>
        <v>나의 사랑 나의 김치</v>
      </c>
      <c r="B13194" s="2" t="str">
        <f>IFERROR(__xludf.DUMMYFUNCTION("""COMPUTED_VALUE"""),"두부")</f>
        <v>두부</v>
      </c>
    </row>
    <row r="13195">
      <c r="A13195" s="2" t="str">
        <f>IFERROR(__xludf.DUMMYFUNCTION("""COMPUTED_VALUE"""),"나의 사랑 나의 김치")</f>
        <v>나의 사랑 나의 김치</v>
      </c>
      <c r="B13195" s="2" t="str">
        <f>IFERROR(__xludf.DUMMYFUNCTION("""COMPUTED_VALUE"""),"콩가루")</f>
        <v>콩가루</v>
      </c>
    </row>
    <row r="13196">
      <c r="A13196" s="2" t="str">
        <f>IFERROR(__xludf.DUMMYFUNCTION("""COMPUTED_VALUE"""),"나의 사랑 나의 김치")</f>
        <v>나의 사랑 나의 김치</v>
      </c>
      <c r="B13196" s="2" t="str">
        <f>IFERROR(__xludf.DUMMYFUNCTION("""COMPUTED_VALUE"""),"표고버섯")</f>
        <v>표고버섯</v>
      </c>
    </row>
    <row r="13197">
      <c r="A13197" s="2" t="str">
        <f>IFERROR(__xludf.DUMMYFUNCTION("""COMPUTED_VALUE"""),"나의 사랑 나의 김치")</f>
        <v>나의 사랑 나의 김치</v>
      </c>
      <c r="B13197" s="2" t="str">
        <f>IFERROR(__xludf.DUMMYFUNCTION("""COMPUTED_VALUE"""),"콩나물")</f>
        <v>콩나물</v>
      </c>
    </row>
    <row r="13198">
      <c r="A13198" s="2" t="str">
        <f>IFERROR(__xludf.DUMMYFUNCTION("""COMPUTED_VALUE"""),"나의 사랑 나의 김치")</f>
        <v>나의 사랑 나의 김치</v>
      </c>
      <c r="B13198" s="2" t="str">
        <f>IFERROR(__xludf.DUMMYFUNCTION("""COMPUTED_VALUE"""),"고춧가루")</f>
        <v>고춧가루</v>
      </c>
    </row>
    <row r="13199">
      <c r="A13199" s="2" t="str">
        <f>IFERROR(__xludf.DUMMYFUNCTION("""COMPUTED_VALUE"""),"나의 사랑 나의 김치")</f>
        <v>나의 사랑 나의 김치</v>
      </c>
      <c r="B13199" s="2" t="str">
        <f>IFERROR(__xludf.DUMMYFUNCTION("""COMPUTED_VALUE"""),"설탕")</f>
        <v>설탕</v>
      </c>
    </row>
    <row r="13200">
      <c r="A13200" s="2" t="str">
        <f>IFERROR(__xludf.DUMMYFUNCTION("""COMPUTED_VALUE"""),"나의 사랑 나의 김치")</f>
        <v>나의 사랑 나의 김치</v>
      </c>
      <c r="B13200" s="2" t="str">
        <f>IFERROR(__xludf.DUMMYFUNCTION("""COMPUTED_VALUE"""),"고추장")</f>
        <v>고추장</v>
      </c>
    </row>
    <row r="13201">
      <c r="A13201" s="2" t="str">
        <f>IFERROR(__xludf.DUMMYFUNCTION("""COMPUTED_VALUE"""),"나의 사랑 나의 김치")</f>
        <v>나의 사랑 나의 김치</v>
      </c>
      <c r="B13201" s="2" t="str">
        <f>IFERROR(__xludf.DUMMYFUNCTION("""COMPUTED_VALUE"""),"전분")</f>
        <v>전분</v>
      </c>
    </row>
    <row r="13202">
      <c r="A13202" s="2" t="str">
        <f>IFERROR(__xludf.DUMMYFUNCTION("""COMPUTED_VALUE"""),"나의 사랑 나의 김치")</f>
        <v>나의 사랑 나의 김치</v>
      </c>
      <c r="B13202" s="2" t="str">
        <f>IFERROR(__xludf.DUMMYFUNCTION("""COMPUTED_VALUE"""),"달걀")</f>
        <v>달걀</v>
      </c>
    </row>
    <row r="13203">
      <c r="A13203" s="2" t="str">
        <f>IFERROR(__xludf.DUMMYFUNCTION("""COMPUTED_VALUE"""),"나의 사랑 나의 김치")</f>
        <v>나의 사랑 나의 김치</v>
      </c>
      <c r="B13203" s="2" t="str">
        <f>IFERROR(__xludf.DUMMYFUNCTION("""COMPUTED_VALUE"""),"다진 마늘")</f>
        <v>다진 마늘</v>
      </c>
    </row>
    <row r="13204">
      <c r="A13204" s="2" t="str">
        <f>IFERROR(__xludf.DUMMYFUNCTION("""COMPUTED_VALUE"""),"나의 사랑 나의 김치")</f>
        <v>나의 사랑 나의 김치</v>
      </c>
      <c r="B13204" s="2" t="str">
        <f>IFERROR(__xludf.DUMMYFUNCTION("""COMPUTED_VALUE"""),"깨")</f>
        <v>깨</v>
      </c>
    </row>
    <row r="13205">
      <c r="A13205" s="2" t="str">
        <f>IFERROR(__xludf.DUMMYFUNCTION("""COMPUTED_VALUE"""),"랄라라♬ 김치라고")</f>
        <v>랄라라♬ 김치라고</v>
      </c>
      <c r="B13205" s="2" t="str">
        <f>IFERROR(__xludf.DUMMYFUNCTION("""COMPUTED_VALUE"""),"배추김치")</f>
        <v>배추김치</v>
      </c>
    </row>
    <row r="13206">
      <c r="A13206" s="2" t="str">
        <f>IFERROR(__xludf.DUMMYFUNCTION("""COMPUTED_VALUE"""),"랄라라♬ 김치라고")</f>
        <v>랄라라♬ 김치라고</v>
      </c>
      <c r="B13206" s="2" t="str">
        <f>IFERROR(__xludf.DUMMYFUNCTION("""COMPUTED_VALUE"""),"총각김치")</f>
        <v>총각김치</v>
      </c>
    </row>
    <row r="13207">
      <c r="A13207" s="2" t="str">
        <f>IFERROR(__xludf.DUMMYFUNCTION("""COMPUTED_VALUE"""),"랄라라♬ 김치라고")</f>
        <v>랄라라♬ 김치라고</v>
      </c>
      <c r="B13207" s="2" t="str">
        <f>IFERROR(__xludf.DUMMYFUNCTION("""COMPUTED_VALUE"""),"낙지")</f>
        <v>낙지</v>
      </c>
    </row>
    <row r="13208">
      <c r="A13208" s="2" t="str">
        <f>IFERROR(__xludf.DUMMYFUNCTION("""COMPUTED_VALUE"""),"랄라라♬ 김치라고")</f>
        <v>랄라라♬ 김치라고</v>
      </c>
      <c r="B13208" s="2" t="str">
        <f>IFERROR(__xludf.DUMMYFUNCTION("""COMPUTED_VALUE"""),"콩나물")</f>
        <v>콩나물</v>
      </c>
    </row>
    <row r="13209">
      <c r="A13209" s="2" t="str">
        <f>IFERROR(__xludf.DUMMYFUNCTION("""COMPUTED_VALUE"""),"랄라라♬ 김치라고")</f>
        <v>랄라라♬ 김치라고</v>
      </c>
      <c r="B13209" s="2" t="str">
        <f>IFERROR(__xludf.DUMMYFUNCTION("""COMPUTED_VALUE"""),"두부")</f>
        <v>두부</v>
      </c>
    </row>
    <row r="13210">
      <c r="A13210" s="2" t="str">
        <f>IFERROR(__xludf.DUMMYFUNCTION("""COMPUTED_VALUE"""),"랄라라♬ 김치라고")</f>
        <v>랄라라♬ 김치라고</v>
      </c>
      <c r="B13210" s="2" t="str">
        <f>IFERROR(__xludf.DUMMYFUNCTION("""COMPUTED_VALUE"""),"미소")</f>
        <v>미소</v>
      </c>
    </row>
    <row r="13211">
      <c r="A13211" s="2" t="str">
        <f>IFERROR(__xludf.DUMMYFUNCTION("""COMPUTED_VALUE"""),"랄라라♬ 김치라고")</f>
        <v>랄라라♬ 김치라고</v>
      </c>
      <c r="B13211" s="2" t="str">
        <f>IFERROR(__xludf.DUMMYFUNCTION("""COMPUTED_VALUE"""),"들기름")</f>
        <v>들기름</v>
      </c>
    </row>
    <row r="13212">
      <c r="A13212" s="2" t="str">
        <f>IFERROR(__xludf.DUMMYFUNCTION("""COMPUTED_VALUE"""),"랄라라♬ 김치라고")</f>
        <v>랄라라♬ 김치라고</v>
      </c>
      <c r="B13212" s="2" t="str">
        <f>IFERROR(__xludf.DUMMYFUNCTION("""COMPUTED_VALUE"""),"다마리 간장")</f>
        <v>다마리 간장</v>
      </c>
    </row>
    <row r="13213">
      <c r="A13213" s="2" t="str">
        <f>IFERROR(__xludf.DUMMYFUNCTION("""COMPUTED_VALUE"""),"랄라라♬ 김치라고")</f>
        <v>랄라라♬ 김치라고</v>
      </c>
      <c r="B13213" s="2" t="str">
        <f>IFERROR(__xludf.DUMMYFUNCTION("""COMPUTED_VALUE"""),"낫토")</f>
        <v>낫토</v>
      </c>
    </row>
    <row r="13214">
      <c r="A13214" s="2" t="str">
        <f>IFERROR(__xludf.DUMMYFUNCTION("""COMPUTED_VALUE"""),"랄라라♬ 김치라고")</f>
        <v>랄라라♬ 김치라고</v>
      </c>
      <c r="B13214" s="2" t="str">
        <f>IFERROR(__xludf.DUMMYFUNCTION("""COMPUTED_VALUE"""),"느타리버섯")</f>
        <v>느타리버섯</v>
      </c>
    </row>
    <row r="13215">
      <c r="A13215" s="2" t="str">
        <f>IFERROR(__xludf.DUMMYFUNCTION("""COMPUTED_VALUE"""),"랄라라♬ 김치라고")</f>
        <v>랄라라♬ 김치라고</v>
      </c>
      <c r="B13215" s="2" t="str">
        <f>IFERROR(__xludf.DUMMYFUNCTION("""COMPUTED_VALUE"""),"표고버섯")</f>
        <v>표고버섯</v>
      </c>
    </row>
    <row r="13216">
      <c r="A13216" s="2" t="str">
        <f>IFERROR(__xludf.DUMMYFUNCTION("""COMPUTED_VALUE"""),"랄라라♬ 김치라고")</f>
        <v>랄라라♬ 김치라고</v>
      </c>
      <c r="B13216" s="2" t="str">
        <f>IFERROR(__xludf.DUMMYFUNCTION("""COMPUTED_VALUE"""),"쪽파")</f>
        <v>쪽파</v>
      </c>
    </row>
    <row r="13217">
      <c r="A13217" s="2" t="str">
        <f>IFERROR(__xludf.DUMMYFUNCTION("""COMPUTED_VALUE"""),"랄라라♬ 김치라고")</f>
        <v>랄라라♬ 김치라고</v>
      </c>
      <c r="B13217" s="2" t="str">
        <f>IFERROR(__xludf.DUMMYFUNCTION("""COMPUTED_VALUE"""),"삼겹살")</f>
        <v>삼겹살</v>
      </c>
    </row>
    <row r="13218">
      <c r="A13218" s="2" t="str">
        <f>IFERROR(__xludf.DUMMYFUNCTION("""COMPUTED_VALUE"""),"랄라라♬ 김치라고")</f>
        <v>랄라라♬ 김치라고</v>
      </c>
      <c r="B13218" s="2" t="str">
        <f>IFERROR(__xludf.DUMMYFUNCTION("""COMPUTED_VALUE"""),"멸치육수")</f>
        <v>멸치육수</v>
      </c>
    </row>
    <row r="13219">
      <c r="A13219" s="2" t="str">
        <f>IFERROR(__xludf.DUMMYFUNCTION("""COMPUTED_VALUE"""),"랄라라♬ 김치라고")</f>
        <v>랄라라♬ 김치라고</v>
      </c>
      <c r="B13219" s="2" t="str">
        <f>IFERROR(__xludf.DUMMYFUNCTION("""COMPUTED_VALUE"""),"대파")</f>
        <v>대파</v>
      </c>
    </row>
    <row r="13220">
      <c r="A13220" s="2" t="str">
        <f>IFERROR(__xludf.DUMMYFUNCTION("""COMPUTED_VALUE"""),"랄라라♬ 김치라고")</f>
        <v>랄라라♬ 김치라고</v>
      </c>
      <c r="B13220" s="2" t="str">
        <f>IFERROR(__xludf.DUMMYFUNCTION("""COMPUTED_VALUE"""),"청양고추")</f>
        <v>청양고추</v>
      </c>
    </row>
    <row r="13221">
      <c r="A13221" s="2" t="str">
        <f>IFERROR(__xludf.DUMMYFUNCTION("""COMPUTED_VALUE"""),"랄라라♬ 김치라고")</f>
        <v>랄라라♬ 김치라고</v>
      </c>
      <c r="B13221" s="2" t="str">
        <f>IFERROR(__xludf.DUMMYFUNCTION("""COMPUTED_VALUE"""),"참기름")</f>
        <v>참기름</v>
      </c>
    </row>
    <row r="13222">
      <c r="A13222" s="2" t="str">
        <f>IFERROR(__xludf.DUMMYFUNCTION("""COMPUTED_VALUE"""),"랄라라♬ 김치라고")</f>
        <v>랄라라♬ 김치라고</v>
      </c>
      <c r="B13222" s="2" t="str">
        <f>IFERROR(__xludf.DUMMYFUNCTION("""COMPUTED_VALUE"""),"깨")</f>
        <v>깨</v>
      </c>
    </row>
    <row r="13223">
      <c r="A13223" s="2" t="str">
        <f>IFERROR(__xludf.DUMMYFUNCTION("""COMPUTED_VALUE"""),"랄라라♬ 김치라고")</f>
        <v>랄라라♬ 김치라고</v>
      </c>
      <c r="B13223" s="2" t="str">
        <f>IFERROR(__xludf.DUMMYFUNCTION("""COMPUTED_VALUE"""),"달걀")</f>
        <v>달걀</v>
      </c>
    </row>
    <row r="13224">
      <c r="A13224" s="2" t="str">
        <f>IFERROR(__xludf.DUMMYFUNCTION("""COMPUTED_VALUE"""),"랄라라♬ 김치라고")</f>
        <v>랄라라♬ 김치라고</v>
      </c>
      <c r="B13224" s="2" t="str">
        <f>IFERROR(__xludf.DUMMYFUNCTION("""COMPUTED_VALUE"""),"고춧가루")</f>
        <v>고춧가루</v>
      </c>
    </row>
    <row r="13225">
      <c r="A13225" s="2" t="str">
        <f>IFERROR(__xludf.DUMMYFUNCTION("""COMPUTED_VALUE"""),"랄라라♬ 김치라고")</f>
        <v>랄라라♬ 김치라고</v>
      </c>
      <c r="B13225" s="2" t="str">
        <f>IFERROR(__xludf.DUMMYFUNCTION("""COMPUTED_VALUE"""),"설탕")</f>
        <v>설탕</v>
      </c>
    </row>
    <row r="13226">
      <c r="A13226" s="2" t="str">
        <f>IFERROR(__xludf.DUMMYFUNCTION("""COMPUTED_VALUE"""),"투면스")</f>
        <v>투면스</v>
      </c>
      <c r="B13226" s="2" t="str">
        <f>IFERROR(__xludf.DUMMYFUNCTION("""COMPUTED_VALUE"""),"삼겹살")</f>
        <v>삼겹살</v>
      </c>
    </row>
    <row r="13227">
      <c r="A13227" s="2" t="str">
        <f>IFERROR(__xludf.DUMMYFUNCTION("""COMPUTED_VALUE"""),"투면스")</f>
        <v>투면스</v>
      </c>
      <c r="B13227" s="2" t="str">
        <f>IFERROR(__xludf.DUMMYFUNCTION("""COMPUTED_VALUE"""),"깻잎")</f>
        <v>깻잎</v>
      </c>
    </row>
    <row r="13228">
      <c r="A13228" s="2" t="str">
        <f>IFERROR(__xludf.DUMMYFUNCTION("""COMPUTED_VALUE"""),"투면스")</f>
        <v>투면스</v>
      </c>
      <c r="B13228" s="2" t="str">
        <f>IFERROR(__xludf.DUMMYFUNCTION("""COMPUTED_VALUE"""),"콩나물")</f>
        <v>콩나물</v>
      </c>
    </row>
    <row r="13229">
      <c r="A13229" s="2" t="str">
        <f>IFERROR(__xludf.DUMMYFUNCTION("""COMPUTED_VALUE"""),"투면스")</f>
        <v>투면스</v>
      </c>
      <c r="B13229" s="2" t="str">
        <f>IFERROR(__xludf.DUMMYFUNCTION("""COMPUTED_VALUE"""),"들기름")</f>
        <v>들기름</v>
      </c>
    </row>
    <row r="13230">
      <c r="A13230" s="2" t="str">
        <f>IFERROR(__xludf.DUMMYFUNCTION("""COMPUTED_VALUE"""),"투면스")</f>
        <v>투면스</v>
      </c>
      <c r="B13230" s="2" t="str">
        <f>IFERROR(__xludf.DUMMYFUNCTION("""COMPUTED_VALUE"""),"참치액")</f>
        <v>참치액</v>
      </c>
    </row>
    <row r="13231">
      <c r="A13231" s="2" t="str">
        <f>IFERROR(__xludf.DUMMYFUNCTION("""COMPUTED_VALUE"""),"투면스")</f>
        <v>투면스</v>
      </c>
      <c r="B13231" s="2" t="str">
        <f>IFERROR(__xludf.DUMMYFUNCTION("""COMPUTED_VALUE"""),"굴소스")</f>
        <v>굴소스</v>
      </c>
    </row>
    <row r="13232">
      <c r="A13232" s="2" t="str">
        <f>IFERROR(__xludf.DUMMYFUNCTION("""COMPUTED_VALUE"""),"투면스")</f>
        <v>투면스</v>
      </c>
      <c r="B13232" s="2" t="str">
        <f>IFERROR(__xludf.DUMMYFUNCTION("""COMPUTED_VALUE"""),"표고버섯")</f>
        <v>표고버섯</v>
      </c>
    </row>
    <row r="13233">
      <c r="A13233" s="2" t="str">
        <f>IFERROR(__xludf.DUMMYFUNCTION("""COMPUTED_VALUE"""),"투면스")</f>
        <v>투면스</v>
      </c>
      <c r="B13233" s="2" t="str">
        <f>IFERROR(__xludf.DUMMYFUNCTION("""COMPUTED_VALUE"""),"느타리버섯")</f>
        <v>느타리버섯</v>
      </c>
    </row>
    <row r="13234">
      <c r="A13234" s="2" t="str">
        <f>IFERROR(__xludf.DUMMYFUNCTION("""COMPUTED_VALUE"""),"투면스")</f>
        <v>투면스</v>
      </c>
      <c r="B13234" s="2" t="str">
        <f>IFERROR(__xludf.DUMMYFUNCTION("""COMPUTED_VALUE"""),"국물용 조미료")</f>
        <v>국물용 조미료</v>
      </c>
    </row>
    <row r="13235">
      <c r="A13235" s="2" t="str">
        <f>IFERROR(__xludf.DUMMYFUNCTION("""COMPUTED_VALUE"""),"투면스")</f>
        <v>투면스</v>
      </c>
      <c r="B13235" s="2" t="str">
        <f>IFERROR(__xludf.DUMMYFUNCTION("""COMPUTED_VALUE"""),"새우")</f>
        <v>새우</v>
      </c>
    </row>
    <row r="13236">
      <c r="A13236" s="2" t="str">
        <f>IFERROR(__xludf.DUMMYFUNCTION("""COMPUTED_VALUE"""),"투면스")</f>
        <v>투면스</v>
      </c>
      <c r="B13236" s="2" t="str">
        <f>IFERROR(__xludf.DUMMYFUNCTION("""COMPUTED_VALUE"""),"꽃게")</f>
        <v>꽃게</v>
      </c>
    </row>
    <row r="13237">
      <c r="A13237" s="2" t="str">
        <f>IFERROR(__xludf.DUMMYFUNCTION("""COMPUTED_VALUE"""),"투면스")</f>
        <v>투면스</v>
      </c>
      <c r="B13237" s="2" t="str">
        <f>IFERROR(__xludf.DUMMYFUNCTION("""COMPUTED_VALUE"""),"밀가루")</f>
        <v>밀가루</v>
      </c>
    </row>
    <row r="13238">
      <c r="A13238" s="2" t="str">
        <f>IFERROR(__xludf.DUMMYFUNCTION("""COMPUTED_VALUE"""),"투면스")</f>
        <v>투면스</v>
      </c>
      <c r="B13238" s="2" t="str">
        <f>IFERROR(__xludf.DUMMYFUNCTION("""COMPUTED_VALUE"""),"전분")</f>
        <v>전분</v>
      </c>
    </row>
    <row r="13239">
      <c r="A13239" s="2" t="str">
        <f>IFERROR(__xludf.DUMMYFUNCTION("""COMPUTED_VALUE"""),"투면스")</f>
        <v>투면스</v>
      </c>
      <c r="B13239" s="2" t="str">
        <f>IFERROR(__xludf.DUMMYFUNCTION("""COMPUTED_VALUE"""),"식용유")</f>
        <v>식용유</v>
      </c>
    </row>
    <row r="13240">
      <c r="A13240" s="2" t="str">
        <f>IFERROR(__xludf.DUMMYFUNCTION("""COMPUTED_VALUE"""),"투면스")</f>
        <v>투면스</v>
      </c>
      <c r="B13240" s="2" t="str">
        <f>IFERROR(__xludf.DUMMYFUNCTION("""COMPUTED_VALUE"""),"대파")</f>
        <v>대파</v>
      </c>
    </row>
    <row r="13241">
      <c r="A13241" s="2" t="str">
        <f>IFERROR(__xludf.DUMMYFUNCTION("""COMPUTED_VALUE"""),"투면스")</f>
        <v>투면스</v>
      </c>
      <c r="B13241" s="2" t="str">
        <f>IFERROR(__xludf.DUMMYFUNCTION("""COMPUTED_VALUE"""),"다진 마늘")</f>
        <v>다진 마늘</v>
      </c>
    </row>
    <row r="13242">
      <c r="A13242" s="2" t="str">
        <f>IFERROR(__xludf.DUMMYFUNCTION("""COMPUTED_VALUE"""),"투면스")</f>
        <v>투면스</v>
      </c>
      <c r="B13242" s="2" t="str">
        <f>IFERROR(__xludf.DUMMYFUNCTION("""COMPUTED_VALUE"""),"고춧가루")</f>
        <v>고춧가루</v>
      </c>
    </row>
    <row r="13243">
      <c r="A13243" s="2" t="str">
        <f>IFERROR(__xludf.DUMMYFUNCTION("""COMPUTED_VALUE"""),"레이면킹")</f>
        <v>레이면킹</v>
      </c>
      <c r="B13243" s="2" t="str">
        <f>IFERROR(__xludf.DUMMYFUNCTION("""COMPUTED_VALUE"""),"매생이")</f>
        <v>매생이</v>
      </c>
    </row>
    <row r="13244">
      <c r="A13244" s="2" t="str">
        <f>IFERROR(__xludf.DUMMYFUNCTION("""COMPUTED_VALUE"""),"레이면킹")</f>
        <v>레이면킹</v>
      </c>
      <c r="B13244" s="2" t="str">
        <f>IFERROR(__xludf.DUMMYFUNCTION("""COMPUTED_VALUE"""),"표고버섯")</f>
        <v>표고버섯</v>
      </c>
    </row>
    <row r="13245">
      <c r="A13245" s="2" t="str">
        <f>IFERROR(__xludf.DUMMYFUNCTION("""COMPUTED_VALUE"""),"레이면킹")</f>
        <v>레이면킹</v>
      </c>
      <c r="B13245" s="2" t="str">
        <f>IFERROR(__xludf.DUMMYFUNCTION("""COMPUTED_VALUE"""),"느타리버섯")</f>
        <v>느타리버섯</v>
      </c>
    </row>
    <row r="13246">
      <c r="A13246" s="2" t="str">
        <f>IFERROR(__xludf.DUMMYFUNCTION("""COMPUTED_VALUE"""),"레이면킹")</f>
        <v>레이면킹</v>
      </c>
      <c r="B13246" s="2" t="str">
        <f>IFERROR(__xludf.DUMMYFUNCTION("""COMPUTED_VALUE"""),"멸치액젓")</f>
        <v>멸치액젓</v>
      </c>
    </row>
    <row r="13247">
      <c r="A13247" s="2" t="str">
        <f>IFERROR(__xludf.DUMMYFUNCTION("""COMPUTED_VALUE"""),"레이면킹")</f>
        <v>레이면킹</v>
      </c>
      <c r="B13247" s="2" t="str">
        <f>IFERROR(__xludf.DUMMYFUNCTION("""COMPUTED_VALUE"""),"들기름")</f>
        <v>들기름</v>
      </c>
    </row>
    <row r="13248">
      <c r="A13248" s="2" t="str">
        <f>IFERROR(__xludf.DUMMYFUNCTION("""COMPUTED_VALUE"""),"레이면킹")</f>
        <v>레이면킹</v>
      </c>
      <c r="B13248" s="2" t="str">
        <f>IFERROR(__xludf.DUMMYFUNCTION("""COMPUTED_VALUE"""),"다마리 간장")</f>
        <v>다마리 간장</v>
      </c>
    </row>
    <row r="13249">
      <c r="A13249" s="2" t="str">
        <f>IFERROR(__xludf.DUMMYFUNCTION("""COMPUTED_VALUE"""),"레이면킹")</f>
        <v>레이면킹</v>
      </c>
      <c r="B13249" s="2" t="str">
        <f>IFERROR(__xludf.DUMMYFUNCTION("""COMPUTED_VALUE"""),"맛간장")</f>
        <v>맛간장</v>
      </c>
    </row>
    <row r="13250">
      <c r="A13250" s="2" t="str">
        <f>IFERROR(__xludf.DUMMYFUNCTION("""COMPUTED_VALUE"""),"레이면킹")</f>
        <v>레이면킹</v>
      </c>
      <c r="B13250" s="2" t="str">
        <f>IFERROR(__xludf.DUMMYFUNCTION("""COMPUTED_VALUE"""),"인스턴트 멸치다시마 육수")</f>
        <v>인스턴트 멸치다시마 육수</v>
      </c>
    </row>
    <row r="13251">
      <c r="A13251" s="2" t="str">
        <f>IFERROR(__xludf.DUMMYFUNCTION("""COMPUTED_VALUE"""),"레이면킹")</f>
        <v>레이면킹</v>
      </c>
      <c r="B13251" s="2" t="str">
        <f>IFERROR(__xludf.DUMMYFUNCTION("""COMPUTED_VALUE"""),"국물용 조미료")</f>
        <v>국물용 조미료</v>
      </c>
    </row>
    <row r="13252">
      <c r="A13252" s="2" t="str">
        <f>IFERROR(__xludf.DUMMYFUNCTION("""COMPUTED_VALUE"""),"레이면킹")</f>
        <v>레이면킹</v>
      </c>
      <c r="B13252" s="2" t="str">
        <f>IFERROR(__xludf.DUMMYFUNCTION("""COMPUTED_VALUE"""),"황태")</f>
        <v>황태</v>
      </c>
    </row>
    <row r="13253">
      <c r="A13253" s="2" t="str">
        <f>IFERROR(__xludf.DUMMYFUNCTION("""COMPUTED_VALUE"""),"레이면킹")</f>
        <v>레이면킹</v>
      </c>
      <c r="B13253" s="2" t="str">
        <f>IFERROR(__xludf.DUMMYFUNCTION("""COMPUTED_VALUE"""),"멸치육수")</f>
        <v>멸치육수</v>
      </c>
    </row>
    <row r="13254">
      <c r="A13254" s="2" t="str">
        <f>IFERROR(__xludf.DUMMYFUNCTION("""COMPUTED_VALUE"""),"레이면킹")</f>
        <v>레이면킹</v>
      </c>
      <c r="B13254" s="2" t="str">
        <f>IFERROR(__xludf.DUMMYFUNCTION("""COMPUTED_VALUE"""),"쪽파")</f>
        <v>쪽파</v>
      </c>
    </row>
    <row r="13255">
      <c r="A13255" s="2" t="str">
        <f>IFERROR(__xludf.DUMMYFUNCTION("""COMPUTED_VALUE"""),"레이면킹")</f>
        <v>레이면킹</v>
      </c>
      <c r="B13255" s="2" t="str">
        <f>IFERROR(__xludf.DUMMYFUNCTION("""COMPUTED_VALUE"""),"사과")</f>
        <v>사과</v>
      </c>
    </row>
    <row r="13256">
      <c r="A13256" s="2" t="str">
        <f>IFERROR(__xludf.DUMMYFUNCTION("""COMPUTED_VALUE"""),"레이면킹")</f>
        <v>레이면킹</v>
      </c>
      <c r="B13256" s="2" t="str">
        <f>IFERROR(__xludf.DUMMYFUNCTION("""COMPUTED_VALUE"""),"무")</f>
        <v>무</v>
      </c>
    </row>
    <row r="13257">
      <c r="A13257" s="2" t="str">
        <f>IFERROR(__xludf.DUMMYFUNCTION("""COMPUTED_VALUE"""),"레이면킹")</f>
        <v>레이면킹</v>
      </c>
      <c r="B13257" s="2" t="str">
        <f>IFERROR(__xludf.DUMMYFUNCTION("""COMPUTED_VALUE"""),"밀가루")</f>
        <v>밀가루</v>
      </c>
    </row>
    <row r="13258">
      <c r="A13258" s="2" t="str">
        <f>IFERROR(__xludf.DUMMYFUNCTION("""COMPUTED_VALUE"""),"레이면킹")</f>
        <v>레이면킹</v>
      </c>
      <c r="B13258" s="2" t="str">
        <f>IFERROR(__xludf.DUMMYFUNCTION("""COMPUTED_VALUE"""),"맛술")</f>
        <v>맛술</v>
      </c>
    </row>
    <row r="13259">
      <c r="A13259" s="2" t="str">
        <f>IFERROR(__xludf.DUMMYFUNCTION("""COMPUTED_VALUE"""),"레이면킹")</f>
        <v>레이면킹</v>
      </c>
      <c r="B13259" s="2" t="str">
        <f>IFERROR(__xludf.DUMMYFUNCTION("""COMPUTED_VALUE"""),"대파")</f>
        <v>대파</v>
      </c>
    </row>
    <row r="13260">
      <c r="A13260" s="2" t="str">
        <f>IFERROR(__xludf.DUMMYFUNCTION("""COMPUTED_VALUE"""),"레이면킹")</f>
        <v>레이면킹</v>
      </c>
      <c r="B13260" s="2" t="str">
        <f>IFERROR(__xludf.DUMMYFUNCTION("""COMPUTED_VALUE"""),"청양고추")</f>
        <v>청양고추</v>
      </c>
    </row>
    <row r="13261">
      <c r="A13261" s="2" t="str">
        <f>IFERROR(__xludf.DUMMYFUNCTION("""COMPUTED_VALUE"""),"레이면킹")</f>
        <v>레이면킹</v>
      </c>
      <c r="B13261" s="2" t="str">
        <f>IFERROR(__xludf.DUMMYFUNCTION("""COMPUTED_VALUE"""),"소금")</f>
        <v>소금</v>
      </c>
    </row>
    <row r="13262">
      <c r="A13262" s="2" t="str">
        <f>IFERROR(__xludf.DUMMYFUNCTION("""COMPUTED_VALUE"""),"레이면킹")</f>
        <v>레이면킹</v>
      </c>
      <c r="B13262" s="2" t="str">
        <f>IFERROR(__xludf.DUMMYFUNCTION("""COMPUTED_VALUE"""),"깨")</f>
        <v>깨</v>
      </c>
    </row>
    <row r="13263">
      <c r="A13263" s="2" t="str">
        <f>IFERROR(__xludf.DUMMYFUNCTION("""COMPUTED_VALUE"""),"레이면킹")</f>
        <v>레이면킹</v>
      </c>
      <c r="B13263" s="2" t="str">
        <f>IFERROR(__xludf.DUMMYFUNCTION("""COMPUTED_VALUE"""),"식초")</f>
        <v>식초</v>
      </c>
    </row>
    <row r="13264">
      <c r="A13264" s="2" t="str">
        <f>IFERROR(__xludf.DUMMYFUNCTION("""COMPUTED_VALUE"""),"레이면킹")</f>
        <v>레이면킹</v>
      </c>
      <c r="B13264" s="2" t="str">
        <f>IFERROR(__xludf.DUMMYFUNCTION("""COMPUTED_VALUE"""),"양파")</f>
        <v>양파</v>
      </c>
    </row>
    <row r="13265">
      <c r="A13265" s="2" t="str">
        <f>IFERROR(__xludf.DUMMYFUNCTION("""COMPUTED_VALUE"""),"레이면킹")</f>
        <v>레이면킹</v>
      </c>
      <c r="B13265" s="2" t="str">
        <f>IFERROR(__xludf.DUMMYFUNCTION("""COMPUTED_VALUE"""),"즉석밥")</f>
        <v>즉석밥</v>
      </c>
    </row>
    <row r="13266">
      <c r="A13266" s="2" t="str">
        <f>IFERROR(__xludf.DUMMYFUNCTION("""COMPUTED_VALUE"""),"레이면킹")</f>
        <v>레이면킹</v>
      </c>
      <c r="B13266" s="2" t="str">
        <f>IFERROR(__xludf.DUMMYFUNCTION("""COMPUTED_VALUE"""),"다진 생강")</f>
        <v>다진 생강</v>
      </c>
    </row>
    <row r="13267">
      <c r="A13267" s="2" t="str">
        <f>IFERROR(__xludf.DUMMYFUNCTION("""COMPUTED_VALUE"""),"레이면킹")</f>
        <v>레이면킹</v>
      </c>
      <c r="B13267" s="2" t="str">
        <f>IFERROR(__xludf.DUMMYFUNCTION("""COMPUTED_VALUE"""),"다진 마늘")</f>
        <v>다진 마늘</v>
      </c>
    </row>
    <row r="13268">
      <c r="A13268" s="2" t="str">
        <f>IFERROR(__xludf.DUMMYFUNCTION("""COMPUTED_VALUE"""),"해선만복")</f>
        <v>해선만복</v>
      </c>
      <c r="B13268" s="2" t="str">
        <f>IFERROR(__xludf.DUMMYFUNCTION("""COMPUTED_VALUE"""),"새우")</f>
        <v>새우</v>
      </c>
    </row>
    <row r="13269">
      <c r="A13269" s="2" t="str">
        <f>IFERROR(__xludf.DUMMYFUNCTION("""COMPUTED_VALUE"""),"해선만복")</f>
        <v>해선만복</v>
      </c>
      <c r="B13269" s="2" t="str">
        <f>IFERROR(__xludf.DUMMYFUNCTION("""COMPUTED_VALUE"""),"관자")</f>
        <v>관자</v>
      </c>
    </row>
    <row r="13270">
      <c r="A13270" s="2" t="str">
        <f>IFERROR(__xludf.DUMMYFUNCTION("""COMPUTED_VALUE"""),"해선만복")</f>
        <v>해선만복</v>
      </c>
      <c r="B13270" s="2" t="str">
        <f>IFERROR(__xludf.DUMMYFUNCTION("""COMPUTED_VALUE"""),"삶은 문어")</f>
        <v>삶은 문어</v>
      </c>
    </row>
    <row r="13271">
      <c r="A13271" s="2" t="str">
        <f>IFERROR(__xludf.DUMMYFUNCTION("""COMPUTED_VALUE"""),"해선만복")</f>
        <v>해선만복</v>
      </c>
      <c r="B13271" s="2" t="str">
        <f>IFERROR(__xludf.DUMMYFUNCTION("""COMPUTED_VALUE"""),"주꾸미")</f>
        <v>주꾸미</v>
      </c>
    </row>
    <row r="13272">
      <c r="A13272" s="2" t="str">
        <f>IFERROR(__xludf.DUMMYFUNCTION("""COMPUTED_VALUE"""),"해선만복")</f>
        <v>해선만복</v>
      </c>
      <c r="B13272" s="2" t="str">
        <f>IFERROR(__xludf.DUMMYFUNCTION("""COMPUTED_VALUE"""),"오징어")</f>
        <v>오징어</v>
      </c>
    </row>
    <row r="13273">
      <c r="A13273" s="2" t="str">
        <f>IFERROR(__xludf.DUMMYFUNCTION("""COMPUTED_VALUE"""),"해선만복")</f>
        <v>해선만복</v>
      </c>
      <c r="B13273" s="2" t="str">
        <f>IFERROR(__xludf.DUMMYFUNCTION("""COMPUTED_VALUE"""),"전복")</f>
        <v>전복</v>
      </c>
    </row>
    <row r="13274">
      <c r="A13274" s="2" t="str">
        <f>IFERROR(__xludf.DUMMYFUNCTION("""COMPUTED_VALUE"""),"해선만복")</f>
        <v>해선만복</v>
      </c>
      <c r="B13274" s="2" t="str">
        <f>IFERROR(__xludf.DUMMYFUNCTION("""COMPUTED_VALUE"""),"게살")</f>
        <v>게살</v>
      </c>
    </row>
    <row r="13275">
      <c r="A13275" s="2" t="str">
        <f>IFERROR(__xludf.DUMMYFUNCTION("""COMPUTED_VALUE"""),"해선만복")</f>
        <v>해선만복</v>
      </c>
      <c r="B13275" s="2" t="str">
        <f>IFERROR(__xludf.DUMMYFUNCTION("""COMPUTED_VALUE"""),"오디")</f>
        <v>오디</v>
      </c>
    </row>
    <row r="13276">
      <c r="A13276" s="2" t="str">
        <f>IFERROR(__xludf.DUMMYFUNCTION("""COMPUTED_VALUE"""),"해선만복")</f>
        <v>해선만복</v>
      </c>
      <c r="B13276" s="2" t="str">
        <f>IFERROR(__xludf.DUMMYFUNCTION("""COMPUTED_VALUE"""),"마파소스")</f>
        <v>마파소스</v>
      </c>
    </row>
    <row r="13277">
      <c r="A13277" s="2" t="str">
        <f>IFERROR(__xludf.DUMMYFUNCTION("""COMPUTED_VALUE"""),"해선만복")</f>
        <v>해선만복</v>
      </c>
      <c r="B13277" s="2" t="str">
        <f>IFERROR(__xludf.DUMMYFUNCTION("""COMPUTED_VALUE"""),"라임청")</f>
        <v>라임청</v>
      </c>
    </row>
    <row r="13278">
      <c r="A13278" s="2" t="str">
        <f>IFERROR(__xludf.DUMMYFUNCTION("""COMPUTED_VALUE"""),"해선만복")</f>
        <v>해선만복</v>
      </c>
      <c r="B13278" s="2" t="str">
        <f>IFERROR(__xludf.DUMMYFUNCTION("""COMPUTED_VALUE"""),"파프리카")</f>
        <v>파프리카</v>
      </c>
    </row>
    <row r="13279">
      <c r="A13279" s="2" t="str">
        <f>IFERROR(__xludf.DUMMYFUNCTION("""COMPUTED_VALUE"""),"해선만복")</f>
        <v>해선만복</v>
      </c>
      <c r="B13279" s="2" t="str">
        <f>IFERROR(__xludf.DUMMYFUNCTION("""COMPUTED_VALUE"""),"송이버섯")</f>
        <v>송이버섯</v>
      </c>
    </row>
    <row r="13280">
      <c r="A13280" s="2" t="str">
        <f>IFERROR(__xludf.DUMMYFUNCTION("""COMPUTED_VALUE"""),"해선만복")</f>
        <v>해선만복</v>
      </c>
      <c r="B13280" s="2" t="str">
        <f>IFERROR(__xludf.DUMMYFUNCTION("""COMPUTED_VALUE"""),"그린빈")</f>
        <v>그린빈</v>
      </c>
    </row>
    <row r="13281">
      <c r="A13281" s="2" t="str">
        <f>IFERROR(__xludf.DUMMYFUNCTION("""COMPUTED_VALUE"""),"해선만복")</f>
        <v>해선만복</v>
      </c>
      <c r="B13281" s="2" t="str">
        <f>IFERROR(__xludf.DUMMYFUNCTION("""COMPUTED_VALUE"""),"브로콜리")</f>
        <v>브로콜리</v>
      </c>
    </row>
    <row r="13282">
      <c r="A13282" s="2" t="str">
        <f>IFERROR(__xludf.DUMMYFUNCTION("""COMPUTED_VALUE"""),"해선만복")</f>
        <v>해선만복</v>
      </c>
      <c r="B13282" s="2" t="str">
        <f>IFERROR(__xludf.DUMMYFUNCTION("""COMPUTED_VALUE"""),"잣")</f>
        <v>잣</v>
      </c>
    </row>
    <row r="13283">
      <c r="A13283" s="2" t="str">
        <f>IFERROR(__xludf.DUMMYFUNCTION("""COMPUTED_VALUE"""),"해선만복")</f>
        <v>해선만복</v>
      </c>
      <c r="B13283" s="2" t="str">
        <f>IFERROR(__xludf.DUMMYFUNCTION("""COMPUTED_VALUE"""),"대파")</f>
        <v>대파</v>
      </c>
    </row>
    <row r="13284">
      <c r="A13284" s="2" t="str">
        <f>IFERROR(__xludf.DUMMYFUNCTION("""COMPUTED_VALUE"""),"해선만복")</f>
        <v>해선만복</v>
      </c>
      <c r="B13284" s="2" t="str">
        <f>IFERROR(__xludf.DUMMYFUNCTION("""COMPUTED_VALUE"""),"양파")</f>
        <v>양파</v>
      </c>
    </row>
    <row r="13285">
      <c r="A13285" s="2" t="str">
        <f>IFERROR(__xludf.DUMMYFUNCTION("""COMPUTED_VALUE"""),"해선만복")</f>
        <v>해선만복</v>
      </c>
      <c r="B13285" s="2" t="str">
        <f>IFERROR(__xludf.DUMMYFUNCTION("""COMPUTED_VALUE"""),"전분")</f>
        <v>전분</v>
      </c>
    </row>
    <row r="13286">
      <c r="A13286" s="2" t="str">
        <f>IFERROR(__xludf.DUMMYFUNCTION("""COMPUTED_VALUE"""),"해선만복")</f>
        <v>해선만복</v>
      </c>
      <c r="B13286" s="2" t="str">
        <f>IFERROR(__xludf.DUMMYFUNCTION("""COMPUTED_VALUE"""),"소금")</f>
        <v>소금</v>
      </c>
    </row>
    <row r="13287">
      <c r="A13287" s="2" t="str">
        <f>IFERROR(__xludf.DUMMYFUNCTION("""COMPUTED_VALUE"""),"해선만복")</f>
        <v>해선만복</v>
      </c>
      <c r="B13287" s="2" t="str">
        <f>IFERROR(__xludf.DUMMYFUNCTION("""COMPUTED_VALUE"""),"달걀")</f>
        <v>달걀</v>
      </c>
    </row>
    <row r="13288">
      <c r="A13288" s="2" t="str">
        <f>IFERROR(__xludf.DUMMYFUNCTION("""COMPUTED_VALUE"""),"해선만복")</f>
        <v>해선만복</v>
      </c>
      <c r="B13288" s="2" t="str">
        <f>IFERROR(__xludf.DUMMYFUNCTION("""COMPUTED_VALUE"""),"밀가루")</f>
        <v>밀가루</v>
      </c>
    </row>
    <row r="13289">
      <c r="A13289" s="2" t="str">
        <f>IFERROR(__xludf.DUMMYFUNCTION("""COMPUTED_VALUE"""),"해선만복")</f>
        <v>해선만복</v>
      </c>
      <c r="B13289" s="2" t="str">
        <f>IFERROR(__xludf.DUMMYFUNCTION("""COMPUTED_VALUE"""),"된장")</f>
        <v>된장</v>
      </c>
    </row>
    <row r="13290">
      <c r="A13290" s="2" t="str">
        <f>IFERROR(__xludf.DUMMYFUNCTION("""COMPUTED_VALUE"""),"해선만복")</f>
        <v>해선만복</v>
      </c>
      <c r="B13290" s="2" t="str">
        <f>IFERROR(__xludf.DUMMYFUNCTION("""COMPUTED_VALUE"""),"마늘")</f>
        <v>마늘</v>
      </c>
    </row>
    <row r="13291">
      <c r="A13291" s="2" t="str">
        <f>IFERROR(__xludf.DUMMYFUNCTION("""COMPUTED_VALUE"""),"해선만복")</f>
        <v>해선만복</v>
      </c>
      <c r="B13291" s="2" t="str">
        <f>IFERROR(__xludf.DUMMYFUNCTION("""COMPUTED_VALUE"""),"설탕")</f>
        <v>설탕</v>
      </c>
    </row>
    <row r="13292">
      <c r="A13292" s="2" t="str">
        <f>IFERROR(__xludf.DUMMYFUNCTION("""COMPUTED_VALUE"""),"해선만복")</f>
        <v>해선만복</v>
      </c>
      <c r="B13292" s="2" t="str">
        <f>IFERROR(__xludf.DUMMYFUNCTION("""COMPUTED_VALUE"""),"청양고추")</f>
        <v>청양고추</v>
      </c>
    </row>
    <row r="13293">
      <c r="A13293" s="2" t="str">
        <f>IFERROR(__xludf.DUMMYFUNCTION("""COMPUTED_VALUE"""),"해선만복")</f>
        <v>해선만복</v>
      </c>
      <c r="B13293" s="2" t="str">
        <f>IFERROR(__xludf.DUMMYFUNCTION("""COMPUTED_VALUE"""),"간장")</f>
        <v>간장</v>
      </c>
    </row>
    <row r="13294">
      <c r="A13294" s="2" t="str">
        <f>IFERROR(__xludf.DUMMYFUNCTION("""COMPUTED_VALUE"""),"저 빠다에 누워♬")</f>
        <v>저 빠다에 누워♬</v>
      </c>
      <c r="B13294" s="2" t="str">
        <f>IFERROR(__xludf.DUMMYFUNCTION("""COMPUTED_VALUE"""),"오징어")</f>
        <v>오징어</v>
      </c>
    </row>
    <row r="13295">
      <c r="A13295" s="2" t="str">
        <f>IFERROR(__xludf.DUMMYFUNCTION("""COMPUTED_VALUE"""),"저 빠다에 누워♬")</f>
        <v>저 빠다에 누워♬</v>
      </c>
      <c r="B13295" s="2" t="str">
        <f>IFERROR(__xludf.DUMMYFUNCTION("""COMPUTED_VALUE"""),"관자")</f>
        <v>관자</v>
      </c>
    </row>
    <row r="13296">
      <c r="A13296" s="2" t="str">
        <f>IFERROR(__xludf.DUMMYFUNCTION("""COMPUTED_VALUE"""),"저 빠다에 누워♬")</f>
        <v>저 빠다에 누워♬</v>
      </c>
      <c r="B13296" s="2" t="str">
        <f>IFERROR(__xludf.DUMMYFUNCTION("""COMPUTED_VALUE"""),"전복")</f>
        <v>전복</v>
      </c>
    </row>
    <row r="13297">
      <c r="A13297" s="2" t="str">
        <f>IFERROR(__xludf.DUMMYFUNCTION("""COMPUTED_VALUE"""),"저 빠다에 누워♬")</f>
        <v>저 빠다에 누워♬</v>
      </c>
      <c r="B13297" s="2" t="str">
        <f>IFERROR(__xludf.DUMMYFUNCTION("""COMPUTED_VALUE"""),"주꾸미")</f>
        <v>주꾸미</v>
      </c>
    </row>
    <row r="13298">
      <c r="A13298" s="2" t="str">
        <f>IFERROR(__xludf.DUMMYFUNCTION("""COMPUTED_VALUE"""),"저 빠다에 누워♬")</f>
        <v>저 빠다에 누워♬</v>
      </c>
      <c r="B13298" s="2" t="str">
        <f>IFERROR(__xludf.DUMMYFUNCTION("""COMPUTED_VALUE"""),"삶은 문어")</f>
        <v>삶은 문어</v>
      </c>
    </row>
    <row r="13299">
      <c r="A13299" s="2" t="str">
        <f>IFERROR(__xludf.DUMMYFUNCTION("""COMPUTED_VALUE"""),"저 빠다에 누워♬")</f>
        <v>저 빠다에 누워♬</v>
      </c>
      <c r="B13299" s="2" t="str">
        <f>IFERROR(__xludf.DUMMYFUNCTION("""COMPUTED_VALUE"""),"게살")</f>
        <v>게살</v>
      </c>
    </row>
    <row r="13300">
      <c r="A13300" s="2" t="str">
        <f>IFERROR(__xludf.DUMMYFUNCTION("""COMPUTED_VALUE"""),"저 빠다에 누워♬")</f>
        <v>저 빠다에 누워♬</v>
      </c>
      <c r="B13300" s="2" t="str">
        <f>IFERROR(__xludf.DUMMYFUNCTION("""COMPUTED_VALUE"""),"꽈리고추")</f>
        <v>꽈리고추</v>
      </c>
    </row>
    <row r="13301">
      <c r="A13301" s="2" t="str">
        <f>IFERROR(__xludf.DUMMYFUNCTION("""COMPUTED_VALUE"""),"저 빠다에 누워♬")</f>
        <v>저 빠다에 누워♬</v>
      </c>
      <c r="B13301" s="2" t="str">
        <f>IFERROR(__xludf.DUMMYFUNCTION("""COMPUTED_VALUE"""),"셀러리")</f>
        <v>셀러리</v>
      </c>
    </row>
    <row r="13302">
      <c r="A13302" s="2" t="str">
        <f>IFERROR(__xludf.DUMMYFUNCTION("""COMPUTED_VALUE"""),"저 빠다에 누워♬")</f>
        <v>저 빠다에 누워♬</v>
      </c>
      <c r="B13302" s="2" t="str">
        <f>IFERROR(__xludf.DUMMYFUNCTION("""COMPUTED_VALUE"""),"이탈리안 파슬리")</f>
        <v>이탈리안 파슬리</v>
      </c>
    </row>
    <row r="13303">
      <c r="A13303" s="2" t="str">
        <f>IFERROR(__xludf.DUMMYFUNCTION("""COMPUTED_VALUE"""),"저 빠다에 누워♬")</f>
        <v>저 빠다에 누워♬</v>
      </c>
      <c r="B13303" s="2" t="str">
        <f>IFERROR(__xludf.DUMMYFUNCTION("""COMPUTED_VALUE"""),"삼발 올렉")</f>
        <v>삼발 올렉</v>
      </c>
    </row>
    <row r="13304">
      <c r="A13304" s="2" t="str">
        <f>IFERROR(__xludf.DUMMYFUNCTION("""COMPUTED_VALUE"""),"저 빠다에 누워♬")</f>
        <v>저 빠다에 누워♬</v>
      </c>
      <c r="B13304" s="2" t="str">
        <f>IFERROR(__xludf.DUMMYFUNCTION("""COMPUTED_VALUE"""),"스리라차소스")</f>
        <v>스리라차소스</v>
      </c>
    </row>
    <row r="13305">
      <c r="A13305" s="2" t="str">
        <f>IFERROR(__xludf.DUMMYFUNCTION("""COMPUTED_VALUE"""),"저 빠다에 누워♬")</f>
        <v>저 빠다에 누워♬</v>
      </c>
      <c r="B13305" s="2" t="str">
        <f>IFERROR(__xludf.DUMMYFUNCTION("""COMPUTED_VALUE"""),"파인애플")</f>
        <v>파인애플</v>
      </c>
    </row>
    <row r="13306">
      <c r="A13306" s="2" t="str">
        <f>IFERROR(__xludf.DUMMYFUNCTION("""COMPUTED_VALUE"""),"저 빠다에 누워♬")</f>
        <v>저 빠다에 누워♬</v>
      </c>
      <c r="B13306" s="2" t="str">
        <f>IFERROR(__xludf.DUMMYFUNCTION("""COMPUTED_VALUE"""),"미니 파프리카")</f>
        <v>미니 파프리카</v>
      </c>
    </row>
    <row r="13307">
      <c r="A13307" s="2" t="str">
        <f>IFERROR(__xludf.DUMMYFUNCTION("""COMPUTED_VALUE"""),"저 빠다에 누워♬")</f>
        <v>저 빠다에 누워♬</v>
      </c>
      <c r="B13307" s="2" t="str">
        <f>IFERROR(__xludf.DUMMYFUNCTION("""COMPUTED_VALUE"""),"쌀국수볶음소스")</f>
        <v>쌀국수볶음소스</v>
      </c>
    </row>
    <row r="13308">
      <c r="A13308" s="2" t="str">
        <f>IFERROR(__xludf.DUMMYFUNCTION("""COMPUTED_VALUE"""),"저 빠다에 누워♬")</f>
        <v>저 빠다에 누워♬</v>
      </c>
      <c r="B13308" s="2" t="str">
        <f>IFERROR(__xludf.DUMMYFUNCTION("""COMPUTED_VALUE"""),"고수")</f>
        <v>고수</v>
      </c>
    </row>
    <row r="13309">
      <c r="A13309" s="2" t="str">
        <f>IFERROR(__xludf.DUMMYFUNCTION("""COMPUTED_VALUE"""),"저 빠다에 누워♬")</f>
        <v>저 빠다에 누워♬</v>
      </c>
      <c r="B13309" s="2" t="str">
        <f>IFERROR(__xludf.DUMMYFUNCTION("""COMPUTED_VALUE"""),"대파")</f>
        <v>대파</v>
      </c>
    </row>
    <row r="13310">
      <c r="A13310" s="2" t="str">
        <f>IFERROR(__xludf.DUMMYFUNCTION("""COMPUTED_VALUE"""),"저 빠다에 누워♬")</f>
        <v>저 빠다에 누워♬</v>
      </c>
      <c r="B13310" s="2" t="str">
        <f>IFERROR(__xludf.DUMMYFUNCTION("""COMPUTED_VALUE"""),"달걀")</f>
        <v>달걀</v>
      </c>
    </row>
    <row r="13311">
      <c r="A13311" s="2" t="str">
        <f>IFERROR(__xludf.DUMMYFUNCTION("""COMPUTED_VALUE"""),"저 빠다에 누워♬")</f>
        <v>저 빠다에 누워♬</v>
      </c>
      <c r="B13311" s="2" t="str">
        <f>IFERROR(__xludf.DUMMYFUNCTION("""COMPUTED_VALUE"""),"버터")</f>
        <v>버터</v>
      </c>
    </row>
    <row r="13312">
      <c r="A13312" s="2" t="str">
        <f>IFERROR(__xludf.DUMMYFUNCTION("""COMPUTED_VALUE"""),"저 빠다에 누워♬")</f>
        <v>저 빠다에 누워♬</v>
      </c>
      <c r="B13312" s="2" t="str">
        <f>IFERROR(__xludf.DUMMYFUNCTION("""COMPUTED_VALUE"""),"소금")</f>
        <v>소금</v>
      </c>
    </row>
    <row r="13313">
      <c r="A13313" s="2" t="str">
        <f>IFERROR(__xludf.DUMMYFUNCTION("""COMPUTED_VALUE"""),"저 빠다에 누워♬")</f>
        <v>저 빠다에 누워♬</v>
      </c>
      <c r="B13313" s="2" t="str">
        <f>IFERROR(__xludf.DUMMYFUNCTION("""COMPUTED_VALUE"""),"홍고추")</f>
        <v>홍고추</v>
      </c>
    </row>
    <row r="13314">
      <c r="A13314" s="2" t="str">
        <f>IFERROR(__xludf.DUMMYFUNCTION("""COMPUTED_VALUE"""),"저 빠다에 누워♬")</f>
        <v>저 빠다에 누워♬</v>
      </c>
      <c r="B13314" s="2" t="str">
        <f>IFERROR(__xludf.DUMMYFUNCTION("""COMPUTED_VALUE"""),"간장")</f>
        <v>간장</v>
      </c>
    </row>
    <row r="13315">
      <c r="A13315" s="2" t="str">
        <f>IFERROR(__xludf.DUMMYFUNCTION("""COMPUTED_VALUE"""),"저 빠다에 누워♬")</f>
        <v>저 빠다에 누워♬</v>
      </c>
      <c r="B13315" s="2" t="str">
        <f>IFERROR(__xludf.DUMMYFUNCTION("""COMPUTED_VALUE"""),"다진마늘")</f>
        <v>다진마늘</v>
      </c>
    </row>
    <row r="13316">
      <c r="A13316" s="2" t="str">
        <f>IFERROR(__xludf.DUMMYFUNCTION("""COMPUTED_VALUE"""),"저 빠다에 누워♬")</f>
        <v>저 빠다에 누워♬</v>
      </c>
      <c r="B13316" s="2" t="str">
        <f>IFERROR(__xludf.DUMMYFUNCTION("""COMPUTED_VALUE"""),"설탕")</f>
        <v>설탕</v>
      </c>
    </row>
    <row r="13317">
      <c r="A13317" s="2" t="str">
        <f>IFERROR(__xludf.DUMMYFUNCTION("""COMPUTED_VALUE"""),"저 빠다에 누워♬")</f>
        <v>저 빠다에 누워♬</v>
      </c>
      <c r="B13317" s="2" t="str">
        <f>IFERROR(__xludf.DUMMYFUNCTION("""COMPUTED_VALUE"""),"전분")</f>
        <v>전분</v>
      </c>
    </row>
    <row r="13318">
      <c r="A13318" s="2" t="str">
        <f>IFERROR(__xludf.DUMMYFUNCTION("""COMPUTED_VALUE"""),"저 빠다에 누워♬")</f>
        <v>저 빠다에 누워♬</v>
      </c>
      <c r="B13318" s="2" t="str">
        <f>IFERROR(__xludf.DUMMYFUNCTION("""COMPUTED_VALUE"""),"참기름")</f>
        <v>참기름</v>
      </c>
    </row>
    <row r="13319">
      <c r="A13319" s="2" t="str">
        <f>IFERROR(__xludf.DUMMYFUNCTION("""COMPUTED_VALUE"""),"날아라 슈퍼푸드")</f>
        <v>날아라 슈퍼푸드</v>
      </c>
      <c r="B13319" s="2" t="str">
        <f>IFERROR(__xludf.DUMMYFUNCTION("""COMPUTED_VALUE"""),"소 안심")</f>
        <v>소 안심</v>
      </c>
    </row>
    <row r="13320">
      <c r="A13320" s="2" t="str">
        <f>IFERROR(__xludf.DUMMYFUNCTION("""COMPUTED_VALUE"""),"날아라 슈퍼푸드")</f>
        <v>날아라 슈퍼푸드</v>
      </c>
      <c r="B13320" s="2" t="str">
        <f>IFERROR(__xludf.DUMMYFUNCTION("""COMPUTED_VALUE"""),"다진 소고기")</f>
        <v>다진 소고기</v>
      </c>
    </row>
    <row r="13321">
      <c r="A13321" s="2" t="str">
        <f>IFERROR(__xludf.DUMMYFUNCTION("""COMPUTED_VALUE"""),"날아라 슈퍼푸드")</f>
        <v>날아라 슈퍼푸드</v>
      </c>
      <c r="B13321" s="2" t="str">
        <f>IFERROR(__xludf.DUMMYFUNCTION("""COMPUTED_VALUE"""),"리코타 치즈")</f>
        <v>리코타 치즈</v>
      </c>
    </row>
    <row r="13322">
      <c r="A13322" s="2" t="str">
        <f>IFERROR(__xludf.DUMMYFUNCTION("""COMPUTED_VALUE"""),"날아라 슈퍼푸드")</f>
        <v>날아라 슈퍼푸드</v>
      </c>
      <c r="B13322" s="2" t="str">
        <f>IFERROR(__xludf.DUMMYFUNCTION("""COMPUTED_VALUE"""),"생모차렐라 치즈")</f>
        <v>생모차렐라 치즈</v>
      </c>
    </row>
    <row r="13323">
      <c r="A13323" s="2" t="str">
        <f>IFERROR(__xludf.DUMMYFUNCTION("""COMPUTED_VALUE"""),"날아라 슈퍼푸드")</f>
        <v>날아라 슈퍼푸드</v>
      </c>
      <c r="B13323" s="2" t="str">
        <f>IFERROR(__xludf.DUMMYFUNCTION("""COMPUTED_VALUE"""),"강황가루")</f>
        <v>강황가루</v>
      </c>
    </row>
    <row r="13324">
      <c r="A13324" s="2" t="str">
        <f>IFERROR(__xludf.DUMMYFUNCTION("""COMPUTED_VALUE"""),"날아라 슈퍼푸드")</f>
        <v>날아라 슈퍼푸드</v>
      </c>
      <c r="B13324" s="2" t="str">
        <f>IFERROR(__xludf.DUMMYFUNCTION("""COMPUTED_VALUE"""),"강황물")</f>
        <v>강황물</v>
      </c>
    </row>
    <row r="13325">
      <c r="A13325" s="2" t="str">
        <f>IFERROR(__xludf.DUMMYFUNCTION("""COMPUTED_VALUE"""),"날아라 슈퍼푸드")</f>
        <v>날아라 슈퍼푸드</v>
      </c>
      <c r="B13325" s="2" t="str">
        <f>IFERROR(__xludf.DUMMYFUNCTION("""COMPUTED_VALUE"""),"송이버섯")</f>
        <v>송이버섯</v>
      </c>
    </row>
    <row r="13326">
      <c r="A13326" s="2" t="str">
        <f>IFERROR(__xludf.DUMMYFUNCTION("""COMPUTED_VALUE"""),"날아라 슈퍼푸드")</f>
        <v>날아라 슈퍼푸드</v>
      </c>
      <c r="B13326" s="2" t="str">
        <f>IFERROR(__xludf.DUMMYFUNCTION("""COMPUTED_VALUE"""),"파프리카")</f>
        <v>파프리카</v>
      </c>
    </row>
    <row r="13327">
      <c r="A13327" s="2" t="str">
        <f>IFERROR(__xludf.DUMMYFUNCTION("""COMPUTED_VALUE"""),"날아라 슈퍼푸드")</f>
        <v>날아라 슈퍼푸드</v>
      </c>
      <c r="B13327" s="2" t="str">
        <f>IFERROR(__xludf.DUMMYFUNCTION("""COMPUTED_VALUE"""),"케일")</f>
        <v>케일</v>
      </c>
    </row>
    <row r="13328">
      <c r="A13328" s="2" t="str">
        <f>IFERROR(__xludf.DUMMYFUNCTION("""COMPUTED_VALUE"""),"날아라 슈퍼푸드")</f>
        <v>날아라 슈퍼푸드</v>
      </c>
      <c r="B13328" s="2" t="str">
        <f>IFERROR(__xludf.DUMMYFUNCTION("""COMPUTED_VALUE"""),"토란")</f>
        <v>토란</v>
      </c>
    </row>
    <row r="13329">
      <c r="A13329" s="2" t="str">
        <f>IFERROR(__xludf.DUMMYFUNCTION("""COMPUTED_VALUE"""),"날아라 슈퍼푸드")</f>
        <v>날아라 슈퍼푸드</v>
      </c>
      <c r="B13329" s="2" t="str">
        <f>IFERROR(__xludf.DUMMYFUNCTION("""COMPUTED_VALUE"""),"유자드레싱")</f>
        <v>유자드레싱</v>
      </c>
    </row>
    <row r="13330">
      <c r="A13330" s="2" t="str">
        <f>IFERROR(__xludf.DUMMYFUNCTION("""COMPUTED_VALUE"""),"날아라 슈퍼푸드")</f>
        <v>날아라 슈퍼푸드</v>
      </c>
      <c r="B13330" s="2" t="str">
        <f>IFERROR(__xludf.DUMMYFUNCTION("""COMPUTED_VALUE"""),"아로니아가루")</f>
        <v>아로니아가루</v>
      </c>
    </row>
    <row r="13331">
      <c r="A13331" s="2" t="str">
        <f>IFERROR(__xludf.DUMMYFUNCTION("""COMPUTED_VALUE"""),"날아라 슈퍼푸드")</f>
        <v>날아라 슈퍼푸드</v>
      </c>
      <c r="B13331" s="2" t="str">
        <f>IFERROR(__xludf.DUMMYFUNCTION("""COMPUTED_VALUE"""),"사과")</f>
        <v>사과</v>
      </c>
    </row>
    <row r="13332">
      <c r="A13332" s="2" t="str">
        <f>IFERROR(__xludf.DUMMYFUNCTION("""COMPUTED_VALUE"""),"날아라 슈퍼푸드")</f>
        <v>날아라 슈퍼푸드</v>
      </c>
      <c r="B13332" s="2" t="str">
        <f>IFERROR(__xludf.DUMMYFUNCTION("""COMPUTED_VALUE"""),"닭가슴살")</f>
        <v>닭가슴살</v>
      </c>
    </row>
    <row r="13333">
      <c r="A13333" s="2" t="str">
        <f>IFERROR(__xludf.DUMMYFUNCTION("""COMPUTED_VALUE"""),"날아라 슈퍼푸드")</f>
        <v>날아라 슈퍼푸드</v>
      </c>
      <c r="B13333" s="2" t="str">
        <f>IFERROR(__xludf.DUMMYFUNCTION("""COMPUTED_VALUE"""),"토마토")</f>
        <v>토마토</v>
      </c>
    </row>
    <row r="13334">
      <c r="A13334" s="2" t="str">
        <f>IFERROR(__xludf.DUMMYFUNCTION("""COMPUTED_VALUE"""),"날아라 슈퍼푸드")</f>
        <v>날아라 슈퍼푸드</v>
      </c>
      <c r="B13334" s="2" t="str">
        <f>IFERROR(__xludf.DUMMYFUNCTION("""COMPUTED_VALUE"""),"토마토홀")</f>
        <v>토마토홀</v>
      </c>
    </row>
    <row r="13335">
      <c r="A13335" s="2" t="str">
        <f>IFERROR(__xludf.DUMMYFUNCTION("""COMPUTED_VALUE"""),"날아라 슈퍼푸드")</f>
        <v>날아라 슈퍼푸드</v>
      </c>
      <c r="B13335" s="2" t="str">
        <f>IFERROR(__xludf.DUMMYFUNCTION("""COMPUTED_VALUE"""),"파프리카가루")</f>
        <v>파프리카가루</v>
      </c>
    </row>
    <row r="13336">
      <c r="A13336" s="2" t="str">
        <f>IFERROR(__xludf.DUMMYFUNCTION("""COMPUTED_VALUE"""),"날아라 슈퍼푸드")</f>
        <v>날아라 슈퍼푸드</v>
      </c>
      <c r="B13336" s="2" t="str">
        <f>IFERROR(__xludf.DUMMYFUNCTION("""COMPUTED_VALUE"""),"파슬리")</f>
        <v>파슬리</v>
      </c>
    </row>
    <row r="13337">
      <c r="A13337" s="2" t="str">
        <f>IFERROR(__xludf.DUMMYFUNCTION("""COMPUTED_VALUE"""),"날아라 슈퍼푸드")</f>
        <v>날아라 슈퍼푸드</v>
      </c>
      <c r="B13337" s="2" t="str">
        <f>IFERROR(__xludf.DUMMYFUNCTION("""COMPUTED_VALUE"""),"바질")</f>
        <v>바질</v>
      </c>
    </row>
    <row r="13338">
      <c r="A13338" s="2" t="str">
        <f>IFERROR(__xludf.DUMMYFUNCTION("""COMPUTED_VALUE"""),"날아라 슈퍼푸드")</f>
        <v>날아라 슈퍼푸드</v>
      </c>
      <c r="B13338" s="2" t="str">
        <f>IFERROR(__xludf.DUMMYFUNCTION("""COMPUTED_VALUE"""),"올리브오일")</f>
        <v>올리브오일</v>
      </c>
    </row>
    <row r="13339">
      <c r="A13339" s="2" t="str">
        <f>IFERROR(__xludf.DUMMYFUNCTION("""COMPUTED_VALUE"""),"날아라 슈퍼푸드")</f>
        <v>날아라 슈퍼푸드</v>
      </c>
      <c r="B13339" s="2" t="str">
        <f>IFERROR(__xludf.DUMMYFUNCTION("""COMPUTED_VALUE"""),"마늘")</f>
        <v>마늘</v>
      </c>
    </row>
    <row r="13340">
      <c r="A13340" s="2" t="str">
        <f>IFERROR(__xludf.DUMMYFUNCTION("""COMPUTED_VALUE"""),"날아라 슈퍼푸드")</f>
        <v>날아라 슈퍼푸드</v>
      </c>
      <c r="B13340" s="2" t="str">
        <f>IFERROR(__xludf.DUMMYFUNCTION("""COMPUTED_VALUE"""),"소금")</f>
        <v>소금</v>
      </c>
    </row>
    <row r="13341">
      <c r="A13341" s="2" t="str">
        <f>IFERROR(__xludf.DUMMYFUNCTION("""COMPUTED_VALUE"""),"날아라 슈퍼푸드")</f>
        <v>날아라 슈퍼푸드</v>
      </c>
      <c r="B13341" s="2" t="str">
        <f>IFERROR(__xludf.DUMMYFUNCTION("""COMPUTED_VALUE"""),"설탕")</f>
        <v>설탕</v>
      </c>
    </row>
    <row r="13342">
      <c r="A13342" s="2" t="str">
        <f>IFERROR(__xludf.DUMMYFUNCTION("""COMPUTED_VALUE"""),"날아라 슈퍼푸드")</f>
        <v>날아라 슈퍼푸드</v>
      </c>
      <c r="B13342" s="2" t="str">
        <f>IFERROR(__xludf.DUMMYFUNCTION("""COMPUTED_VALUE"""),"밀가루")</f>
        <v>밀가루</v>
      </c>
    </row>
    <row r="13343">
      <c r="A13343" s="2" t="str">
        <f>IFERROR(__xludf.DUMMYFUNCTION("""COMPUTED_VALUE"""),"날아라 슈퍼푸드")</f>
        <v>날아라 슈퍼푸드</v>
      </c>
      <c r="B13343" s="2" t="str">
        <f>IFERROR(__xludf.DUMMYFUNCTION("""COMPUTED_VALUE"""),"양파")</f>
        <v>양파</v>
      </c>
    </row>
    <row r="13344">
      <c r="A13344" s="2" t="str">
        <f>IFERROR(__xludf.DUMMYFUNCTION("""COMPUTED_VALUE"""),"날아라 슈퍼푸드")</f>
        <v>날아라 슈퍼푸드</v>
      </c>
      <c r="B13344" s="2" t="str">
        <f>IFERROR(__xludf.DUMMYFUNCTION("""COMPUTED_VALUE"""),"후추")</f>
        <v>후추</v>
      </c>
    </row>
    <row r="13345">
      <c r="A13345" s="2" t="str">
        <f>IFERROR(__xludf.DUMMYFUNCTION("""COMPUTED_VALUE"""),"날아라 슈퍼푸드")</f>
        <v>날아라 슈퍼푸드</v>
      </c>
      <c r="B13345" s="2" t="str">
        <f>IFERROR(__xludf.DUMMYFUNCTION("""COMPUTED_VALUE"""),"레몬")</f>
        <v>레몬</v>
      </c>
    </row>
    <row r="13346">
      <c r="A13346" s="2" t="str">
        <f>IFERROR(__xludf.DUMMYFUNCTION("""COMPUTED_VALUE"""),"강황장군")</f>
        <v>강황장군</v>
      </c>
      <c r="B13346" s="2" t="str">
        <f>IFERROR(__xludf.DUMMYFUNCTION("""COMPUTED_VALUE"""),"양갈비")</f>
        <v>양갈비</v>
      </c>
    </row>
    <row r="13347">
      <c r="A13347" s="2" t="str">
        <f>IFERROR(__xludf.DUMMYFUNCTION("""COMPUTED_VALUE"""),"강황장군")</f>
        <v>강황장군</v>
      </c>
      <c r="B13347" s="2" t="str">
        <f>IFERROR(__xludf.DUMMYFUNCTION("""COMPUTED_VALUE"""),"송이버섯")</f>
        <v>송이버섯</v>
      </c>
    </row>
    <row r="13348">
      <c r="A13348" s="2" t="str">
        <f>IFERROR(__xludf.DUMMYFUNCTION("""COMPUTED_VALUE"""),"강황장군")</f>
        <v>강황장군</v>
      </c>
      <c r="B13348" s="2" t="str">
        <f>IFERROR(__xludf.DUMMYFUNCTION("""COMPUTED_VALUE"""),"강황가루")</f>
        <v>강황가루</v>
      </c>
    </row>
    <row r="13349">
      <c r="A13349" s="2" t="str">
        <f>IFERROR(__xludf.DUMMYFUNCTION("""COMPUTED_VALUE"""),"강황장군")</f>
        <v>강황장군</v>
      </c>
      <c r="B13349" s="2" t="str">
        <f>IFERROR(__xludf.DUMMYFUNCTION("""COMPUTED_VALUE"""),"셀러리")</f>
        <v>셀러리</v>
      </c>
    </row>
    <row r="13350">
      <c r="A13350" s="2" t="str">
        <f>IFERROR(__xludf.DUMMYFUNCTION("""COMPUTED_VALUE"""),"강황장군")</f>
        <v>강황장군</v>
      </c>
      <c r="B13350" s="2" t="str">
        <f>IFERROR(__xludf.DUMMYFUNCTION("""COMPUTED_VALUE"""),"토마토")</f>
        <v>토마토</v>
      </c>
    </row>
    <row r="13351">
      <c r="A13351" s="2" t="str">
        <f>IFERROR(__xludf.DUMMYFUNCTION("""COMPUTED_VALUE"""),"강황장군")</f>
        <v>강황장군</v>
      </c>
      <c r="B13351" s="2" t="str">
        <f>IFERROR(__xludf.DUMMYFUNCTION("""COMPUTED_VALUE"""),"이탈리안 파슬리")</f>
        <v>이탈리안 파슬리</v>
      </c>
    </row>
    <row r="13352">
      <c r="A13352" s="2" t="str">
        <f>IFERROR(__xludf.DUMMYFUNCTION("""COMPUTED_VALUE"""),"강황장군")</f>
        <v>강황장군</v>
      </c>
      <c r="B13352" s="2" t="str">
        <f>IFERROR(__xludf.DUMMYFUNCTION("""COMPUTED_VALUE"""),"토마토페이스트")</f>
        <v>토마토페이스트</v>
      </c>
    </row>
    <row r="13353">
      <c r="A13353" s="2" t="str">
        <f>IFERROR(__xludf.DUMMYFUNCTION("""COMPUTED_VALUE"""),"강황장군")</f>
        <v>강황장군</v>
      </c>
      <c r="B13353" s="2" t="str">
        <f>IFERROR(__xludf.DUMMYFUNCTION("""COMPUTED_VALUE"""),"토마토홀")</f>
        <v>토마토홀</v>
      </c>
    </row>
    <row r="13354">
      <c r="A13354" s="2" t="str">
        <f>IFERROR(__xludf.DUMMYFUNCTION("""COMPUTED_VALUE"""),"강황장군")</f>
        <v>강황장군</v>
      </c>
      <c r="B13354" s="2" t="str">
        <f>IFERROR(__xludf.DUMMYFUNCTION("""COMPUTED_VALUE"""),"마파소스")</f>
        <v>마파소스</v>
      </c>
    </row>
    <row r="13355">
      <c r="A13355" s="2" t="str">
        <f>IFERROR(__xludf.DUMMYFUNCTION("""COMPUTED_VALUE"""),"강황장군")</f>
        <v>강황장군</v>
      </c>
      <c r="B13355" s="2" t="str">
        <f>IFERROR(__xludf.DUMMYFUNCTION("""COMPUTED_VALUE"""),"후추")</f>
        <v>후추</v>
      </c>
    </row>
    <row r="13356">
      <c r="A13356" s="2" t="str">
        <f>IFERROR(__xludf.DUMMYFUNCTION("""COMPUTED_VALUE"""),"강황장군")</f>
        <v>강황장군</v>
      </c>
      <c r="B13356" s="2" t="str">
        <f>IFERROR(__xludf.DUMMYFUNCTION("""COMPUTED_VALUE"""),"양파")</f>
        <v>양파</v>
      </c>
    </row>
    <row r="13357">
      <c r="A13357" s="2" t="str">
        <f>IFERROR(__xludf.DUMMYFUNCTION("""COMPUTED_VALUE"""),"강황장군")</f>
        <v>강황장군</v>
      </c>
      <c r="B13357" s="2" t="str">
        <f>IFERROR(__xludf.DUMMYFUNCTION("""COMPUTED_VALUE"""),"올리브오일")</f>
        <v>올리브오일</v>
      </c>
    </row>
    <row r="13358">
      <c r="A13358" s="2" t="str">
        <f>IFERROR(__xludf.DUMMYFUNCTION("""COMPUTED_VALUE"""),"강황장군")</f>
        <v>강황장군</v>
      </c>
      <c r="B13358" s="2" t="str">
        <f>IFERROR(__xludf.DUMMYFUNCTION("""COMPUTED_VALUE"""),"당근")</f>
        <v>당근</v>
      </c>
    </row>
    <row r="13359">
      <c r="A13359" s="2" t="str">
        <f>IFERROR(__xludf.DUMMYFUNCTION("""COMPUTED_VALUE"""),"강황장군")</f>
        <v>강황장군</v>
      </c>
      <c r="B13359" s="2" t="str">
        <f>IFERROR(__xludf.DUMMYFUNCTION("""COMPUTED_VALUE"""),"고추")</f>
        <v>고추</v>
      </c>
    </row>
    <row r="13360">
      <c r="A13360" s="2" t="str">
        <f>IFERROR(__xludf.DUMMYFUNCTION("""COMPUTED_VALUE"""),"강황장군")</f>
        <v>강황장군</v>
      </c>
      <c r="B13360" s="2" t="str">
        <f>IFERROR(__xludf.DUMMYFUNCTION("""COMPUTED_VALUE"""),"소금")</f>
        <v>소금</v>
      </c>
    </row>
    <row r="13361">
      <c r="A13361" s="2" t="str">
        <f>IFERROR(__xludf.DUMMYFUNCTION("""COMPUTED_VALUE"""),"강황장군")</f>
        <v>강황장군</v>
      </c>
      <c r="B13361" s="2" t="str">
        <f>IFERROR(__xludf.DUMMYFUNCTION("""COMPUTED_VALUE"""),"달걀")</f>
        <v>달걀</v>
      </c>
    </row>
    <row r="13362">
      <c r="A13362" s="2" t="str">
        <f>IFERROR(__xludf.DUMMYFUNCTION("""COMPUTED_VALUE"""),"강황장군")</f>
        <v>강황장군</v>
      </c>
      <c r="B13362" s="2" t="str">
        <f>IFERROR(__xludf.DUMMYFUNCTION("""COMPUTED_VALUE"""),"밀가루")</f>
        <v>밀가루</v>
      </c>
    </row>
    <row r="13363">
      <c r="A13363" s="2" t="str">
        <f>IFERROR(__xludf.DUMMYFUNCTION("""COMPUTED_VALUE"""),"강황장군")</f>
        <v>강황장군</v>
      </c>
      <c r="B13363" s="2" t="str">
        <f>IFERROR(__xludf.DUMMYFUNCTION("""COMPUTED_VALUE"""),"마늘")</f>
        <v>마늘</v>
      </c>
    </row>
    <row r="13364">
      <c r="A13364" s="2" t="str">
        <f>IFERROR(__xludf.DUMMYFUNCTION("""COMPUTED_VALUE"""),"강황장군")</f>
        <v>강황장군</v>
      </c>
      <c r="B13364" s="2" t="str">
        <f>IFERROR(__xludf.DUMMYFUNCTION("""COMPUTED_VALUE"""),"간장")</f>
        <v>간장</v>
      </c>
    </row>
    <row r="13365">
      <c r="A13365" s="2" t="str">
        <f>IFERROR(__xludf.DUMMYFUNCTION("""COMPUTED_VALUE"""),"복믈렛")</f>
        <v>복믈렛</v>
      </c>
      <c r="B13365" s="2" t="str">
        <f>IFERROR(__xludf.DUMMYFUNCTION("""COMPUTED_VALUE"""),"감자")</f>
        <v>감자</v>
      </c>
    </row>
    <row r="13366">
      <c r="A13366" s="2" t="str">
        <f>IFERROR(__xludf.DUMMYFUNCTION("""COMPUTED_VALUE"""),"복믈렛")</f>
        <v>복믈렛</v>
      </c>
      <c r="B13366" s="2" t="str">
        <f>IFERROR(__xludf.DUMMYFUNCTION("""COMPUTED_VALUE"""),"떡볶이")</f>
        <v>떡볶이</v>
      </c>
    </row>
    <row r="13367">
      <c r="A13367" s="2" t="str">
        <f>IFERROR(__xludf.DUMMYFUNCTION("""COMPUTED_VALUE"""),"복믈렛")</f>
        <v>복믈렛</v>
      </c>
      <c r="B13367" s="2" t="str">
        <f>IFERROR(__xludf.DUMMYFUNCTION("""COMPUTED_VALUE"""),"모차렐라 치즈")</f>
        <v>모차렐라 치즈</v>
      </c>
    </row>
    <row r="13368">
      <c r="A13368" s="2" t="str">
        <f>IFERROR(__xludf.DUMMYFUNCTION("""COMPUTED_VALUE"""),"복믈렛")</f>
        <v>복믈렛</v>
      </c>
      <c r="B13368" s="2" t="str">
        <f>IFERROR(__xludf.DUMMYFUNCTION("""COMPUTED_VALUE"""),"하바티 치즈")</f>
        <v>하바티 치즈</v>
      </c>
    </row>
    <row r="13369">
      <c r="A13369" s="2" t="str">
        <f>IFERROR(__xludf.DUMMYFUNCTION("""COMPUTED_VALUE"""),"복믈렛")</f>
        <v>복믈렛</v>
      </c>
      <c r="B13369" s="2" t="str">
        <f>IFERROR(__xludf.DUMMYFUNCTION("""COMPUTED_VALUE"""),"하몽")</f>
        <v>하몽</v>
      </c>
    </row>
    <row r="13370">
      <c r="A13370" s="2" t="str">
        <f>IFERROR(__xludf.DUMMYFUNCTION("""COMPUTED_VALUE"""),"복믈렛")</f>
        <v>복믈렛</v>
      </c>
      <c r="B13370" s="2" t="str">
        <f>IFERROR(__xludf.DUMMYFUNCTION("""COMPUTED_VALUE"""),"단무지")</f>
        <v>단무지</v>
      </c>
    </row>
    <row r="13371">
      <c r="A13371" s="2" t="str">
        <f>IFERROR(__xludf.DUMMYFUNCTION("""COMPUTED_VALUE"""),"복믈렛")</f>
        <v>복믈렛</v>
      </c>
      <c r="B13371" s="2" t="str">
        <f>IFERROR(__xludf.DUMMYFUNCTION("""COMPUTED_VALUE"""),"만두")</f>
        <v>만두</v>
      </c>
    </row>
    <row r="13372">
      <c r="A13372" s="2" t="str">
        <f>IFERROR(__xludf.DUMMYFUNCTION("""COMPUTED_VALUE"""),"복믈렛")</f>
        <v>복믈렛</v>
      </c>
      <c r="B13372" s="2" t="str">
        <f>IFERROR(__xludf.DUMMYFUNCTION("""COMPUTED_VALUE"""),"불고기")</f>
        <v>불고기</v>
      </c>
    </row>
    <row r="13373">
      <c r="A13373" s="2" t="str">
        <f>IFERROR(__xludf.DUMMYFUNCTION("""COMPUTED_VALUE"""),"복믈렛")</f>
        <v>복믈렛</v>
      </c>
      <c r="B13373" s="2" t="str">
        <f>IFERROR(__xludf.DUMMYFUNCTION("""COMPUTED_VALUE"""),"양파")</f>
        <v>양파</v>
      </c>
    </row>
    <row r="13374">
      <c r="A13374" s="2" t="str">
        <f>IFERROR(__xludf.DUMMYFUNCTION("""COMPUTED_VALUE"""),"복믈렛")</f>
        <v>복믈렛</v>
      </c>
      <c r="B13374" s="2" t="str">
        <f>IFERROR(__xludf.DUMMYFUNCTION("""COMPUTED_VALUE"""),"대파")</f>
        <v>대파</v>
      </c>
    </row>
    <row r="13375">
      <c r="A13375" s="2" t="str">
        <f>IFERROR(__xludf.DUMMYFUNCTION("""COMPUTED_VALUE"""),"복믈렛")</f>
        <v>복믈렛</v>
      </c>
      <c r="B13375" s="2" t="str">
        <f>IFERROR(__xludf.DUMMYFUNCTION("""COMPUTED_VALUE"""),"마늘")</f>
        <v>마늘</v>
      </c>
    </row>
    <row r="13376">
      <c r="A13376" s="2" t="str">
        <f>IFERROR(__xludf.DUMMYFUNCTION("""COMPUTED_VALUE"""),"복믈렛")</f>
        <v>복믈렛</v>
      </c>
      <c r="B13376" s="2" t="str">
        <f>IFERROR(__xludf.DUMMYFUNCTION("""COMPUTED_VALUE"""),"고추장")</f>
        <v>고추장</v>
      </c>
    </row>
    <row r="13377">
      <c r="A13377" s="2" t="str">
        <f>IFERROR(__xludf.DUMMYFUNCTION("""COMPUTED_VALUE"""),"복믈렛")</f>
        <v>복믈렛</v>
      </c>
      <c r="B13377" s="2" t="str">
        <f>IFERROR(__xludf.DUMMYFUNCTION("""COMPUTED_VALUE"""),"간장")</f>
        <v>간장</v>
      </c>
    </row>
    <row r="13378">
      <c r="A13378" s="2" t="str">
        <f>IFERROR(__xludf.DUMMYFUNCTION("""COMPUTED_VALUE"""),"복믈렛")</f>
        <v>복믈렛</v>
      </c>
      <c r="B13378" s="2" t="str">
        <f>IFERROR(__xludf.DUMMYFUNCTION("""COMPUTED_VALUE"""),"설탕")</f>
        <v>설탕</v>
      </c>
    </row>
    <row r="13379">
      <c r="A13379" s="2" t="str">
        <f>IFERROR(__xludf.DUMMYFUNCTION("""COMPUTED_VALUE"""),"복믈렛")</f>
        <v>복믈렛</v>
      </c>
      <c r="B13379" s="2" t="str">
        <f>IFERROR(__xludf.DUMMYFUNCTION("""COMPUTED_VALUE"""),"전분")</f>
        <v>전분</v>
      </c>
    </row>
    <row r="13380">
      <c r="A13380" s="2" t="str">
        <f>IFERROR(__xludf.DUMMYFUNCTION("""COMPUTED_VALUE"""),"복믈렛")</f>
        <v>복믈렛</v>
      </c>
      <c r="B13380" s="2" t="str">
        <f>IFERROR(__xludf.DUMMYFUNCTION("""COMPUTED_VALUE"""),"소금")</f>
        <v>소금</v>
      </c>
    </row>
    <row r="13381">
      <c r="A13381" s="2" t="str">
        <f>IFERROR(__xludf.DUMMYFUNCTION("""COMPUTED_VALUE"""),"복믈렛")</f>
        <v>복믈렛</v>
      </c>
      <c r="B13381" s="2" t="str">
        <f>IFERROR(__xludf.DUMMYFUNCTION("""COMPUTED_VALUE"""),"달걀")</f>
        <v>달걀</v>
      </c>
    </row>
    <row r="13382">
      <c r="A13382" s="2" t="str">
        <f>IFERROR(__xludf.DUMMYFUNCTION("""COMPUTED_VALUE"""),"감~자봤쌈")</f>
        <v>감~자봤쌈</v>
      </c>
      <c r="B13382" s="2" t="str">
        <f>IFERROR(__xludf.DUMMYFUNCTION("""COMPUTED_VALUE"""),"감자")</f>
        <v>감자</v>
      </c>
    </row>
    <row r="13383">
      <c r="A13383" s="2" t="str">
        <f>IFERROR(__xludf.DUMMYFUNCTION("""COMPUTED_VALUE"""),"감~자봤쌈")</f>
        <v>감~자봤쌈</v>
      </c>
      <c r="B13383" s="2" t="str">
        <f>IFERROR(__xludf.DUMMYFUNCTION("""COMPUTED_VALUE"""),"찐 옥수수")</f>
        <v>찐 옥수수</v>
      </c>
    </row>
    <row r="13384">
      <c r="A13384" s="2" t="str">
        <f>IFERROR(__xludf.DUMMYFUNCTION("""COMPUTED_VALUE"""),"감~자봤쌈")</f>
        <v>감~자봤쌈</v>
      </c>
      <c r="B13384" s="2" t="str">
        <f>IFERROR(__xludf.DUMMYFUNCTION("""COMPUTED_VALUE"""),"셀러리장아찌")</f>
        <v>셀러리장아찌</v>
      </c>
    </row>
    <row r="13385">
      <c r="A13385" s="2" t="str">
        <f>IFERROR(__xludf.DUMMYFUNCTION("""COMPUTED_VALUE"""),"감~자봤쌈")</f>
        <v>감~자봤쌈</v>
      </c>
      <c r="B13385" s="2" t="str">
        <f>IFERROR(__xludf.DUMMYFUNCTION("""COMPUTED_VALUE"""),"쌈장")</f>
        <v>쌈장</v>
      </c>
    </row>
    <row r="13386">
      <c r="A13386" s="2" t="str">
        <f>IFERROR(__xludf.DUMMYFUNCTION("""COMPUTED_VALUE"""),"감~자봤쌈")</f>
        <v>감~자봤쌈</v>
      </c>
      <c r="B13386" s="2" t="str">
        <f>IFERROR(__xludf.DUMMYFUNCTION("""COMPUTED_VALUE"""),"마스카르포네 치즈")</f>
        <v>마스카르포네 치즈</v>
      </c>
    </row>
    <row r="13387">
      <c r="A13387" s="2" t="str">
        <f>IFERROR(__xludf.DUMMYFUNCTION("""COMPUTED_VALUE"""),"감~자봤쌈")</f>
        <v>감~자봤쌈</v>
      </c>
      <c r="B13387" s="2" t="str">
        <f>IFERROR(__xludf.DUMMYFUNCTION("""COMPUTED_VALUE"""),"하몽")</f>
        <v>하몽</v>
      </c>
    </row>
    <row r="13388">
      <c r="A13388" s="2" t="str">
        <f>IFERROR(__xludf.DUMMYFUNCTION("""COMPUTED_VALUE"""),"감~자봤쌈")</f>
        <v>감~자봤쌈</v>
      </c>
      <c r="B13388" s="2" t="str">
        <f>IFERROR(__xludf.DUMMYFUNCTION("""COMPUTED_VALUE"""),"파스타면")</f>
        <v>파스타면</v>
      </c>
    </row>
    <row r="13389">
      <c r="A13389" s="2" t="str">
        <f>IFERROR(__xludf.DUMMYFUNCTION("""COMPUTED_VALUE"""),"감~자봤쌈")</f>
        <v>감~자봤쌈</v>
      </c>
      <c r="B13389" s="2" t="str">
        <f>IFERROR(__xludf.DUMMYFUNCTION("""COMPUTED_VALUE"""),"육포")</f>
        <v>육포</v>
      </c>
    </row>
    <row r="13390">
      <c r="A13390" s="2" t="str">
        <f>IFERROR(__xludf.DUMMYFUNCTION("""COMPUTED_VALUE"""),"감~자봤쌈")</f>
        <v>감~자봤쌈</v>
      </c>
      <c r="B13390" s="2" t="str">
        <f>IFERROR(__xludf.DUMMYFUNCTION("""COMPUTED_VALUE"""),"할루미 치즈")</f>
        <v>할루미 치즈</v>
      </c>
    </row>
    <row r="13391">
      <c r="A13391" s="2" t="str">
        <f>IFERROR(__xludf.DUMMYFUNCTION("""COMPUTED_VALUE"""),"감~자봤쌈")</f>
        <v>감~자봤쌈</v>
      </c>
      <c r="B13391" s="2" t="str">
        <f>IFERROR(__xludf.DUMMYFUNCTION("""COMPUTED_VALUE"""),"고추장")</f>
        <v>고추장</v>
      </c>
    </row>
    <row r="13392">
      <c r="A13392" s="2" t="str">
        <f>IFERROR(__xludf.DUMMYFUNCTION("""COMPUTED_VALUE"""),"감~자봤쌈")</f>
        <v>감~자봤쌈</v>
      </c>
      <c r="B13392" s="2" t="str">
        <f>IFERROR(__xludf.DUMMYFUNCTION("""COMPUTED_VALUE"""),"간장")</f>
        <v>간장</v>
      </c>
    </row>
    <row r="13393">
      <c r="A13393" s="2" t="str">
        <f>IFERROR(__xludf.DUMMYFUNCTION("""COMPUTED_VALUE"""),"감~자봤쌈")</f>
        <v>감~자봤쌈</v>
      </c>
      <c r="B13393" s="2" t="str">
        <f>IFERROR(__xludf.DUMMYFUNCTION("""COMPUTED_VALUE"""),"설탕")</f>
        <v>설탕</v>
      </c>
    </row>
    <row r="13394">
      <c r="A13394" s="2" t="str">
        <f>IFERROR(__xludf.DUMMYFUNCTION("""COMPUTED_VALUE"""),"감~자봤쌈")</f>
        <v>감~자봤쌈</v>
      </c>
      <c r="B13394" s="2" t="str">
        <f>IFERROR(__xludf.DUMMYFUNCTION("""COMPUTED_VALUE"""),"밀가루")</f>
        <v>밀가루</v>
      </c>
    </row>
    <row r="13395">
      <c r="A13395" s="2" t="str">
        <f>IFERROR(__xludf.DUMMYFUNCTION("""COMPUTED_VALUE"""),"감~자봤쌈")</f>
        <v>감~자봤쌈</v>
      </c>
      <c r="B13395" s="2" t="str">
        <f>IFERROR(__xludf.DUMMYFUNCTION("""COMPUTED_VALUE"""),"소금")</f>
        <v>소금</v>
      </c>
    </row>
    <row r="13396">
      <c r="A13396" s="2" t="str">
        <f>IFERROR(__xludf.DUMMYFUNCTION("""COMPUTED_VALUE"""),"감~자봤쌈")</f>
        <v>감~자봤쌈</v>
      </c>
      <c r="B13396" s="2" t="str">
        <f>IFERROR(__xludf.DUMMYFUNCTION("""COMPUTED_VALUE"""),"양파")</f>
        <v>양파</v>
      </c>
    </row>
    <row r="13397">
      <c r="A13397" s="2" t="str">
        <f>IFERROR(__xludf.DUMMYFUNCTION("""COMPUTED_VALUE"""),"감~자봤쌈")</f>
        <v>감~자봤쌈</v>
      </c>
      <c r="B13397" s="2" t="str">
        <f>IFERROR(__xludf.DUMMYFUNCTION("""COMPUTED_VALUE"""),"대파")</f>
        <v>대파</v>
      </c>
    </row>
    <row r="13398">
      <c r="A13398" s="2" t="str">
        <f>IFERROR(__xludf.DUMMYFUNCTION("""COMPUTED_VALUE"""),"감~자봤쌈")</f>
        <v>감~자봤쌈</v>
      </c>
      <c r="B13398" s="2" t="str">
        <f>IFERROR(__xludf.DUMMYFUNCTION("""COMPUTED_VALUE"""),"홍고추")</f>
        <v>홍고추</v>
      </c>
    </row>
    <row r="13399">
      <c r="A13399" s="2" t="str">
        <f>IFERROR(__xludf.DUMMYFUNCTION("""COMPUTED_VALUE"""),"감~자봤쌈")</f>
        <v>감~자봤쌈</v>
      </c>
      <c r="B13399" s="2" t="str">
        <f>IFERROR(__xludf.DUMMYFUNCTION("""COMPUTED_VALUE"""),"맛술")</f>
        <v>맛술</v>
      </c>
    </row>
    <row r="13400">
      <c r="A13400" s="2" t="str">
        <f>IFERROR(__xludf.DUMMYFUNCTION("""COMPUTED_VALUE"""),"감~자봤쌈")</f>
        <v>감~자봤쌈</v>
      </c>
      <c r="B13400" s="2" t="str">
        <f>IFERROR(__xludf.DUMMYFUNCTION("""COMPUTED_VALUE"""),"후추")</f>
        <v>후추</v>
      </c>
    </row>
    <row r="13401">
      <c r="A13401" s="2" t="str">
        <f>IFERROR(__xludf.DUMMYFUNCTION("""COMPUTED_VALUE"""),"감~자봤쌈")</f>
        <v>감~자봤쌈</v>
      </c>
      <c r="B13401" s="2" t="str">
        <f>IFERROR(__xludf.DUMMYFUNCTION("""COMPUTED_VALUE"""),"물엿")</f>
        <v>물엿</v>
      </c>
    </row>
    <row r="13402">
      <c r="A13402" s="2" t="str">
        <f>IFERROR(__xludf.DUMMYFUNCTION("""COMPUTED_VALUE"""),"감~자봤쌈")</f>
        <v>감~자봤쌈</v>
      </c>
      <c r="B13402" s="2" t="str">
        <f>IFERROR(__xludf.DUMMYFUNCTION("""COMPUTED_VALUE"""),"올리브오일")</f>
        <v>올리브오일</v>
      </c>
    </row>
    <row r="13403">
      <c r="A13403" s="2" t="str">
        <f>IFERROR(__xludf.DUMMYFUNCTION("""COMPUTED_VALUE"""),"담비 내릴 두부")</f>
        <v>담비 내릴 두부</v>
      </c>
      <c r="B13403" s="2" t="str">
        <f>IFERROR(__xludf.DUMMYFUNCTION("""COMPUTED_VALUE"""),"두부")</f>
        <v>두부</v>
      </c>
    </row>
    <row r="13404">
      <c r="A13404" s="2" t="str">
        <f>IFERROR(__xludf.DUMMYFUNCTION("""COMPUTED_VALUE"""),"담비 내릴 두부")</f>
        <v>담비 내릴 두부</v>
      </c>
      <c r="B13404" s="2" t="str">
        <f>IFERROR(__xludf.DUMMYFUNCTION("""COMPUTED_VALUE"""),"살라미")</f>
        <v>살라미</v>
      </c>
    </row>
    <row r="13405">
      <c r="A13405" s="2" t="str">
        <f>IFERROR(__xludf.DUMMYFUNCTION("""COMPUTED_VALUE"""),"담비 내릴 두부")</f>
        <v>담비 내릴 두부</v>
      </c>
      <c r="B13405" s="2" t="str">
        <f>IFERROR(__xludf.DUMMYFUNCTION("""COMPUTED_VALUE"""),"감자")</f>
        <v>감자</v>
      </c>
    </row>
    <row r="13406">
      <c r="A13406" s="2" t="str">
        <f>IFERROR(__xludf.DUMMYFUNCTION("""COMPUTED_VALUE"""),"담비 내릴 두부")</f>
        <v>담비 내릴 두부</v>
      </c>
      <c r="B13406" s="2" t="str">
        <f>IFERROR(__xludf.DUMMYFUNCTION("""COMPUTED_VALUE"""),"모차렐라 치즈")</f>
        <v>모차렐라 치즈</v>
      </c>
    </row>
    <row r="13407">
      <c r="A13407" s="2" t="str">
        <f>IFERROR(__xludf.DUMMYFUNCTION("""COMPUTED_VALUE"""),"담비 내릴 두부")</f>
        <v>담비 내릴 두부</v>
      </c>
      <c r="B13407" s="2" t="str">
        <f>IFERROR(__xludf.DUMMYFUNCTION("""COMPUTED_VALUE"""),"하바티 치즈")</f>
        <v>하바티 치즈</v>
      </c>
    </row>
    <row r="13408">
      <c r="A13408" s="2" t="str">
        <f>IFERROR(__xludf.DUMMYFUNCTION("""COMPUTED_VALUE"""),"담비 내릴 두부")</f>
        <v>담비 내릴 두부</v>
      </c>
      <c r="B13408" s="2" t="str">
        <f>IFERROR(__xludf.DUMMYFUNCTION("""COMPUTED_VALUE"""),"고다 치즈")</f>
        <v>고다 치즈</v>
      </c>
    </row>
    <row r="13409">
      <c r="A13409" s="2" t="str">
        <f>IFERROR(__xludf.DUMMYFUNCTION("""COMPUTED_VALUE"""),"담비 내릴 두부")</f>
        <v>담비 내릴 두부</v>
      </c>
      <c r="B13409" s="2" t="str">
        <f>IFERROR(__xludf.DUMMYFUNCTION("""COMPUTED_VALUE"""),"살사소스")</f>
        <v>살사소스</v>
      </c>
    </row>
    <row r="13410">
      <c r="A13410" s="2" t="str">
        <f>IFERROR(__xludf.DUMMYFUNCTION("""COMPUTED_VALUE"""),"담비 내릴 두부")</f>
        <v>담비 내릴 두부</v>
      </c>
      <c r="B13410" s="2" t="str">
        <f>IFERROR(__xludf.DUMMYFUNCTION("""COMPUTED_VALUE"""),"시저드레싱")</f>
        <v>시저드레싱</v>
      </c>
    </row>
    <row r="13411">
      <c r="A13411" s="2" t="str">
        <f>IFERROR(__xludf.DUMMYFUNCTION("""COMPUTED_VALUE"""),"담비 내릴 두부")</f>
        <v>담비 내릴 두부</v>
      </c>
      <c r="B13411" s="2" t="str">
        <f>IFERROR(__xludf.DUMMYFUNCTION("""COMPUTED_VALUE"""),"발사믹 식초")</f>
        <v>발사믹 식초</v>
      </c>
    </row>
    <row r="13412">
      <c r="A13412" s="2" t="str">
        <f>IFERROR(__xludf.DUMMYFUNCTION("""COMPUTED_VALUE"""),"담비 내릴 두부")</f>
        <v>담비 내릴 두부</v>
      </c>
      <c r="B13412" s="2" t="str">
        <f>IFERROR(__xludf.DUMMYFUNCTION("""COMPUTED_VALUE"""),"셀러리장아찌")</f>
        <v>셀러리장아찌</v>
      </c>
    </row>
    <row r="13413">
      <c r="A13413" s="2" t="str">
        <f>IFERROR(__xludf.DUMMYFUNCTION("""COMPUTED_VALUE"""),"담비 내릴 두부")</f>
        <v>담비 내릴 두부</v>
      </c>
      <c r="B13413" s="2" t="str">
        <f>IFERROR(__xludf.DUMMYFUNCTION("""COMPUTED_VALUE"""),"케첩")</f>
        <v>케첩</v>
      </c>
    </row>
    <row r="13414">
      <c r="A13414" s="2" t="str">
        <f>IFERROR(__xludf.DUMMYFUNCTION("""COMPUTED_VALUE"""),"담비 내릴 두부")</f>
        <v>담비 내릴 두부</v>
      </c>
      <c r="B13414" s="2" t="str">
        <f>IFERROR(__xludf.DUMMYFUNCTION("""COMPUTED_VALUE"""),"사과")</f>
        <v>사과</v>
      </c>
    </row>
    <row r="13415">
      <c r="A13415" s="2" t="str">
        <f>IFERROR(__xludf.DUMMYFUNCTION("""COMPUTED_VALUE"""),"담비 내릴 두부")</f>
        <v>담비 내릴 두부</v>
      </c>
      <c r="B13415" s="2" t="str">
        <f>IFERROR(__xludf.DUMMYFUNCTION("""COMPUTED_VALUE"""),"전분")</f>
        <v>전분</v>
      </c>
    </row>
    <row r="13416">
      <c r="A13416" s="2" t="str">
        <f>IFERROR(__xludf.DUMMYFUNCTION("""COMPUTED_VALUE"""),"담비 내릴 두부")</f>
        <v>담비 내릴 두부</v>
      </c>
      <c r="B13416" s="2" t="str">
        <f>IFERROR(__xludf.DUMMYFUNCTION("""COMPUTED_VALUE"""),"설탕")</f>
        <v>설탕</v>
      </c>
    </row>
    <row r="13417">
      <c r="A13417" s="2" t="str">
        <f>IFERROR(__xludf.DUMMYFUNCTION("""COMPUTED_VALUE"""),"담비 내릴 두부")</f>
        <v>담비 내릴 두부</v>
      </c>
      <c r="B13417" s="2" t="str">
        <f>IFERROR(__xludf.DUMMYFUNCTION("""COMPUTED_VALUE"""),"당근")</f>
        <v>당근</v>
      </c>
    </row>
    <row r="13418">
      <c r="A13418" s="2" t="str">
        <f>IFERROR(__xludf.DUMMYFUNCTION("""COMPUTED_VALUE"""),"담비 내릴 두부")</f>
        <v>담비 내릴 두부</v>
      </c>
      <c r="B13418" s="2" t="str">
        <f>IFERROR(__xludf.DUMMYFUNCTION("""COMPUTED_VALUE"""),"양파")</f>
        <v>양파</v>
      </c>
    </row>
    <row r="13419">
      <c r="A13419" s="2" t="str">
        <f>IFERROR(__xludf.DUMMYFUNCTION("""COMPUTED_VALUE"""),"담비 내릴 두부")</f>
        <v>담비 내릴 두부</v>
      </c>
      <c r="B13419" s="2" t="str">
        <f>IFERROR(__xludf.DUMMYFUNCTION("""COMPUTED_VALUE"""),"마늘")</f>
        <v>마늘</v>
      </c>
    </row>
    <row r="13420">
      <c r="A13420" s="2" t="str">
        <f>IFERROR(__xludf.DUMMYFUNCTION("""COMPUTED_VALUE"""),"담비 내릴 두부")</f>
        <v>담비 내릴 두부</v>
      </c>
      <c r="B13420" s="2" t="str">
        <f>IFERROR(__xludf.DUMMYFUNCTION("""COMPUTED_VALUE"""),"마요네즈")</f>
        <v>마요네즈</v>
      </c>
    </row>
    <row r="13421">
      <c r="A13421" s="2" t="str">
        <f>IFERROR(__xludf.DUMMYFUNCTION("""COMPUTED_VALUE"""),"담비 내릴 두부")</f>
        <v>담비 내릴 두부</v>
      </c>
      <c r="B13421" s="2" t="str">
        <f>IFERROR(__xludf.DUMMYFUNCTION("""COMPUTED_VALUE"""),"레몬")</f>
        <v>레몬</v>
      </c>
    </row>
    <row r="13422">
      <c r="A13422" s="2" t="str">
        <f>IFERROR(__xludf.DUMMYFUNCTION("""COMPUTED_VALUE"""),"담비 내릴 두부")</f>
        <v>담비 내릴 두부</v>
      </c>
      <c r="B13422" s="2" t="str">
        <f>IFERROR(__xludf.DUMMYFUNCTION("""COMPUTED_VALUE"""),"올리브오일")</f>
        <v>올리브오일</v>
      </c>
    </row>
    <row r="13423">
      <c r="A13423" s="2" t="str">
        <f>IFERROR(__xludf.DUMMYFUNCTION("""COMPUTED_VALUE"""),"두부퀸")</f>
        <v>두부퀸</v>
      </c>
      <c r="B13423" s="2" t="str">
        <f>IFERROR(__xludf.DUMMYFUNCTION("""COMPUTED_VALUE"""),"두부")</f>
        <v>두부</v>
      </c>
    </row>
    <row r="13424">
      <c r="A13424" s="2" t="str">
        <f>IFERROR(__xludf.DUMMYFUNCTION("""COMPUTED_VALUE"""),"두부퀸")</f>
        <v>두부퀸</v>
      </c>
      <c r="B13424" s="2" t="str">
        <f>IFERROR(__xludf.DUMMYFUNCTION("""COMPUTED_VALUE"""),"살라미")</f>
        <v>살라미</v>
      </c>
    </row>
    <row r="13425">
      <c r="A13425" s="2" t="str">
        <f>IFERROR(__xludf.DUMMYFUNCTION("""COMPUTED_VALUE"""),"두부퀸")</f>
        <v>두부퀸</v>
      </c>
      <c r="B13425" s="2" t="str">
        <f>IFERROR(__xludf.DUMMYFUNCTION("""COMPUTED_VALUE"""),"찐 옥수수")</f>
        <v>찐 옥수수</v>
      </c>
    </row>
    <row r="13426">
      <c r="A13426" s="2" t="str">
        <f>IFERROR(__xludf.DUMMYFUNCTION("""COMPUTED_VALUE"""),"두부퀸")</f>
        <v>두부퀸</v>
      </c>
      <c r="B13426" s="2" t="str">
        <f>IFERROR(__xludf.DUMMYFUNCTION("""COMPUTED_VALUE"""),"페페론치노")</f>
        <v>페페론치노</v>
      </c>
    </row>
    <row r="13427">
      <c r="A13427" s="2" t="str">
        <f>IFERROR(__xludf.DUMMYFUNCTION("""COMPUTED_VALUE"""),"두부퀸")</f>
        <v>두부퀸</v>
      </c>
      <c r="B13427" s="2" t="str">
        <f>IFERROR(__xludf.DUMMYFUNCTION("""COMPUTED_VALUE"""),"마스카르포네 치즈")</f>
        <v>마스카르포네 치즈</v>
      </c>
    </row>
    <row r="13428">
      <c r="A13428" s="2" t="str">
        <f>IFERROR(__xludf.DUMMYFUNCTION("""COMPUTED_VALUE"""),"두부퀸")</f>
        <v>두부퀸</v>
      </c>
      <c r="B13428" s="2" t="str">
        <f>IFERROR(__xludf.DUMMYFUNCTION("""COMPUTED_VALUE"""),"꿀")</f>
        <v>꿀</v>
      </c>
    </row>
    <row r="13429">
      <c r="A13429" s="2" t="str">
        <f>IFERROR(__xludf.DUMMYFUNCTION("""COMPUTED_VALUE"""),"두부퀸")</f>
        <v>두부퀸</v>
      </c>
      <c r="B13429" s="2" t="str">
        <f>IFERROR(__xludf.DUMMYFUNCTION("""COMPUTED_VALUE"""),"냉동 딸기")</f>
        <v>냉동 딸기</v>
      </c>
    </row>
    <row r="13430">
      <c r="A13430" s="2" t="str">
        <f>IFERROR(__xludf.DUMMYFUNCTION("""COMPUTED_VALUE"""),"두부퀸")</f>
        <v>두부퀸</v>
      </c>
      <c r="B13430" s="2" t="str">
        <f>IFERROR(__xludf.DUMMYFUNCTION("""COMPUTED_VALUE"""),"냉동")</f>
        <v>냉동</v>
      </c>
    </row>
    <row r="13431">
      <c r="A13431" s="2" t="str">
        <f>IFERROR(__xludf.DUMMYFUNCTION("""COMPUTED_VALUE"""),"두부퀸")</f>
        <v>두부퀸</v>
      </c>
      <c r="B13431" s="2" t="str">
        <f>IFERROR(__xludf.DUMMYFUNCTION("""COMPUTED_VALUE"""),"블루베리")</f>
        <v>블루베리</v>
      </c>
    </row>
    <row r="13432">
      <c r="A13432" s="2" t="str">
        <f>IFERROR(__xludf.DUMMYFUNCTION("""COMPUTED_VALUE"""),"두부퀸")</f>
        <v>두부퀸</v>
      </c>
      <c r="B13432" s="2" t="str">
        <f>IFERROR(__xludf.DUMMYFUNCTION("""COMPUTED_VALUE"""),"아몬드")</f>
        <v>아몬드</v>
      </c>
    </row>
    <row r="13433">
      <c r="A13433" s="2" t="str">
        <f>IFERROR(__xludf.DUMMYFUNCTION("""COMPUTED_VALUE"""),"두부퀸")</f>
        <v>두부퀸</v>
      </c>
      <c r="B13433" s="2" t="str">
        <f>IFERROR(__xludf.DUMMYFUNCTION("""COMPUTED_VALUE"""),"튀밥")</f>
        <v>튀밥</v>
      </c>
    </row>
    <row r="13434">
      <c r="A13434" s="2" t="str">
        <f>IFERROR(__xludf.DUMMYFUNCTION("""COMPUTED_VALUE"""),"두부퀸")</f>
        <v>두부퀸</v>
      </c>
      <c r="B13434" s="2" t="str">
        <f>IFERROR(__xludf.DUMMYFUNCTION("""COMPUTED_VALUE"""),"오렌지맛 사탕")</f>
        <v>오렌지맛 사탕</v>
      </c>
    </row>
    <row r="13435">
      <c r="A13435" s="2" t="str">
        <f>IFERROR(__xludf.DUMMYFUNCTION("""COMPUTED_VALUE"""),"두부퀸")</f>
        <v>두부퀸</v>
      </c>
      <c r="B13435" s="2" t="str">
        <f>IFERROR(__xludf.DUMMYFUNCTION("""COMPUTED_VALUE"""),"케첩")</f>
        <v>케첩</v>
      </c>
    </row>
    <row r="13436">
      <c r="A13436" s="2" t="str">
        <f>IFERROR(__xludf.DUMMYFUNCTION("""COMPUTED_VALUE"""),"두부퀸")</f>
        <v>두부퀸</v>
      </c>
      <c r="B13436" s="2" t="str">
        <f>IFERROR(__xludf.DUMMYFUNCTION("""COMPUTED_VALUE"""),"전분")</f>
        <v>전분</v>
      </c>
    </row>
    <row r="13437">
      <c r="A13437" s="2" t="str">
        <f>IFERROR(__xludf.DUMMYFUNCTION("""COMPUTED_VALUE"""),"두부퀸")</f>
        <v>두부퀸</v>
      </c>
      <c r="B13437" s="2" t="str">
        <f>IFERROR(__xludf.DUMMYFUNCTION("""COMPUTED_VALUE"""),"올리브오일")</f>
        <v>올리브오일</v>
      </c>
    </row>
    <row r="13438">
      <c r="A13438" s="2" t="str">
        <f>IFERROR(__xludf.DUMMYFUNCTION("""COMPUTED_VALUE"""),"두부퀸")</f>
        <v>두부퀸</v>
      </c>
      <c r="B13438" s="2" t="str">
        <f>IFERROR(__xludf.DUMMYFUNCTION("""COMPUTED_VALUE"""),"양파")</f>
        <v>양파</v>
      </c>
    </row>
    <row r="13439">
      <c r="A13439" s="2" t="str">
        <f>IFERROR(__xludf.DUMMYFUNCTION("""COMPUTED_VALUE"""),"두부퀸")</f>
        <v>두부퀸</v>
      </c>
      <c r="B13439" s="2" t="str">
        <f>IFERROR(__xludf.DUMMYFUNCTION("""COMPUTED_VALUE"""),"설탕")</f>
        <v>설탕</v>
      </c>
    </row>
    <row r="13440">
      <c r="A13440" s="2" t="str">
        <f>IFERROR(__xludf.DUMMYFUNCTION("""COMPUTED_VALUE"""),"두부퀸")</f>
        <v>두부퀸</v>
      </c>
      <c r="B13440" s="2" t="str">
        <f>IFERROR(__xludf.DUMMYFUNCTION("""COMPUTED_VALUE"""),"고추")</f>
        <v>고추</v>
      </c>
    </row>
    <row r="13441">
      <c r="A13441" s="2" t="str">
        <f>IFERROR(__xludf.DUMMYFUNCTION("""COMPUTED_VALUE"""),"두부퀸")</f>
        <v>두부퀸</v>
      </c>
      <c r="B13441" s="2" t="str">
        <f>IFERROR(__xludf.DUMMYFUNCTION("""COMPUTED_VALUE"""),"홍고추")</f>
        <v>홍고추</v>
      </c>
    </row>
    <row r="13442">
      <c r="A13442" s="2" t="str">
        <f>IFERROR(__xludf.DUMMYFUNCTION("""COMPUTED_VALUE"""),"두부퀸")</f>
        <v>두부퀸</v>
      </c>
      <c r="B13442" s="2" t="str">
        <f>IFERROR(__xludf.DUMMYFUNCTION("""COMPUTED_VALUE"""),"후추")</f>
        <v>후추</v>
      </c>
    </row>
    <row r="13443">
      <c r="A13443" s="2" t="str">
        <f>IFERROR(__xludf.DUMMYFUNCTION("""COMPUTED_VALUE"""),"두부퀸")</f>
        <v>두부퀸</v>
      </c>
      <c r="B13443" s="2" t="str">
        <f>IFERROR(__xludf.DUMMYFUNCTION("""COMPUTED_VALUE"""),"레몬")</f>
        <v>레몬</v>
      </c>
    </row>
    <row r="13444">
      <c r="A13444" s="2" t="str">
        <f>IFERROR(__xludf.DUMMYFUNCTION("""COMPUTED_VALUE"""),"두부퀸")</f>
        <v>두부퀸</v>
      </c>
      <c r="B13444" s="2" t="str">
        <f>IFERROR(__xludf.DUMMYFUNCTION("""COMPUTED_VALUE"""),"대파")</f>
        <v>대파</v>
      </c>
    </row>
    <row r="13445">
      <c r="A13445" s="2" t="str">
        <f>IFERROR(__xludf.DUMMYFUNCTION("""COMPUTED_VALUE"""),"인사이덕")</f>
        <v>인사이덕</v>
      </c>
      <c r="B13445" s="2" t="str">
        <f>IFERROR(__xludf.DUMMYFUNCTION("""COMPUTED_VALUE"""),"오리고기")</f>
        <v>오리고기</v>
      </c>
    </row>
    <row r="13446">
      <c r="A13446" s="2" t="str">
        <f>IFERROR(__xludf.DUMMYFUNCTION("""COMPUTED_VALUE"""),"인사이덕")</f>
        <v>인사이덕</v>
      </c>
      <c r="B13446" s="2" t="str">
        <f>IFERROR(__xludf.DUMMYFUNCTION("""COMPUTED_VALUE"""),"인스턴트 곰탕")</f>
        <v>인스턴트 곰탕</v>
      </c>
    </row>
    <row r="13447">
      <c r="A13447" s="2" t="str">
        <f>IFERROR(__xludf.DUMMYFUNCTION("""COMPUTED_VALUE"""),"인사이덕")</f>
        <v>인사이덕</v>
      </c>
      <c r="B13447" s="2" t="str">
        <f>IFERROR(__xludf.DUMMYFUNCTION("""COMPUTED_VALUE"""),"자몽청")</f>
        <v>자몽청</v>
      </c>
    </row>
    <row r="13448">
      <c r="A13448" s="2" t="str">
        <f>IFERROR(__xludf.DUMMYFUNCTION("""COMPUTED_VALUE"""),"인사이덕")</f>
        <v>인사이덕</v>
      </c>
      <c r="B13448" s="2" t="str">
        <f>IFERROR(__xludf.DUMMYFUNCTION("""COMPUTED_VALUE"""),"레몬청")</f>
        <v>레몬청</v>
      </c>
    </row>
    <row r="13449">
      <c r="A13449" s="2" t="str">
        <f>IFERROR(__xludf.DUMMYFUNCTION("""COMPUTED_VALUE"""),"인사이덕")</f>
        <v>인사이덕</v>
      </c>
      <c r="B13449" s="2" t="str">
        <f>IFERROR(__xludf.DUMMYFUNCTION("""COMPUTED_VALUE"""),"곶감")</f>
        <v>곶감</v>
      </c>
    </row>
    <row r="13450">
      <c r="A13450" s="2" t="str">
        <f>IFERROR(__xludf.DUMMYFUNCTION("""COMPUTED_VALUE"""),"인사이덕")</f>
        <v>인사이덕</v>
      </c>
      <c r="B13450" s="2" t="str">
        <f>IFERROR(__xludf.DUMMYFUNCTION("""COMPUTED_VALUE"""),"삶은 쥐눈이콩&amp;팥")</f>
        <v>삶은 쥐눈이콩&amp;팥</v>
      </c>
    </row>
    <row r="13451">
      <c r="A13451" s="2" t="str">
        <f>IFERROR(__xludf.DUMMYFUNCTION("""COMPUTED_VALUE"""),"인사이덕")</f>
        <v>인사이덕</v>
      </c>
      <c r="B13451" s="2" t="str">
        <f>IFERROR(__xludf.DUMMYFUNCTION("""COMPUTED_VALUE"""),"데친 브로콜리")</f>
        <v>데친 브로콜리</v>
      </c>
    </row>
    <row r="13452">
      <c r="A13452" s="2" t="str">
        <f>IFERROR(__xludf.DUMMYFUNCTION("""COMPUTED_VALUE"""),"인사이덕")</f>
        <v>인사이덕</v>
      </c>
      <c r="B13452" s="2" t="str">
        <f>IFERROR(__xludf.DUMMYFUNCTION("""COMPUTED_VALUE"""),"자색 찐고구마")</f>
        <v>자색 찐고구마</v>
      </c>
    </row>
    <row r="13453">
      <c r="A13453" s="2" t="str">
        <f>IFERROR(__xludf.DUMMYFUNCTION("""COMPUTED_VALUE"""),"인사이덕")</f>
        <v>인사이덕</v>
      </c>
      <c r="B13453" s="2" t="str">
        <f>IFERROR(__xludf.DUMMYFUNCTION("""COMPUTED_VALUE"""),"김")</f>
        <v>김</v>
      </c>
    </row>
    <row r="13454">
      <c r="A13454" s="2" t="str">
        <f>IFERROR(__xludf.DUMMYFUNCTION("""COMPUTED_VALUE"""),"인사이덕")</f>
        <v>인사이덕</v>
      </c>
      <c r="B13454" s="2" t="str">
        <f>IFERROR(__xludf.DUMMYFUNCTION("""COMPUTED_VALUE"""),"오징어낙지볶음소스")</f>
        <v>오징어낙지볶음소스</v>
      </c>
    </row>
    <row r="13455">
      <c r="A13455" s="2" t="str">
        <f>IFERROR(__xludf.DUMMYFUNCTION("""COMPUTED_VALUE"""),"인사이덕")</f>
        <v>인사이덕</v>
      </c>
      <c r="B13455" s="2" t="str">
        <f>IFERROR(__xludf.DUMMYFUNCTION("""COMPUTED_VALUE"""),"식초")</f>
        <v>식초</v>
      </c>
    </row>
    <row r="13456">
      <c r="A13456" s="2" t="str">
        <f>IFERROR(__xludf.DUMMYFUNCTION("""COMPUTED_VALUE"""),"인사이덕")</f>
        <v>인사이덕</v>
      </c>
      <c r="B13456" s="2" t="str">
        <f>IFERROR(__xludf.DUMMYFUNCTION("""COMPUTED_VALUE"""),"달걀")</f>
        <v>달걀</v>
      </c>
    </row>
    <row r="13457">
      <c r="A13457" s="2" t="str">
        <f>IFERROR(__xludf.DUMMYFUNCTION("""COMPUTED_VALUE"""),"인사이덕")</f>
        <v>인사이덕</v>
      </c>
      <c r="B13457" s="2" t="str">
        <f>IFERROR(__xludf.DUMMYFUNCTION("""COMPUTED_VALUE"""),"맛술")</f>
        <v>맛술</v>
      </c>
    </row>
    <row r="13458">
      <c r="A13458" s="2" t="str">
        <f>IFERROR(__xludf.DUMMYFUNCTION("""COMPUTED_VALUE"""),"인사이덕")</f>
        <v>인사이덕</v>
      </c>
      <c r="B13458" s="2" t="str">
        <f>IFERROR(__xludf.DUMMYFUNCTION("""COMPUTED_VALUE"""),"청주")</f>
        <v>청주</v>
      </c>
    </row>
    <row r="13459">
      <c r="A13459" s="2" t="str">
        <f>IFERROR(__xludf.DUMMYFUNCTION("""COMPUTED_VALUE"""),"인사이덕")</f>
        <v>인사이덕</v>
      </c>
      <c r="B13459" s="2" t="str">
        <f>IFERROR(__xludf.DUMMYFUNCTION("""COMPUTED_VALUE"""),"간장")</f>
        <v>간장</v>
      </c>
    </row>
    <row r="13460">
      <c r="A13460" s="2" t="str">
        <f>IFERROR(__xludf.DUMMYFUNCTION("""COMPUTED_VALUE"""),"인사이덕")</f>
        <v>인사이덕</v>
      </c>
      <c r="B13460" s="2" t="str">
        <f>IFERROR(__xludf.DUMMYFUNCTION("""COMPUTED_VALUE"""),"올리브오일")</f>
        <v>올리브오일</v>
      </c>
    </row>
    <row r="13461">
      <c r="A13461" s="2" t="str">
        <f>IFERROR(__xludf.DUMMYFUNCTION("""COMPUTED_VALUE"""),"인사이덕")</f>
        <v>인사이덕</v>
      </c>
      <c r="B13461" s="2" t="str">
        <f>IFERROR(__xludf.DUMMYFUNCTION("""COMPUTED_VALUE"""),"생강")</f>
        <v>생강</v>
      </c>
    </row>
    <row r="13462">
      <c r="A13462" s="2" t="str">
        <f>IFERROR(__xludf.DUMMYFUNCTION("""COMPUTED_VALUE"""),"인사이덕")</f>
        <v>인사이덕</v>
      </c>
      <c r="B13462" s="2" t="str">
        <f>IFERROR(__xludf.DUMMYFUNCTION("""COMPUTED_VALUE"""),"즉석밥")</f>
        <v>즉석밥</v>
      </c>
    </row>
    <row r="13463">
      <c r="A13463" s="2" t="str">
        <f>IFERROR(__xludf.DUMMYFUNCTION("""COMPUTED_VALUE"""),"인사이덕")</f>
        <v>인사이덕</v>
      </c>
      <c r="B13463" s="2" t="str">
        <f>IFERROR(__xludf.DUMMYFUNCTION("""COMPUTED_VALUE"""),"전분")</f>
        <v>전분</v>
      </c>
    </row>
    <row r="13464">
      <c r="A13464" s="2" t="str">
        <f>IFERROR(__xludf.DUMMYFUNCTION("""COMPUTED_VALUE"""),"인사이덕")</f>
        <v>인사이덕</v>
      </c>
      <c r="B13464" s="2" t="str">
        <f>IFERROR(__xludf.DUMMYFUNCTION("""COMPUTED_VALUE"""),"튀김가루")</f>
        <v>튀김가루</v>
      </c>
    </row>
    <row r="13465">
      <c r="A13465" s="2" t="str">
        <f>IFERROR(__xludf.DUMMYFUNCTION("""COMPUTED_VALUE"""),"광이 나는 함박♬")</f>
        <v>광이 나는 함박♬</v>
      </c>
      <c r="B13465" s="2" t="str">
        <f>IFERROR(__xludf.DUMMYFUNCTION("""COMPUTED_VALUE"""),"오리고기")</f>
        <v>오리고기</v>
      </c>
    </row>
    <row r="13466">
      <c r="A13466" s="2" t="str">
        <f>IFERROR(__xludf.DUMMYFUNCTION("""COMPUTED_VALUE"""),"광이 나는 함박♬")</f>
        <v>광이 나는 함박♬</v>
      </c>
      <c r="B13466" s="2" t="str">
        <f>IFERROR(__xludf.DUMMYFUNCTION("""COMPUTED_VALUE"""),"소갈비양념")</f>
        <v>소갈비양념</v>
      </c>
    </row>
    <row r="13467">
      <c r="A13467" s="2" t="str">
        <f>IFERROR(__xludf.DUMMYFUNCTION("""COMPUTED_VALUE"""),"광이 나는 함박♬")</f>
        <v>광이 나는 함박♬</v>
      </c>
      <c r="B13467" s="2" t="str">
        <f>IFERROR(__xludf.DUMMYFUNCTION("""COMPUTED_VALUE"""),"스위트 칠리소스")</f>
        <v>스위트 칠리소스</v>
      </c>
    </row>
    <row r="13468">
      <c r="A13468" s="2" t="str">
        <f>IFERROR(__xludf.DUMMYFUNCTION("""COMPUTED_VALUE"""),"광이 나는 함박♬")</f>
        <v>광이 나는 함박♬</v>
      </c>
      <c r="B13468" s="2" t="str">
        <f>IFERROR(__xludf.DUMMYFUNCTION("""COMPUTED_VALUE"""),"아이스크림")</f>
        <v>아이스크림</v>
      </c>
    </row>
    <row r="13469">
      <c r="A13469" s="2" t="str">
        <f>IFERROR(__xludf.DUMMYFUNCTION("""COMPUTED_VALUE"""),"광이 나는 함박♬")</f>
        <v>광이 나는 함박♬</v>
      </c>
      <c r="B13469" s="2" t="str">
        <f>IFERROR(__xludf.DUMMYFUNCTION("""COMPUTED_VALUE"""),"감자칩")</f>
        <v>감자칩</v>
      </c>
    </row>
    <row r="13470">
      <c r="A13470" s="2" t="str">
        <f>IFERROR(__xludf.DUMMYFUNCTION("""COMPUTED_VALUE"""),"광이 나는 함박♬")</f>
        <v>광이 나는 함박♬</v>
      </c>
      <c r="B13470" s="2" t="str">
        <f>IFERROR(__xludf.DUMMYFUNCTION("""COMPUTED_VALUE"""),"설탕")</f>
        <v>설탕</v>
      </c>
    </row>
    <row r="13471">
      <c r="A13471" s="2" t="str">
        <f>IFERROR(__xludf.DUMMYFUNCTION("""COMPUTED_VALUE"""),"광이 나는 함박♬")</f>
        <v>광이 나는 함박♬</v>
      </c>
      <c r="B13471" s="2" t="str">
        <f>IFERROR(__xludf.DUMMYFUNCTION("""COMPUTED_VALUE"""),"달걀")</f>
        <v>달걀</v>
      </c>
    </row>
    <row r="13472">
      <c r="A13472" s="2" t="str">
        <f>IFERROR(__xludf.DUMMYFUNCTION("""COMPUTED_VALUE"""),"광이 나는 함박♬")</f>
        <v>광이 나는 함박♬</v>
      </c>
      <c r="B13472" s="2" t="str">
        <f>IFERROR(__xludf.DUMMYFUNCTION("""COMPUTED_VALUE"""),"전분")</f>
        <v>전분</v>
      </c>
    </row>
    <row r="13473">
      <c r="A13473" s="2" t="str">
        <f>IFERROR(__xludf.DUMMYFUNCTION("""COMPUTED_VALUE"""),"광이 나는 함박♬")</f>
        <v>광이 나는 함박♬</v>
      </c>
      <c r="B13473" s="2" t="str">
        <f>IFERROR(__xludf.DUMMYFUNCTION("""COMPUTED_VALUE"""),"다진 마늘")</f>
        <v>다진 마늘</v>
      </c>
    </row>
    <row r="13474">
      <c r="A13474" s="2" t="str">
        <f>IFERROR(__xludf.DUMMYFUNCTION("""COMPUTED_VALUE"""),"광이 나는 함박♬")</f>
        <v>광이 나는 함박♬</v>
      </c>
      <c r="B13474" s="2" t="str">
        <f>IFERROR(__xludf.DUMMYFUNCTION("""COMPUTED_VALUE"""),"대파")</f>
        <v>대파</v>
      </c>
    </row>
    <row r="13475">
      <c r="A13475" s="2" t="str">
        <f>IFERROR(__xludf.DUMMYFUNCTION("""COMPUTED_VALUE"""),"광이 나는 함박♬")</f>
        <v>광이 나는 함박♬</v>
      </c>
      <c r="B13475" s="2" t="str">
        <f>IFERROR(__xludf.DUMMYFUNCTION("""COMPUTED_VALUE"""),"청주")</f>
        <v>청주</v>
      </c>
    </row>
    <row r="13476">
      <c r="A13476" s="2" t="str">
        <f>IFERROR(__xludf.DUMMYFUNCTION("""COMPUTED_VALUE"""),"광이 나는 함박♬")</f>
        <v>광이 나는 함박♬</v>
      </c>
      <c r="B13476" s="2" t="str">
        <f>IFERROR(__xludf.DUMMYFUNCTION("""COMPUTED_VALUE"""),"양파")</f>
        <v>양파</v>
      </c>
    </row>
    <row r="13477">
      <c r="A13477" s="2" t="str">
        <f>IFERROR(__xludf.DUMMYFUNCTION("""COMPUTED_VALUE"""),"광이 나는 함박♬")</f>
        <v>광이 나는 함박♬</v>
      </c>
      <c r="B13477" s="2" t="str">
        <f>IFERROR(__xludf.DUMMYFUNCTION("""COMPUTED_VALUE"""),"당근")</f>
        <v>당근</v>
      </c>
    </row>
    <row r="13478">
      <c r="A13478" s="2" t="str">
        <f>IFERROR(__xludf.DUMMYFUNCTION("""COMPUTED_VALUE"""),"광이 나는 함박♬")</f>
        <v>광이 나는 함박♬</v>
      </c>
      <c r="B13478" s="2" t="str">
        <f>IFERROR(__xludf.DUMMYFUNCTION("""COMPUTED_VALUE"""),"밀가루")</f>
        <v>밀가루</v>
      </c>
    </row>
    <row r="13479">
      <c r="A13479" s="2" t="str">
        <f>IFERROR(__xludf.DUMMYFUNCTION("""COMPUTED_VALUE"""),"광이 나는 함박♬")</f>
        <v>광이 나는 함박♬</v>
      </c>
      <c r="B13479" s="2" t="str">
        <f>IFERROR(__xludf.DUMMYFUNCTION("""COMPUTED_VALUE"""),"고춧가루")</f>
        <v>고춧가루</v>
      </c>
    </row>
    <row r="13480">
      <c r="A13480" s="2" t="str">
        <f>IFERROR(__xludf.DUMMYFUNCTION("""COMPUTED_VALUE"""),"광이 나는 함박♬")</f>
        <v>광이 나는 함박♬</v>
      </c>
      <c r="B13480" s="2" t="str">
        <f>IFERROR(__xludf.DUMMYFUNCTION("""COMPUTED_VALUE"""),"케첩")</f>
        <v>케첩</v>
      </c>
    </row>
    <row r="13481">
      <c r="A13481" s="2" t="str">
        <f>IFERROR(__xludf.DUMMYFUNCTION("""COMPUTED_VALUE"""),"광이 나는 함박♬")</f>
        <v>광이 나는 함박♬</v>
      </c>
      <c r="B13481" s="2" t="str">
        <f>IFERROR(__xludf.DUMMYFUNCTION("""COMPUTED_VALUE"""),"물엿")</f>
        <v>물엿</v>
      </c>
    </row>
    <row r="13482">
      <c r="A13482" s="2" t="str">
        <f>IFERROR(__xludf.DUMMYFUNCTION("""COMPUTED_VALUE"""),"광이 나는 함박♬")</f>
        <v>광이 나는 함박♬</v>
      </c>
      <c r="B13482" s="2" t="str">
        <f>IFERROR(__xludf.DUMMYFUNCTION("""COMPUTED_VALUE"""),"고추장")</f>
        <v>고추장</v>
      </c>
    </row>
    <row r="13483">
      <c r="A13483" s="2" t="str">
        <f>IFERROR(__xludf.DUMMYFUNCTION("""COMPUTED_VALUE"""),"광이 나는 함박♬")</f>
        <v>광이 나는 함박♬</v>
      </c>
      <c r="B13483" s="2" t="str">
        <f>IFERROR(__xludf.DUMMYFUNCTION("""COMPUTED_VALUE"""),"물")</f>
        <v>물</v>
      </c>
    </row>
    <row r="13484">
      <c r="A13484" s="2" t="str">
        <f>IFERROR(__xludf.DUMMYFUNCTION("""COMPUTED_VALUE"""),"마늘 어찌하오리")</f>
        <v>마늘 어찌하오리</v>
      </c>
      <c r="B13484" s="2" t="str">
        <f>IFERROR(__xludf.DUMMYFUNCTION("""COMPUTED_VALUE"""),"오리고기")</f>
        <v>오리고기</v>
      </c>
    </row>
    <row r="13485">
      <c r="A13485" s="2" t="str">
        <f>IFERROR(__xludf.DUMMYFUNCTION("""COMPUTED_VALUE"""),"마늘 어찌하오리")</f>
        <v>마늘 어찌하오리</v>
      </c>
      <c r="B13485" s="2" t="str">
        <f>IFERROR(__xludf.DUMMYFUNCTION("""COMPUTED_VALUE"""),"인스턴트 곰탕")</f>
        <v>인스턴트 곰탕</v>
      </c>
    </row>
    <row r="13486">
      <c r="A13486" s="2" t="str">
        <f>IFERROR(__xludf.DUMMYFUNCTION("""COMPUTED_VALUE"""),"마늘 어찌하오리")</f>
        <v>마늘 어찌하오리</v>
      </c>
      <c r="B13486" s="2" t="str">
        <f>IFERROR(__xludf.DUMMYFUNCTION("""COMPUTED_VALUE"""),"초장")</f>
        <v>초장</v>
      </c>
    </row>
    <row r="13487">
      <c r="A13487" s="2" t="str">
        <f>IFERROR(__xludf.DUMMYFUNCTION("""COMPUTED_VALUE"""),"마늘 어찌하오리")</f>
        <v>마늘 어찌하오리</v>
      </c>
      <c r="B13487" s="2" t="str">
        <f>IFERROR(__xludf.DUMMYFUNCTION("""COMPUTED_VALUE"""),"미숫가루")</f>
        <v>미숫가루</v>
      </c>
    </row>
    <row r="13488">
      <c r="A13488" s="2" t="str">
        <f>IFERROR(__xludf.DUMMYFUNCTION("""COMPUTED_VALUE"""),"마늘 어찌하오리")</f>
        <v>마늘 어찌하오리</v>
      </c>
      <c r="B13488" s="2" t="str">
        <f>IFERROR(__xludf.DUMMYFUNCTION("""COMPUTED_VALUE"""),"들깻가루")</f>
        <v>들깻가루</v>
      </c>
    </row>
    <row r="13489">
      <c r="A13489" s="2" t="str">
        <f>IFERROR(__xludf.DUMMYFUNCTION("""COMPUTED_VALUE"""),"마늘 어찌하오리")</f>
        <v>마늘 어찌하오리</v>
      </c>
      <c r="B13489" s="2" t="str">
        <f>IFERROR(__xludf.DUMMYFUNCTION("""COMPUTED_VALUE"""),"양배추")</f>
        <v>양배추</v>
      </c>
    </row>
    <row r="13490">
      <c r="A13490" s="2" t="str">
        <f>IFERROR(__xludf.DUMMYFUNCTION("""COMPUTED_VALUE"""),"마늘 어찌하오리")</f>
        <v>마늘 어찌하오리</v>
      </c>
      <c r="B13490" s="2" t="str">
        <f>IFERROR(__xludf.DUMMYFUNCTION("""COMPUTED_VALUE"""),"양상추")</f>
        <v>양상추</v>
      </c>
    </row>
    <row r="13491">
      <c r="A13491" s="2" t="str">
        <f>IFERROR(__xludf.DUMMYFUNCTION("""COMPUTED_VALUE"""),"마늘 어찌하오리")</f>
        <v>마늘 어찌하오리</v>
      </c>
      <c r="B13491" s="2" t="str">
        <f>IFERROR(__xludf.DUMMYFUNCTION("""COMPUTED_VALUE"""),"마늘")</f>
        <v>마늘</v>
      </c>
    </row>
    <row r="13492">
      <c r="A13492" s="2" t="str">
        <f>IFERROR(__xludf.DUMMYFUNCTION("""COMPUTED_VALUE"""),"마늘 어찌하오리")</f>
        <v>마늘 어찌하오리</v>
      </c>
      <c r="B13492" s="2" t="str">
        <f>IFERROR(__xludf.DUMMYFUNCTION("""COMPUTED_VALUE"""),"다진 마늘")</f>
        <v>다진 마늘</v>
      </c>
    </row>
    <row r="13493">
      <c r="A13493" s="2" t="str">
        <f>IFERROR(__xludf.DUMMYFUNCTION("""COMPUTED_VALUE"""),"마늘 어찌하오리")</f>
        <v>마늘 어찌하오리</v>
      </c>
      <c r="B13493" s="2" t="str">
        <f>IFERROR(__xludf.DUMMYFUNCTION("""COMPUTED_VALUE"""),"생강")</f>
        <v>생강</v>
      </c>
    </row>
    <row r="13494">
      <c r="A13494" s="2" t="str">
        <f>IFERROR(__xludf.DUMMYFUNCTION("""COMPUTED_VALUE"""),"마늘 어찌하오리")</f>
        <v>마늘 어찌하오리</v>
      </c>
      <c r="B13494" s="2" t="str">
        <f>IFERROR(__xludf.DUMMYFUNCTION("""COMPUTED_VALUE"""),"된장")</f>
        <v>된장</v>
      </c>
    </row>
    <row r="13495">
      <c r="A13495" s="2" t="str">
        <f>IFERROR(__xludf.DUMMYFUNCTION("""COMPUTED_VALUE"""),"마늘 어찌하오리")</f>
        <v>마늘 어찌하오리</v>
      </c>
      <c r="B13495" s="2" t="str">
        <f>IFERROR(__xludf.DUMMYFUNCTION("""COMPUTED_VALUE"""),"식초")</f>
        <v>식초</v>
      </c>
    </row>
    <row r="13496">
      <c r="A13496" s="2" t="str">
        <f>IFERROR(__xludf.DUMMYFUNCTION("""COMPUTED_VALUE"""),"마늘 어찌하오리")</f>
        <v>마늘 어찌하오리</v>
      </c>
      <c r="B13496" s="2" t="str">
        <f>IFERROR(__xludf.DUMMYFUNCTION("""COMPUTED_VALUE"""),"설탕")</f>
        <v>설탕</v>
      </c>
    </row>
    <row r="13497">
      <c r="A13497" s="2" t="str">
        <f>IFERROR(__xludf.DUMMYFUNCTION("""COMPUTED_VALUE"""),"마늘 어찌하오리")</f>
        <v>마늘 어찌하오리</v>
      </c>
      <c r="B13497" s="2" t="str">
        <f>IFERROR(__xludf.DUMMYFUNCTION("""COMPUTED_VALUE"""),"간장")</f>
        <v>간장</v>
      </c>
    </row>
    <row r="13498">
      <c r="A13498" s="2" t="str">
        <f>IFERROR(__xludf.DUMMYFUNCTION("""COMPUTED_VALUE"""),"마늘 어찌하오리")</f>
        <v>마늘 어찌하오리</v>
      </c>
      <c r="B13498" s="2" t="str">
        <f>IFERROR(__xludf.DUMMYFUNCTION("""COMPUTED_VALUE"""),"들기름")</f>
        <v>들기름</v>
      </c>
    </row>
    <row r="13499">
      <c r="A13499" s="2" t="str">
        <f>IFERROR(__xludf.DUMMYFUNCTION("""COMPUTED_VALUE"""),"마늘 어찌하오리")</f>
        <v>마늘 어찌하오리</v>
      </c>
      <c r="B13499" s="2" t="str">
        <f>IFERROR(__xludf.DUMMYFUNCTION("""COMPUTED_VALUE"""),"고춧가루")</f>
        <v>고춧가루</v>
      </c>
    </row>
    <row r="13500">
      <c r="A13500" s="2" t="str">
        <f>IFERROR(__xludf.DUMMYFUNCTION("""COMPUTED_VALUE"""),"마늘 어찌하오리")</f>
        <v>마늘 어찌하오리</v>
      </c>
      <c r="B13500" s="2" t="str">
        <f>IFERROR(__xludf.DUMMYFUNCTION("""COMPUTED_VALUE"""),"청양고추")</f>
        <v>청양고추</v>
      </c>
    </row>
    <row r="13501">
      <c r="A13501" s="2" t="str">
        <f>IFERROR(__xludf.DUMMYFUNCTION("""COMPUTED_VALUE"""),"마늘 어찌하오리")</f>
        <v>마늘 어찌하오리</v>
      </c>
      <c r="B13501" s="2" t="str">
        <f>IFERROR(__xludf.DUMMYFUNCTION("""COMPUTED_VALUE"""),"물")</f>
        <v>물</v>
      </c>
    </row>
    <row r="13502">
      <c r="A13502" s="2" t="str">
        <f>IFERROR(__xludf.DUMMYFUNCTION("""COMPUTED_VALUE"""),"너마늘 위한 목살")</f>
        <v>너마늘 위한 목살</v>
      </c>
      <c r="B13502" s="2" t="str">
        <f>IFERROR(__xludf.DUMMYFUNCTION("""COMPUTED_VALUE"""),"돼지목살")</f>
        <v>돼지목살</v>
      </c>
    </row>
    <row r="13503">
      <c r="A13503" s="2" t="str">
        <f>IFERROR(__xludf.DUMMYFUNCTION("""COMPUTED_VALUE"""),"너마늘 위한 목살")</f>
        <v>너마늘 위한 목살</v>
      </c>
      <c r="B13503" s="2" t="str">
        <f>IFERROR(__xludf.DUMMYFUNCTION("""COMPUTED_VALUE"""),"양배추")</f>
        <v>양배추</v>
      </c>
    </row>
    <row r="13504">
      <c r="A13504" s="2" t="str">
        <f>IFERROR(__xludf.DUMMYFUNCTION("""COMPUTED_VALUE"""),"너마늘 위한 목살")</f>
        <v>너마늘 위한 목살</v>
      </c>
      <c r="B13504" s="2" t="str">
        <f>IFERROR(__xludf.DUMMYFUNCTION("""COMPUTED_VALUE"""),"한라봉청")</f>
        <v>한라봉청</v>
      </c>
    </row>
    <row r="13505">
      <c r="A13505" s="2" t="str">
        <f>IFERROR(__xludf.DUMMYFUNCTION("""COMPUTED_VALUE"""),"너마늘 위한 목살")</f>
        <v>너마늘 위한 목살</v>
      </c>
      <c r="B13505" s="2" t="str">
        <f>IFERROR(__xludf.DUMMYFUNCTION("""COMPUTED_VALUE"""),"찹쌀가루")</f>
        <v>찹쌀가루</v>
      </c>
    </row>
    <row r="13506">
      <c r="A13506" s="2" t="str">
        <f>IFERROR(__xludf.DUMMYFUNCTION("""COMPUTED_VALUE"""),"너마늘 위한 목살")</f>
        <v>너마늘 위한 목살</v>
      </c>
      <c r="B13506" s="2" t="str">
        <f>IFERROR(__xludf.DUMMYFUNCTION("""COMPUTED_VALUE"""),"마늘")</f>
        <v>마늘</v>
      </c>
    </row>
    <row r="13507">
      <c r="A13507" s="2" t="str">
        <f>IFERROR(__xludf.DUMMYFUNCTION("""COMPUTED_VALUE"""),"너마늘 위한 목살")</f>
        <v>너마늘 위한 목살</v>
      </c>
      <c r="B13507" s="2" t="str">
        <f>IFERROR(__xludf.DUMMYFUNCTION("""COMPUTED_VALUE"""),"대파")</f>
        <v>대파</v>
      </c>
    </row>
    <row r="13508">
      <c r="A13508" s="2" t="str">
        <f>IFERROR(__xludf.DUMMYFUNCTION("""COMPUTED_VALUE"""),"너마늘 위한 목살")</f>
        <v>너마늘 위한 목살</v>
      </c>
      <c r="B13508" s="2" t="str">
        <f>IFERROR(__xludf.DUMMYFUNCTION("""COMPUTED_VALUE"""),"고춧가루")</f>
        <v>고춧가루</v>
      </c>
    </row>
    <row r="13509">
      <c r="A13509" s="2" t="str">
        <f>IFERROR(__xludf.DUMMYFUNCTION("""COMPUTED_VALUE"""),"너마늘 위한 목살")</f>
        <v>너마늘 위한 목살</v>
      </c>
      <c r="B13509" s="2" t="str">
        <f>IFERROR(__xludf.DUMMYFUNCTION("""COMPUTED_VALUE"""),"맛술")</f>
        <v>맛술</v>
      </c>
    </row>
    <row r="13510">
      <c r="A13510" s="2" t="str">
        <f>IFERROR(__xludf.DUMMYFUNCTION("""COMPUTED_VALUE"""),"너마늘 위한 목살")</f>
        <v>너마늘 위한 목살</v>
      </c>
      <c r="B13510" s="2" t="str">
        <f>IFERROR(__xludf.DUMMYFUNCTION("""COMPUTED_VALUE"""),"간장")</f>
        <v>간장</v>
      </c>
    </row>
    <row r="13511">
      <c r="A13511" s="2" t="str">
        <f>IFERROR(__xludf.DUMMYFUNCTION("""COMPUTED_VALUE"""),"너마늘 위한 목살")</f>
        <v>너마늘 위한 목살</v>
      </c>
      <c r="B13511" s="2" t="str">
        <f>IFERROR(__xludf.DUMMYFUNCTION("""COMPUTED_VALUE"""),"후추")</f>
        <v>후추</v>
      </c>
    </row>
    <row r="13512">
      <c r="A13512" s="2" t="str">
        <f>IFERROR(__xludf.DUMMYFUNCTION("""COMPUTED_VALUE"""),"집밥 먹고 치열~업♬")</f>
        <v>집밥 먹고 치열~업♬</v>
      </c>
      <c r="B13512" s="2" t="str">
        <f>IFERROR(__xludf.DUMMYFUNCTION("""COMPUTED_VALUE"""),"전복 삼계탕")</f>
        <v>전복 삼계탕</v>
      </c>
    </row>
    <row r="13513">
      <c r="A13513" s="2" t="str">
        <f>IFERROR(__xludf.DUMMYFUNCTION("""COMPUTED_VALUE"""),"집밥 먹고 치열~업♬")</f>
        <v>집밥 먹고 치열~업♬</v>
      </c>
      <c r="B13513" s="2" t="str">
        <f>IFERROR(__xludf.DUMMYFUNCTION("""COMPUTED_VALUE"""),"떡볶이 양념장")</f>
        <v>떡볶이 양념장</v>
      </c>
    </row>
    <row r="13514">
      <c r="A13514" s="2" t="str">
        <f>IFERROR(__xludf.DUMMYFUNCTION("""COMPUTED_VALUE"""),"집밥 먹고 치열~업♬")</f>
        <v>집밥 먹고 치열~업♬</v>
      </c>
      <c r="B13514" s="2" t="str">
        <f>IFERROR(__xludf.DUMMYFUNCTION("""COMPUTED_VALUE"""),"돼지 목살")</f>
        <v>돼지 목살</v>
      </c>
    </row>
    <row r="13515">
      <c r="A13515" s="2" t="str">
        <f>IFERROR(__xludf.DUMMYFUNCTION("""COMPUTED_VALUE"""),"집밥 먹고 치열~업♬")</f>
        <v>집밥 먹고 치열~업♬</v>
      </c>
      <c r="B13515" s="2" t="str">
        <f>IFERROR(__xludf.DUMMYFUNCTION("""COMPUTED_VALUE"""),"국물용 멸치")</f>
        <v>국물용 멸치</v>
      </c>
    </row>
    <row r="13516">
      <c r="A13516" s="2" t="str">
        <f>IFERROR(__xludf.DUMMYFUNCTION("""COMPUTED_VALUE"""),"집밥 먹고 치열~업♬")</f>
        <v>집밥 먹고 치열~업♬</v>
      </c>
      <c r="B13516" s="2" t="str">
        <f>IFERROR(__xludf.DUMMYFUNCTION("""COMPUTED_VALUE"""),"반건조 오징어")</f>
        <v>반건조 오징어</v>
      </c>
    </row>
    <row r="13517">
      <c r="A13517" s="2" t="str">
        <f>IFERROR(__xludf.DUMMYFUNCTION("""COMPUTED_VALUE"""),"집밥 먹고 치열~업♬")</f>
        <v>집밥 먹고 치열~업♬</v>
      </c>
      <c r="B13517" s="2" t="str">
        <f>IFERROR(__xludf.DUMMYFUNCTION("""COMPUTED_VALUE"""),"배추김치")</f>
        <v>배추김치</v>
      </c>
    </row>
    <row r="13518">
      <c r="A13518" s="2" t="str">
        <f>IFERROR(__xludf.DUMMYFUNCTION("""COMPUTED_VALUE"""),"집밥 먹고 치열~업♬")</f>
        <v>집밥 먹고 치열~업♬</v>
      </c>
      <c r="B13518" s="2" t="str">
        <f>IFERROR(__xludf.DUMMYFUNCTION("""COMPUTED_VALUE"""),"건표고버섯")</f>
        <v>건표고버섯</v>
      </c>
    </row>
    <row r="13519">
      <c r="A13519" s="2" t="str">
        <f>IFERROR(__xludf.DUMMYFUNCTION("""COMPUTED_VALUE"""),"집밥 먹고 치열~업♬")</f>
        <v>집밥 먹고 치열~업♬</v>
      </c>
      <c r="B13519" s="2" t="str">
        <f>IFERROR(__xludf.DUMMYFUNCTION("""COMPUTED_VALUE"""),"소 안심")</f>
        <v>소 안심</v>
      </c>
    </row>
    <row r="13520">
      <c r="A13520" s="2" t="str">
        <f>IFERROR(__xludf.DUMMYFUNCTION("""COMPUTED_VALUE"""),"집밥 먹고 치열~업♬")</f>
        <v>집밥 먹고 치열~업♬</v>
      </c>
      <c r="B13520" s="2" t="str">
        <f>IFERROR(__xludf.DUMMYFUNCTION("""COMPUTED_VALUE"""),"식초")</f>
        <v>식초</v>
      </c>
    </row>
    <row r="13521">
      <c r="A13521" s="2" t="str">
        <f>IFERROR(__xludf.DUMMYFUNCTION("""COMPUTED_VALUE"""),"집밥 먹고 치열~업♬")</f>
        <v>집밥 먹고 치열~업♬</v>
      </c>
      <c r="B13521" s="2" t="str">
        <f>IFERROR(__xludf.DUMMYFUNCTION("""COMPUTED_VALUE"""),"소금")</f>
        <v>소금</v>
      </c>
    </row>
    <row r="13522">
      <c r="A13522" s="2" t="str">
        <f>IFERROR(__xludf.DUMMYFUNCTION("""COMPUTED_VALUE"""),"집밥 먹고 치열~업♬")</f>
        <v>집밥 먹고 치열~업♬</v>
      </c>
      <c r="B13522" s="2" t="str">
        <f>IFERROR(__xludf.DUMMYFUNCTION("""COMPUTED_VALUE"""),"달걀")</f>
        <v>달걀</v>
      </c>
    </row>
    <row r="13523">
      <c r="A13523" s="2" t="str">
        <f>IFERROR(__xludf.DUMMYFUNCTION("""COMPUTED_VALUE"""),"집밥 먹고 치열~업♬")</f>
        <v>집밥 먹고 치열~업♬</v>
      </c>
      <c r="B13523" s="2" t="str">
        <f>IFERROR(__xludf.DUMMYFUNCTION("""COMPUTED_VALUE"""),"쌀")</f>
        <v>쌀</v>
      </c>
    </row>
    <row r="13524">
      <c r="A13524" s="2" t="str">
        <f>IFERROR(__xludf.DUMMYFUNCTION("""COMPUTED_VALUE"""),"집밥 먹고 치열~업♬")</f>
        <v>집밥 먹고 치열~업♬</v>
      </c>
      <c r="B13524" s="2" t="str">
        <f>IFERROR(__xludf.DUMMYFUNCTION("""COMPUTED_VALUE"""),"마늘")</f>
        <v>마늘</v>
      </c>
    </row>
    <row r="13525">
      <c r="A13525" s="2" t="str">
        <f>IFERROR(__xludf.DUMMYFUNCTION("""COMPUTED_VALUE"""),"집밥 먹고 치열~업♬")</f>
        <v>집밥 먹고 치열~업♬</v>
      </c>
      <c r="B13525" s="2" t="str">
        <f>IFERROR(__xludf.DUMMYFUNCTION("""COMPUTED_VALUE"""),"맛술")</f>
        <v>맛술</v>
      </c>
    </row>
    <row r="13526">
      <c r="A13526" s="2" t="str">
        <f>IFERROR(__xludf.DUMMYFUNCTION("""COMPUTED_VALUE"""),"집밥 먹고 치열~업♬")</f>
        <v>집밥 먹고 치열~업♬</v>
      </c>
      <c r="B13526" s="2" t="str">
        <f>IFERROR(__xludf.DUMMYFUNCTION("""COMPUTED_VALUE"""),"청주")</f>
        <v>청주</v>
      </c>
    </row>
    <row r="13527">
      <c r="A13527" s="2" t="str">
        <f>IFERROR(__xludf.DUMMYFUNCTION("""COMPUTED_VALUE"""),"집밥 먹고 치열~업♬")</f>
        <v>집밥 먹고 치열~업♬</v>
      </c>
      <c r="B13527" s="2" t="str">
        <f>IFERROR(__xludf.DUMMYFUNCTION("""COMPUTED_VALUE"""),"간장")</f>
        <v>간장</v>
      </c>
    </row>
    <row r="13528">
      <c r="A13528" s="2" t="str">
        <f>IFERROR(__xludf.DUMMYFUNCTION("""COMPUTED_VALUE"""),"집밥 먹고 치열~업♬")</f>
        <v>집밥 먹고 치열~업♬</v>
      </c>
      <c r="B13528" s="2" t="str">
        <f>IFERROR(__xludf.DUMMYFUNCTION("""COMPUTED_VALUE"""),"설탕")</f>
        <v>설탕</v>
      </c>
    </row>
    <row r="13529">
      <c r="A13529" s="2" t="str">
        <f>IFERROR(__xludf.DUMMYFUNCTION("""COMPUTED_VALUE"""),"집밥 먹고 치열~업♬")</f>
        <v>집밥 먹고 치열~업♬</v>
      </c>
      <c r="B13529" s="2" t="str">
        <f>IFERROR(__xludf.DUMMYFUNCTION("""COMPUTED_VALUE"""),"청양고추")</f>
        <v>청양고추</v>
      </c>
    </row>
    <row r="13530">
      <c r="A13530" s="2" t="str">
        <f>IFERROR(__xludf.DUMMYFUNCTION("""COMPUTED_VALUE"""),"집밥 먹고 치열~업♬")</f>
        <v>집밥 먹고 치열~업♬</v>
      </c>
      <c r="B13530" s="2" t="str">
        <f>IFERROR(__xludf.DUMMYFUNCTION("""COMPUTED_VALUE"""),"다진 마늘")</f>
        <v>다진 마늘</v>
      </c>
    </row>
    <row r="13531">
      <c r="A13531" s="2" t="str">
        <f>IFERROR(__xludf.DUMMYFUNCTION("""COMPUTED_VALUE"""),"집밥 먹고 치열~업♬")</f>
        <v>집밥 먹고 치열~업♬</v>
      </c>
      <c r="B13531" s="2" t="str">
        <f>IFERROR(__xludf.DUMMYFUNCTION("""COMPUTED_VALUE"""),"후추")</f>
        <v>후추</v>
      </c>
    </row>
    <row r="13532">
      <c r="A13532" s="2" t="str">
        <f>IFERROR(__xludf.DUMMYFUNCTION("""COMPUTED_VALUE"""),"집밥 먹고 치열~업♬")</f>
        <v>집밥 먹고 치열~업♬</v>
      </c>
      <c r="B13532" s="2" t="str">
        <f>IFERROR(__xludf.DUMMYFUNCTION("""COMPUTED_VALUE"""),"대파")</f>
        <v>대파</v>
      </c>
    </row>
    <row r="13533">
      <c r="A13533" s="2" t="str">
        <f>IFERROR(__xludf.DUMMYFUNCTION("""COMPUTED_VALUE"""),"집밥 먹고 치열~업♬")</f>
        <v>집밥 먹고 치열~업♬</v>
      </c>
      <c r="B13533" s="2" t="str">
        <f>IFERROR(__xludf.DUMMYFUNCTION("""COMPUTED_VALUE"""),"고추장")</f>
        <v>고추장</v>
      </c>
    </row>
    <row r="13534">
      <c r="A13534" s="2" t="str">
        <f>IFERROR(__xludf.DUMMYFUNCTION("""COMPUTED_VALUE"""),"집밥 먹고 치열~업♬")</f>
        <v>집밥 먹고 치열~업♬</v>
      </c>
      <c r="B13534" s="2" t="str">
        <f>IFERROR(__xludf.DUMMYFUNCTION("""COMPUTED_VALUE"""),"고춧가루")</f>
        <v>고춧가루</v>
      </c>
    </row>
    <row r="13535">
      <c r="A13535" s="2" t="str">
        <f>IFERROR(__xludf.DUMMYFUNCTION("""COMPUTED_VALUE"""),"집밥 먹고 치열~업♬")</f>
        <v>집밥 먹고 치열~업♬</v>
      </c>
      <c r="B13535" s="2" t="str">
        <f>IFERROR(__xludf.DUMMYFUNCTION("""COMPUTED_VALUE"""),"참기름")</f>
        <v>참기름</v>
      </c>
    </row>
    <row r="13536">
      <c r="A13536" s="2" t="str">
        <f>IFERROR(__xludf.DUMMYFUNCTION("""COMPUTED_VALUE"""),"집밥 먹고 치열~업♬")</f>
        <v>집밥 먹고 치열~업♬</v>
      </c>
      <c r="B13536" s="2" t="str">
        <f>IFERROR(__xludf.DUMMYFUNCTION("""COMPUTED_VALUE"""),"깨")</f>
        <v>깨</v>
      </c>
    </row>
    <row r="13537">
      <c r="A13537" s="2" t="str">
        <f>IFERROR(__xludf.DUMMYFUNCTION("""COMPUTED_VALUE"""),"집밥 먹고 치열~업♬")</f>
        <v>집밥 먹고 치열~업♬</v>
      </c>
      <c r="B13537" s="2" t="str">
        <f>IFERROR(__xludf.DUMMYFUNCTION("""COMPUTED_VALUE"""),"당근")</f>
        <v>당근</v>
      </c>
    </row>
    <row r="13538">
      <c r="A13538" s="2" t="str">
        <f>IFERROR(__xludf.DUMMYFUNCTION("""COMPUTED_VALUE"""),"집밥 먹고 치열~업♬")</f>
        <v>집밥 먹고 치열~업♬</v>
      </c>
      <c r="B13538" s="2" t="str">
        <f>IFERROR(__xludf.DUMMYFUNCTION("""COMPUTED_VALUE"""),"라면")</f>
        <v>라면</v>
      </c>
    </row>
    <row r="13539">
      <c r="A13539" s="2" t="str">
        <f>IFERROR(__xludf.DUMMYFUNCTION("""COMPUTED_VALUE"""),"닭개장 먹고 치열스")</f>
        <v>닭개장 먹고 치열스</v>
      </c>
      <c r="B13539" s="2" t="str">
        <f>IFERROR(__xludf.DUMMYFUNCTION("""COMPUTED_VALUE"""),"인스턴트 삼계탕")</f>
        <v>인스턴트 삼계탕</v>
      </c>
    </row>
    <row r="13540">
      <c r="A13540" s="2" t="str">
        <f>IFERROR(__xludf.DUMMYFUNCTION("""COMPUTED_VALUE"""),"닭개장 먹고 치열스")</f>
        <v>닭개장 먹고 치열스</v>
      </c>
      <c r="B13540" s="2" t="str">
        <f>IFERROR(__xludf.DUMMYFUNCTION("""COMPUTED_VALUE"""),"명이나물 무침")</f>
        <v>명이나물 무침</v>
      </c>
    </row>
    <row r="13541">
      <c r="A13541" s="2" t="str">
        <f>IFERROR(__xludf.DUMMYFUNCTION("""COMPUTED_VALUE"""),"닭개장 먹고 치열스")</f>
        <v>닭개장 먹고 치열스</v>
      </c>
      <c r="B13541" s="2" t="str">
        <f>IFERROR(__xludf.DUMMYFUNCTION("""COMPUTED_VALUE"""),"건표고버섯")</f>
        <v>건표고버섯</v>
      </c>
    </row>
    <row r="13542">
      <c r="A13542" s="2" t="str">
        <f>IFERROR(__xludf.DUMMYFUNCTION("""COMPUTED_VALUE"""),"닭개장 먹고 치열스")</f>
        <v>닭개장 먹고 치열스</v>
      </c>
      <c r="B13542" s="2" t="str">
        <f>IFERROR(__xludf.DUMMYFUNCTION("""COMPUTED_VALUE"""),"마늘장아찌")</f>
        <v>마늘장아찌</v>
      </c>
    </row>
    <row r="13543">
      <c r="A13543" s="2" t="str">
        <f>IFERROR(__xludf.DUMMYFUNCTION("""COMPUTED_VALUE"""),"닭개장 먹고 치열스")</f>
        <v>닭개장 먹고 치열스</v>
      </c>
      <c r="B13543" s="2" t="str">
        <f>IFERROR(__xludf.DUMMYFUNCTION("""COMPUTED_VALUE"""),"게맛살")</f>
        <v>게맛살</v>
      </c>
    </row>
    <row r="13544">
      <c r="A13544" s="2" t="str">
        <f>IFERROR(__xludf.DUMMYFUNCTION("""COMPUTED_VALUE"""),"닭개장 먹고 치열스")</f>
        <v>닭개장 먹고 치열스</v>
      </c>
      <c r="B13544" s="2" t="str">
        <f>IFERROR(__xludf.DUMMYFUNCTION("""COMPUTED_VALUE"""),"쌀")</f>
        <v>쌀</v>
      </c>
    </row>
    <row r="13545">
      <c r="A13545" s="2" t="str">
        <f>IFERROR(__xludf.DUMMYFUNCTION("""COMPUTED_VALUE"""),"닭개장 먹고 치열스")</f>
        <v>닭개장 먹고 치열스</v>
      </c>
      <c r="B13545" s="2" t="str">
        <f>IFERROR(__xludf.DUMMYFUNCTION("""COMPUTED_VALUE"""),"청양고추")</f>
        <v>청양고추</v>
      </c>
    </row>
    <row r="13546">
      <c r="A13546" s="2" t="str">
        <f>IFERROR(__xludf.DUMMYFUNCTION("""COMPUTED_VALUE"""),"닭개장 먹고 치열스")</f>
        <v>닭개장 먹고 치열스</v>
      </c>
      <c r="B13546" s="2" t="str">
        <f>IFERROR(__xludf.DUMMYFUNCTION("""COMPUTED_VALUE"""),"대파")</f>
        <v>대파</v>
      </c>
    </row>
    <row r="13547">
      <c r="A13547" s="2" t="str">
        <f>IFERROR(__xludf.DUMMYFUNCTION("""COMPUTED_VALUE"""),"닭개장 먹고 치열스")</f>
        <v>닭개장 먹고 치열스</v>
      </c>
      <c r="B13547" s="2" t="str">
        <f>IFERROR(__xludf.DUMMYFUNCTION("""COMPUTED_VALUE"""),"기름")</f>
        <v>기름</v>
      </c>
    </row>
    <row r="13548">
      <c r="A13548" s="2" t="str">
        <f>IFERROR(__xludf.DUMMYFUNCTION("""COMPUTED_VALUE"""),"닭개장 먹고 치열스")</f>
        <v>닭개장 먹고 치열스</v>
      </c>
      <c r="B13548" s="2" t="str">
        <f>IFERROR(__xludf.DUMMYFUNCTION("""COMPUTED_VALUE"""),"고춧가루")</f>
        <v>고춧가루</v>
      </c>
    </row>
    <row r="13549">
      <c r="A13549" s="2" t="str">
        <f>IFERROR(__xludf.DUMMYFUNCTION("""COMPUTED_VALUE"""),"닭개장 먹고 치열스")</f>
        <v>닭개장 먹고 치열스</v>
      </c>
      <c r="B13549" s="2" t="str">
        <f>IFERROR(__xludf.DUMMYFUNCTION("""COMPUTED_VALUE"""),"간장")</f>
        <v>간장</v>
      </c>
    </row>
    <row r="13550">
      <c r="A13550" s="2" t="str">
        <f>IFERROR(__xludf.DUMMYFUNCTION("""COMPUTED_VALUE"""),"닭개장 먹고 치열스")</f>
        <v>닭개장 먹고 치열스</v>
      </c>
      <c r="B13550" s="2" t="str">
        <f>IFERROR(__xludf.DUMMYFUNCTION("""COMPUTED_VALUE"""),"마늘")</f>
        <v>마늘</v>
      </c>
    </row>
    <row r="13551">
      <c r="A13551" s="2" t="str">
        <f>IFERROR(__xludf.DUMMYFUNCTION("""COMPUTED_VALUE"""),"닭개장 먹고 치열스")</f>
        <v>닭개장 먹고 치열스</v>
      </c>
      <c r="B13551" s="2" t="str">
        <f>IFERROR(__xludf.DUMMYFUNCTION("""COMPUTED_VALUE"""),"양파")</f>
        <v>양파</v>
      </c>
    </row>
    <row r="13552">
      <c r="A13552" s="2" t="str">
        <f>IFERROR(__xludf.DUMMYFUNCTION("""COMPUTED_VALUE"""),"닭개장 먹고 치열스")</f>
        <v>닭개장 먹고 치열스</v>
      </c>
      <c r="B13552" s="2" t="str">
        <f>IFERROR(__xludf.DUMMYFUNCTION("""COMPUTED_VALUE"""),"맛술")</f>
        <v>맛술</v>
      </c>
    </row>
    <row r="13553">
      <c r="A13553" s="2" t="str">
        <f>IFERROR(__xludf.DUMMYFUNCTION("""COMPUTED_VALUE"""),"닭개장 먹고 치열스")</f>
        <v>닭개장 먹고 치열스</v>
      </c>
      <c r="B13553" s="2" t="str">
        <f>IFERROR(__xludf.DUMMYFUNCTION("""COMPUTED_VALUE"""),"달걀")</f>
        <v>달걀</v>
      </c>
    </row>
    <row r="13554">
      <c r="A13554" s="2" t="str">
        <f>IFERROR(__xludf.DUMMYFUNCTION("""COMPUTED_VALUE"""),"닭개장 먹고 치열스")</f>
        <v>닭개장 먹고 치열스</v>
      </c>
      <c r="B13554" s="2" t="str">
        <f>IFERROR(__xludf.DUMMYFUNCTION("""COMPUTED_VALUE"""),"케첩")</f>
        <v>케첩</v>
      </c>
    </row>
    <row r="13555">
      <c r="A13555" s="2" t="str">
        <f>IFERROR(__xludf.DUMMYFUNCTION("""COMPUTED_VALUE"""),"스테이크 맛있소")</f>
        <v>스테이크 맛있소</v>
      </c>
      <c r="B13555" s="2" t="str">
        <f>IFERROR(__xludf.DUMMYFUNCTION("""COMPUTED_VALUE"""),"소 등심")</f>
        <v>소 등심</v>
      </c>
    </row>
    <row r="13556">
      <c r="A13556" s="2" t="str">
        <f>IFERROR(__xludf.DUMMYFUNCTION("""COMPUTED_VALUE"""),"스테이크 맛있소")</f>
        <v>스테이크 맛있소</v>
      </c>
      <c r="B13556" s="2" t="str">
        <f>IFERROR(__xludf.DUMMYFUNCTION("""COMPUTED_VALUE"""),"건표고버섯")</f>
        <v>건표고버섯</v>
      </c>
    </row>
    <row r="13557">
      <c r="A13557" s="2" t="str">
        <f>IFERROR(__xludf.DUMMYFUNCTION("""COMPUTED_VALUE"""),"스테이크 맛있소")</f>
        <v>스테이크 맛있소</v>
      </c>
      <c r="B13557" s="2" t="str">
        <f>IFERROR(__xludf.DUMMYFUNCTION("""COMPUTED_VALUE"""),"위스키")</f>
        <v>위스키</v>
      </c>
    </row>
    <row r="13558">
      <c r="A13558" s="2" t="str">
        <f>IFERROR(__xludf.DUMMYFUNCTION("""COMPUTED_VALUE"""),"스테이크 맛있소")</f>
        <v>스테이크 맛있소</v>
      </c>
      <c r="B13558" s="2" t="str">
        <f>IFERROR(__xludf.DUMMYFUNCTION("""COMPUTED_VALUE"""),"콜라")</f>
        <v>콜라</v>
      </c>
    </row>
    <row r="13559">
      <c r="A13559" s="2" t="str">
        <f>IFERROR(__xludf.DUMMYFUNCTION("""COMPUTED_VALUE"""),"스테이크 맛있소")</f>
        <v>스테이크 맛있소</v>
      </c>
      <c r="B13559" s="2" t="str">
        <f>IFERROR(__xludf.DUMMYFUNCTION("""COMPUTED_VALUE"""),"야채주스")</f>
        <v>야채주스</v>
      </c>
    </row>
    <row r="13560">
      <c r="A13560" s="2" t="str">
        <f>IFERROR(__xludf.DUMMYFUNCTION("""COMPUTED_VALUE"""),"스테이크 맛있소")</f>
        <v>스테이크 맛있소</v>
      </c>
      <c r="B13560" s="2" t="str">
        <f>IFERROR(__xludf.DUMMYFUNCTION("""COMPUTED_VALUE"""),"곰탕")</f>
        <v>곰탕</v>
      </c>
    </row>
    <row r="13561">
      <c r="A13561" s="2" t="str">
        <f>IFERROR(__xludf.DUMMYFUNCTION("""COMPUTED_VALUE"""),"스테이크 맛있소")</f>
        <v>스테이크 맛있소</v>
      </c>
      <c r="B13561" s="2" t="str">
        <f>IFERROR(__xludf.DUMMYFUNCTION("""COMPUTED_VALUE"""),"간장")</f>
        <v>간장</v>
      </c>
    </row>
    <row r="13562">
      <c r="A13562" s="2" t="str">
        <f>IFERROR(__xludf.DUMMYFUNCTION("""COMPUTED_VALUE"""),"스테이크 맛있소")</f>
        <v>스테이크 맛있소</v>
      </c>
      <c r="B13562" s="2" t="str">
        <f>IFERROR(__xludf.DUMMYFUNCTION("""COMPUTED_VALUE"""),"설탕")</f>
        <v>설탕</v>
      </c>
    </row>
    <row r="13563">
      <c r="A13563" s="2" t="str">
        <f>IFERROR(__xludf.DUMMYFUNCTION("""COMPUTED_VALUE"""),"스테이크 맛있소")</f>
        <v>스테이크 맛있소</v>
      </c>
      <c r="B13563" s="2" t="str">
        <f>IFERROR(__xludf.DUMMYFUNCTION("""COMPUTED_VALUE"""),"레몬")</f>
        <v>레몬</v>
      </c>
    </row>
    <row r="13564">
      <c r="A13564" s="2" t="str">
        <f>IFERROR(__xludf.DUMMYFUNCTION("""COMPUTED_VALUE"""),"스테이크 맛있소")</f>
        <v>스테이크 맛있소</v>
      </c>
      <c r="B13564" s="2" t="str">
        <f>IFERROR(__xludf.DUMMYFUNCTION("""COMPUTED_VALUE"""),"다진 마늘")</f>
        <v>다진 마늘</v>
      </c>
    </row>
    <row r="13565">
      <c r="A13565" s="2" t="str">
        <f>IFERROR(__xludf.DUMMYFUNCTION("""COMPUTED_VALUE"""),"스테이크 맛있소")</f>
        <v>스테이크 맛있소</v>
      </c>
      <c r="B13565" s="2" t="str">
        <f>IFERROR(__xludf.DUMMYFUNCTION("""COMPUTED_VALUE"""),"다진 생강")</f>
        <v>다진 생강</v>
      </c>
    </row>
    <row r="13566">
      <c r="A13566" s="2" t="str">
        <f>IFERROR(__xludf.DUMMYFUNCTION("""COMPUTED_VALUE"""),"스테이크 맛있소")</f>
        <v>스테이크 맛있소</v>
      </c>
      <c r="B13566" s="2" t="str">
        <f>IFERROR(__xludf.DUMMYFUNCTION("""COMPUTED_VALUE"""),"후추")</f>
        <v>후추</v>
      </c>
    </row>
    <row r="13567">
      <c r="A13567" s="2" t="str">
        <f>IFERROR(__xludf.DUMMYFUNCTION("""COMPUTED_VALUE"""),"스테이크 맛있소")</f>
        <v>스테이크 맛있소</v>
      </c>
      <c r="B13567" s="2" t="str">
        <f>IFERROR(__xludf.DUMMYFUNCTION("""COMPUTED_VALUE"""),"당근")</f>
        <v>당근</v>
      </c>
    </row>
    <row r="13568">
      <c r="A13568" s="2" t="str">
        <f>IFERROR(__xludf.DUMMYFUNCTION("""COMPUTED_VALUE"""),"스테이크 맛있소")</f>
        <v>스테이크 맛있소</v>
      </c>
      <c r="B13568" s="2" t="str">
        <f>IFERROR(__xludf.DUMMYFUNCTION("""COMPUTED_VALUE"""),"올리브오일")</f>
        <v>올리브오일</v>
      </c>
    </row>
    <row r="13569">
      <c r="A13569" s="2" t="str">
        <f>IFERROR(__xludf.DUMMYFUNCTION("""COMPUTED_VALUE"""),"스테이크 맛있소")</f>
        <v>스테이크 맛있소</v>
      </c>
      <c r="B13569" s="2" t="str">
        <f>IFERROR(__xludf.DUMMYFUNCTION("""COMPUTED_VALUE"""),"양파")</f>
        <v>양파</v>
      </c>
    </row>
    <row r="13570">
      <c r="A13570" s="2" t="str">
        <f>IFERROR(__xludf.DUMMYFUNCTION("""COMPUTED_VALUE"""),"스테이크 맛있소")</f>
        <v>스테이크 맛있소</v>
      </c>
      <c r="B13570" s="2" t="str">
        <f>IFERROR(__xludf.DUMMYFUNCTION("""COMPUTED_VALUE"""),"청양고추")</f>
        <v>청양고추</v>
      </c>
    </row>
    <row r="13571">
      <c r="A13571" s="2" t="str">
        <f>IFERROR(__xludf.DUMMYFUNCTION("""COMPUTED_VALUE"""),"스테이크 맛있소")</f>
        <v>스테이크 맛있소</v>
      </c>
      <c r="B13571" s="2" t="str">
        <f>IFERROR(__xludf.DUMMYFUNCTION("""COMPUTED_VALUE"""),"버터")</f>
        <v>버터</v>
      </c>
    </row>
    <row r="13572">
      <c r="A13572" s="2" t="str">
        <f>IFERROR(__xludf.DUMMYFUNCTION("""COMPUTED_VALUE"""),"스테이크 맛있소")</f>
        <v>스테이크 맛있소</v>
      </c>
      <c r="B13572" s="2" t="str">
        <f>IFERROR(__xludf.DUMMYFUNCTION("""COMPUTED_VALUE"""),"밀가루")</f>
        <v>밀가루</v>
      </c>
    </row>
    <row r="13573">
      <c r="A13573" s="2" t="str">
        <f>IFERROR(__xludf.DUMMYFUNCTION("""COMPUTED_VALUE"""),"스테이크 맛있소")</f>
        <v>스테이크 맛있소</v>
      </c>
      <c r="B13573" s="2" t="str">
        <f>IFERROR(__xludf.DUMMYFUNCTION("""COMPUTED_VALUE"""),"소금")</f>
        <v>소금</v>
      </c>
    </row>
    <row r="13574">
      <c r="A13574" s="2" t="str">
        <f>IFERROR(__xludf.DUMMYFUNCTION("""COMPUTED_VALUE"""),"스테이크 맛있소")</f>
        <v>스테이크 맛있소</v>
      </c>
      <c r="B13574" s="2" t="str">
        <f>IFERROR(__xludf.DUMMYFUNCTION("""COMPUTED_VALUE"""),"후추")</f>
        <v>후추</v>
      </c>
    </row>
    <row r="13575">
      <c r="A13575" s="2" t="str">
        <f>IFERROR(__xludf.DUMMYFUNCTION("""COMPUTED_VALUE"""),"스테이크 맛있소")</f>
        <v>스테이크 맛있소</v>
      </c>
      <c r="B13575" s="2" t="str">
        <f>IFERROR(__xludf.DUMMYFUNCTION("""COMPUTED_VALUE"""),"대파")</f>
        <v>대파</v>
      </c>
    </row>
    <row r="13576">
      <c r="A13576" s="2" t="str">
        <f>IFERROR(__xludf.DUMMYFUNCTION("""COMPUTED_VALUE"""),"소고기, 바로 이 맛 아닙니까!")</f>
        <v>소고기, 바로 이 맛 아닙니까!</v>
      </c>
      <c r="B13576" s="2" t="str">
        <f>IFERROR(__xludf.DUMMYFUNCTION("""COMPUTED_VALUE"""),"소 안심")</f>
        <v>소 안심</v>
      </c>
    </row>
    <row r="13577">
      <c r="A13577" s="2" t="str">
        <f>IFERROR(__xludf.DUMMYFUNCTION("""COMPUTED_VALUE"""),"소고기, 바로 이 맛 아닙니까!")</f>
        <v>소고기, 바로 이 맛 아닙니까!</v>
      </c>
      <c r="B13577" s="2" t="str">
        <f>IFERROR(__xludf.DUMMYFUNCTION("""COMPUTED_VALUE"""),"돼지 목살")</f>
        <v>돼지 목살</v>
      </c>
    </row>
    <row r="13578">
      <c r="A13578" s="2" t="str">
        <f>IFERROR(__xludf.DUMMYFUNCTION("""COMPUTED_VALUE"""),"소고기, 바로 이 맛 아닙니까!")</f>
        <v>소고기, 바로 이 맛 아닙니까!</v>
      </c>
      <c r="B13578" s="2" t="str">
        <f>IFERROR(__xludf.DUMMYFUNCTION("""COMPUTED_VALUE"""),"게맛살")</f>
        <v>게맛살</v>
      </c>
    </row>
    <row r="13579">
      <c r="A13579" s="2" t="str">
        <f>IFERROR(__xludf.DUMMYFUNCTION("""COMPUTED_VALUE"""),"소고기, 바로 이 맛 아닙니까!")</f>
        <v>소고기, 바로 이 맛 아닙니까!</v>
      </c>
      <c r="B13579" s="2" t="str">
        <f>IFERROR(__xludf.DUMMYFUNCTION("""COMPUTED_VALUE"""),"한방 배숙")</f>
        <v>한방 배숙</v>
      </c>
    </row>
    <row r="13580">
      <c r="A13580" s="2" t="str">
        <f>IFERROR(__xludf.DUMMYFUNCTION("""COMPUTED_VALUE"""),"소고기, 바로 이 맛 아닙니까!")</f>
        <v>소고기, 바로 이 맛 아닙니까!</v>
      </c>
      <c r="B13580" s="2" t="str">
        <f>IFERROR(__xludf.DUMMYFUNCTION("""COMPUTED_VALUE"""),"전복 삼계탕")</f>
        <v>전복 삼계탕</v>
      </c>
    </row>
    <row r="13581">
      <c r="A13581" s="2" t="str">
        <f>IFERROR(__xludf.DUMMYFUNCTION("""COMPUTED_VALUE"""),"소고기, 바로 이 맛 아닙니까!")</f>
        <v>소고기, 바로 이 맛 아닙니까!</v>
      </c>
      <c r="B13581" s="2" t="str">
        <f>IFERROR(__xludf.DUMMYFUNCTION("""COMPUTED_VALUE"""),"명이나물 무침")</f>
        <v>명이나물 무침</v>
      </c>
    </row>
    <row r="13582">
      <c r="A13582" s="2" t="str">
        <f>IFERROR(__xludf.DUMMYFUNCTION("""COMPUTED_VALUE"""),"소고기, 바로 이 맛 아닙니까!")</f>
        <v>소고기, 바로 이 맛 아닙니까!</v>
      </c>
      <c r="B13582" s="2" t="str">
        <f>IFERROR(__xludf.DUMMYFUNCTION("""COMPUTED_VALUE"""),"건표고버섯")</f>
        <v>건표고버섯</v>
      </c>
    </row>
    <row r="13583">
      <c r="A13583" s="2" t="str">
        <f>IFERROR(__xludf.DUMMYFUNCTION("""COMPUTED_VALUE"""),"소고기, 바로 이 맛 아닙니까!")</f>
        <v>소고기, 바로 이 맛 아닙니까!</v>
      </c>
      <c r="B13583" s="2" t="str">
        <f>IFERROR(__xludf.DUMMYFUNCTION("""COMPUTED_VALUE"""),"후추")</f>
        <v>후추</v>
      </c>
    </row>
    <row r="13584">
      <c r="A13584" s="2" t="str">
        <f>IFERROR(__xludf.DUMMYFUNCTION("""COMPUTED_VALUE"""),"소고기, 바로 이 맛 아닙니까!")</f>
        <v>소고기, 바로 이 맛 아닙니까!</v>
      </c>
      <c r="B13584" s="2" t="str">
        <f>IFERROR(__xludf.DUMMYFUNCTION("""COMPUTED_VALUE"""),"소금")</f>
        <v>소금</v>
      </c>
    </row>
    <row r="13585">
      <c r="A13585" s="2" t="str">
        <f>IFERROR(__xludf.DUMMYFUNCTION("""COMPUTED_VALUE"""),"소고기, 바로 이 맛 아닙니까!")</f>
        <v>소고기, 바로 이 맛 아닙니까!</v>
      </c>
      <c r="B13585" s="2" t="str">
        <f>IFERROR(__xludf.DUMMYFUNCTION("""COMPUTED_VALUE"""),"전분")</f>
        <v>전분</v>
      </c>
    </row>
    <row r="13586">
      <c r="A13586" s="2" t="str">
        <f>IFERROR(__xludf.DUMMYFUNCTION("""COMPUTED_VALUE"""),"소고기, 바로 이 맛 아닙니까!")</f>
        <v>소고기, 바로 이 맛 아닙니까!</v>
      </c>
      <c r="B13586" s="2" t="str">
        <f>IFERROR(__xludf.DUMMYFUNCTION("""COMPUTED_VALUE"""),"달걀")</f>
        <v>달걀</v>
      </c>
    </row>
    <row r="13587">
      <c r="A13587" s="2" t="str">
        <f>IFERROR(__xludf.DUMMYFUNCTION("""COMPUTED_VALUE"""),"소고기, 바로 이 맛 아닙니까!")</f>
        <v>소고기, 바로 이 맛 아닙니까!</v>
      </c>
      <c r="B13587" s="2" t="str">
        <f>IFERROR(__xludf.DUMMYFUNCTION("""COMPUTED_VALUE"""),"기름")</f>
        <v>기름</v>
      </c>
    </row>
    <row r="13588">
      <c r="A13588" s="2" t="str">
        <f>IFERROR(__xludf.DUMMYFUNCTION("""COMPUTED_VALUE"""),"소고기, 바로 이 맛 아닙니까!")</f>
        <v>소고기, 바로 이 맛 아닙니까!</v>
      </c>
      <c r="B13588" s="2" t="str">
        <f>IFERROR(__xludf.DUMMYFUNCTION("""COMPUTED_VALUE"""),"마늘")</f>
        <v>마늘</v>
      </c>
    </row>
    <row r="13589">
      <c r="A13589" s="2" t="str">
        <f>IFERROR(__xludf.DUMMYFUNCTION("""COMPUTED_VALUE"""),"소고기, 바로 이 맛 아닙니까!")</f>
        <v>소고기, 바로 이 맛 아닙니까!</v>
      </c>
      <c r="B13589" s="2" t="str">
        <f>IFERROR(__xludf.DUMMYFUNCTION("""COMPUTED_VALUE"""),"청양고추")</f>
        <v>청양고추</v>
      </c>
    </row>
    <row r="13590">
      <c r="A13590" s="2" t="str">
        <f>IFERROR(__xludf.DUMMYFUNCTION("""COMPUTED_VALUE"""),"소고기, 바로 이 맛 아닙니까!")</f>
        <v>소고기, 바로 이 맛 아닙니까!</v>
      </c>
      <c r="B13590" s="2" t="str">
        <f>IFERROR(__xludf.DUMMYFUNCTION("""COMPUTED_VALUE"""),"양파")</f>
        <v>양파</v>
      </c>
    </row>
    <row r="13591">
      <c r="A13591" s="2" t="str">
        <f>IFERROR(__xludf.DUMMYFUNCTION("""COMPUTED_VALUE"""),"소고기, 바로 이 맛 아닙니까!")</f>
        <v>소고기, 바로 이 맛 아닙니까!</v>
      </c>
      <c r="B13591" s="2" t="str">
        <f>IFERROR(__xludf.DUMMYFUNCTION("""COMPUTED_VALUE"""),"대파")</f>
        <v>대파</v>
      </c>
    </row>
    <row r="13592">
      <c r="A13592" s="2" t="str">
        <f>IFERROR(__xludf.DUMMYFUNCTION("""COMPUTED_VALUE"""),"소고기, 바로 이 맛 아닙니까!")</f>
        <v>소고기, 바로 이 맛 아닙니까!</v>
      </c>
      <c r="B13592" s="2" t="str">
        <f>IFERROR(__xludf.DUMMYFUNCTION("""COMPUTED_VALUE"""),"고추장")</f>
        <v>고추장</v>
      </c>
    </row>
    <row r="13593">
      <c r="A13593" s="2" t="str">
        <f>IFERROR(__xludf.DUMMYFUNCTION("""COMPUTED_VALUE"""),"소고기, 바로 이 맛 아닙니까!")</f>
        <v>소고기, 바로 이 맛 아닙니까!</v>
      </c>
      <c r="B13593" s="2" t="str">
        <f>IFERROR(__xludf.DUMMYFUNCTION("""COMPUTED_VALUE"""),"케첩")</f>
        <v>케첩</v>
      </c>
    </row>
    <row r="13594">
      <c r="A13594" s="2" t="str">
        <f>IFERROR(__xludf.DUMMYFUNCTION("""COMPUTED_VALUE"""),"소고기, 바로 이 맛 아닙니까!")</f>
        <v>소고기, 바로 이 맛 아닙니까!</v>
      </c>
      <c r="B13594" s="2" t="str">
        <f>IFERROR(__xludf.DUMMYFUNCTION("""COMPUTED_VALUE"""),"레몬")</f>
        <v>레몬</v>
      </c>
    </row>
    <row r="13595">
      <c r="A13595" s="2" t="str">
        <f>IFERROR(__xludf.DUMMYFUNCTION("""COMPUTED_VALUE"""),"소고기, 바로 이 맛 아닙니까!")</f>
        <v>소고기, 바로 이 맛 아닙니까!</v>
      </c>
      <c r="B13595" s="2" t="str">
        <f>IFERROR(__xludf.DUMMYFUNCTION("""COMPUTED_VALUE"""),"물엿")</f>
        <v>물엿</v>
      </c>
    </row>
    <row r="13596">
      <c r="A13596" s="2" t="str">
        <f>IFERROR(__xludf.DUMMYFUNCTION("""COMPUTED_VALUE"""),"오늘의 하이라이트닭")</f>
        <v>오늘의 하이라이트닭</v>
      </c>
      <c r="B13596" s="2" t="str">
        <f>IFERROR(__xludf.DUMMYFUNCTION("""COMPUTED_VALUE"""),"양념닭불고기")</f>
        <v>양념닭불고기</v>
      </c>
    </row>
    <row r="13597">
      <c r="A13597" s="2" t="str">
        <f>IFERROR(__xludf.DUMMYFUNCTION("""COMPUTED_VALUE"""),"오늘의 하이라이트닭")</f>
        <v>오늘의 하이라이트닭</v>
      </c>
      <c r="B13597" s="2" t="str">
        <f>IFERROR(__xludf.DUMMYFUNCTION("""COMPUTED_VALUE"""),"맥주")</f>
        <v>맥주</v>
      </c>
    </row>
    <row r="13598">
      <c r="A13598" s="2" t="str">
        <f>IFERROR(__xludf.DUMMYFUNCTION("""COMPUTED_VALUE"""),"오늘의 하이라이트닭")</f>
        <v>오늘의 하이라이트닭</v>
      </c>
      <c r="B13598" s="2" t="str">
        <f>IFERROR(__xludf.DUMMYFUNCTION("""COMPUTED_VALUE"""),"감자")</f>
        <v>감자</v>
      </c>
    </row>
    <row r="13599">
      <c r="A13599" s="2" t="str">
        <f>IFERROR(__xludf.DUMMYFUNCTION("""COMPUTED_VALUE"""),"오늘의 하이라이트닭")</f>
        <v>오늘의 하이라이트닭</v>
      </c>
      <c r="B13599" s="2" t="str">
        <f>IFERROR(__xludf.DUMMYFUNCTION("""COMPUTED_VALUE"""),"방울토마토")</f>
        <v>방울토마토</v>
      </c>
    </row>
    <row r="13600">
      <c r="A13600" s="2" t="str">
        <f>IFERROR(__xludf.DUMMYFUNCTION("""COMPUTED_VALUE"""),"오늘의 하이라이트닭")</f>
        <v>오늘의 하이라이트닭</v>
      </c>
      <c r="B13600" s="2" t="str">
        <f>IFERROR(__xludf.DUMMYFUNCTION("""COMPUTED_VALUE"""),"치킨스톡")</f>
        <v>치킨스톡</v>
      </c>
    </row>
    <row r="13601">
      <c r="A13601" s="2" t="str">
        <f>IFERROR(__xludf.DUMMYFUNCTION("""COMPUTED_VALUE"""),"오늘의 하이라이트닭")</f>
        <v>오늘의 하이라이트닭</v>
      </c>
      <c r="B13601" s="2" t="str">
        <f>IFERROR(__xludf.DUMMYFUNCTION("""COMPUTED_VALUE"""),"멸치육수팩")</f>
        <v>멸치육수팩</v>
      </c>
    </row>
    <row r="13602">
      <c r="A13602" s="2" t="str">
        <f>IFERROR(__xludf.DUMMYFUNCTION("""COMPUTED_VALUE"""),"오늘의 하이라이트닭")</f>
        <v>오늘의 하이라이트닭</v>
      </c>
      <c r="B13602" s="2" t="str">
        <f>IFERROR(__xludf.DUMMYFUNCTION("""COMPUTED_VALUE"""),"오렌지")</f>
        <v>오렌지</v>
      </c>
    </row>
    <row r="13603">
      <c r="A13603" s="2" t="str">
        <f>IFERROR(__xludf.DUMMYFUNCTION("""COMPUTED_VALUE"""),"오늘의 하이라이트닭")</f>
        <v>오늘의 하이라이트닭</v>
      </c>
      <c r="B13603" s="2" t="str">
        <f>IFERROR(__xludf.DUMMYFUNCTION("""COMPUTED_VALUE"""),"벚꽃와인")</f>
        <v>벚꽃와인</v>
      </c>
    </row>
    <row r="13604">
      <c r="A13604" s="2" t="str">
        <f>IFERROR(__xludf.DUMMYFUNCTION("""COMPUTED_VALUE"""),"오늘의 하이라이트닭")</f>
        <v>오늘의 하이라이트닭</v>
      </c>
      <c r="B13604" s="2" t="str">
        <f>IFERROR(__xludf.DUMMYFUNCTION("""COMPUTED_VALUE"""),"아보카도")</f>
        <v>아보카도</v>
      </c>
    </row>
    <row r="13605">
      <c r="A13605" s="2" t="str">
        <f>IFERROR(__xludf.DUMMYFUNCTION("""COMPUTED_VALUE"""),"오늘의 하이라이트닭")</f>
        <v>오늘의 하이라이트닭</v>
      </c>
      <c r="B13605" s="2" t="str">
        <f>IFERROR(__xludf.DUMMYFUNCTION("""COMPUTED_VALUE"""),"스트링치즈")</f>
        <v>스트링치즈</v>
      </c>
    </row>
    <row r="13606">
      <c r="A13606" s="2" t="str">
        <f>IFERROR(__xludf.DUMMYFUNCTION("""COMPUTED_VALUE"""),"오늘의 하이라이트닭")</f>
        <v>오늘의 하이라이트닭</v>
      </c>
      <c r="B13606" s="2" t="str">
        <f>IFERROR(__xludf.DUMMYFUNCTION("""COMPUTED_VALUE"""),"달걀")</f>
        <v>달걀</v>
      </c>
    </row>
    <row r="13607">
      <c r="A13607" s="2" t="str">
        <f>IFERROR(__xludf.DUMMYFUNCTION("""COMPUTED_VALUE"""),"오늘의 하이라이트닭")</f>
        <v>오늘의 하이라이트닭</v>
      </c>
      <c r="B13607" s="2" t="str">
        <f>IFERROR(__xludf.DUMMYFUNCTION("""COMPUTED_VALUE"""),"올리브오일")</f>
        <v>올리브오일</v>
      </c>
    </row>
    <row r="13608">
      <c r="A13608" s="2" t="str">
        <f>IFERROR(__xludf.DUMMYFUNCTION("""COMPUTED_VALUE"""),"오늘의 하이라이트닭")</f>
        <v>오늘의 하이라이트닭</v>
      </c>
      <c r="B13608" s="2" t="str">
        <f>IFERROR(__xludf.DUMMYFUNCTION("""COMPUTED_VALUE"""),"전분")</f>
        <v>전분</v>
      </c>
    </row>
    <row r="13609">
      <c r="A13609" s="2" t="str">
        <f>IFERROR(__xludf.DUMMYFUNCTION("""COMPUTED_VALUE"""),"오늘의 하이라이트닭")</f>
        <v>오늘의 하이라이트닭</v>
      </c>
      <c r="B13609" s="2" t="str">
        <f>IFERROR(__xludf.DUMMYFUNCTION("""COMPUTED_VALUE"""),"양파")</f>
        <v>양파</v>
      </c>
    </row>
    <row r="13610">
      <c r="A13610" s="2" t="str">
        <f>IFERROR(__xludf.DUMMYFUNCTION("""COMPUTED_VALUE"""),"오늘의 하이라이트닭")</f>
        <v>오늘의 하이라이트닭</v>
      </c>
      <c r="B13610" s="2" t="str">
        <f>IFERROR(__xludf.DUMMYFUNCTION("""COMPUTED_VALUE"""),"맛술")</f>
        <v>맛술</v>
      </c>
    </row>
    <row r="13611">
      <c r="A13611" s="2" t="str">
        <f>IFERROR(__xludf.DUMMYFUNCTION("""COMPUTED_VALUE"""),"오늘의 하이라이트닭")</f>
        <v>오늘의 하이라이트닭</v>
      </c>
      <c r="B13611" s="2" t="str">
        <f>IFERROR(__xludf.DUMMYFUNCTION("""COMPUTED_VALUE"""),"간장")</f>
        <v>간장</v>
      </c>
    </row>
    <row r="13612">
      <c r="A13612" s="2" t="str">
        <f>IFERROR(__xludf.DUMMYFUNCTION("""COMPUTED_VALUE"""),"오늘의 하이라이트닭")</f>
        <v>오늘의 하이라이트닭</v>
      </c>
      <c r="B13612" s="2" t="str">
        <f>IFERROR(__xludf.DUMMYFUNCTION("""COMPUTED_VALUE"""),"레몬")</f>
        <v>레몬</v>
      </c>
    </row>
    <row r="13613">
      <c r="A13613" s="2" t="str">
        <f>IFERROR(__xludf.DUMMYFUNCTION("""COMPUTED_VALUE"""),"오늘의 하이라이트닭")</f>
        <v>오늘의 하이라이트닭</v>
      </c>
      <c r="B13613" s="2" t="str">
        <f>IFERROR(__xludf.DUMMYFUNCTION("""COMPUTED_VALUE"""),"당근")</f>
        <v>당근</v>
      </c>
    </row>
    <row r="13614">
      <c r="A13614" s="2" t="str">
        <f>IFERROR(__xludf.DUMMYFUNCTION("""COMPUTED_VALUE"""),"오늘의 하이라이트닭")</f>
        <v>오늘의 하이라이트닭</v>
      </c>
      <c r="B13614" s="2" t="str">
        <f>IFERROR(__xludf.DUMMYFUNCTION("""COMPUTED_VALUE"""),"대파")</f>
        <v>대파</v>
      </c>
    </row>
    <row r="13615">
      <c r="A13615" s="2" t="str">
        <f>IFERROR(__xludf.DUMMYFUNCTION("""COMPUTED_VALUE"""),"오늘의 하이라이트닭")</f>
        <v>오늘의 하이라이트닭</v>
      </c>
      <c r="B13615" s="2" t="str">
        <f>IFERROR(__xludf.DUMMYFUNCTION("""COMPUTED_VALUE"""),"고추")</f>
        <v>고추</v>
      </c>
    </row>
    <row r="13616">
      <c r="A13616" s="2" t="str">
        <f>IFERROR(__xludf.DUMMYFUNCTION("""COMPUTED_VALUE"""),"유씨네 닭갈비")</f>
        <v>유씨네 닭갈비</v>
      </c>
      <c r="B13616" s="2" t="str">
        <f>IFERROR(__xludf.DUMMYFUNCTION("""COMPUTED_VALUE"""),"생닭")</f>
        <v>생닭</v>
      </c>
    </row>
    <row r="13617">
      <c r="A13617" s="2" t="str">
        <f>IFERROR(__xludf.DUMMYFUNCTION("""COMPUTED_VALUE"""),"유씨네 닭갈비")</f>
        <v>유씨네 닭갈비</v>
      </c>
      <c r="B13617" s="2" t="str">
        <f>IFERROR(__xludf.DUMMYFUNCTION("""COMPUTED_VALUE"""),"보이차 분말")</f>
        <v>보이차 분말</v>
      </c>
    </row>
    <row r="13618">
      <c r="A13618" s="2" t="str">
        <f>IFERROR(__xludf.DUMMYFUNCTION("""COMPUTED_VALUE"""),"유씨네 닭갈비")</f>
        <v>유씨네 닭갈비</v>
      </c>
      <c r="B13618" s="2" t="str">
        <f>IFERROR(__xludf.DUMMYFUNCTION("""COMPUTED_VALUE"""),"파슬리")</f>
        <v>파슬리</v>
      </c>
    </row>
    <row r="13619">
      <c r="A13619" s="2" t="str">
        <f>IFERROR(__xludf.DUMMYFUNCTION("""COMPUTED_VALUE"""),"유씨네 닭갈비")</f>
        <v>유씨네 닭갈비</v>
      </c>
      <c r="B13619" s="2" t="str">
        <f>IFERROR(__xludf.DUMMYFUNCTION("""COMPUTED_VALUE"""),"닭가슴살 스테이크")</f>
        <v>닭가슴살 스테이크</v>
      </c>
    </row>
    <row r="13620">
      <c r="A13620" s="2" t="str">
        <f>IFERROR(__xludf.DUMMYFUNCTION("""COMPUTED_VALUE"""),"유씨네 닭갈비")</f>
        <v>유씨네 닭갈비</v>
      </c>
      <c r="B13620" s="2" t="str">
        <f>IFERROR(__xludf.DUMMYFUNCTION("""COMPUTED_VALUE"""),"표고버섯 슬라이스")</f>
        <v>표고버섯 슬라이스</v>
      </c>
    </row>
    <row r="13621">
      <c r="A13621" s="2" t="str">
        <f>IFERROR(__xludf.DUMMYFUNCTION("""COMPUTED_VALUE"""),"유씨네 닭갈비")</f>
        <v>유씨네 닭갈비</v>
      </c>
      <c r="B13621" s="2" t="str">
        <f>IFERROR(__xludf.DUMMYFUNCTION("""COMPUTED_VALUE"""),"인스턴트 삼계탕")</f>
        <v>인스턴트 삼계탕</v>
      </c>
    </row>
    <row r="13622">
      <c r="A13622" s="2" t="str">
        <f>IFERROR(__xludf.DUMMYFUNCTION("""COMPUTED_VALUE"""),"유씨네 닭갈비")</f>
        <v>유씨네 닭갈비</v>
      </c>
      <c r="B13622" s="2" t="str">
        <f>IFERROR(__xludf.DUMMYFUNCTION("""COMPUTED_VALUE"""),"치킨스톡")</f>
        <v>치킨스톡</v>
      </c>
    </row>
    <row r="13623">
      <c r="A13623" s="2" t="str">
        <f>IFERROR(__xludf.DUMMYFUNCTION("""COMPUTED_VALUE"""),"유씨네 닭갈비")</f>
        <v>유씨네 닭갈비</v>
      </c>
      <c r="B13623" s="2" t="str">
        <f>IFERROR(__xludf.DUMMYFUNCTION("""COMPUTED_VALUE"""),"동치미")</f>
        <v>동치미</v>
      </c>
    </row>
    <row r="13624">
      <c r="A13624" s="2" t="str">
        <f>IFERROR(__xludf.DUMMYFUNCTION("""COMPUTED_VALUE"""),"유씨네 닭갈비")</f>
        <v>유씨네 닭갈비</v>
      </c>
      <c r="B13624" s="2" t="str">
        <f>IFERROR(__xludf.DUMMYFUNCTION("""COMPUTED_VALUE"""),"칠리소스")</f>
        <v>칠리소스</v>
      </c>
    </row>
    <row r="13625">
      <c r="A13625" s="2" t="str">
        <f>IFERROR(__xludf.DUMMYFUNCTION("""COMPUTED_VALUE"""),"유씨네 닭갈비")</f>
        <v>유씨네 닭갈비</v>
      </c>
      <c r="B13625" s="2" t="str">
        <f>IFERROR(__xludf.DUMMYFUNCTION("""COMPUTED_VALUE"""),"비빔라면")</f>
        <v>비빔라면</v>
      </c>
    </row>
    <row r="13626">
      <c r="A13626" s="2" t="str">
        <f>IFERROR(__xludf.DUMMYFUNCTION("""COMPUTED_VALUE"""),"유씨네 닭갈비")</f>
        <v>유씨네 닭갈비</v>
      </c>
      <c r="B13626" s="2" t="str">
        <f>IFERROR(__xludf.DUMMYFUNCTION("""COMPUTED_VALUE"""),"오이")</f>
        <v>오이</v>
      </c>
    </row>
    <row r="13627">
      <c r="A13627" s="2" t="str">
        <f>IFERROR(__xludf.DUMMYFUNCTION("""COMPUTED_VALUE"""),"유씨네 닭갈비")</f>
        <v>유씨네 닭갈비</v>
      </c>
      <c r="B13627" s="2" t="str">
        <f>IFERROR(__xludf.DUMMYFUNCTION("""COMPUTED_VALUE"""),"방울토마토")</f>
        <v>방울토마토</v>
      </c>
    </row>
    <row r="13628">
      <c r="A13628" s="2" t="str">
        <f>IFERROR(__xludf.DUMMYFUNCTION("""COMPUTED_VALUE"""),"유씨네 닭갈비")</f>
        <v>유씨네 닭갈비</v>
      </c>
      <c r="B13628" s="2" t="str">
        <f>IFERROR(__xludf.DUMMYFUNCTION("""COMPUTED_VALUE"""),"핫바")</f>
        <v>핫바</v>
      </c>
    </row>
    <row r="13629">
      <c r="A13629" s="2" t="str">
        <f>IFERROR(__xludf.DUMMYFUNCTION("""COMPUTED_VALUE"""),"유씨네 닭갈비")</f>
        <v>유씨네 닭갈비</v>
      </c>
      <c r="B13629" s="2" t="str">
        <f>IFERROR(__xludf.DUMMYFUNCTION("""COMPUTED_VALUE"""),"칼라만시")</f>
        <v>칼라만시</v>
      </c>
    </row>
    <row r="13630">
      <c r="A13630" s="2" t="str">
        <f>IFERROR(__xludf.DUMMYFUNCTION("""COMPUTED_VALUE"""),"유씨네 닭갈비")</f>
        <v>유씨네 닭갈비</v>
      </c>
      <c r="B13630" s="2" t="str">
        <f>IFERROR(__xludf.DUMMYFUNCTION("""COMPUTED_VALUE"""),"밀가루")</f>
        <v>밀가루</v>
      </c>
    </row>
    <row r="13631">
      <c r="A13631" s="2" t="str">
        <f>IFERROR(__xludf.DUMMYFUNCTION("""COMPUTED_VALUE"""),"유씨네 닭갈비")</f>
        <v>유씨네 닭갈비</v>
      </c>
      <c r="B13631" s="2" t="str">
        <f>IFERROR(__xludf.DUMMYFUNCTION("""COMPUTED_VALUE"""),"대파")</f>
        <v>대파</v>
      </c>
    </row>
    <row r="13632">
      <c r="A13632" s="2" t="str">
        <f>IFERROR(__xludf.DUMMYFUNCTION("""COMPUTED_VALUE"""),"유씨네 닭갈비")</f>
        <v>유씨네 닭갈비</v>
      </c>
      <c r="B13632" s="2" t="str">
        <f>IFERROR(__xludf.DUMMYFUNCTION("""COMPUTED_VALUE"""),"후추")</f>
        <v>후추</v>
      </c>
    </row>
    <row r="13633">
      <c r="A13633" s="2" t="str">
        <f>IFERROR(__xludf.DUMMYFUNCTION("""COMPUTED_VALUE"""),"유씨네 닭갈비")</f>
        <v>유씨네 닭갈비</v>
      </c>
      <c r="B13633" s="2" t="str">
        <f>IFERROR(__xludf.DUMMYFUNCTION("""COMPUTED_VALUE"""),"다진마늘")</f>
        <v>다진마늘</v>
      </c>
    </row>
    <row r="13634">
      <c r="A13634" s="2" t="str">
        <f>IFERROR(__xludf.DUMMYFUNCTION("""COMPUTED_VALUE"""),"유씨네 닭갈비")</f>
        <v>유씨네 닭갈비</v>
      </c>
      <c r="B13634" s="2" t="str">
        <f>IFERROR(__xludf.DUMMYFUNCTION("""COMPUTED_VALUE"""),"청양고추")</f>
        <v>청양고추</v>
      </c>
    </row>
    <row r="13635">
      <c r="A13635" s="2" t="str">
        <f>IFERROR(__xludf.DUMMYFUNCTION("""COMPUTED_VALUE"""),"유씨네 닭갈비")</f>
        <v>유씨네 닭갈비</v>
      </c>
      <c r="B13635" s="2" t="str">
        <f>IFERROR(__xludf.DUMMYFUNCTION("""COMPUTED_VALUE"""),"양파")</f>
        <v>양파</v>
      </c>
    </row>
    <row r="13636">
      <c r="A13636" s="2" t="str">
        <f>IFERROR(__xludf.DUMMYFUNCTION("""COMPUTED_VALUE"""),"유씨네 닭갈비")</f>
        <v>유씨네 닭갈비</v>
      </c>
      <c r="B13636" s="2" t="str">
        <f>IFERROR(__xludf.DUMMYFUNCTION("""COMPUTED_VALUE"""),"간장")</f>
        <v>간장</v>
      </c>
    </row>
    <row r="13637">
      <c r="A13637" s="2" t="str">
        <f>IFERROR(__xludf.DUMMYFUNCTION("""COMPUTED_VALUE"""),"유씨네 닭갈비")</f>
        <v>유씨네 닭갈비</v>
      </c>
      <c r="B13637" s="2" t="str">
        <f>IFERROR(__xludf.DUMMYFUNCTION("""COMPUTED_VALUE"""),"고추장")</f>
        <v>고추장</v>
      </c>
    </row>
    <row r="13638">
      <c r="A13638" s="2" t="str">
        <f>IFERROR(__xludf.DUMMYFUNCTION("""COMPUTED_VALUE"""),"유씨네 닭갈비")</f>
        <v>유씨네 닭갈비</v>
      </c>
      <c r="B13638" s="2" t="str">
        <f>IFERROR(__xludf.DUMMYFUNCTION("""COMPUTED_VALUE"""),"설탕")</f>
        <v>설탕</v>
      </c>
    </row>
    <row r="13639">
      <c r="A13639" s="2" t="str">
        <f>IFERROR(__xludf.DUMMYFUNCTION("""COMPUTED_VALUE"""),"유씨네 닭갈비")</f>
        <v>유씨네 닭갈비</v>
      </c>
      <c r="B13639" s="2" t="str">
        <f>IFERROR(__xludf.DUMMYFUNCTION("""COMPUTED_VALUE"""),"식초")</f>
        <v>식초</v>
      </c>
    </row>
    <row r="13640">
      <c r="A13640" s="2" t="str">
        <f>IFERROR(__xludf.DUMMYFUNCTION("""COMPUTED_VALUE"""),"유씨네 닭갈비")</f>
        <v>유씨네 닭갈비</v>
      </c>
      <c r="B13640" s="2" t="str">
        <f>IFERROR(__xludf.DUMMYFUNCTION("""COMPUTED_VALUE"""),"참기름")</f>
        <v>참기름</v>
      </c>
    </row>
    <row r="13641">
      <c r="A13641" s="2" t="str">
        <f>IFERROR(__xludf.DUMMYFUNCTION("""COMPUTED_VALUE"""),"유씨네 닭갈비")</f>
        <v>유씨네 닭갈비</v>
      </c>
      <c r="B13641" s="2" t="str">
        <f>IFERROR(__xludf.DUMMYFUNCTION("""COMPUTED_VALUE"""),"연겨자")</f>
        <v>연겨자</v>
      </c>
    </row>
    <row r="13642">
      <c r="A13642" s="2" t="str">
        <f>IFERROR(__xludf.DUMMYFUNCTION("""COMPUTED_VALUE"""),"맛스타")</f>
        <v>맛스타</v>
      </c>
      <c r="B13642" s="2" t="str">
        <f>IFERROR(__xludf.DUMMYFUNCTION("""COMPUTED_VALUE"""),"소등심")</f>
        <v>소등심</v>
      </c>
    </row>
    <row r="13643">
      <c r="A13643" s="2" t="str">
        <f>IFERROR(__xludf.DUMMYFUNCTION("""COMPUTED_VALUE"""),"맛스타")</f>
        <v>맛스타</v>
      </c>
      <c r="B13643" s="2" t="str">
        <f>IFERROR(__xludf.DUMMYFUNCTION("""COMPUTED_VALUE"""),"두릅장아찌")</f>
        <v>두릅장아찌</v>
      </c>
    </row>
    <row r="13644">
      <c r="A13644" s="2" t="str">
        <f>IFERROR(__xludf.DUMMYFUNCTION("""COMPUTED_VALUE"""),"맛스타")</f>
        <v>맛스타</v>
      </c>
      <c r="B13644" s="2" t="str">
        <f>IFERROR(__xludf.DUMMYFUNCTION("""COMPUTED_VALUE"""),"연근조림")</f>
        <v>연근조림</v>
      </c>
    </row>
    <row r="13645">
      <c r="A13645" s="2" t="str">
        <f>IFERROR(__xludf.DUMMYFUNCTION("""COMPUTED_VALUE"""),"맛스타")</f>
        <v>맛스타</v>
      </c>
      <c r="B13645" s="2" t="str">
        <f>IFERROR(__xludf.DUMMYFUNCTION("""COMPUTED_VALUE"""),"표고버섯 슬라이스")</f>
        <v>표고버섯 슬라이스</v>
      </c>
    </row>
    <row r="13646">
      <c r="A13646" s="2" t="str">
        <f>IFERROR(__xludf.DUMMYFUNCTION("""COMPUTED_VALUE"""),"맛스타")</f>
        <v>맛스타</v>
      </c>
      <c r="B13646" s="2" t="str">
        <f>IFERROR(__xludf.DUMMYFUNCTION("""COMPUTED_VALUE"""),"양송이버섯")</f>
        <v>양송이버섯</v>
      </c>
    </row>
    <row r="13647">
      <c r="A13647" s="2" t="str">
        <f>IFERROR(__xludf.DUMMYFUNCTION("""COMPUTED_VALUE"""),"맛스타")</f>
        <v>맛스타</v>
      </c>
      <c r="B13647" s="2" t="str">
        <f>IFERROR(__xludf.DUMMYFUNCTION("""COMPUTED_VALUE"""),"치킨스톡")</f>
        <v>치킨스톡</v>
      </c>
    </row>
    <row r="13648">
      <c r="A13648" s="2" t="str">
        <f>IFERROR(__xludf.DUMMYFUNCTION("""COMPUTED_VALUE"""),"맛스타")</f>
        <v>맛스타</v>
      </c>
      <c r="B13648" s="2" t="str">
        <f>IFERROR(__xludf.DUMMYFUNCTION("""COMPUTED_VALUE"""),"카야잼")</f>
        <v>카야잼</v>
      </c>
    </row>
    <row r="13649">
      <c r="A13649" s="2" t="str">
        <f>IFERROR(__xludf.DUMMYFUNCTION("""COMPUTED_VALUE"""),"맛스타")</f>
        <v>맛스타</v>
      </c>
      <c r="B13649" s="2" t="str">
        <f>IFERROR(__xludf.DUMMYFUNCTION("""COMPUTED_VALUE"""),"양파")</f>
        <v>양파</v>
      </c>
    </row>
    <row r="13650">
      <c r="A13650" s="2" t="str">
        <f>IFERROR(__xludf.DUMMYFUNCTION("""COMPUTED_VALUE"""),"맛스타")</f>
        <v>맛스타</v>
      </c>
      <c r="B13650" s="2" t="str">
        <f>IFERROR(__xludf.DUMMYFUNCTION("""COMPUTED_VALUE"""),"소금")</f>
        <v>소금</v>
      </c>
    </row>
    <row r="13651">
      <c r="A13651" s="2" t="str">
        <f>IFERROR(__xludf.DUMMYFUNCTION("""COMPUTED_VALUE"""),"맛스타")</f>
        <v>맛스타</v>
      </c>
      <c r="B13651" s="2" t="str">
        <f>IFERROR(__xludf.DUMMYFUNCTION("""COMPUTED_VALUE"""),"후추")</f>
        <v>후추</v>
      </c>
    </row>
    <row r="13652">
      <c r="A13652" s="2" t="str">
        <f>IFERROR(__xludf.DUMMYFUNCTION("""COMPUTED_VALUE"""),"맛스타")</f>
        <v>맛스타</v>
      </c>
      <c r="B13652" s="2" t="str">
        <f>IFERROR(__xludf.DUMMYFUNCTION("""COMPUTED_VALUE"""),"마늘")</f>
        <v>마늘</v>
      </c>
    </row>
    <row r="13653">
      <c r="A13653" s="2" t="str">
        <f>IFERROR(__xludf.DUMMYFUNCTION("""COMPUTED_VALUE"""),"맛스타")</f>
        <v>맛스타</v>
      </c>
      <c r="B13653" s="2" t="str">
        <f>IFERROR(__xludf.DUMMYFUNCTION("""COMPUTED_VALUE"""),"고춧가루")</f>
        <v>고춧가루</v>
      </c>
    </row>
    <row r="13654">
      <c r="A13654" s="2" t="str">
        <f>IFERROR(__xludf.DUMMYFUNCTION("""COMPUTED_VALUE"""),"맛스타")</f>
        <v>맛스타</v>
      </c>
      <c r="B13654" s="2" t="str">
        <f>IFERROR(__xludf.DUMMYFUNCTION("""COMPUTED_VALUE"""),"고추")</f>
        <v>고추</v>
      </c>
    </row>
    <row r="13655">
      <c r="A13655" s="2" t="str">
        <f>IFERROR(__xludf.DUMMYFUNCTION("""COMPUTED_VALUE"""),"맛스타")</f>
        <v>맛스타</v>
      </c>
      <c r="B13655" s="2" t="str">
        <f>IFERROR(__xludf.DUMMYFUNCTION("""COMPUTED_VALUE"""),"홍고추")</f>
        <v>홍고추</v>
      </c>
    </row>
    <row r="13656">
      <c r="A13656" s="2" t="str">
        <f>IFERROR(__xludf.DUMMYFUNCTION("""COMPUTED_VALUE"""),"맛스타")</f>
        <v>맛스타</v>
      </c>
      <c r="B13656" s="2" t="str">
        <f>IFERROR(__xludf.DUMMYFUNCTION("""COMPUTED_VALUE"""),"청양고추")</f>
        <v>청양고추</v>
      </c>
    </row>
    <row r="13657">
      <c r="A13657" s="2" t="str">
        <f>IFERROR(__xludf.DUMMYFUNCTION("""COMPUTED_VALUE"""),"맛스타")</f>
        <v>맛스타</v>
      </c>
      <c r="B13657" s="2" t="str">
        <f>IFERROR(__xludf.DUMMYFUNCTION("""COMPUTED_VALUE"""),"식초")</f>
        <v>식초</v>
      </c>
    </row>
    <row r="13658">
      <c r="A13658" s="2" t="str">
        <f>IFERROR(__xludf.DUMMYFUNCTION("""COMPUTED_VALUE"""),"맛스타")</f>
        <v>맛스타</v>
      </c>
      <c r="B13658" s="2" t="str">
        <f>IFERROR(__xludf.DUMMYFUNCTION("""COMPUTED_VALUE"""),"간장")</f>
        <v>간장</v>
      </c>
    </row>
    <row r="13659">
      <c r="A13659" s="2" t="str">
        <f>IFERROR(__xludf.DUMMYFUNCTION("""COMPUTED_VALUE"""),"맛스타")</f>
        <v>맛스타</v>
      </c>
      <c r="B13659" s="2" t="str">
        <f>IFERROR(__xludf.DUMMYFUNCTION("""COMPUTED_VALUE"""),"설탕")</f>
        <v>설탕</v>
      </c>
    </row>
    <row r="13660">
      <c r="A13660" s="2" t="str">
        <f>IFERROR(__xludf.DUMMYFUNCTION("""COMPUTED_VALUE"""),"맛스타")</f>
        <v>맛스타</v>
      </c>
      <c r="B13660" s="2" t="str">
        <f>IFERROR(__xludf.DUMMYFUNCTION("""COMPUTED_VALUE"""),"맛술")</f>
        <v>맛술</v>
      </c>
    </row>
    <row r="13661">
      <c r="A13661" s="2" t="str">
        <f>IFERROR(__xludf.DUMMYFUNCTION("""COMPUTED_VALUE"""),"맛스타")</f>
        <v>맛스타</v>
      </c>
      <c r="B13661" s="2" t="str">
        <f>IFERROR(__xludf.DUMMYFUNCTION("""COMPUTED_VALUE"""),"올리브오일")</f>
        <v>올리브오일</v>
      </c>
    </row>
    <row r="13662">
      <c r="A13662" s="2" t="str">
        <f>IFERROR(__xludf.DUMMYFUNCTION("""COMPUTED_VALUE"""),"맛스타")</f>
        <v>맛스타</v>
      </c>
      <c r="B13662" s="2" t="str">
        <f>IFERROR(__xludf.DUMMYFUNCTION("""COMPUTED_VALUE"""),"참기름")</f>
        <v>참기름</v>
      </c>
    </row>
    <row r="13663">
      <c r="A13663" s="2" t="str">
        <f>IFERROR(__xludf.DUMMYFUNCTION("""COMPUTED_VALUE"""),"맛스타")</f>
        <v>맛스타</v>
      </c>
      <c r="B13663" s="2" t="str">
        <f>IFERROR(__xludf.DUMMYFUNCTION("""COMPUTED_VALUE"""),"대파")</f>
        <v>대파</v>
      </c>
    </row>
    <row r="13664">
      <c r="A13664" s="2" t="str">
        <f>IFERROR(__xludf.DUMMYFUNCTION("""COMPUTED_VALUE"""),"맛스타")</f>
        <v>맛스타</v>
      </c>
      <c r="B13664" s="2" t="str">
        <f>IFERROR(__xludf.DUMMYFUNCTION("""COMPUTED_VALUE"""),"레드와인")</f>
        <v>레드와인</v>
      </c>
    </row>
    <row r="13665">
      <c r="A13665" s="2" t="str">
        <f>IFERROR(__xludf.DUMMYFUNCTION("""COMPUTED_VALUE"""),"맛스타")</f>
        <v>맛스타</v>
      </c>
      <c r="B13665" s="2" t="str">
        <f>IFERROR(__xludf.DUMMYFUNCTION("""COMPUTED_VALUE"""),"연겨자")</f>
        <v>연겨자</v>
      </c>
    </row>
    <row r="13666">
      <c r="A13666" s="2" t="str">
        <f>IFERROR(__xludf.DUMMYFUNCTION("""COMPUTED_VALUE"""),"소 정말 Mystery♬")</f>
        <v>소 정말 Mystery♬</v>
      </c>
      <c r="B13666" s="2" t="str">
        <f>IFERROR(__xludf.DUMMYFUNCTION("""COMPUTED_VALUE"""),"꽃등심")</f>
        <v>꽃등심</v>
      </c>
    </row>
    <row r="13667">
      <c r="A13667" s="2" t="str">
        <f>IFERROR(__xludf.DUMMYFUNCTION("""COMPUTED_VALUE"""),"소 정말 Mystery♬")</f>
        <v>소 정말 Mystery♬</v>
      </c>
      <c r="B13667" s="2" t="str">
        <f>IFERROR(__xludf.DUMMYFUNCTION("""COMPUTED_VALUE"""),"채끝살")</f>
        <v>채끝살</v>
      </c>
    </row>
    <row r="13668">
      <c r="A13668" s="2" t="str">
        <f>IFERROR(__xludf.DUMMYFUNCTION("""COMPUTED_VALUE"""),"소 정말 Mystery♬")</f>
        <v>소 정말 Mystery♬</v>
      </c>
      <c r="B13668" s="2" t="str">
        <f>IFERROR(__xludf.DUMMYFUNCTION("""COMPUTED_VALUE"""),"감자")</f>
        <v>감자</v>
      </c>
    </row>
    <row r="13669">
      <c r="A13669" s="2" t="str">
        <f>IFERROR(__xludf.DUMMYFUNCTION("""COMPUTED_VALUE"""),"소 정말 Mystery♬")</f>
        <v>소 정말 Mystery♬</v>
      </c>
      <c r="B13669" s="2" t="str">
        <f>IFERROR(__xludf.DUMMYFUNCTION("""COMPUTED_VALUE"""),"감자과자")</f>
        <v>감자과자</v>
      </c>
    </row>
    <row r="13670">
      <c r="A13670" s="2" t="str">
        <f>IFERROR(__xludf.DUMMYFUNCTION("""COMPUTED_VALUE"""),"소 정말 Mystery♬")</f>
        <v>소 정말 Mystery♬</v>
      </c>
      <c r="B13670" s="2" t="str">
        <f>IFERROR(__xludf.DUMMYFUNCTION("""COMPUTED_VALUE"""),"양송이버섯")</f>
        <v>양송이버섯</v>
      </c>
    </row>
    <row r="13671">
      <c r="A13671" s="2" t="str">
        <f>IFERROR(__xludf.DUMMYFUNCTION("""COMPUTED_VALUE"""),"소 정말 Mystery♬")</f>
        <v>소 정말 Mystery♬</v>
      </c>
      <c r="B13671" s="2" t="str">
        <f>IFERROR(__xludf.DUMMYFUNCTION("""COMPUTED_VALUE"""),"치킨스톡")</f>
        <v>치킨스톡</v>
      </c>
    </row>
    <row r="13672">
      <c r="A13672" s="2" t="str">
        <f>IFERROR(__xludf.DUMMYFUNCTION("""COMPUTED_VALUE"""),"소 정말 Mystery♬")</f>
        <v>소 정말 Mystery♬</v>
      </c>
      <c r="B13672" s="2" t="str">
        <f>IFERROR(__xludf.DUMMYFUNCTION("""COMPUTED_VALUE"""),"아보카도")</f>
        <v>아보카도</v>
      </c>
    </row>
    <row r="13673">
      <c r="A13673" s="2" t="str">
        <f>IFERROR(__xludf.DUMMYFUNCTION("""COMPUTED_VALUE"""),"소 정말 Mystery♬")</f>
        <v>소 정말 Mystery♬</v>
      </c>
      <c r="B13673" s="2" t="str">
        <f>IFERROR(__xludf.DUMMYFUNCTION("""COMPUTED_VALUE"""),"요거트")</f>
        <v>요거트</v>
      </c>
    </row>
    <row r="13674">
      <c r="A13674" s="2" t="str">
        <f>IFERROR(__xludf.DUMMYFUNCTION("""COMPUTED_VALUE"""),"소 정말 Mystery♬")</f>
        <v>소 정말 Mystery♬</v>
      </c>
      <c r="B13674" s="2" t="str">
        <f>IFERROR(__xludf.DUMMYFUNCTION("""COMPUTED_VALUE"""),"그린올리브")</f>
        <v>그린올리브</v>
      </c>
    </row>
    <row r="13675">
      <c r="A13675" s="2" t="str">
        <f>IFERROR(__xludf.DUMMYFUNCTION("""COMPUTED_VALUE"""),"소 정말 Mystery♬")</f>
        <v>소 정말 Mystery♬</v>
      </c>
      <c r="B13675" s="2" t="str">
        <f>IFERROR(__xludf.DUMMYFUNCTION("""COMPUTED_VALUE"""),"블루베리")</f>
        <v>블루베리</v>
      </c>
    </row>
    <row r="13676">
      <c r="A13676" s="2" t="str">
        <f>IFERROR(__xludf.DUMMYFUNCTION("""COMPUTED_VALUE"""),"소 정말 Mystery♬")</f>
        <v>소 정말 Mystery♬</v>
      </c>
      <c r="B13676" s="2" t="str">
        <f>IFERROR(__xludf.DUMMYFUNCTION("""COMPUTED_VALUE"""),"소시지")</f>
        <v>소시지</v>
      </c>
    </row>
    <row r="13677">
      <c r="A13677" s="2" t="str">
        <f>IFERROR(__xludf.DUMMYFUNCTION("""COMPUTED_VALUE"""),"소 정말 Mystery♬")</f>
        <v>소 정말 Mystery♬</v>
      </c>
      <c r="B13677" s="2" t="str">
        <f>IFERROR(__xludf.DUMMYFUNCTION("""COMPUTED_VALUE"""),"레드와인")</f>
        <v>레드와인</v>
      </c>
    </row>
    <row r="13678">
      <c r="A13678" s="2" t="str">
        <f>IFERROR(__xludf.DUMMYFUNCTION("""COMPUTED_VALUE"""),"소 정말 Mystery♬")</f>
        <v>소 정말 Mystery♬</v>
      </c>
      <c r="B13678" s="2" t="str">
        <f>IFERROR(__xludf.DUMMYFUNCTION("""COMPUTED_VALUE"""),"레몬")</f>
        <v>레몬</v>
      </c>
    </row>
    <row r="13679">
      <c r="A13679" s="2" t="str">
        <f>IFERROR(__xludf.DUMMYFUNCTION("""COMPUTED_VALUE"""),"소 정말 Mystery♬")</f>
        <v>소 정말 Mystery♬</v>
      </c>
      <c r="B13679" s="2" t="str">
        <f>IFERROR(__xludf.DUMMYFUNCTION("""COMPUTED_VALUE"""),"올리브오일")</f>
        <v>올리브오일</v>
      </c>
    </row>
    <row r="13680">
      <c r="A13680" s="2" t="str">
        <f>IFERROR(__xludf.DUMMYFUNCTION("""COMPUTED_VALUE"""),"소 정말 Mystery♬")</f>
        <v>소 정말 Mystery♬</v>
      </c>
      <c r="B13680" s="2" t="str">
        <f>IFERROR(__xludf.DUMMYFUNCTION("""COMPUTED_VALUE"""),"마늘")</f>
        <v>마늘</v>
      </c>
    </row>
    <row r="13681">
      <c r="A13681" s="2" t="str">
        <f>IFERROR(__xludf.DUMMYFUNCTION("""COMPUTED_VALUE"""),"소 정말 Mystery♬")</f>
        <v>소 정말 Mystery♬</v>
      </c>
      <c r="B13681" s="2" t="str">
        <f>IFERROR(__xludf.DUMMYFUNCTION("""COMPUTED_VALUE"""),"소금")</f>
        <v>소금</v>
      </c>
    </row>
    <row r="13682">
      <c r="A13682" s="2" t="str">
        <f>IFERROR(__xludf.DUMMYFUNCTION("""COMPUTED_VALUE"""),"소 정말 Mystery♬")</f>
        <v>소 정말 Mystery♬</v>
      </c>
      <c r="B13682" s="2" t="str">
        <f>IFERROR(__xludf.DUMMYFUNCTION("""COMPUTED_VALUE"""),"간장")</f>
        <v>간장</v>
      </c>
    </row>
    <row r="13683">
      <c r="A13683" s="2" t="str">
        <f>IFERROR(__xludf.DUMMYFUNCTION("""COMPUTED_VALUE"""),"소 정말 Mystery♬")</f>
        <v>소 정말 Mystery♬</v>
      </c>
      <c r="B13683" s="2" t="str">
        <f>IFERROR(__xludf.DUMMYFUNCTION("""COMPUTED_VALUE"""),"참기름")</f>
        <v>참기름</v>
      </c>
    </row>
    <row r="13684">
      <c r="A13684" s="2" t="str">
        <f>IFERROR(__xludf.DUMMYFUNCTION("""COMPUTED_VALUE"""),"소 정말 Mystery♬")</f>
        <v>소 정말 Mystery♬</v>
      </c>
      <c r="B13684" s="2" t="str">
        <f>IFERROR(__xludf.DUMMYFUNCTION("""COMPUTED_VALUE"""),"후추")</f>
        <v>후추</v>
      </c>
    </row>
    <row r="13685">
      <c r="A13685" s="2" t="str">
        <f>IFERROR(__xludf.DUMMYFUNCTION("""COMPUTED_VALUE"""),"소 정말 Mystery♬")</f>
        <v>소 정말 Mystery♬</v>
      </c>
      <c r="B13685" s="2" t="str">
        <f>IFERROR(__xludf.DUMMYFUNCTION("""COMPUTED_VALUE"""),"설탕")</f>
        <v>설탕</v>
      </c>
    </row>
    <row r="13686">
      <c r="A13686" s="2" t="str">
        <f>IFERROR(__xludf.DUMMYFUNCTION("""COMPUTED_VALUE"""),"소 정말 Mystery♬")</f>
        <v>소 정말 Mystery♬</v>
      </c>
      <c r="B13686" s="2" t="str">
        <f>IFERROR(__xludf.DUMMYFUNCTION("""COMPUTED_VALUE"""),"식초")</f>
        <v>식초</v>
      </c>
    </row>
    <row r="13687">
      <c r="A13687" s="2" t="str">
        <f>IFERROR(__xludf.DUMMYFUNCTION("""COMPUTED_VALUE"""),"소 정말 Mystery♬")</f>
        <v>소 정말 Mystery♬</v>
      </c>
      <c r="B13687" s="2" t="str">
        <f>IFERROR(__xludf.DUMMYFUNCTION("""COMPUTED_VALUE"""),"버터")</f>
        <v>버터</v>
      </c>
    </row>
    <row r="13688">
      <c r="A13688" s="2" t="str">
        <f>IFERROR(__xludf.DUMMYFUNCTION("""COMPUTED_VALUE"""),"소 정말 Mystery♬")</f>
        <v>소 정말 Mystery♬</v>
      </c>
      <c r="B13688" s="2" t="str">
        <f>IFERROR(__xludf.DUMMYFUNCTION("""COMPUTED_VALUE"""),"밀가루")</f>
        <v>밀가루</v>
      </c>
    </row>
    <row r="13689">
      <c r="A13689" s="2" t="str">
        <f>IFERROR(__xludf.DUMMYFUNCTION("""COMPUTED_VALUE"""),"소 정말 Mystery♬")</f>
        <v>소 정말 Mystery♬</v>
      </c>
      <c r="B13689" s="2" t="str">
        <f>IFERROR(__xludf.DUMMYFUNCTION("""COMPUTED_VALUE"""),"달걀")</f>
        <v>달걀</v>
      </c>
    </row>
    <row r="13690">
      <c r="A13690" s="2" t="str">
        <f>IFERROR(__xludf.DUMMYFUNCTION("""COMPUTED_VALUE"""),"멧돼이먼킴")</f>
        <v>멧돼이먼킴</v>
      </c>
      <c r="B13690" s="2" t="str">
        <f>IFERROR(__xludf.DUMMYFUNCTION("""COMPUTED_VALUE"""),"멧돼지 뒷다리")</f>
        <v>멧돼지 뒷다리</v>
      </c>
    </row>
    <row r="13691">
      <c r="A13691" s="2" t="str">
        <f>IFERROR(__xludf.DUMMYFUNCTION("""COMPUTED_VALUE"""),"멧돼이먼킴")</f>
        <v>멧돼이먼킴</v>
      </c>
      <c r="B13691" s="2" t="str">
        <f>IFERROR(__xludf.DUMMYFUNCTION("""COMPUTED_VALUE"""),"시래기")</f>
        <v>시래기</v>
      </c>
    </row>
    <row r="13692">
      <c r="A13692" s="2" t="str">
        <f>IFERROR(__xludf.DUMMYFUNCTION("""COMPUTED_VALUE"""),"멧돼이먼킴")</f>
        <v>멧돼이먼킴</v>
      </c>
      <c r="B13692" s="2" t="str">
        <f>IFERROR(__xludf.DUMMYFUNCTION("""COMPUTED_VALUE"""),"말린 뽕잎")</f>
        <v>말린 뽕잎</v>
      </c>
    </row>
    <row r="13693">
      <c r="A13693" s="2" t="str">
        <f>IFERROR(__xludf.DUMMYFUNCTION("""COMPUTED_VALUE"""),"멧돼이먼킴")</f>
        <v>멧돼이먼킴</v>
      </c>
      <c r="B13693" s="2" t="str">
        <f>IFERROR(__xludf.DUMMYFUNCTION("""COMPUTED_VALUE"""),"미소")</f>
        <v>미소</v>
      </c>
    </row>
    <row r="13694">
      <c r="A13694" s="2" t="str">
        <f>IFERROR(__xludf.DUMMYFUNCTION("""COMPUTED_VALUE"""),"멧돼이먼킴")</f>
        <v>멧돼이먼킴</v>
      </c>
      <c r="B13694" s="2" t="str">
        <f>IFERROR(__xludf.DUMMYFUNCTION("""COMPUTED_VALUE"""),"봄동")</f>
        <v>봄동</v>
      </c>
    </row>
    <row r="13695">
      <c r="A13695" s="2" t="str">
        <f>IFERROR(__xludf.DUMMYFUNCTION("""COMPUTED_VALUE"""),"멧돼이먼킴")</f>
        <v>멧돼이먼킴</v>
      </c>
      <c r="B13695" s="2" t="str">
        <f>IFERROR(__xludf.DUMMYFUNCTION("""COMPUTED_VALUE"""),"도라지청")</f>
        <v>도라지청</v>
      </c>
    </row>
    <row r="13696">
      <c r="A13696" s="2" t="str">
        <f>IFERROR(__xludf.DUMMYFUNCTION("""COMPUTED_VALUE"""),"멧돼이먼킴")</f>
        <v>멧돼이먼킴</v>
      </c>
      <c r="B13696" s="2" t="str">
        <f>IFERROR(__xludf.DUMMYFUNCTION("""COMPUTED_VALUE"""),"복분자주")</f>
        <v>복분자주</v>
      </c>
    </row>
    <row r="13697">
      <c r="A13697" s="2" t="str">
        <f>IFERROR(__xludf.DUMMYFUNCTION("""COMPUTED_VALUE"""),"멧돼이먼킴")</f>
        <v>멧돼이먼킴</v>
      </c>
      <c r="B13697" s="2" t="str">
        <f>IFERROR(__xludf.DUMMYFUNCTION("""COMPUTED_VALUE"""),"국물용 조미료")</f>
        <v>국물용 조미료</v>
      </c>
    </row>
    <row r="13698">
      <c r="A13698" s="2" t="str">
        <f>IFERROR(__xludf.DUMMYFUNCTION("""COMPUTED_VALUE"""),"멧돼이먼킴")</f>
        <v>멧돼이먼킴</v>
      </c>
      <c r="B13698" s="2" t="str">
        <f>IFERROR(__xludf.DUMMYFUNCTION("""COMPUTED_VALUE"""),"깻잎")</f>
        <v>깻잎</v>
      </c>
    </row>
    <row r="13699">
      <c r="A13699" s="2" t="str">
        <f>IFERROR(__xludf.DUMMYFUNCTION("""COMPUTED_VALUE"""),"멧돼이먼킴")</f>
        <v>멧돼이먼킴</v>
      </c>
      <c r="B13699" s="2" t="str">
        <f>IFERROR(__xludf.DUMMYFUNCTION("""COMPUTED_VALUE"""),"우유")</f>
        <v>우유</v>
      </c>
    </row>
    <row r="13700">
      <c r="A13700" s="2" t="str">
        <f>IFERROR(__xludf.DUMMYFUNCTION("""COMPUTED_VALUE"""),"멧돼이먼킴")</f>
        <v>멧돼이먼킴</v>
      </c>
      <c r="B13700" s="2" t="str">
        <f>IFERROR(__xludf.DUMMYFUNCTION("""COMPUTED_VALUE"""),"소주")</f>
        <v>소주</v>
      </c>
    </row>
    <row r="13701">
      <c r="A13701" s="2" t="str">
        <f>IFERROR(__xludf.DUMMYFUNCTION("""COMPUTED_VALUE"""),"멧돼이먼킴")</f>
        <v>멧돼이먼킴</v>
      </c>
      <c r="B13701" s="2" t="str">
        <f>IFERROR(__xludf.DUMMYFUNCTION("""COMPUTED_VALUE"""),"생강청")</f>
        <v>생강청</v>
      </c>
    </row>
    <row r="13702">
      <c r="A13702" s="2" t="str">
        <f>IFERROR(__xludf.DUMMYFUNCTION("""COMPUTED_VALUE"""),"멧돼이먼킴")</f>
        <v>멧돼이먼킴</v>
      </c>
      <c r="B13702" s="2" t="str">
        <f>IFERROR(__xludf.DUMMYFUNCTION("""COMPUTED_VALUE"""),"조청")</f>
        <v>조청</v>
      </c>
    </row>
    <row r="13703">
      <c r="A13703" s="2" t="str">
        <f>IFERROR(__xludf.DUMMYFUNCTION("""COMPUTED_VALUE"""),"멧돼이먼킴")</f>
        <v>멧돼이먼킴</v>
      </c>
      <c r="B13703" s="2" t="str">
        <f>IFERROR(__xludf.DUMMYFUNCTION("""COMPUTED_VALUE"""),"다시마")</f>
        <v>다시마</v>
      </c>
    </row>
    <row r="13704">
      <c r="A13704" s="2" t="str">
        <f>IFERROR(__xludf.DUMMYFUNCTION("""COMPUTED_VALUE"""),"멧돼이먼킴")</f>
        <v>멧돼이먼킴</v>
      </c>
      <c r="B13704" s="2" t="str">
        <f>IFERROR(__xludf.DUMMYFUNCTION("""COMPUTED_VALUE"""),"국물용 멸치. 된장")</f>
        <v>국물용 멸치. 된장</v>
      </c>
    </row>
    <row r="13705">
      <c r="A13705" s="2" t="str">
        <f>IFERROR(__xludf.DUMMYFUNCTION("""COMPUTED_VALUE"""),"멧돼이먼킴")</f>
        <v>멧돼이먼킴</v>
      </c>
      <c r="B13705" s="2" t="str">
        <f>IFERROR(__xludf.DUMMYFUNCTION("""COMPUTED_VALUE"""),"참기름")</f>
        <v>참기름</v>
      </c>
    </row>
    <row r="13706">
      <c r="A13706" s="2" t="str">
        <f>IFERROR(__xludf.DUMMYFUNCTION("""COMPUTED_VALUE"""),"멧돼이먼킴")</f>
        <v>멧돼이먼킴</v>
      </c>
      <c r="B13706" s="2" t="str">
        <f>IFERROR(__xludf.DUMMYFUNCTION("""COMPUTED_VALUE"""),"대파")</f>
        <v>대파</v>
      </c>
    </row>
    <row r="13707">
      <c r="A13707" s="2" t="str">
        <f>IFERROR(__xludf.DUMMYFUNCTION("""COMPUTED_VALUE"""),"멧돼이먼킴")</f>
        <v>멧돼이먼킴</v>
      </c>
      <c r="B13707" s="2" t="str">
        <f>IFERROR(__xludf.DUMMYFUNCTION("""COMPUTED_VALUE"""),"청양고추")</f>
        <v>청양고추</v>
      </c>
    </row>
    <row r="13708">
      <c r="A13708" s="2" t="str">
        <f>IFERROR(__xludf.DUMMYFUNCTION("""COMPUTED_VALUE"""),"멧돼이먼킴")</f>
        <v>멧돼이먼킴</v>
      </c>
      <c r="B13708" s="2" t="str">
        <f>IFERROR(__xludf.DUMMYFUNCTION("""COMPUTED_VALUE"""),"고춧가루")</f>
        <v>고춧가루</v>
      </c>
    </row>
    <row r="13709">
      <c r="A13709" s="2" t="str">
        <f>IFERROR(__xludf.DUMMYFUNCTION("""COMPUTED_VALUE"""),"멧돼이먼킴")</f>
        <v>멧돼이먼킴</v>
      </c>
      <c r="B13709" s="2" t="str">
        <f>IFERROR(__xludf.DUMMYFUNCTION("""COMPUTED_VALUE"""),"레몬")</f>
        <v>레몬</v>
      </c>
    </row>
    <row r="13710">
      <c r="A13710" s="2" t="str">
        <f>IFERROR(__xludf.DUMMYFUNCTION("""COMPUTED_VALUE"""),"멧돼이먼킴")</f>
        <v>멧돼이먼킴</v>
      </c>
      <c r="B13710" s="2" t="str">
        <f>IFERROR(__xludf.DUMMYFUNCTION("""COMPUTED_VALUE"""),"마늘")</f>
        <v>마늘</v>
      </c>
    </row>
    <row r="13711">
      <c r="A13711" s="2" t="str">
        <f>IFERROR(__xludf.DUMMYFUNCTION("""COMPUTED_VALUE"""),"멧돼이먼킴")</f>
        <v>멧돼이먼킴</v>
      </c>
      <c r="B13711" s="2" t="str">
        <f>IFERROR(__xludf.DUMMYFUNCTION("""COMPUTED_VALUE"""),"양파")</f>
        <v>양파</v>
      </c>
    </row>
    <row r="13712">
      <c r="A13712" s="2" t="str">
        <f>IFERROR(__xludf.DUMMYFUNCTION("""COMPUTED_VALUE"""),"멧돼이먼킴")</f>
        <v>멧돼이먼킴</v>
      </c>
      <c r="B13712" s="2" t="str">
        <f>IFERROR(__xludf.DUMMYFUNCTION("""COMPUTED_VALUE"""),"고추장")</f>
        <v>고추장</v>
      </c>
    </row>
    <row r="13713">
      <c r="A13713" s="2" t="str">
        <f>IFERROR(__xludf.DUMMYFUNCTION("""COMPUTED_VALUE"""),"멧돼이먼킴")</f>
        <v>멧돼이먼킴</v>
      </c>
      <c r="B13713" s="2" t="str">
        <f>IFERROR(__xludf.DUMMYFUNCTION("""COMPUTED_VALUE"""),"다진 생강")</f>
        <v>다진 생강</v>
      </c>
    </row>
    <row r="13714">
      <c r="A13714" s="2" t="str">
        <f>IFERROR(__xludf.DUMMYFUNCTION("""COMPUTED_VALUE"""),"멧돼이먼킴")</f>
        <v>멧돼이먼킴</v>
      </c>
      <c r="B13714" s="2" t="str">
        <f>IFERROR(__xludf.DUMMYFUNCTION("""COMPUTED_VALUE"""),"다진 마늘")</f>
        <v>다진 마늘</v>
      </c>
    </row>
    <row r="13715">
      <c r="A13715" s="2" t="str">
        <f>IFERROR(__xludf.DUMMYFUNCTION("""COMPUTED_VALUE"""),"멧돼이먼킴")</f>
        <v>멧돼이먼킴</v>
      </c>
      <c r="B13715" s="2" t="str">
        <f>IFERROR(__xludf.DUMMYFUNCTION("""COMPUTED_VALUE"""),"올리브오일")</f>
        <v>올리브오일</v>
      </c>
    </row>
    <row r="13716">
      <c r="A13716" s="2" t="str">
        <f>IFERROR(__xludf.DUMMYFUNCTION("""COMPUTED_VALUE"""),"멧돼이먼킴")</f>
        <v>멧돼이먼킴</v>
      </c>
      <c r="B13716" s="2" t="str">
        <f>IFERROR(__xludf.DUMMYFUNCTION("""COMPUTED_VALUE"""),"들기름")</f>
        <v>들기름</v>
      </c>
    </row>
    <row r="13717">
      <c r="A13717" s="2" t="str">
        <f>IFERROR(__xludf.DUMMYFUNCTION("""COMPUTED_VALUE"""),"유씨네 왕족발")</f>
        <v>유씨네 왕족발</v>
      </c>
      <c r="B13717" s="2" t="str">
        <f>IFERROR(__xludf.DUMMYFUNCTION("""COMPUTED_VALUE"""),"멧돼지 뒷다리")</f>
        <v>멧돼지 뒷다리</v>
      </c>
    </row>
    <row r="13718">
      <c r="A13718" s="2" t="str">
        <f>IFERROR(__xludf.DUMMYFUNCTION("""COMPUTED_VALUE"""),"유씨네 왕족발")</f>
        <v>유씨네 왕족발</v>
      </c>
      <c r="B13718" s="2" t="str">
        <f>IFERROR(__xludf.DUMMYFUNCTION("""COMPUTED_VALUE"""),"시래기")</f>
        <v>시래기</v>
      </c>
    </row>
    <row r="13719">
      <c r="A13719" s="2" t="str">
        <f>IFERROR(__xludf.DUMMYFUNCTION("""COMPUTED_VALUE"""),"유씨네 왕족발")</f>
        <v>유씨네 왕족발</v>
      </c>
      <c r="B13719" s="2" t="str">
        <f>IFERROR(__xludf.DUMMYFUNCTION("""COMPUTED_VALUE"""),"칡")</f>
        <v>칡</v>
      </c>
    </row>
    <row r="13720">
      <c r="A13720" s="2" t="str">
        <f>IFERROR(__xludf.DUMMYFUNCTION("""COMPUTED_VALUE"""),"유씨네 왕족발")</f>
        <v>유씨네 왕족발</v>
      </c>
      <c r="B13720" s="2" t="str">
        <f>IFERROR(__xludf.DUMMYFUNCTION("""COMPUTED_VALUE"""),"말린 뽕잎")</f>
        <v>말린 뽕잎</v>
      </c>
    </row>
    <row r="13721">
      <c r="A13721" s="2" t="str">
        <f>IFERROR(__xludf.DUMMYFUNCTION("""COMPUTED_VALUE"""),"유씨네 왕족발")</f>
        <v>유씨네 왕족발</v>
      </c>
      <c r="B13721" s="2" t="str">
        <f>IFERROR(__xludf.DUMMYFUNCTION("""COMPUTED_VALUE"""),"볶은 메뚜기")</f>
        <v>볶은 메뚜기</v>
      </c>
    </row>
    <row r="13722">
      <c r="A13722" s="2" t="str">
        <f>IFERROR(__xludf.DUMMYFUNCTION("""COMPUTED_VALUE"""),"유씨네 왕족발")</f>
        <v>유씨네 왕족발</v>
      </c>
      <c r="B13722" s="2" t="str">
        <f>IFERROR(__xludf.DUMMYFUNCTION("""COMPUTED_VALUE"""),"갓김치")</f>
        <v>갓김치</v>
      </c>
    </row>
    <row r="13723">
      <c r="A13723" s="2" t="str">
        <f>IFERROR(__xludf.DUMMYFUNCTION("""COMPUTED_VALUE"""),"유씨네 왕족발")</f>
        <v>유씨네 왕족발</v>
      </c>
      <c r="B13723" s="2" t="str">
        <f>IFERROR(__xludf.DUMMYFUNCTION("""COMPUTED_VALUE"""),"칡대추차")</f>
        <v>칡대추차</v>
      </c>
    </row>
    <row r="13724">
      <c r="A13724" s="2" t="str">
        <f>IFERROR(__xludf.DUMMYFUNCTION("""COMPUTED_VALUE"""),"유씨네 왕족발")</f>
        <v>유씨네 왕족발</v>
      </c>
      <c r="B13724" s="2" t="str">
        <f>IFERROR(__xludf.DUMMYFUNCTION("""COMPUTED_VALUE"""),"파인애플")</f>
        <v>파인애플</v>
      </c>
    </row>
    <row r="13725">
      <c r="A13725" s="2" t="str">
        <f>IFERROR(__xludf.DUMMYFUNCTION("""COMPUTED_VALUE"""),"유씨네 왕족발")</f>
        <v>유씨네 왕족발</v>
      </c>
      <c r="B13725" s="2" t="str">
        <f>IFERROR(__xludf.DUMMYFUNCTION("""COMPUTED_VALUE"""),"도라지청")</f>
        <v>도라지청</v>
      </c>
    </row>
    <row r="13726">
      <c r="A13726" s="2" t="str">
        <f>IFERROR(__xludf.DUMMYFUNCTION("""COMPUTED_VALUE"""),"유씨네 왕족발")</f>
        <v>유씨네 왕족발</v>
      </c>
      <c r="B13726" s="2" t="str">
        <f>IFERROR(__xludf.DUMMYFUNCTION("""COMPUTED_VALUE"""),"딸기")</f>
        <v>딸기</v>
      </c>
    </row>
    <row r="13727">
      <c r="A13727" s="2" t="str">
        <f>IFERROR(__xludf.DUMMYFUNCTION("""COMPUTED_VALUE"""),"유씨네 왕족발")</f>
        <v>유씨네 왕족발</v>
      </c>
      <c r="B13727" s="2" t="str">
        <f>IFERROR(__xludf.DUMMYFUNCTION("""COMPUTED_VALUE"""),"오디잼")</f>
        <v>오디잼</v>
      </c>
    </row>
    <row r="13728">
      <c r="A13728" s="2" t="str">
        <f>IFERROR(__xludf.DUMMYFUNCTION("""COMPUTED_VALUE"""),"유씨네 왕족발")</f>
        <v>유씨네 왕족발</v>
      </c>
      <c r="B13728" s="2" t="str">
        <f>IFERROR(__xludf.DUMMYFUNCTION("""COMPUTED_VALUE"""),"감식초")</f>
        <v>감식초</v>
      </c>
    </row>
    <row r="13729">
      <c r="A13729" s="2" t="str">
        <f>IFERROR(__xludf.DUMMYFUNCTION("""COMPUTED_VALUE"""),"유씨네 왕족발")</f>
        <v>유씨네 왕족발</v>
      </c>
      <c r="B13729" s="2" t="str">
        <f>IFERROR(__xludf.DUMMYFUNCTION("""COMPUTED_VALUE"""),"도라지주")</f>
        <v>도라지주</v>
      </c>
    </row>
    <row r="13730">
      <c r="A13730" s="2" t="str">
        <f>IFERROR(__xludf.DUMMYFUNCTION("""COMPUTED_VALUE"""),"유씨네 왕족발")</f>
        <v>유씨네 왕족발</v>
      </c>
      <c r="B13730" s="2" t="str">
        <f>IFERROR(__xludf.DUMMYFUNCTION("""COMPUTED_VALUE"""),"봄동")</f>
        <v>봄동</v>
      </c>
    </row>
    <row r="13731">
      <c r="A13731" s="2" t="str">
        <f>IFERROR(__xludf.DUMMYFUNCTION("""COMPUTED_VALUE"""),"유씨네 왕족발")</f>
        <v>유씨네 왕족발</v>
      </c>
      <c r="B13731" s="2" t="str">
        <f>IFERROR(__xludf.DUMMYFUNCTION("""COMPUTED_VALUE"""),"오가피청")</f>
        <v>오가피청</v>
      </c>
    </row>
    <row r="13732">
      <c r="A13732" s="2" t="str">
        <f>IFERROR(__xludf.DUMMYFUNCTION("""COMPUTED_VALUE"""),"유씨네 왕족발")</f>
        <v>유씨네 왕족발</v>
      </c>
      <c r="B13732" s="2" t="str">
        <f>IFERROR(__xludf.DUMMYFUNCTION("""COMPUTED_VALUE"""),"한라봉잼")</f>
        <v>한라봉잼</v>
      </c>
    </row>
    <row r="13733">
      <c r="A13733" s="2" t="str">
        <f>IFERROR(__xludf.DUMMYFUNCTION("""COMPUTED_VALUE"""),"유씨네 왕족발")</f>
        <v>유씨네 왕족발</v>
      </c>
      <c r="B13733" s="2" t="str">
        <f>IFERROR(__xludf.DUMMYFUNCTION("""COMPUTED_VALUE"""),"도라지")</f>
        <v>도라지</v>
      </c>
    </row>
    <row r="13734">
      <c r="A13734" s="2" t="str">
        <f>IFERROR(__xludf.DUMMYFUNCTION("""COMPUTED_VALUE"""),"유씨네 왕족발")</f>
        <v>유씨네 왕족발</v>
      </c>
      <c r="B13734" s="2" t="str">
        <f>IFERROR(__xludf.DUMMYFUNCTION("""COMPUTED_VALUE"""),"전분")</f>
        <v>전분</v>
      </c>
    </row>
    <row r="13735">
      <c r="A13735" s="2" t="str">
        <f>IFERROR(__xludf.DUMMYFUNCTION("""COMPUTED_VALUE"""),"유씨네 왕족발")</f>
        <v>유씨네 왕족발</v>
      </c>
      <c r="B13735" s="2" t="str">
        <f>IFERROR(__xludf.DUMMYFUNCTION("""COMPUTED_VALUE"""),"간장")</f>
        <v>간장</v>
      </c>
    </row>
    <row r="13736">
      <c r="A13736" s="2" t="str">
        <f>IFERROR(__xludf.DUMMYFUNCTION("""COMPUTED_VALUE"""),"유씨네 왕족발")</f>
        <v>유씨네 왕족발</v>
      </c>
      <c r="B13736" s="2" t="str">
        <f>IFERROR(__xludf.DUMMYFUNCTION("""COMPUTED_VALUE"""),"설탕")</f>
        <v>설탕</v>
      </c>
    </row>
    <row r="13737">
      <c r="A13737" s="2" t="str">
        <f>IFERROR(__xludf.DUMMYFUNCTION("""COMPUTED_VALUE"""),"유씨네 왕족발")</f>
        <v>유씨네 왕족발</v>
      </c>
      <c r="B13737" s="2" t="str">
        <f>IFERROR(__xludf.DUMMYFUNCTION("""COMPUTED_VALUE"""),"다진 마늘")</f>
        <v>다진 마늘</v>
      </c>
    </row>
    <row r="13738">
      <c r="A13738" s="2" t="str">
        <f>IFERROR(__xludf.DUMMYFUNCTION("""COMPUTED_VALUE"""),"유씨네 왕족발")</f>
        <v>유씨네 왕족발</v>
      </c>
      <c r="B13738" s="2" t="str">
        <f>IFERROR(__xludf.DUMMYFUNCTION("""COMPUTED_VALUE"""),"다진 생강")</f>
        <v>다진 생강</v>
      </c>
    </row>
    <row r="13739">
      <c r="A13739" s="2" t="str">
        <f>IFERROR(__xludf.DUMMYFUNCTION("""COMPUTED_VALUE"""),"치즈 앤 더 시티")</f>
        <v>치즈 앤 더 시티</v>
      </c>
      <c r="B13739" s="2" t="str">
        <f>IFERROR(__xludf.DUMMYFUNCTION("""COMPUTED_VALUE"""),"소등심")</f>
        <v>소등심</v>
      </c>
    </row>
    <row r="13740">
      <c r="A13740" s="2" t="str">
        <f>IFERROR(__xludf.DUMMYFUNCTION("""COMPUTED_VALUE"""),"치즈 앤 더 시티")</f>
        <v>치즈 앤 더 시티</v>
      </c>
      <c r="B13740" s="2" t="str">
        <f>IFERROR(__xludf.DUMMYFUNCTION("""COMPUTED_VALUE"""),"베이컨")</f>
        <v>베이컨</v>
      </c>
    </row>
    <row r="13741">
      <c r="A13741" s="2" t="str">
        <f>IFERROR(__xludf.DUMMYFUNCTION("""COMPUTED_VALUE"""),"치즈 앤 더 시티")</f>
        <v>치즈 앤 더 시티</v>
      </c>
      <c r="B13741" s="2" t="str">
        <f>IFERROR(__xludf.DUMMYFUNCTION("""COMPUTED_VALUE"""),"바게트")</f>
        <v>바게트</v>
      </c>
    </row>
    <row r="13742">
      <c r="A13742" s="2" t="str">
        <f>IFERROR(__xludf.DUMMYFUNCTION("""COMPUTED_VALUE"""),"치즈 앤 더 시티")</f>
        <v>치즈 앤 더 시티</v>
      </c>
      <c r="B13742" s="2" t="str">
        <f>IFERROR(__xludf.DUMMYFUNCTION("""COMPUTED_VALUE"""),"파프리카")</f>
        <v>파프리카</v>
      </c>
    </row>
    <row r="13743">
      <c r="A13743" s="2" t="str">
        <f>IFERROR(__xludf.DUMMYFUNCTION("""COMPUTED_VALUE"""),"치즈 앤 더 시티")</f>
        <v>치즈 앤 더 시티</v>
      </c>
      <c r="B13743" s="2" t="str">
        <f>IFERROR(__xludf.DUMMYFUNCTION("""COMPUTED_VALUE"""),"바나나")</f>
        <v>바나나</v>
      </c>
    </row>
    <row r="13744">
      <c r="A13744" s="2" t="str">
        <f>IFERROR(__xludf.DUMMYFUNCTION("""COMPUTED_VALUE"""),"치즈 앤 더 시티")</f>
        <v>치즈 앤 더 시티</v>
      </c>
      <c r="B13744" s="2" t="str">
        <f>IFERROR(__xludf.DUMMYFUNCTION("""COMPUTED_VALUE"""),"크림치즈")</f>
        <v>크림치즈</v>
      </c>
    </row>
    <row r="13745">
      <c r="A13745" s="2" t="str">
        <f>IFERROR(__xludf.DUMMYFUNCTION("""COMPUTED_VALUE"""),"치즈 앤 더 시티")</f>
        <v>치즈 앤 더 시티</v>
      </c>
      <c r="B13745" s="2" t="str">
        <f>IFERROR(__xludf.DUMMYFUNCTION("""COMPUTED_VALUE"""),"고추냉이")</f>
        <v>고추냉이</v>
      </c>
    </row>
    <row r="13746">
      <c r="A13746" s="2" t="str">
        <f>IFERROR(__xludf.DUMMYFUNCTION("""COMPUTED_VALUE"""),"치즈 앤 더 시티")</f>
        <v>치즈 앤 더 시티</v>
      </c>
      <c r="B13746" s="2" t="str">
        <f>IFERROR(__xludf.DUMMYFUNCTION("""COMPUTED_VALUE"""),"슬라이스치즈")</f>
        <v>슬라이스치즈</v>
      </c>
    </row>
    <row r="13747">
      <c r="A13747" s="2" t="str">
        <f>IFERROR(__xludf.DUMMYFUNCTION("""COMPUTED_VALUE"""),"치즈 앤 더 시티")</f>
        <v>치즈 앤 더 시티</v>
      </c>
      <c r="B13747" s="2" t="str">
        <f>IFERROR(__xludf.DUMMYFUNCTION("""COMPUTED_VALUE"""),"모차렐라치즈")</f>
        <v>모차렐라치즈</v>
      </c>
    </row>
    <row r="13748">
      <c r="A13748" s="2" t="str">
        <f>IFERROR(__xludf.DUMMYFUNCTION("""COMPUTED_VALUE"""),"치즈 앤 더 시티")</f>
        <v>치즈 앤 더 시티</v>
      </c>
      <c r="B13748" s="2" t="str">
        <f>IFERROR(__xludf.DUMMYFUNCTION("""COMPUTED_VALUE"""),"칠리페퍼소스")</f>
        <v>칠리페퍼소스</v>
      </c>
    </row>
    <row r="13749">
      <c r="A13749" s="2" t="str">
        <f>IFERROR(__xludf.DUMMYFUNCTION("""COMPUTED_VALUE"""),"치즈 앤 더 시티")</f>
        <v>치즈 앤 더 시티</v>
      </c>
      <c r="B13749" s="2" t="str">
        <f>IFERROR(__xludf.DUMMYFUNCTION("""COMPUTED_VALUE"""),"우유")</f>
        <v>우유</v>
      </c>
    </row>
    <row r="13750">
      <c r="A13750" s="2" t="str">
        <f>IFERROR(__xludf.DUMMYFUNCTION("""COMPUTED_VALUE"""),"치즈 앤 더 시티")</f>
        <v>치즈 앤 더 시티</v>
      </c>
      <c r="B13750" s="2" t="str">
        <f>IFERROR(__xludf.DUMMYFUNCTION("""COMPUTED_VALUE"""),"데미글라스 소스")</f>
        <v>데미글라스 소스</v>
      </c>
    </row>
    <row r="13751">
      <c r="A13751" s="2" t="str">
        <f>IFERROR(__xludf.DUMMYFUNCTION("""COMPUTED_VALUE"""),"치즈 앤 더 시티")</f>
        <v>치즈 앤 더 시티</v>
      </c>
      <c r="B13751" s="2" t="str">
        <f>IFERROR(__xludf.DUMMYFUNCTION("""COMPUTED_VALUE"""),"더치커피")</f>
        <v>더치커피</v>
      </c>
    </row>
    <row r="13752">
      <c r="A13752" s="2" t="str">
        <f>IFERROR(__xludf.DUMMYFUNCTION("""COMPUTED_VALUE"""),"치즈 앤 더 시티")</f>
        <v>치즈 앤 더 시티</v>
      </c>
      <c r="B13752" s="2" t="str">
        <f>IFERROR(__xludf.DUMMYFUNCTION("""COMPUTED_VALUE"""),"밀크 초콜릿")</f>
        <v>밀크 초콜릿</v>
      </c>
    </row>
    <row r="13753">
      <c r="A13753" s="2" t="str">
        <f>IFERROR(__xludf.DUMMYFUNCTION("""COMPUTED_VALUE"""),"치즈 앤 더 시티")</f>
        <v>치즈 앤 더 시티</v>
      </c>
      <c r="B13753" s="2" t="str">
        <f>IFERROR(__xludf.DUMMYFUNCTION("""COMPUTED_VALUE"""),"화이트 초콜릿")</f>
        <v>화이트 초콜릿</v>
      </c>
    </row>
    <row r="13754">
      <c r="A13754" s="2" t="str">
        <f>IFERROR(__xludf.DUMMYFUNCTION("""COMPUTED_VALUE"""),"치즈 앤 더 시티")</f>
        <v>치즈 앤 더 시티</v>
      </c>
      <c r="B13754" s="2" t="str">
        <f>IFERROR(__xludf.DUMMYFUNCTION("""COMPUTED_VALUE"""),"유채나물")</f>
        <v>유채나물</v>
      </c>
    </row>
    <row r="13755">
      <c r="A13755" s="2" t="str">
        <f>IFERROR(__xludf.DUMMYFUNCTION("""COMPUTED_VALUE"""),"치즈 앤 더 시티")</f>
        <v>치즈 앤 더 시티</v>
      </c>
      <c r="B13755" s="2" t="str">
        <f>IFERROR(__xludf.DUMMYFUNCTION("""COMPUTED_VALUE"""),"달걀")</f>
        <v>달걀</v>
      </c>
    </row>
    <row r="13756">
      <c r="A13756" s="2" t="str">
        <f>IFERROR(__xludf.DUMMYFUNCTION("""COMPUTED_VALUE"""),"치즈 앤 더 시티")</f>
        <v>치즈 앤 더 시티</v>
      </c>
      <c r="B13756" s="2" t="str">
        <f>IFERROR(__xludf.DUMMYFUNCTION("""COMPUTED_VALUE"""),"설탕")</f>
        <v>설탕</v>
      </c>
    </row>
    <row r="13757">
      <c r="A13757" s="2" t="str">
        <f>IFERROR(__xludf.DUMMYFUNCTION("""COMPUTED_VALUE"""),"치즈 앤 더 시티")</f>
        <v>치즈 앤 더 시티</v>
      </c>
      <c r="B13757" s="2" t="str">
        <f>IFERROR(__xludf.DUMMYFUNCTION("""COMPUTED_VALUE"""),"양파")</f>
        <v>양파</v>
      </c>
    </row>
    <row r="13758">
      <c r="A13758" s="2" t="str">
        <f>IFERROR(__xludf.DUMMYFUNCTION("""COMPUTED_VALUE"""),"치즈 앤 더 시티")</f>
        <v>치즈 앤 더 시티</v>
      </c>
      <c r="B13758" s="2" t="str">
        <f>IFERROR(__xludf.DUMMYFUNCTION("""COMPUTED_VALUE"""),"후추")</f>
        <v>후추</v>
      </c>
    </row>
    <row r="13759">
      <c r="A13759" s="2" t="str">
        <f>IFERROR(__xludf.DUMMYFUNCTION("""COMPUTED_VALUE"""),"치즈 앤 더 시티")</f>
        <v>치즈 앤 더 시티</v>
      </c>
      <c r="B13759" s="2" t="str">
        <f>IFERROR(__xludf.DUMMYFUNCTION("""COMPUTED_VALUE"""),"소금")</f>
        <v>소금</v>
      </c>
    </row>
    <row r="13760">
      <c r="A13760" s="2" t="str">
        <f>IFERROR(__xludf.DUMMYFUNCTION("""COMPUTED_VALUE"""),"치즈 앤 더 시티")</f>
        <v>치즈 앤 더 시티</v>
      </c>
      <c r="B13760" s="2" t="str">
        <f>IFERROR(__xludf.DUMMYFUNCTION("""COMPUTED_VALUE"""),"밀가루")</f>
        <v>밀가루</v>
      </c>
    </row>
    <row r="13761">
      <c r="A13761" s="2" t="str">
        <f>IFERROR(__xludf.DUMMYFUNCTION("""COMPUTED_VALUE"""),"치즈 앤 더 시티")</f>
        <v>치즈 앤 더 시티</v>
      </c>
      <c r="B13761" s="2" t="str">
        <f>IFERROR(__xludf.DUMMYFUNCTION("""COMPUTED_VALUE"""),"고춧가루")</f>
        <v>고춧가루</v>
      </c>
    </row>
    <row r="13762">
      <c r="A13762" s="2" t="str">
        <f>IFERROR(__xludf.DUMMYFUNCTION("""COMPUTED_VALUE"""),"치즈 앤 더 시티")</f>
        <v>치즈 앤 더 시티</v>
      </c>
      <c r="B13762" s="2" t="str">
        <f>IFERROR(__xludf.DUMMYFUNCTION("""COMPUTED_VALUE"""),"즉석밥")</f>
        <v>즉석밥</v>
      </c>
    </row>
    <row r="13763">
      <c r="A13763" s="2" t="str">
        <f>IFERROR(__xludf.DUMMYFUNCTION("""COMPUTED_VALUE"""),"극한 짬뽕")</f>
        <v>극한 짬뽕</v>
      </c>
      <c r="B13763" s="2" t="str">
        <f>IFERROR(__xludf.DUMMYFUNCTION("""COMPUTED_VALUE"""),"오징어")</f>
        <v>오징어</v>
      </c>
    </row>
    <row r="13764">
      <c r="A13764" s="2" t="str">
        <f>IFERROR(__xludf.DUMMYFUNCTION("""COMPUTED_VALUE"""),"극한 짬뽕")</f>
        <v>극한 짬뽕</v>
      </c>
      <c r="B13764" s="2" t="str">
        <f>IFERROR(__xludf.DUMMYFUNCTION("""COMPUTED_VALUE"""),"돼지 목살")</f>
        <v>돼지 목살</v>
      </c>
    </row>
    <row r="13765">
      <c r="A13765" s="2" t="str">
        <f>IFERROR(__xludf.DUMMYFUNCTION("""COMPUTED_VALUE"""),"극한 짬뽕")</f>
        <v>극한 짬뽕</v>
      </c>
      <c r="B13765" s="2" t="str">
        <f>IFERROR(__xludf.DUMMYFUNCTION("""COMPUTED_VALUE"""),"삼치")</f>
        <v>삼치</v>
      </c>
    </row>
    <row r="13766">
      <c r="A13766" s="2" t="str">
        <f>IFERROR(__xludf.DUMMYFUNCTION("""COMPUTED_VALUE"""),"극한 짬뽕")</f>
        <v>극한 짬뽕</v>
      </c>
      <c r="B13766" s="2" t="str">
        <f>IFERROR(__xludf.DUMMYFUNCTION("""COMPUTED_VALUE"""),"가자미")</f>
        <v>가자미</v>
      </c>
    </row>
    <row r="13767">
      <c r="A13767" s="2" t="str">
        <f>IFERROR(__xludf.DUMMYFUNCTION("""COMPUTED_VALUE"""),"극한 짬뽕")</f>
        <v>극한 짬뽕</v>
      </c>
      <c r="B13767" s="2" t="str">
        <f>IFERROR(__xludf.DUMMYFUNCTION("""COMPUTED_VALUE"""),"토마토파스타 소스")</f>
        <v>토마토파스타 소스</v>
      </c>
    </row>
    <row r="13768">
      <c r="A13768" s="2" t="str">
        <f>IFERROR(__xludf.DUMMYFUNCTION("""COMPUTED_VALUE"""),"극한 짬뽕")</f>
        <v>극한 짬뽕</v>
      </c>
      <c r="B13768" s="2" t="str">
        <f>IFERROR(__xludf.DUMMYFUNCTION("""COMPUTED_VALUE"""),"크림파스타 소스")</f>
        <v>크림파스타 소스</v>
      </c>
    </row>
    <row r="13769">
      <c r="A13769" s="2" t="str">
        <f>IFERROR(__xludf.DUMMYFUNCTION("""COMPUTED_VALUE"""),"극한 짬뽕")</f>
        <v>극한 짬뽕</v>
      </c>
      <c r="B13769" s="2" t="str">
        <f>IFERROR(__xludf.DUMMYFUNCTION("""COMPUTED_VALUE"""),"파스타면")</f>
        <v>파스타면</v>
      </c>
    </row>
    <row r="13770">
      <c r="A13770" s="2" t="str">
        <f>IFERROR(__xludf.DUMMYFUNCTION("""COMPUTED_VALUE"""),"극한 짬뽕")</f>
        <v>극한 짬뽕</v>
      </c>
      <c r="B13770" s="2" t="str">
        <f>IFERROR(__xludf.DUMMYFUNCTION("""COMPUTED_VALUE"""),"스리라차소스")</f>
        <v>스리라차소스</v>
      </c>
    </row>
    <row r="13771">
      <c r="A13771" s="2" t="str">
        <f>IFERROR(__xludf.DUMMYFUNCTION("""COMPUTED_VALUE"""),"극한 짬뽕")</f>
        <v>극한 짬뽕</v>
      </c>
      <c r="B13771" s="2" t="str">
        <f>IFERROR(__xludf.DUMMYFUNCTION("""COMPUTED_VALUE"""),"해산물칠리소스")</f>
        <v>해산물칠리소스</v>
      </c>
    </row>
    <row r="13772">
      <c r="A13772" s="2" t="str">
        <f>IFERROR(__xludf.DUMMYFUNCTION("""COMPUTED_VALUE"""),"극한 짬뽕")</f>
        <v>극한 짬뽕</v>
      </c>
      <c r="B13772" s="2" t="str">
        <f>IFERROR(__xludf.DUMMYFUNCTION("""COMPUTED_VALUE"""),"국물용 조미료")</f>
        <v>국물용 조미료</v>
      </c>
    </row>
    <row r="13773">
      <c r="A13773" s="2" t="str">
        <f>IFERROR(__xludf.DUMMYFUNCTION("""COMPUTED_VALUE"""),"극한 짬뽕")</f>
        <v>극한 짬뽕</v>
      </c>
      <c r="B13773" s="2" t="str">
        <f>IFERROR(__xludf.DUMMYFUNCTION("""COMPUTED_VALUE"""),"새송이버섯")</f>
        <v>새송이버섯</v>
      </c>
    </row>
    <row r="13774">
      <c r="A13774" s="2" t="str">
        <f>IFERROR(__xludf.DUMMYFUNCTION("""COMPUTED_VALUE"""),"극한 짬뽕")</f>
        <v>극한 짬뽕</v>
      </c>
      <c r="B13774" s="2" t="str">
        <f>IFERROR(__xludf.DUMMYFUNCTION("""COMPUTED_VALUE"""),"표고버섯")</f>
        <v>표고버섯</v>
      </c>
    </row>
    <row r="13775">
      <c r="A13775" s="2" t="str">
        <f>IFERROR(__xludf.DUMMYFUNCTION("""COMPUTED_VALUE"""),"극한 짬뽕")</f>
        <v>극한 짬뽕</v>
      </c>
      <c r="B13775" s="2" t="str">
        <f>IFERROR(__xludf.DUMMYFUNCTION("""COMPUTED_VALUE"""),"알배추")</f>
        <v>알배추</v>
      </c>
    </row>
    <row r="13776">
      <c r="A13776" s="2" t="str">
        <f>IFERROR(__xludf.DUMMYFUNCTION("""COMPUTED_VALUE"""),"극한 짬뽕")</f>
        <v>극한 짬뽕</v>
      </c>
      <c r="B13776" s="2" t="str">
        <f>IFERROR(__xludf.DUMMYFUNCTION("""COMPUTED_VALUE"""),"칵테일새우")</f>
        <v>칵테일새우</v>
      </c>
    </row>
    <row r="13777">
      <c r="A13777" s="2" t="str">
        <f>IFERROR(__xludf.DUMMYFUNCTION("""COMPUTED_VALUE"""),"극한 짬뽕")</f>
        <v>극한 짬뽕</v>
      </c>
      <c r="B13777" s="2" t="str">
        <f>IFERROR(__xludf.DUMMYFUNCTION("""COMPUTED_VALUE"""),"봄동")</f>
        <v>봄동</v>
      </c>
    </row>
    <row r="13778">
      <c r="A13778" s="2" t="str">
        <f>IFERROR(__xludf.DUMMYFUNCTION("""COMPUTED_VALUE"""),"극한 짬뽕")</f>
        <v>극한 짬뽕</v>
      </c>
      <c r="B13778" s="2" t="str">
        <f>IFERROR(__xludf.DUMMYFUNCTION("""COMPUTED_VALUE"""),"애호박")</f>
        <v>애호박</v>
      </c>
    </row>
    <row r="13779">
      <c r="A13779" s="2" t="str">
        <f>IFERROR(__xludf.DUMMYFUNCTION("""COMPUTED_VALUE"""),"극한 짬뽕")</f>
        <v>극한 짬뽕</v>
      </c>
      <c r="B13779" s="2" t="str">
        <f>IFERROR(__xludf.DUMMYFUNCTION("""COMPUTED_VALUE"""),"대파")</f>
        <v>대파</v>
      </c>
    </row>
    <row r="13780">
      <c r="A13780" s="2" t="str">
        <f>IFERROR(__xludf.DUMMYFUNCTION("""COMPUTED_VALUE"""),"극한 짬뽕")</f>
        <v>극한 짬뽕</v>
      </c>
      <c r="B13780" s="2" t="str">
        <f>IFERROR(__xludf.DUMMYFUNCTION("""COMPUTED_VALUE"""),"양파")</f>
        <v>양파</v>
      </c>
    </row>
    <row r="13781">
      <c r="A13781" s="2" t="str">
        <f>IFERROR(__xludf.DUMMYFUNCTION("""COMPUTED_VALUE"""),"극한 짬뽕")</f>
        <v>극한 짬뽕</v>
      </c>
      <c r="B13781" s="2" t="str">
        <f>IFERROR(__xludf.DUMMYFUNCTION("""COMPUTED_VALUE"""),"다진 마늘")</f>
        <v>다진 마늘</v>
      </c>
    </row>
    <row r="13782">
      <c r="A13782" s="2" t="str">
        <f>IFERROR(__xludf.DUMMYFUNCTION("""COMPUTED_VALUE"""),"극한 짬뽕")</f>
        <v>극한 짬뽕</v>
      </c>
      <c r="B13782" s="2" t="str">
        <f>IFERROR(__xludf.DUMMYFUNCTION("""COMPUTED_VALUE"""),"청양고추")</f>
        <v>청양고추</v>
      </c>
    </row>
    <row r="13783">
      <c r="A13783" s="2" t="str">
        <f>IFERROR(__xludf.DUMMYFUNCTION("""COMPUTED_VALUE"""),"극한 짬뽕")</f>
        <v>극한 짬뽕</v>
      </c>
      <c r="B13783" s="2" t="str">
        <f>IFERROR(__xludf.DUMMYFUNCTION("""COMPUTED_VALUE"""),"고춧가루")</f>
        <v>고춧가루</v>
      </c>
    </row>
    <row r="13784">
      <c r="A13784" s="2" t="str">
        <f>IFERROR(__xludf.DUMMYFUNCTION("""COMPUTED_VALUE"""),"극한 짬뽕")</f>
        <v>극한 짬뽕</v>
      </c>
      <c r="B13784" s="2" t="str">
        <f>IFERROR(__xludf.DUMMYFUNCTION("""COMPUTED_VALUE"""),"소금")</f>
        <v>소금</v>
      </c>
    </row>
    <row r="13785">
      <c r="A13785" s="2" t="str">
        <f>IFERROR(__xludf.DUMMYFUNCTION("""COMPUTED_VALUE"""),"극한 짬뽕")</f>
        <v>극한 짬뽕</v>
      </c>
      <c r="B13785" s="2" t="str">
        <f>IFERROR(__xludf.DUMMYFUNCTION("""COMPUTED_VALUE"""),"전분")</f>
        <v>전분</v>
      </c>
    </row>
    <row r="13786">
      <c r="A13786" s="2" t="str">
        <f>IFERROR(__xludf.DUMMYFUNCTION("""COMPUTED_VALUE"""),"극한 짬뽕")</f>
        <v>극한 짬뽕</v>
      </c>
      <c r="B13786" s="2" t="str">
        <f>IFERROR(__xludf.DUMMYFUNCTION("""COMPUTED_VALUE"""),"밀가루")</f>
        <v>밀가루</v>
      </c>
    </row>
    <row r="13787">
      <c r="A13787" s="2" t="str">
        <f>IFERROR(__xludf.DUMMYFUNCTION("""COMPUTED_VALUE"""),"지라시스시 맛있저염")</f>
        <v>지라시스시 맛있저염</v>
      </c>
      <c r="B13787" s="2" t="str">
        <f>IFERROR(__xludf.DUMMYFUNCTION("""COMPUTED_VALUE"""),"소고기 양지")</f>
        <v>소고기 양지</v>
      </c>
    </row>
    <row r="13788">
      <c r="A13788" s="2" t="str">
        <f>IFERROR(__xludf.DUMMYFUNCTION("""COMPUTED_VALUE"""),"지라시스시 맛있저염")</f>
        <v>지라시스시 맛있저염</v>
      </c>
      <c r="B13788" s="2" t="str">
        <f>IFERROR(__xludf.DUMMYFUNCTION("""COMPUTED_VALUE"""),"건조 매생이")</f>
        <v>건조 매생이</v>
      </c>
    </row>
    <row r="13789">
      <c r="A13789" s="2" t="str">
        <f>IFERROR(__xludf.DUMMYFUNCTION("""COMPUTED_VALUE"""),"지라시스시 맛있저염")</f>
        <v>지라시스시 맛있저염</v>
      </c>
      <c r="B13789" s="2" t="str">
        <f>IFERROR(__xludf.DUMMYFUNCTION("""COMPUTED_VALUE"""),"아이용 된장")</f>
        <v>아이용 된장</v>
      </c>
    </row>
    <row r="13790">
      <c r="A13790" s="2" t="str">
        <f>IFERROR(__xludf.DUMMYFUNCTION("""COMPUTED_VALUE"""),"지라시스시 맛있저염")</f>
        <v>지라시스시 맛있저염</v>
      </c>
      <c r="B13790" s="2" t="str">
        <f>IFERROR(__xludf.DUMMYFUNCTION("""COMPUTED_VALUE"""),"아이용 간장")</f>
        <v>아이용 간장</v>
      </c>
    </row>
    <row r="13791">
      <c r="A13791" s="2" t="str">
        <f>IFERROR(__xludf.DUMMYFUNCTION("""COMPUTED_VALUE"""),"지라시스시 맛있저염")</f>
        <v>지라시스시 맛있저염</v>
      </c>
      <c r="B13791" s="2" t="str">
        <f>IFERROR(__xludf.DUMMYFUNCTION("""COMPUTED_VALUE"""),"명태채")</f>
        <v>명태채</v>
      </c>
    </row>
    <row r="13792">
      <c r="A13792" s="2" t="str">
        <f>IFERROR(__xludf.DUMMYFUNCTION("""COMPUTED_VALUE"""),"지라시스시 맛있저염")</f>
        <v>지라시스시 맛있저염</v>
      </c>
      <c r="B13792" s="2" t="str">
        <f>IFERROR(__xludf.DUMMYFUNCTION("""COMPUTED_VALUE"""),"날치알")</f>
        <v>날치알</v>
      </c>
    </row>
    <row r="13793">
      <c r="A13793" s="2" t="str">
        <f>IFERROR(__xludf.DUMMYFUNCTION("""COMPUTED_VALUE"""),"지라시스시 맛있저염")</f>
        <v>지라시스시 맛있저염</v>
      </c>
      <c r="B13793" s="2" t="str">
        <f>IFERROR(__xludf.DUMMYFUNCTION("""COMPUTED_VALUE"""),"무절임")</f>
        <v>무절임</v>
      </c>
    </row>
    <row r="13794">
      <c r="A13794" s="2" t="str">
        <f>IFERROR(__xludf.DUMMYFUNCTION("""COMPUTED_VALUE"""),"지라시스시 맛있저염")</f>
        <v>지라시스시 맛있저염</v>
      </c>
      <c r="B13794" s="2" t="str">
        <f>IFERROR(__xludf.DUMMYFUNCTION("""COMPUTED_VALUE"""),"동치미")</f>
        <v>동치미</v>
      </c>
    </row>
    <row r="13795">
      <c r="A13795" s="2" t="str">
        <f>IFERROR(__xludf.DUMMYFUNCTION("""COMPUTED_VALUE"""),"지라시스시 맛있저염")</f>
        <v>지라시스시 맛있저염</v>
      </c>
      <c r="B13795" s="2" t="str">
        <f>IFERROR(__xludf.DUMMYFUNCTION("""COMPUTED_VALUE"""),"매실청")</f>
        <v>매실청</v>
      </c>
    </row>
    <row r="13796">
      <c r="A13796" s="2" t="str">
        <f>IFERROR(__xludf.DUMMYFUNCTION("""COMPUTED_VALUE"""),"지라시스시 맛있저염")</f>
        <v>지라시스시 맛있저염</v>
      </c>
      <c r="B13796" s="2" t="str">
        <f>IFERROR(__xludf.DUMMYFUNCTION("""COMPUTED_VALUE"""),"표고버섯")</f>
        <v>표고버섯</v>
      </c>
    </row>
    <row r="13797">
      <c r="A13797" s="2" t="str">
        <f>IFERROR(__xludf.DUMMYFUNCTION("""COMPUTED_VALUE"""),"지라시스시 맛있저염")</f>
        <v>지라시스시 맛있저염</v>
      </c>
      <c r="B13797" s="2" t="str">
        <f>IFERROR(__xludf.DUMMYFUNCTION("""COMPUTED_VALUE"""),"전복")</f>
        <v>전복</v>
      </c>
    </row>
    <row r="13798">
      <c r="A13798" s="2" t="str">
        <f>IFERROR(__xludf.DUMMYFUNCTION("""COMPUTED_VALUE"""),"지라시스시 맛있저염")</f>
        <v>지라시스시 맛있저염</v>
      </c>
      <c r="B13798" s="2" t="str">
        <f>IFERROR(__xludf.DUMMYFUNCTION("""COMPUTED_VALUE"""),"새우")</f>
        <v>새우</v>
      </c>
    </row>
    <row r="13799">
      <c r="A13799" s="2" t="str">
        <f>IFERROR(__xludf.DUMMYFUNCTION("""COMPUTED_VALUE"""),"지라시스시 맛있저염")</f>
        <v>지라시스시 맛있저염</v>
      </c>
      <c r="B13799" s="2" t="str">
        <f>IFERROR(__xludf.DUMMYFUNCTION("""COMPUTED_VALUE"""),"불린 완두콩")</f>
        <v>불린 완두콩</v>
      </c>
    </row>
    <row r="13800">
      <c r="A13800" s="2" t="str">
        <f>IFERROR(__xludf.DUMMYFUNCTION("""COMPUTED_VALUE"""),"지라시스시 맛있저염")</f>
        <v>지라시스시 맛있저염</v>
      </c>
      <c r="B13800" s="2" t="str">
        <f>IFERROR(__xludf.DUMMYFUNCTION("""COMPUTED_VALUE"""),"냉이")</f>
        <v>냉이</v>
      </c>
    </row>
    <row r="13801">
      <c r="A13801" s="2" t="str">
        <f>IFERROR(__xludf.DUMMYFUNCTION("""COMPUTED_VALUE"""),"지라시스시 맛있저염")</f>
        <v>지라시스시 맛있저염</v>
      </c>
      <c r="B13801" s="2" t="str">
        <f>IFERROR(__xludf.DUMMYFUNCTION("""COMPUTED_VALUE"""),"연어")</f>
        <v>연어</v>
      </c>
    </row>
    <row r="13802">
      <c r="A13802" s="2" t="str">
        <f>IFERROR(__xludf.DUMMYFUNCTION("""COMPUTED_VALUE"""),"지라시스시 맛있저염")</f>
        <v>지라시스시 맛있저염</v>
      </c>
      <c r="B13802" s="2" t="str">
        <f>IFERROR(__xludf.DUMMYFUNCTION("""COMPUTED_VALUE"""),"명란젓")</f>
        <v>명란젓</v>
      </c>
    </row>
    <row r="13803">
      <c r="A13803" s="2" t="str">
        <f>IFERROR(__xludf.DUMMYFUNCTION("""COMPUTED_VALUE"""),"지라시스시 맛있저염")</f>
        <v>지라시스시 맛있저염</v>
      </c>
      <c r="B13803" s="2" t="str">
        <f>IFERROR(__xludf.DUMMYFUNCTION("""COMPUTED_VALUE"""),"아스파라거스")</f>
        <v>아스파라거스</v>
      </c>
    </row>
    <row r="13804">
      <c r="A13804" s="2" t="str">
        <f>IFERROR(__xludf.DUMMYFUNCTION("""COMPUTED_VALUE"""),"지라시스시 맛있저염")</f>
        <v>지라시스시 맛있저염</v>
      </c>
      <c r="B13804" s="2" t="str">
        <f>IFERROR(__xludf.DUMMYFUNCTION("""COMPUTED_VALUE"""),"가지")</f>
        <v>가지</v>
      </c>
    </row>
    <row r="13805">
      <c r="A13805" s="2" t="str">
        <f>IFERROR(__xludf.DUMMYFUNCTION("""COMPUTED_VALUE"""),"지라시스시 맛있저염")</f>
        <v>지라시스시 맛있저염</v>
      </c>
      <c r="B13805" s="2" t="str">
        <f>IFERROR(__xludf.DUMMYFUNCTION("""COMPUTED_VALUE"""),"즉석밥")</f>
        <v>즉석밥</v>
      </c>
    </row>
    <row r="13806">
      <c r="A13806" s="2" t="str">
        <f>IFERROR(__xludf.DUMMYFUNCTION("""COMPUTED_VALUE"""),"지라시스시 맛있저염")</f>
        <v>지라시스시 맛있저염</v>
      </c>
      <c r="B13806" s="2" t="str">
        <f>IFERROR(__xludf.DUMMYFUNCTION("""COMPUTED_VALUE"""),"참깨")</f>
        <v>참깨</v>
      </c>
    </row>
    <row r="13807">
      <c r="A13807" s="2" t="str">
        <f>IFERROR(__xludf.DUMMYFUNCTION("""COMPUTED_VALUE"""),"지라시스시 맛있저염")</f>
        <v>지라시스시 맛있저염</v>
      </c>
      <c r="B13807" s="2" t="str">
        <f>IFERROR(__xludf.DUMMYFUNCTION("""COMPUTED_VALUE"""),"밀가루")</f>
        <v>밀가루</v>
      </c>
    </row>
    <row r="13808">
      <c r="A13808" s="2" t="str">
        <f>IFERROR(__xludf.DUMMYFUNCTION("""COMPUTED_VALUE"""),"지라시스시 맛있저염")</f>
        <v>지라시스시 맛있저염</v>
      </c>
      <c r="B13808" s="2" t="str">
        <f>IFERROR(__xludf.DUMMYFUNCTION("""COMPUTED_VALUE"""),"참기름")</f>
        <v>참기름</v>
      </c>
    </row>
    <row r="13809">
      <c r="A13809" s="2" t="str">
        <f>IFERROR(__xludf.DUMMYFUNCTION("""COMPUTED_VALUE"""),"지라시스시 맛있저염")</f>
        <v>지라시스시 맛있저염</v>
      </c>
      <c r="B13809" s="2" t="str">
        <f>IFERROR(__xludf.DUMMYFUNCTION("""COMPUTED_VALUE"""),"청주")</f>
        <v>청주</v>
      </c>
    </row>
    <row r="13810">
      <c r="A13810" s="2" t="str">
        <f>IFERROR(__xludf.DUMMYFUNCTION("""COMPUTED_VALUE"""),"지라시스시 맛있저염")</f>
        <v>지라시스시 맛있저염</v>
      </c>
      <c r="B13810" s="2" t="str">
        <f>IFERROR(__xludf.DUMMYFUNCTION("""COMPUTED_VALUE"""),"맛술")</f>
        <v>맛술</v>
      </c>
    </row>
    <row r="13811">
      <c r="A13811" s="2" t="str">
        <f>IFERROR(__xludf.DUMMYFUNCTION("""COMPUTED_VALUE"""),"지라시스시 맛있저염")</f>
        <v>지라시스시 맛있저염</v>
      </c>
      <c r="B13811" s="2" t="str">
        <f>IFERROR(__xludf.DUMMYFUNCTION("""COMPUTED_VALUE"""),"달걀")</f>
        <v>달걀</v>
      </c>
    </row>
    <row r="13812">
      <c r="A13812" s="2" t="str">
        <f>IFERROR(__xludf.DUMMYFUNCTION("""COMPUTED_VALUE"""),"특명! 아빠의 도전")</f>
        <v>특명! 아빠의 도전</v>
      </c>
      <c r="B13812" s="2" t="str">
        <f>IFERROR(__xludf.DUMMYFUNCTION("""COMPUTED_VALUE"""),"소 안심")</f>
        <v>소 안심</v>
      </c>
    </row>
    <row r="13813">
      <c r="A13813" s="2" t="str">
        <f>IFERROR(__xludf.DUMMYFUNCTION("""COMPUTED_VALUE"""),"특명! 아빠의 도전")</f>
        <v>특명! 아빠의 도전</v>
      </c>
      <c r="B13813" s="2" t="str">
        <f>IFERROR(__xludf.DUMMYFUNCTION("""COMPUTED_VALUE"""),"소고기 양지")</f>
        <v>소고기 양지</v>
      </c>
    </row>
    <row r="13814">
      <c r="A13814" s="2" t="str">
        <f>IFERROR(__xludf.DUMMYFUNCTION("""COMPUTED_VALUE"""),"특명! 아빠의 도전")</f>
        <v>특명! 아빠의 도전</v>
      </c>
      <c r="B13814" s="2" t="str">
        <f>IFERROR(__xludf.DUMMYFUNCTION("""COMPUTED_VALUE"""),"애호박")</f>
        <v>애호박</v>
      </c>
    </row>
    <row r="13815">
      <c r="A13815" s="2" t="str">
        <f>IFERROR(__xludf.DUMMYFUNCTION("""COMPUTED_VALUE"""),"특명! 아빠의 도전")</f>
        <v>특명! 아빠의 도전</v>
      </c>
      <c r="B13815" s="2" t="str">
        <f>IFERROR(__xludf.DUMMYFUNCTION("""COMPUTED_VALUE"""),"파프리카")</f>
        <v>파프리카</v>
      </c>
    </row>
    <row r="13816">
      <c r="A13816" s="2" t="str">
        <f>IFERROR(__xludf.DUMMYFUNCTION("""COMPUTED_VALUE"""),"특명! 아빠의 도전")</f>
        <v>특명! 아빠의 도전</v>
      </c>
      <c r="B13816" s="2" t="str">
        <f>IFERROR(__xludf.DUMMYFUNCTION("""COMPUTED_VALUE"""),"아몬드가루")</f>
        <v>아몬드가루</v>
      </c>
    </row>
    <row r="13817">
      <c r="A13817" s="2" t="str">
        <f>IFERROR(__xludf.DUMMYFUNCTION("""COMPUTED_VALUE"""),"특명! 아빠의 도전")</f>
        <v>특명! 아빠의 도전</v>
      </c>
      <c r="B13817" s="2" t="str">
        <f>IFERROR(__xludf.DUMMYFUNCTION("""COMPUTED_VALUE"""),"새우")</f>
        <v>새우</v>
      </c>
    </row>
    <row r="13818">
      <c r="A13818" s="2" t="str">
        <f>IFERROR(__xludf.DUMMYFUNCTION("""COMPUTED_VALUE"""),"특명! 아빠의 도전")</f>
        <v>특명! 아빠의 도전</v>
      </c>
      <c r="B13818" s="2" t="str">
        <f>IFERROR(__xludf.DUMMYFUNCTION("""COMPUTED_VALUE"""),"틸라피아")</f>
        <v>틸라피아</v>
      </c>
    </row>
    <row r="13819">
      <c r="A13819" s="2" t="str">
        <f>IFERROR(__xludf.DUMMYFUNCTION("""COMPUTED_VALUE"""),"특명! 아빠의 도전")</f>
        <v>특명! 아빠의 도전</v>
      </c>
      <c r="B13819" s="2" t="str">
        <f>IFERROR(__xludf.DUMMYFUNCTION("""COMPUTED_VALUE"""),"크림치즈")</f>
        <v>크림치즈</v>
      </c>
    </row>
    <row r="13820">
      <c r="A13820" s="2" t="str">
        <f>IFERROR(__xludf.DUMMYFUNCTION("""COMPUTED_VALUE"""),"특명! 아빠의 도전")</f>
        <v>특명! 아빠의 도전</v>
      </c>
      <c r="B13820" s="2" t="str">
        <f>IFERROR(__xludf.DUMMYFUNCTION("""COMPUTED_VALUE"""),"그라나파다노 치즈")</f>
        <v>그라나파다노 치즈</v>
      </c>
    </row>
    <row r="13821">
      <c r="A13821" s="2" t="str">
        <f>IFERROR(__xludf.DUMMYFUNCTION("""COMPUTED_VALUE"""),"특명! 아빠의 도전")</f>
        <v>특명! 아빠의 도전</v>
      </c>
      <c r="B13821" s="2" t="str">
        <f>IFERROR(__xludf.DUMMYFUNCTION("""COMPUTED_VALUE"""),"아스파라거스")</f>
        <v>아스파라거스</v>
      </c>
    </row>
    <row r="13822">
      <c r="A13822" s="2" t="str">
        <f>IFERROR(__xludf.DUMMYFUNCTION("""COMPUTED_VALUE"""),"특명! 아빠의 도전")</f>
        <v>특명! 아빠의 도전</v>
      </c>
      <c r="B13822" s="2" t="str">
        <f>IFERROR(__xludf.DUMMYFUNCTION("""COMPUTED_VALUE"""),"발사믹 글레이즈")</f>
        <v>발사믹 글레이즈</v>
      </c>
    </row>
    <row r="13823">
      <c r="A13823" s="2" t="str">
        <f>IFERROR(__xludf.DUMMYFUNCTION("""COMPUTED_VALUE"""),"특명! 아빠의 도전")</f>
        <v>특명! 아빠의 도전</v>
      </c>
      <c r="B13823" s="2" t="str">
        <f>IFERROR(__xludf.DUMMYFUNCTION("""COMPUTED_VALUE"""),"표고버섯")</f>
        <v>표고버섯</v>
      </c>
    </row>
    <row r="13824">
      <c r="A13824" s="2" t="str">
        <f>IFERROR(__xludf.DUMMYFUNCTION("""COMPUTED_VALUE"""),"특명! 아빠의 도전")</f>
        <v>특명! 아빠의 도전</v>
      </c>
      <c r="B13824" s="2" t="str">
        <f>IFERROR(__xludf.DUMMYFUNCTION("""COMPUTED_VALUE"""),"양송이버섯")</f>
        <v>양송이버섯</v>
      </c>
    </row>
    <row r="13825">
      <c r="A13825" s="2" t="str">
        <f>IFERROR(__xludf.DUMMYFUNCTION("""COMPUTED_VALUE"""),"특명! 아빠의 도전")</f>
        <v>특명! 아빠의 도전</v>
      </c>
      <c r="B13825" s="2" t="str">
        <f>IFERROR(__xludf.DUMMYFUNCTION("""COMPUTED_VALUE"""),"느타리버섯")</f>
        <v>느타리버섯</v>
      </c>
    </row>
    <row r="13826">
      <c r="A13826" s="2" t="str">
        <f>IFERROR(__xludf.DUMMYFUNCTION("""COMPUTED_VALUE"""),"특명! 아빠의 도전")</f>
        <v>특명! 아빠의 도전</v>
      </c>
      <c r="B13826" s="2" t="str">
        <f>IFERROR(__xludf.DUMMYFUNCTION("""COMPUTED_VALUE"""),"휘핑크림")</f>
        <v>휘핑크림</v>
      </c>
    </row>
    <row r="13827">
      <c r="A13827" s="2" t="str">
        <f>IFERROR(__xludf.DUMMYFUNCTION("""COMPUTED_VALUE"""),"특명! 아빠의 도전")</f>
        <v>특명! 아빠의 도전</v>
      </c>
      <c r="B13827" s="2" t="str">
        <f>IFERROR(__xludf.DUMMYFUNCTION("""COMPUTED_VALUE"""),"선드라이드 토마토")</f>
        <v>선드라이드 토마토</v>
      </c>
    </row>
    <row r="13828">
      <c r="A13828" s="2" t="str">
        <f>IFERROR(__xludf.DUMMYFUNCTION("""COMPUTED_VALUE"""),"특명! 아빠의 도전")</f>
        <v>특명! 아빠의 도전</v>
      </c>
      <c r="B13828" s="2" t="str">
        <f>IFERROR(__xludf.DUMMYFUNCTION("""COMPUTED_VALUE"""),"오징어")</f>
        <v>오징어</v>
      </c>
    </row>
    <row r="13829">
      <c r="A13829" s="2" t="str">
        <f>IFERROR(__xludf.DUMMYFUNCTION("""COMPUTED_VALUE"""),"특명! 아빠의 도전")</f>
        <v>특명! 아빠의 도전</v>
      </c>
      <c r="B13829" s="2" t="str">
        <f>IFERROR(__xludf.DUMMYFUNCTION("""COMPUTED_VALUE"""),"전복")</f>
        <v>전복</v>
      </c>
    </row>
    <row r="13830">
      <c r="A13830" s="2" t="str">
        <f>IFERROR(__xludf.DUMMYFUNCTION("""COMPUTED_VALUE"""),"특명! 아빠의 도전")</f>
        <v>특명! 아빠의 도전</v>
      </c>
      <c r="B13830" s="2" t="str">
        <f>IFERROR(__xludf.DUMMYFUNCTION("""COMPUTED_VALUE"""),"올리브오일")</f>
        <v>올리브오일</v>
      </c>
    </row>
    <row r="13831">
      <c r="A13831" s="2" t="str">
        <f>IFERROR(__xludf.DUMMYFUNCTION("""COMPUTED_VALUE"""),"특명! 아빠의 도전")</f>
        <v>특명! 아빠의 도전</v>
      </c>
      <c r="B13831" s="2" t="str">
        <f>IFERROR(__xludf.DUMMYFUNCTION("""COMPUTED_VALUE"""),"양파")</f>
        <v>양파</v>
      </c>
    </row>
    <row r="13832">
      <c r="A13832" s="2" t="str">
        <f>IFERROR(__xludf.DUMMYFUNCTION("""COMPUTED_VALUE"""),"특명! 아빠의 도전")</f>
        <v>특명! 아빠의 도전</v>
      </c>
      <c r="B13832" s="2" t="str">
        <f>IFERROR(__xludf.DUMMYFUNCTION("""COMPUTED_VALUE"""),"당근")</f>
        <v>당근</v>
      </c>
    </row>
    <row r="13833">
      <c r="A13833" s="2" t="str">
        <f>IFERROR(__xludf.DUMMYFUNCTION("""COMPUTED_VALUE"""),"특명! 아빠의 도전")</f>
        <v>특명! 아빠의 도전</v>
      </c>
      <c r="B13833" s="2" t="str">
        <f>IFERROR(__xludf.DUMMYFUNCTION("""COMPUTED_VALUE"""),"마늘")</f>
        <v>마늘</v>
      </c>
    </row>
    <row r="13834">
      <c r="A13834" s="2" t="str">
        <f>IFERROR(__xludf.DUMMYFUNCTION("""COMPUTED_VALUE"""),"특명! 아빠의 도전")</f>
        <v>특명! 아빠의 도전</v>
      </c>
      <c r="B13834" s="2" t="str">
        <f>IFERROR(__xludf.DUMMYFUNCTION("""COMPUTED_VALUE"""),"즉석밥")</f>
        <v>즉석밥</v>
      </c>
    </row>
    <row r="13835">
      <c r="A13835" s="2" t="str">
        <f>IFERROR(__xludf.DUMMYFUNCTION("""COMPUTED_VALUE"""),"특명! 아빠의 도전")</f>
        <v>특명! 아빠의 도전</v>
      </c>
      <c r="B13835" s="2" t="str">
        <f>IFERROR(__xludf.DUMMYFUNCTION("""COMPUTED_VALUE"""),"밀가루")</f>
        <v>밀가루</v>
      </c>
    </row>
    <row r="13836">
      <c r="A13836" s="2" t="str">
        <f>IFERROR(__xludf.DUMMYFUNCTION("""COMPUTED_VALUE"""),"술풀 때 야식 한다")</f>
        <v>술풀 때 야식 한다</v>
      </c>
      <c r="B13836" s="2" t="str">
        <f>IFERROR(__xludf.DUMMYFUNCTION("""COMPUTED_VALUE"""),"갈매기살")</f>
        <v>갈매기살</v>
      </c>
    </row>
    <row r="13837">
      <c r="A13837" s="2" t="str">
        <f>IFERROR(__xludf.DUMMYFUNCTION("""COMPUTED_VALUE"""),"술풀 때 야식 한다")</f>
        <v>술풀 때 야식 한다</v>
      </c>
      <c r="B13837" s="2" t="str">
        <f>IFERROR(__xludf.DUMMYFUNCTION("""COMPUTED_VALUE"""),"무")</f>
        <v>무</v>
      </c>
    </row>
    <row r="13838">
      <c r="A13838" s="2" t="str">
        <f>IFERROR(__xludf.DUMMYFUNCTION("""COMPUTED_VALUE"""),"술풀 때 야식 한다")</f>
        <v>술풀 때 야식 한다</v>
      </c>
      <c r="B13838" s="2" t="str">
        <f>IFERROR(__xludf.DUMMYFUNCTION("""COMPUTED_VALUE"""),"적양배추")</f>
        <v>적양배추</v>
      </c>
    </row>
    <row r="13839">
      <c r="A13839" s="2" t="str">
        <f>IFERROR(__xludf.DUMMYFUNCTION("""COMPUTED_VALUE"""),"술풀 때 야식 한다")</f>
        <v>술풀 때 야식 한다</v>
      </c>
      <c r="B13839" s="2" t="str">
        <f>IFERROR(__xludf.DUMMYFUNCTION("""COMPUTED_VALUE"""),"냉이")</f>
        <v>냉이</v>
      </c>
    </row>
    <row r="13840">
      <c r="A13840" s="2" t="str">
        <f>IFERROR(__xludf.DUMMYFUNCTION("""COMPUTED_VALUE"""),"술풀 때 야식 한다")</f>
        <v>술풀 때 야식 한다</v>
      </c>
      <c r="B13840" s="2" t="str">
        <f>IFERROR(__xludf.DUMMYFUNCTION("""COMPUTED_VALUE"""),"꿀")</f>
        <v>꿀</v>
      </c>
    </row>
    <row r="13841">
      <c r="A13841" s="2" t="str">
        <f>IFERROR(__xludf.DUMMYFUNCTION("""COMPUTED_VALUE"""),"술풀 때 야식 한다")</f>
        <v>술풀 때 야식 한다</v>
      </c>
      <c r="B13841" s="2" t="str">
        <f>IFERROR(__xludf.DUMMYFUNCTION("""COMPUTED_VALUE"""),"그라나파다노 치즈")</f>
        <v>그라나파다노 치즈</v>
      </c>
    </row>
    <row r="13842">
      <c r="A13842" s="2" t="str">
        <f>IFERROR(__xludf.DUMMYFUNCTION("""COMPUTED_VALUE"""),"술풀 때 야식 한다")</f>
        <v>술풀 때 야식 한다</v>
      </c>
      <c r="B13842" s="2" t="str">
        <f>IFERROR(__xludf.DUMMYFUNCTION("""COMPUTED_VALUE"""),"스모크 치즈")</f>
        <v>스모크 치즈</v>
      </c>
    </row>
    <row r="13843">
      <c r="A13843" s="2" t="str">
        <f>IFERROR(__xludf.DUMMYFUNCTION("""COMPUTED_VALUE"""),"술풀 때 야식 한다")</f>
        <v>술풀 때 야식 한다</v>
      </c>
      <c r="B13843" s="2" t="str">
        <f>IFERROR(__xludf.DUMMYFUNCTION("""COMPUTED_VALUE"""),"파르메산 치즈가루")</f>
        <v>파르메산 치즈가루</v>
      </c>
    </row>
    <row r="13844">
      <c r="A13844" s="2" t="str">
        <f>IFERROR(__xludf.DUMMYFUNCTION("""COMPUTED_VALUE"""),"술풀 때 야식 한다")</f>
        <v>술풀 때 야식 한다</v>
      </c>
      <c r="B13844" s="2" t="str">
        <f>IFERROR(__xludf.DUMMYFUNCTION("""COMPUTED_VALUE"""),"고수")</f>
        <v>고수</v>
      </c>
    </row>
    <row r="13845">
      <c r="A13845" s="2" t="str">
        <f>IFERROR(__xludf.DUMMYFUNCTION("""COMPUTED_VALUE"""),"술풀 때 야식 한다")</f>
        <v>술풀 때 야식 한다</v>
      </c>
      <c r="B13845" s="2" t="str">
        <f>IFERROR(__xludf.DUMMYFUNCTION("""COMPUTED_VALUE"""),"고추피클")</f>
        <v>고추피클</v>
      </c>
    </row>
    <row r="13846">
      <c r="A13846" s="2" t="str">
        <f>IFERROR(__xludf.DUMMYFUNCTION("""COMPUTED_VALUE"""),"술풀 때 야식 한다")</f>
        <v>술풀 때 야식 한다</v>
      </c>
      <c r="B13846" s="2" t="str">
        <f>IFERROR(__xludf.DUMMYFUNCTION("""COMPUTED_VALUE"""),"매실청")</f>
        <v>매실청</v>
      </c>
    </row>
    <row r="13847">
      <c r="A13847" s="2" t="str">
        <f>IFERROR(__xludf.DUMMYFUNCTION("""COMPUTED_VALUE"""),"술풀 때 야식 한다")</f>
        <v>술풀 때 야식 한다</v>
      </c>
      <c r="B13847" s="2" t="str">
        <f>IFERROR(__xludf.DUMMYFUNCTION("""COMPUTED_VALUE"""),"파프리카")</f>
        <v>파프리카</v>
      </c>
    </row>
    <row r="13848">
      <c r="A13848" s="2" t="str">
        <f>IFERROR(__xludf.DUMMYFUNCTION("""COMPUTED_VALUE"""),"술풀 때 야식 한다")</f>
        <v>술풀 때 야식 한다</v>
      </c>
      <c r="B13848" s="2" t="str">
        <f>IFERROR(__xludf.DUMMYFUNCTION("""COMPUTED_VALUE"""),"전분")</f>
        <v>전분</v>
      </c>
    </row>
    <row r="13849">
      <c r="A13849" s="2" t="str">
        <f>IFERROR(__xludf.DUMMYFUNCTION("""COMPUTED_VALUE"""),"술풀 때 야식 한다")</f>
        <v>술풀 때 야식 한다</v>
      </c>
      <c r="B13849" s="2" t="str">
        <f>IFERROR(__xludf.DUMMYFUNCTION("""COMPUTED_VALUE"""),"다진생강")</f>
        <v>다진생강</v>
      </c>
    </row>
    <row r="13850">
      <c r="A13850" s="2" t="str">
        <f>IFERROR(__xludf.DUMMYFUNCTION("""COMPUTED_VALUE"""),"술풀 때 야식 한다")</f>
        <v>술풀 때 야식 한다</v>
      </c>
      <c r="B13850" s="2" t="str">
        <f>IFERROR(__xludf.DUMMYFUNCTION("""COMPUTED_VALUE"""),"소금")</f>
        <v>소금</v>
      </c>
    </row>
    <row r="13851">
      <c r="A13851" s="2" t="str">
        <f>IFERROR(__xludf.DUMMYFUNCTION("""COMPUTED_VALUE"""),"술풀 때 야식 한다")</f>
        <v>술풀 때 야식 한다</v>
      </c>
      <c r="B13851" s="2" t="str">
        <f>IFERROR(__xludf.DUMMYFUNCTION("""COMPUTED_VALUE"""),"당근")</f>
        <v>당근</v>
      </c>
    </row>
    <row r="13852">
      <c r="A13852" s="2" t="str">
        <f>IFERROR(__xludf.DUMMYFUNCTION("""COMPUTED_VALUE"""),"술풀 때 야식 한다")</f>
        <v>술풀 때 야식 한다</v>
      </c>
      <c r="B13852" s="2" t="str">
        <f>IFERROR(__xludf.DUMMYFUNCTION("""COMPUTED_VALUE"""),"청양고추")</f>
        <v>청양고추</v>
      </c>
    </row>
    <row r="13853">
      <c r="A13853" s="2" t="str">
        <f>IFERROR(__xludf.DUMMYFUNCTION("""COMPUTED_VALUE"""),"술풀 때 야식 한다")</f>
        <v>술풀 때 야식 한다</v>
      </c>
      <c r="B13853" s="2" t="str">
        <f>IFERROR(__xludf.DUMMYFUNCTION("""COMPUTED_VALUE"""),"참깨")</f>
        <v>참깨</v>
      </c>
    </row>
    <row r="13854">
      <c r="A13854" s="2" t="str">
        <f>IFERROR(__xludf.DUMMYFUNCTION("""COMPUTED_VALUE"""),"술풀 때 야식 한다")</f>
        <v>술풀 때 야식 한다</v>
      </c>
      <c r="B13854" s="2" t="str">
        <f>IFERROR(__xludf.DUMMYFUNCTION("""COMPUTED_VALUE"""),"간장")</f>
        <v>간장</v>
      </c>
    </row>
    <row r="13855">
      <c r="A13855" s="2" t="str">
        <f>IFERROR(__xludf.DUMMYFUNCTION("""COMPUTED_VALUE"""),"술풀 때 야식 한다")</f>
        <v>술풀 때 야식 한다</v>
      </c>
      <c r="B13855" s="2" t="str">
        <f>IFERROR(__xludf.DUMMYFUNCTION("""COMPUTED_VALUE"""),"식초")</f>
        <v>식초</v>
      </c>
    </row>
    <row r="13856">
      <c r="A13856" s="2" t="str">
        <f>IFERROR(__xludf.DUMMYFUNCTION("""COMPUTED_VALUE"""),"술풀 때 야식 한다")</f>
        <v>술풀 때 야식 한다</v>
      </c>
      <c r="B13856" s="2" t="str">
        <f>IFERROR(__xludf.DUMMYFUNCTION("""COMPUTED_VALUE"""),"맛술")</f>
        <v>맛술</v>
      </c>
    </row>
    <row r="13857">
      <c r="A13857" s="2" t="str">
        <f>IFERROR(__xludf.DUMMYFUNCTION("""COMPUTED_VALUE"""),"술풀 때 야식 한다")</f>
        <v>술풀 때 야식 한다</v>
      </c>
      <c r="B13857" s="2" t="str">
        <f>IFERROR(__xludf.DUMMYFUNCTION("""COMPUTED_VALUE"""),"참기름")</f>
        <v>참기름</v>
      </c>
    </row>
    <row r="13858">
      <c r="A13858" s="2" t="str">
        <f>IFERROR(__xludf.DUMMYFUNCTION("""COMPUTED_VALUE"""),"술풀 때 야식 한다")</f>
        <v>술풀 때 야식 한다</v>
      </c>
      <c r="B13858" s="2" t="str">
        <f>IFERROR(__xludf.DUMMYFUNCTION("""COMPUTED_VALUE"""),"설탕")</f>
        <v>설탕</v>
      </c>
    </row>
    <row r="13859">
      <c r="A13859" s="2" t="str">
        <f>IFERROR(__xludf.DUMMYFUNCTION("""COMPUTED_VALUE"""),"술풀 때 야식 한다")</f>
        <v>술풀 때 야식 한다</v>
      </c>
      <c r="B13859" s="2" t="str">
        <f>IFERROR(__xludf.DUMMYFUNCTION("""COMPUTED_VALUE"""),"올리브오일")</f>
        <v>올리브오일</v>
      </c>
    </row>
    <row r="13860">
      <c r="A13860" s="2" t="str">
        <f>IFERROR(__xludf.DUMMYFUNCTION("""COMPUTED_VALUE"""),"술풀 때 야식 한다")</f>
        <v>술풀 때 야식 한다</v>
      </c>
      <c r="B13860" s="2" t="str">
        <f>IFERROR(__xludf.DUMMYFUNCTION("""COMPUTED_VALUE"""),"된장")</f>
        <v>된장</v>
      </c>
    </row>
    <row r="13861">
      <c r="A13861" s="2" t="str">
        <f>IFERROR(__xludf.DUMMYFUNCTION("""COMPUTED_VALUE"""),"술풀 때 야식 한다")</f>
        <v>술풀 때 야식 한다</v>
      </c>
      <c r="B13861" s="2" t="str">
        <f>IFERROR(__xludf.DUMMYFUNCTION("""COMPUTED_VALUE"""),"연겨자")</f>
        <v>연겨자</v>
      </c>
    </row>
    <row r="13862">
      <c r="A13862" s="2" t="str">
        <f>IFERROR(__xludf.DUMMYFUNCTION("""COMPUTED_VALUE"""),"술맛 찾으러 가자")</f>
        <v>술맛 찾으러 가자</v>
      </c>
      <c r="B13862" s="2" t="str">
        <f>IFERROR(__xludf.DUMMYFUNCTION("""COMPUTED_VALUE"""),"새우")</f>
        <v>새우</v>
      </c>
    </row>
    <row r="13863">
      <c r="A13863" s="2" t="str">
        <f>IFERROR(__xludf.DUMMYFUNCTION("""COMPUTED_VALUE"""),"술맛 찾으러 가자")</f>
        <v>술맛 찾으러 가자</v>
      </c>
      <c r="B13863" s="2" t="str">
        <f>IFERROR(__xludf.DUMMYFUNCTION("""COMPUTED_VALUE"""),"삼겹살")</f>
        <v>삼겹살</v>
      </c>
    </row>
    <row r="13864">
      <c r="A13864" s="2" t="str">
        <f>IFERROR(__xludf.DUMMYFUNCTION("""COMPUTED_VALUE"""),"술맛 찾으러 가자")</f>
        <v>술맛 찾으러 가자</v>
      </c>
      <c r="B13864" s="2" t="str">
        <f>IFERROR(__xludf.DUMMYFUNCTION("""COMPUTED_VALUE"""),"알목심")</f>
        <v>알목심</v>
      </c>
    </row>
    <row r="13865">
      <c r="A13865" s="2" t="str">
        <f>IFERROR(__xludf.DUMMYFUNCTION("""COMPUTED_VALUE"""),"술맛 찾으러 가자")</f>
        <v>술맛 찾으러 가자</v>
      </c>
      <c r="B13865" s="2" t="str">
        <f>IFERROR(__xludf.DUMMYFUNCTION("""COMPUTED_VALUE"""),"가지")</f>
        <v>가지</v>
      </c>
    </row>
    <row r="13866">
      <c r="A13866" s="2" t="str">
        <f>IFERROR(__xludf.DUMMYFUNCTION("""COMPUTED_VALUE"""),"술맛 찾으러 가자")</f>
        <v>술맛 찾으러 가자</v>
      </c>
      <c r="B13866" s="2" t="str">
        <f>IFERROR(__xludf.DUMMYFUNCTION("""COMPUTED_VALUE"""),"새우가루")</f>
        <v>새우가루</v>
      </c>
    </row>
    <row r="13867">
      <c r="A13867" s="2" t="str">
        <f>IFERROR(__xludf.DUMMYFUNCTION("""COMPUTED_VALUE"""),"술맛 찾으러 가자")</f>
        <v>술맛 찾으러 가자</v>
      </c>
      <c r="B13867" s="2" t="str">
        <f>IFERROR(__xludf.DUMMYFUNCTION("""COMPUTED_VALUE"""),"해산물버섯가루")</f>
        <v>해산물버섯가루</v>
      </c>
    </row>
    <row r="13868">
      <c r="A13868" s="2" t="str">
        <f>IFERROR(__xludf.DUMMYFUNCTION("""COMPUTED_VALUE"""),"술맛 찾으러 가자")</f>
        <v>술맛 찾으러 가자</v>
      </c>
      <c r="B13868" s="2" t="str">
        <f>IFERROR(__xludf.DUMMYFUNCTION("""COMPUTED_VALUE"""),"참치액")</f>
        <v>참치액</v>
      </c>
    </row>
    <row r="13869">
      <c r="A13869" s="2" t="str">
        <f>IFERROR(__xludf.DUMMYFUNCTION("""COMPUTED_VALUE"""),"술맛 찾으러 가자")</f>
        <v>술맛 찾으러 가자</v>
      </c>
      <c r="B13869" s="2" t="str">
        <f>IFERROR(__xludf.DUMMYFUNCTION("""COMPUTED_VALUE"""),"두반장")</f>
        <v>두반장</v>
      </c>
    </row>
    <row r="13870">
      <c r="A13870" s="2" t="str">
        <f>IFERROR(__xludf.DUMMYFUNCTION("""COMPUTED_VALUE"""),"술맛 찾으러 가자")</f>
        <v>술맛 찾으러 가자</v>
      </c>
      <c r="B13870" s="2" t="str">
        <f>IFERROR(__xludf.DUMMYFUNCTION("""COMPUTED_VALUE"""),"해선장")</f>
        <v>해선장</v>
      </c>
    </row>
    <row r="13871">
      <c r="A13871" s="2" t="str">
        <f>IFERROR(__xludf.DUMMYFUNCTION("""COMPUTED_VALUE"""),"술맛 찾으러 가자")</f>
        <v>술맛 찾으러 가자</v>
      </c>
      <c r="B13871" s="2" t="str">
        <f>IFERROR(__xludf.DUMMYFUNCTION("""COMPUTED_VALUE"""),"백후추")</f>
        <v>백후추</v>
      </c>
    </row>
    <row r="13872">
      <c r="A13872" s="2" t="str">
        <f>IFERROR(__xludf.DUMMYFUNCTION("""COMPUTED_VALUE"""),"술맛 찾으러 가자")</f>
        <v>술맛 찾으러 가자</v>
      </c>
      <c r="B13872" s="2" t="str">
        <f>IFERROR(__xludf.DUMMYFUNCTION("""COMPUTED_VALUE"""),"쌈채소")</f>
        <v>쌈채소</v>
      </c>
    </row>
    <row r="13873">
      <c r="A13873" s="2" t="str">
        <f>IFERROR(__xludf.DUMMYFUNCTION("""COMPUTED_VALUE"""),"술맛 찾으러 가자")</f>
        <v>술맛 찾으러 가자</v>
      </c>
      <c r="B13873" s="2" t="str">
        <f>IFERROR(__xludf.DUMMYFUNCTION("""COMPUTED_VALUE"""),"코코넛밀크")</f>
        <v>코코넛밀크</v>
      </c>
    </row>
    <row r="13874">
      <c r="A13874" s="2" t="str">
        <f>IFERROR(__xludf.DUMMYFUNCTION("""COMPUTED_VALUE"""),"술맛 찾으러 가자")</f>
        <v>술맛 찾으러 가자</v>
      </c>
      <c r="B13874" s="2" t="str">
        <f>IFERROR(__xludf.DUMMYFUNCTION("""COMPUTED_VALUE"""),"고수")</f>
        <v>고수</v>
      </c>
    </row>
    <row r="13875">
      <c r="A13875" s="2" t="str">
        <f>IFERROR(__xludf.DUMMYFUNCTION("""COMPUTED_VALUE"""),"술맛 찾으러 가자")</f>
        <v>술맛 찾으러 가자</v>
      </c>
      <c r="B13875" s="2" t="str">
        <f>IFERROR(__xludf.DUMMYFUNCTION("""COMPUTED_VALUE"""),"다진마늘")</f>
        <v>다진마늘</v>
      </c>
    </row>
    <row r="13876">
      <c r="A13876" s="2" t="str">
        <f>IFERROR(__xludf.DUMMYFUNCTION("""COMPUTED_VALUE"""),"술맛 찾으러 가자")</f>
        <v>술맛 찾으러 가자</v>
      </c>
      <c r="B13876" s="2" t="str">
        <f>IFERROR(__xludf.DUMMYFUNCTION("""COMPUTED_VALUE"""),"고춧가루")</f>
        <v>고춧가루</v>
      </c>
    </row>
    <row r="13877">
      <c r="A13877" s="2" t="str">
        <f>IFERROR(__xludf.DUMMYFUNCTION("""COMPUTED_VALUE"""),"술맛 찾으러 가자")</f>
        <v>술맛 찾으러 가자</v>
      </c>
      <c r="B13877" s="2" t="str">
        <f>IFERROR(__xludf.DUMMYFUNCTION("""COMPUTED_VALUE"""),"식초")</f>
        <v>식초</v>
      </c>
    </row>
    <row r="13878">
      <c r="A13878" s="2" t="str">
        <f>IFERROR(__xludf.DUMMYFUNCTION("""COMPUTED_VALUE"""),"술맛 찾으러 가자")</f>
        <v>술맛 찾으러 가자</v>
      </c>
      <c r="B13878" s="2" t="str">
        <f>IFERROR(__xludf.DUMMYFUNCTION("""COMPUTED_VALUE"""),"맛술")</f>
        <v>맛술</v>
      </c>
    </row>
    <row r="13879">
      <c r="A13879" s="2" t="str">
        <f>IFERROR(__xludf.DUMMYFUNCTION("""COMPUTED_VALUE"""),"술맛 찾으러 가자")</f>
        <v>술맛 찾으러 가자</v>
      </c>
      <c r="B13879" s="2" t="str">
        <f>IFERROR(__xludf.DUMMYFUNCTION("""COMPUTED_VALUE"""),"다진생강")</f>
        <v>다진생강</v>
      </c>
    </row>
    <row r="13880">
      <c r="A13880" s="2" t="str">
        <f>IFERROR(__xludf.DUMMYFUNCTION("""COMPUTED_VALUE"""),"술맛 찾으러 가자")</f>
        <v>술맛 찾으러 가자</v>
      </c>
      <c r="B13880" s="2" t="str">
        <f>IFERROR(__xludf.DUMMYFUNCTION("""COMPUTED_VALUE"""),"전분")</f>
        <v>전분</v>
      </c>
    </row>
    <row r="13881">
      <c r="A13881" s="2" t="str">
        <f>IFERROR(__xludf.DUMMYFUNCTION("""COMPUTED_VALUE"""),"술맛 찾으러 가자")</f>
        <v>술맛 찾으러 가자</v>
      </c>
      <c r="B13881" s="2" t="str">
        <f>IFERROR(__xludf.DUMMYFUNCTION("""COMPUTED_VALUE"""),"물엿")</f>
        <v>물엿</v>
      </c>
    </row>
    <row r="13882">
      <c r="A13882" s="2" t="str">
        <f>IFERROR(__xludf.DUMMYFUNCTION("""COMPUTED_VALUE"""),"술맛 찾으러 가자")</f>
        <v>술맛 찾으러 가자</v>
      </c>
      <c r="B13882" s="2" t="str">
        <f>IFERROR(__xludf.DUMMYFUNCTION("""COMPUTED_VALUE"""),"설탕")</f>
        <v>설탕</v>
      </c>
    </row>
    <row r="13883">
      <c r="A13883" s="2" t="str">
        <f>IFERROR(__xludf.DUMMYFUNCTION("""COMPUTED_VALUE"""),"술맛 찾으러 가자")</f>
        <v>술맛 찾으러 가자</v>
      </c>
      <c r="B13883" s="2" t="str">
        <f>IFERROR(__xludf.DUMMYFUNCTION("""COMPUTED_VALUE"""),"참기름")</f>
        <v>참기름</v>
      </c>
    </row>
    <row r="13884">
      <c r="A13884" s="2" t="str">
        <f>IFERROR(__xludf.DUMMYFUNCTION("""COMPUTED_VALUE"""),"내 발가락 내놔")</f>
        <v>내 발가락 내놔</v>
      </c>
      <c r="B13884" s="2" t="str">
        <f>IFERROR(__xludf.DUMMYFUNCTION("""COMPUTED_VALUE"""),"새우")</f>
        <v>새우</v>
      </c>
    </row>
    <row r="13885">
      <c r="A13885" s="2" t="str">
        <f>IFERROR(__xludf.DUMMYFUNCTION("""COMPUTED_VALUE"""),"내 발가락 내놔")</f>
        <v>내 발가락 내놔</v>
      </c>
      <c r="B13885" s="2" t="str">
        <f>IFERROR(__xludf.DUMMYFUNCTION("""COMPUTED_VALUE"""),"다진 돼지고기")</f>
        <v>다진 돼지고기</v>
      </c>
    </row>
    <row r="13886">
      <c r="A13886" s="2" t="str">
        <f>IFERROR(__xludf.DUMMYFUNCTION("""COMPUTED_VALUE"""),"내 발가락 내놔")</f>
        <v>내 발가락 내놔</v>
      </c>
      <c r="B13886" s="2" t="str">
        <f>IFERROR(__xludf.DUMMYFUNCTION("""COMPUTED_VALUE"""),"강황가루")</f>
        <v>강황가루</v>
      </c>
    </row>
    <row r="13887">
      <c r="A13887" s="2" t="str">
        <f>IFERROR(__xludf.DUMMYFUNCTION("""COMPUTED_VALUE"""),"내 발가락 내놔")</f>
        <v>내 발가락 내놔</v>
      </c>
      <c r="B13887" s="2" t="str">
        <f>IFERROR(__xludf.DUMMYFUNCTION("""COMPUTED_VALUE"""),"나박김치")</f>
        <v>나박김치</v>
      </c>
    </row>
    <row r="13888">
      <c r="A13888" s="2" t="str">
        <f>IFERROR(__xludf.DUMMYFUNCTION("""COMPUTED_VALUE"""),"내 발가락 내놔")</f>
        <v>내 발가락 내놔</v>
      </c>
      <c r="B13888" s="2" t="str">
        <f>IFERROR(__xludf.DUMMYFUNCTION("""COMPUTED_VALUE"""),"김")</f>
        <v>김</v>
      </c>
    </row>
    <row r="13889">
      <c r="A13889" s="2" t="str">
        <f>IFERROR(__xludf.DUMMYFUNCTION("""COMPUTED_VALUE"""),"내 발가락 내놔")</f>
        <v>내 발가락 내놔</v>
      </c>
      <c r="B13889" s="2" t="str">
        <f>IFERROR(__xludf.DUMMYFUNCTION("""COMPUTED_VALUE"""),"고추장")</f>
        <v>고추장</v>
      </c>
    </row>
    <row r="13890">
      <c r="A13890" s="2" t="str">
        <f>IFERROR(__xludf.DUMMYFUNCTION("""COMPUTED_VALUE"""),"내 발가락 내놔")</f>
        <v>내 발가락 내놔</v>
      </c>
      <c r="B13890" s="2" t="str">
        <f>IFERROR(__xludf.DUMMYFUNCTION("""COMPUTED_VALUE"""),"메밀면")</f>
        <v>메밀면</v>
      </c>
    </row>
    <row r="13891">
      <c r="A13891" s="2" t="str">
        <f>IFERROR(__xludf.DUMMYFUNCTION("""COMPUTED_VALUE"""),"내 발가락 내놔")</f>
        <v>내 발가락 내놔</v>
      </c>
      <c r="B13891" s="2" t="str">
        <f>IFERROR(__xludf.DUMMYFUNCTION("""COMPUTED_VALUE"""),"밀가루")</f>
        <v>밀가루</v>
      </c>
    </row>
    <row r="13892">
      <c r="A13892" s="2" t="str">
        <f>IFERROR(__xludf.DUMMYFUNCTION("""COMPUTED_VALUE"""),"내 발가락 내놔")</f>
        <v>내 발가락 내놔</v>
      </c>
      <c r="B13892" s="2" t="str">
        <f>IFERROR(__xludf.DUMMYFUNCTION("""COMPUTED_VALUE"""),"소금")</f>
        <v>소금</v>
      </c>
    </row>
    <row r="13893">
      <c r="A13893" s="2" t="str">
        <f>IFERROR(__xludf.DUMMYFUNCTION("""COMPUTED_VALUE"""),"내 발가락 내놔")</f>
        <v>내 발가락 내놔</v>
      </c>
      <c r="B13893" s="2" t="str">
        <f>IFERROR(__xludf.DUMMYFUNCTION("""COMPUTED_VALUE"""),"올리브오일")</f>
        <v>올리브오일</v>
      </c>
    </row>
    <row r="13894">
      <c r="A13894" s="2" t="str">
        <f>IFERROR(__xludf.DUMMYFUNCTION("""COMPUTED_VALUE"""),"내 발가락 내놔")</f>
        <v>내 발가락 내놔</v>
      </c>
      <c r="B13894" s="2" t="str">
        <f>IFERROR(__xludf.DUMMYFUNCTION("""COMPUTED_VALUE"""),"고추")</f>
        <v>고추</v>
      </c>
    </row>
    <row r="13895">
      <c r="A13895" s="2" t="str">
        <f>IFERROR(__xludf.DUMMYFUNCTION("""COMPUTED_VALUE"""),"내 발가락 내놔")</f>
        <v>내 발가락 내놔</v>
      </c>
      <c r="B13895" s="2" t="str">
        <f>IFERROR(__xludf.DUMMYFUNCTION("""COMPUTED_VALUE"""),"고춧가루")</f>
        <v>고춧가루</v>
      </c>
    </row>
    <row r="13896">
      <c r="A13896" s="2" t="str">
        <f>IFERROR(__xludf.DUMMYFUNCTION("""COMPUTED_VALUE"""),"내 발가락 내놔")</f>
        <v>내 발가락 내놔</v>
      </c>
      <c r="B13896" s="2" t="str">
        <f>IFERROR(__xludf.DUMMYFUNCTION("""COMPUTED_VALUE"""),"다진생강")</f>
        <v>다진생강</v>
      </c>
    </row>
    <row r="13897">
      <c r="A13897" s="2" t="str">
        <f>IFERROR(__xludf.DUMMYFUNCTION("""COMPUTED_VALUE"""),"내 발가락 내놔")</f>
        <v>내 발가락 내놔</v>
      </c>
      <c r="B13897" s="2" t="str">
        <f>IFERROR(__xludf.DUMMYFUNCTION("""COMPUTED_VALUE"""),"대파")</f>
        <v>대파</v>
      </c>
    </row>
    <row r="13898">
      <c r="A13898" s="2" t="str">
        <f>IFERROR(__xludf.DUMMYFUNCTION("""COMPUTED_VALUE"""),"내 발가락 내놔")</f>
        <v>내 발가락 내놔</v>
      </c>
      <c r="B13898" s="2" t="str">
        <f>IFERROR(__xludf.DUMMYFUNCTION("""COMPUTED_VALUE"""),"설탕")</f>
        <v>설탕</v>
      </c>
    </row>
    <row r="13899">
      <c r="A13899" s="2" t="str">
        <f>IFERROR(__xludf.DUMMYFUNCTION("""COMPUTED_VALUE"""),"내 발가락 내놔")</f>
        <v>내 발가락 내놔</v>
      </c>
      <c r="B13899" s="2" t="str">
        <f>IFERROR(__xludf.DUMMYFUNCTION("""COMPUTED_VALUE"""),"다진마늘")</f>
        <v>다진마늘</v>
      </c>
    </row>
    <row r="13900">
      <c r="A13900" s="2" t="str">
        <f>IFERROR(__xludf.DUMMYFUNCTION("""COMPUTED_VALUE"""),"내 발가락 내놔")</f>
        <v>내 발가락 내놔</v>
      </c>
      <c r="B13900" s="2" t="str">
        <f>IFERROR(__xludf.DUMMYFUNCTION("""COMPUTED_VALUE"""),"레몬")</f>
        <v>레몬</v>
      </c>
    </row>
    <row r="13901">
      <c r="A13901" s="2" t="str">
        <f>IFERROR(__xludf.DUMMYFUNCTION("""COMPUTED_VALUE"""),"내 발가락 내놔")</f>
        <v>내 발가락 내놔</v>
      </c>
      <c r="B13901" s="2" t="str">
        <f>IFERROR(__xludf.DUMMYFUNCTION("""COMPUTED_VALUE"""),"참기름")</f>
        <v>참기름</v>
      </c>
    </row>
    <row r="13902">
      <c r="A13902" s="2" t="str">
        <f>IFERROR(__xludf.DUMMYFUNCTION("""COMPUTED_VALUE"""),"내 발가락 내놔")</f>
        <v>내 발가락 내놔</v>
      </c>
      <c r="B13902" s="2" t="str">
        <f>IFERROR(__xludf.DUMMYFUNCTION("""COMPUTED_VALUE"""),"간장")</f>
        <v>간장</v>
      </c>
    </row>
    <row r="13903">
      <c r="A13903" s="2" t="str">
        <f>IFERROR(__xludf.DUMMYFUNCTION("""COMPUTED_VALUE"""),"내 발가락 내놔")</f>
        <v>내 발가락 내놔</v>
      </c>
      <c r="B13903" s="2" t="str">
        <f>IFERROR(__xludf.DUMMYFUNCTION("""COMPUTED_VALUE"""),"식초")</f>
        <v>식초</v>
      </c>
    </row>
    <row r="13904">
      <c r="A13904" s="2" t="str">
        <f>IFERROR(__xludf.DUMMYFUNCTION("""COMPUTED_VALUE"""),"내 발가락 내놔")</f>
        <v>내 발가락 내놔</v>
      </c>
      <c r="B13904" s="2" t="str">
        <f>IFERROR(__xludf.DUMMYFUNCTION("""COMPUTED_VALUE"""),"양파")</f>
        <v>양파</v>
      </c>
    </row>
    <row r="13905">
      <c r="A13905" s="2" t="str">
        <f>IFERROR(__xludf.DUMMYFUNCTION("""COMPUTED_VALUE"""),"지옥에서 온 손님")</f>
        <v>지옥에서 온 손님</v>
      </c>
      <c r="B13905" s="2" t="str">
        <f>IFERROR(__xludf.DUMMYFUNCTION("""COMPUTED_VALUE"""),"다진 돼지고기")</f>
        <v>다진 돼지고기</v>
      </c>
    </row>
    <row r="13906">
      <c r="A13906" s="2" t="str">
        <f>IFERROR(__xludf.DUMMYFUNCTION("""COMPUTED_VALUE"""),"지옥에서 온 손님")</f>
        <v>지옥에서 온 손님</v>
      </c>
      <c r="B13906" s="2" t="str">
        <f>IFERROR(__xludf.DUMMYFUNCTION("""COMPUTED_VALUE"""),"돼지 앞다릿살")</f>
        <v>돼지 앞다릿살</v>
      </c>
    </row>
    <row r="13907">
      <c r="A13907" s="2" t="str">
        <f>IFERROR(__xludf.DUMMYFUNCTION("""COMPUTED_VALUE"""),"지옥에서 온 손님")</f>
        <v>지옥에서 온 손님</v>
      </c>
      <c r="B13907" s="2" t="str">
        <f>IFERROR(__xludf.DUMMYFUNCTION("""COMPUTED_VALUE"""),"카레가루")</f>
        <v>카레가루</v>
      </c>
    </row>
    <row r="13908">
      <c r="A13908" s="2" t="str">
        <f>IFERROR(__xludf.DUMMYFUNCTION("""COMPUTED_VALUE"""),"지옥에서 온 손님")</f>
        <v>지옥에서 온 손님</v>
      </c>
      <c r="B13908" s="2" t="str">
        <f>IFERROR(__xludf.DUMMYFUNCTION("""COMPUTED_VALUE"""),"감자")</f>
        <v>감자</v>
      </c>
    </row>
    <row r="13909">
      <c r="A13909" s="2" t="str">
        <f>IFERROR(__xludf.DUMMYFUNCTION("""COMPUTED_VALUE"""),"지옥에서 온 손님")</f>
        <v>지옥에서 온 손님</v>
      </c>
      <c r="B13909" s="2" t="str">
        <f>IFERROR(__xludf.DUMMYFUNCTION("""COMPUTED_VALUE"""),"무")</f>
        <v>무</v>
      </c>
    </row>
    <row r="13910">
      <c r="A13910" s="2" t="str">
        <f>IFERROR(__xludf.DUMMYFUNCTION("""COMPUTED_VALUE"""),"지옥에서 온 손님")</f>
        <v>지옥에서 온 손님</v>
      </c>
      <c r="B13910" s="2" t="str">
        <f>IFERROR(__xludf.DUMMYFUNCTION("""COMPUTED_VALUE"""),"비트")</f>
        <v>비트</v>
      </c>
    </row>
    <row r="13911">
      <c r="A13911" s="2" t="str">
        <f>IFERROR(__xludf.DUMMYFUNCTION("""COMPUTED_VALUE"""),"지옥에서 온 손님")</f>
        <v>지옥에서 온 손님</v>
      </c>
      <c r="B13911" s="2" t="str">
        <f>IFERROR(__xludf.DUMMYFUNCTION("""COMPUTED_VALUE"""),"새우")</f>
        <v>새우</v>
      </c>
    </row>
    <row r="13912">
      <c r="A13912" s="2" t="str">
        <f>IFERROR(__xludf.DUMMYFUNCTION("""COMPUTED_VALUE"""),"지옥에서 온 손님")</f>
        <v>지옥에서 온 손님</v>
      </c>
      <c r="B13912" s="2" t="str">
        <f>IFERROR(__xludf.DUMMYFUNCTION("""COMPUTED_VALUE"""),"가자미살")</f>
        <v>가자미살</v>
      </c>
    </row>
    <row r="13913">
      <c r="A13913" s="2" t="str">
        <f>IFERROR(__xludf.DUMMYFUNCTION("""COMPUTED_VALUE"""),"지옥에서 온 손님")</f>
        <v>지옥에서 온 손님</v>
      </c>
      <c r="B13913" s="2" t="str">
        <f>IFERROR(__xludf.DUMMYFUNCTION("""COMPUTED_VALUE"""),"표고버섯")</f>
        <v>표고버섯</v>
      </c>
    </row>
    <row r="13914">
      <c r="A13914" s="2" t="str">
        <f>IFERROR(__xludf.DUMMYFUNCTION("""COMPUTED_VALUE"""),"지옥에서 온 손님")</f>
        <v>지옥에서 온 손님</v>
      </c>
      <c r="B13914" s="2" t="str">
        <f>IFERROR(__xludf.DUMMYFUNCTION("""COMPUTED_VALUE"""),"치킨스톡")</f>
        <v>치킨스톡</v>
      </c>
    </row>
    <row r="13915">
      <c r="A13915" s="2" t="str">
        <f>IFERROR(__xludf.DUMMYFUNCTION("""COMPUTED_VALUE"""),"지옥에서 온 손님")</f>
        <v>지옥에서 온 손님</v>
      </c>
      <c r="B13915" s="2" t="str">
        <f>IFERROR(__xludf.DUMMYFUNCTION("""COMPUTED_VALUE"""),"소금")</f>
        <v>소금</v>
      </c>
    </row>
    <row r="13916">
      <c r="A13916" s="2" t="str">
        <f>IFERROR(__xludf.DUMMYFUNCTION("""COMPUTED_VALUE"""),"지옥에서 온 손님")</f>
        <v>지옥에서 온 손님</v>
      </c>
      <c r="B13916" s="2" t="str">
        <f>IFERROR(__xludf.DUMMYFUNCTION("""COMPUTED_VALUE"""),"대파")</f>
        <v>대파</v>
      </c>
    </row>
    <row r="13917">
      <c r="A13917" s="2" t="str">
        <f>IFERROR(__xludf.DUMMYFUNCTION("""COMPUTED_VALUE"""),"지옥에서 온 손님")</f>
        <v>지옥에서 온 손님</v>
      </c>
      <c r="B13917" s="2" t="str">
        <f>IFERROR(__xludf.DUMMYFUNCTION("""COMPUTED_VALUE"""),"전분")</f>
        <v>전분</v>
      </c>
    </row>
    <row r="13918">
      <c r="A13918" s="2" t="str">
        <f>IFERROR(__xludf.DUMMYFUNCTION("""COMPUTED_VALUE"""),"지옥에서 온 손님")</f>
        <v>지옥에서 온 손님</v>
      </c>
      <c r="B13918" s="2" t="str">
        <f>IFERROR(__xludf.DUMMYFUNCTION("""COMPUTED_VALUE"""),"다진마늘")</f>
        <v>다진마늘</v>
      </c>
    </row>
    <row r="13919">
      <c r="A13919" s="2" t="str">
        <f>IFERROR(__xludf.DUMMYFUNCTION("""COMPUTED_VALUE"""),"지옥에서 온 손님")</f>
        <v>지옥에서 온 손님</v>
      </c>
      <c r="B13919" s="2" t="str">
        <f>IFERROR(__xludf.DUMMYFUNCTION("""COMPUTED_VALUE"""),"후추")</f>
        <v>후추</v>
      </c>
    </row>
    <row r="13920">
      <c r="A13920" s="2" t="str">
        <f>IFERROR(__xludf.DUMMYFUNCTION("""COMPUTED_VALUE"""),"지옥에서 온 손님")</f>
        <v>지옥에서 온 손님</v>
      </c>
      <c r="B13920" s="2" t="str">
        <f>IFERROR(__xludf.DUMMYFUNCTION("""COMPUTED_VALUE"""),"버터")</f>
        <v>버터</v>
      </c>
    </row>
    <row r="13921">
      <c r="A13921" s="2" t="str">
        <f>IFERROR(__xludf.DUMMYFUNCTION("""COMPUTED_VALUE"""),"지옥에서 온 손님")</f>
        <v>지옥에서 온 손님</v>
      </c>
      <c r="B13921" s="2" t="str">
        <f>IFERROR(__xludf.DUMMYFUNCTION("""COMPUTED_VALUE"""),"고춧가루")</f>
        <v>고춧가루</v>
      </c>
    </row>
    <row r="13922">
      <c r="A13922" s="2" t="str">
        <f>IFERROR(__xludf.DUMMYFUNCTION("""COMPUTED_VALUE"""),"지옥에서 온 손님")</f>
        <v>지옥에서 온 손님</v>
      </c>
      <c r="B13922" s="2" t="str">
        <f>IFERROR(__xludf.DUMMYFUNCTION("""COMPUTED_VALUE"""),"간장")</f>
        <v>간장</v>
      </c>
    </row>
    <row r="13923">
      <c r="A13923" s="2" t="str">
        <f>IFERROR(__xludf.DUMMYFUNCTION("""COMPUTED_VALUE"""),"지옥에서 온 손님")</f>
        <v>지옥에서 온 손님</v>
      </c>
      <c r="B13923" s="2" t="str">
        <f>IFERROR(__xludf.DUMMYFUNCTION("""COMPUTED_VALUE"""),"달걀")</f>
        <v>달걀</v>
      </c>
    </row>
    <row r="13924">
      <c r="A13924" s="2" t="str">
        <f>IFERROR(__xludf.DUMMYFUNCTION("""COMPUTED_VALUE"""),"지옥에서 온 손님")</f>
        <v>지옥에서 온 손님</v>
      </c>
      <c r="B13924" s="2" t="str">
        <f>IFERROR(__xludf.DUMMYFUNCTION("""COMPUTED_VALUE"""),"맛술")</f>
        <v>맛술</v>
      </c>
    </row>
    <row r="13925">
      <c r="A13925" s="2" t="str">
        <f>IFERROR(__xludf.DUMMYFUNCTION("""COMPUTED_VALUE"""),"지옥에서 온 손님")</f>
        <v>지옥에서 온 손님</v>
      </c>
      <c r="B13925" s="2" t="str">
        <f>IFERROR(__xludf.DUMMYFUNCTION("""COMPUTED_VALUE"""),"식초")</f>
        <v>식초</v>
      </c>
    </row>
    <row r="13926">
      <c r="A13926" s="2" t="str">
        <f>IFERROR(__xludf.DUMMYFUNCTION("""COMPUTED_VALUE"""),"돈플갱어")</f>
        <v>돈플갱어</v>
      </c>
      <c r="B13926" s="2" t="str">
        <f>IFERROR(__xludf.DUMMYFUNCTION("""COMPUTED_VALUE"""),"돼지 앞다릿살")</f>
        <v>돼지 앞다릿살</v>
      </c>
    </row>
    <row r="13927">
      <c r="A13927" s="2" t="str">
        <f>IFERROR(__xludf.DUMMYFUNCTION("""COMPUTED_VALUE"""),"돈플갱어")</f>
        <v>돈플갱어</v>
      </c>
      <c r="B13927" s="2" t="str">
        <f>IFERROR(__xludf.DUMMYFUNCTION("""COMPUTED_VALUE"""),"황태채")</f>
        <v>황태채</v>
      </c>
    </row>
    <row r="13928">
      <c r="A13928" s="2" t="str">
        <f>IFERROR(__xludf.DUMMYFUNCTION("""COMPUTED_VALUE"""),"돈플갱어")</f>
        <v>돈플갱어</v>
      </c>
      <c r="B13928" s="2" t="str">
        <f>IFERROR(__xludf.DUMMYFUNCTION("""COMPUTED_VALUE"""),"으깬 병아리콩")</f>
        <v>으깬 병아리콩</v>
      </c>
    </row>
    <row r="13929">
      <c r="A13929" s="2" t="str">
        <f>IFERROR(__xludf.DUMMYFUNCTION("""COMPUTED_VALUE"""),"돈플갱어")</f>
        <v>돈플갱어</v>
      </c>
      <c r="B13929" s="2" t="str">
        <f>IFERROR(__xludf.DUMMYFUNCTION("""COMPUTED_VALUE"""),"아몬드가루")</f>
        <v>아몬드가루</v>
      </c>
    </row>
    <row r="13930">
      <c r="A13930" s="2" t="str">
        <f>IFERROR(__xludf.DUMMYFUNCTION("""COMPUTED_VALUE"""),"돈플갱어")</f>
        <v>돈플갱어</v>
      </c>
      <c r="B13930" s="2" t="str">
        <f>IFERROR(__xludf.DUMMYFUNCTION("""COMPUTED_VALUE"""),"나박김치")</f>
        <v>나박김치</v>
      </c>
    </row>
    <row r="13931">
      <c r="A13931" s="2" t="str">
        <f>IFERROR(__xludf.DUMMYFUNCTION("""COMPUTED_VALUE"""),"돈플갱어")</f>
        <v>돈플갱어</v>
      </c>
      <c r="B13931" s="2" t="str">
        <f>IFERROR(__xludf.DUMMYFUNCTION("""COMPUTED_VALUE"""),"생강청")</f>
        <v>생강청</v>
      </c>
    </row>
    <row r="13932">
      <c r="A13932" s="2" t="str">
        <f>IFERROR(__xludf.DUMMYFUNCTION("""COMPUTED_VALUE"""),"돈플갱어")</f>
        <v>돈플갱어</v>
      </c>
      <c r="B13932" s="2" t="str">
        <f>IFERROR(__xludf.DUMMYFUNCTION("""COMPUTED_VALUE"""),"소고기 장조림")</f>
        <v>소고기 장조림</v>
      </c>
    </row>
    <row r="13933">
      <c r="A13933" s="2" t="str">
        <f>IFERROR(__xludf.DUMMYFUNCTION("""COMPUTED_VALUE"""),"돈플갱어")</f>
        <v>돈플갱어</v>
      </c>
      <c r="B13933" s="2" t="str">
        <f>IFERROR(__xludf.DUMMYFUNCTION("""COMPUTED_VALUE"""),"커민")</f>
        <v>커민</v>
      </c>
    </row>
    <row r="13934">
      <c r="A13934" s="2" t="str">
        <f>IFERROR(__xludf.DUMMYFUNCTION("""COMPUTED_VALUE"""),"돈플갱어")</f>
        <v>돈플갱어</v>
      </c>
      <c r="B13934" s="2" t="str">
        <f>IFERROR(__xludf.DUMMYFUNCTION("""COMPUTED_VALUE"""),"후추")</f>
        <v>후추</v>
      </c>
    </row>
    <row r="13935">
      <c r="A13935" s="2" t="str">
        <f>IFERROR(__xludf.DUMMYFUNCTION("""COMPUTED_VALUE"""),"돈플갱어")</f>
        <v>돈플갱어</v>
      </c>
      <c r="B13935" s="2" t="str">
        <f>IFERROR(__xludf.DUMMYFUNCTION("""COMPUTED_VALUE"""),"감자")</f>
        <v>감자</v>
      </c>
    </row>
    <row r="13936">
      <c r="A13936" s="2" t="str">
        <f>IFERROR(__xludf.DUMMYFUNCTION("""COMPUTED_VALUE"""),"돈플갱어")</f>
        <v>돈플갱어</v>
      </c>
      <c r="B13936" s="2" t="str">
        <f>IFERROR(__xludf.DUMMYFUNCTION("""COMPUTED_VALUE"""),"단호박")</f>
        <v>단호박</v>
      </c>
    </row>
    <row r="13937">
      <c r="A13937" s="2" t="str">
        <f>IFERROR(__xludf.DUMMYFUNCTION("""COMPUTED_VALUE"""),"돈플갱어")</f>
        <v>돈플갱어</v>
      </c>
      <c r="B13937" s="2" t="str">
        <f>IFERROR(__xludf.DUMMYFUNCTION("""COMPUTED_VALUE"""),"브로콜리")</f>
        <v>브로콜리</v>
      </c>
    </row>
    <row r="13938">
      <c r="A13938" s="2" t="str">
        <f>IFERROR(__xludf.DUMMYFUNCTION("""COMPUTED_VALUE"""),"돈플갱어")</f>
        <v>돈플갱어</v>
      </c>
      <c r="B13938" s="2" t="str">
        <f>IFERROR(__xludf.DUMMYFUNCTION("""COMPUTED_VALUE"""),"체리")</f>
        <v>체리</v>
      </c>
    </row>
    <row r="13939">
      <c r="A13939" s="2" t="str">
        <f>IFERROR(__xludf.DUMMYFUNCTION("""COMPUTED_VALUE"""),"돈플갱어")</f>
        <v>돈플갱어</v>
      </c>
      <c r="B13939" s="2" t="str">
        <f>IFERROR(__xludf.DUMMYFUNCTION("""COMPUTED_VALUE"""),"쌀가루")</f>
        <v>쌀가루</v>
      </c>
    </row>
    <row r="13940">
      <c r="A13940" s="2" t="str">
        <f>IFERROR(__xludf.DUMMYFUNCTION("""COMPUTED_VALUE"""),"돈플갱어")</f>
        <v>돈플갱어</v>
      </c>
      <c r="B13940" s="2" t="str">
        <f>IFERROR(__xludf.DUMMYFUNCTION("""COMPUTED_VALUE"""),"후추")</f>
        <v>후추</v>
      </c>
    </row>
    <row r="13941">
      <c r="A13941" s="2" t="str">
        <f>IFERROR(__xludf.DUMMYFUNCTION("""COMPUTED_VALUE"""),"돈플갱어")</f>
        <v>돈플갱어</v>
      </c>
      <c r="B13941" s="2" t="str">
        <f>IFERROR(__xludf.DUMMYFUNCTION("""COMPUTED_VALUE"""),"버터")</f>
        <v>버터</v>
      </c>
    </row>
    <row r="13942">
      <c r="A13942" s="2" t="str">
        <f>IFERROR(__xludf.DUMMYFUNCTION("""COMPUTED_VALUE"""),"돈플갱어")</f>
        <v>돈플갱어</v>
      </c>
      <c r="B13942" s="2" t="str">
        <f>IFERROR(__xludf.DUMMYFUNCTION("""COMPUTED_VALUE"""),"간장")</f>
        <v>간장</v>
      </c>
    </row>
    <row r="13943">
      <c r="A13943" s="2" t="str">
        <f>IFERROR(__xludf.DUMMYFUNCTION("""COMPUTED_VALUE"""),"돈플갱어")</f>
        <v>돈플갱어</v>
      </c>
      <c r="B13943" s="2" t="str">
        <f>IFERROR(__xludf.DUMMYFUNCTION("""COMPUTED_VALUE"""),"맛술")</f>
        <v>맛술</v>
      </c>
    </row>
    <row r="13944">
      <c r="A13944" s="2" t="str">
        <f>IFERROR(__xludf.DUMMYFUNCTION("""COMPUTED_VALUE"""),"돈플갱어")</f>
        <v>돈플갱어</v>
      </c>
      <c r="B13944" s="2" t="str">
        <f>IFERROR(__xludf.DUMMYFUNCTION("""COMPUTED_VALUE"""),"청주")</f>
        <v>청주</v>
      </c>
    </row>
    <row r="13945">
      <c r="A13945" s="2" t="str">
        <f>IFERROR(__xludf.DUMMYFUNCTION("""COMPUTED_VALUE"""),"돈플갱어")</f>
        <v>돈플갱어</v>
      </c>
      <c r="B13945" s="2" t="str">
        <f>IFERROR(__xludf.DUMMYFUNCTION("""COMPUTED_VALUE"""),"다진생강")</f>
        <v>다진생강</v>
      </c>
    </row>
    <row r="13946">
      <c r="A13946" s="2" t="str">
        <f>IFERROR(__xludf.DUMMYFUNCTION("""COMPUTED_VALUE"""),"돈플갱어")</f>
        <v>돈플갱어</v>
      </c>
      <c r="B13946" s="2" t="str">
        <f>IFERROR(__xludf.DUMMYFUNCTION("""COMPUTED_VALUE"""),"소금")</f>
        <v>소금</v>
      </c>
    </row>
    <row r="13947">
      <c r="A13947" s="2" t="str">
        <f>IFERROR(__xludf.DUMMYFUNCTION("""COMPUTED_VALUE"""),"돈플갱어")</f>
        <v>돈플갱어</v>
      </c>
      <c r="B13947" s="2" t="str">
        <f>IFERROR(__xludf.DUMMYFUNCTION("""COMPUTED_VALUE"""),"레몬")</f>
        <v>레몬</v>
      </c>
    </row>
    <row r="13948">
      <c r="A13948" s="2" t="str">
        <f>IFERROR(__xludf.DUMMYFUNCTION("""COMPUTED_VALUE"""),"쌀과 함께")</f>
        <v>쌀과 함께</v>
      </c>
      <c r="B13948" s="2" t="str">
        <f>IFERROR(__xludf.DUMMYFUNCTION("""COMPUTED_VALUE"""),"부챗살")</f>
        <v>부챗살</v>
      </c>
    </row>
    <row r="13949">
      <c r="A13949" s="2" t="str">
        <f>IFERROR(__xludf.DUMMYFUNCTION("""COMPUTED_VALUE"""),"쌀과 함께")</f>
        <v>쌀과 함께</v>
      </c>
      <c r="B13949" s="2" t="str">
        <f>IFERROR(__xludf.DUMMYFUNCTION("""COMPUTED_VALUE"""),"돼지 앞다릿살")</f>
        <v>돼지 앞다릿살</v>
      </c>
    </row>
    <row r="13950">
      <c r="A13950" s="2" t="str">
        <f>IFERROR(__xludf.DUMMYFUNCTION("""COMPUTED_VALUE"""),"쌀과 함께")</f>
        <v>쌀과 함께</v>
      </c>
      <c r="B13950" s="2" t="str">
        <f>IFERROR(__xludf.DUMMYFUNCTION("""COMPUTED_VALUE"""),"메추리알")</f>
        <v>메추리알</v>
      </c>
    </row>
    <row r="13951">
      <c r="A13951" s="2" t="str">
        <f>IFERROR(__xludf.DUMMYFUNCTION("""COMPUTED_VALUE"""),"쌀과 함께")</f>
        <v>쌀과 함께</v>
      </c>
      <c r="B13951" s="2" t="str">
        <f>IFERROR(__xludf.DUMMYFUNCTION("""COMPUTED_VALUE"""),"감자")</f>
        <v>감자</v>
      </c>
    </row>
    <row r="13952">
      <c r="A13952" s="2" t="str">
        <f>IFERROR(__xludf.DUMMYFUNCTION("""COMPUTED_VALUE"""),"쌀과 함께")</f>
        <v>쌀과 함께</v>
      </c>
      <c r="B13952" s="2" t="str">
        <f>IFERROR(__xludf.DUMMYFUNCTION("""COMPUTED_VALUE"""),"검은콩 두유")</f>
        <v>검은콩 두유</v>
      </c>
    </row>
    <row r="13953">
      <c r="A13953" s="2" t="str">
        <f>IFERROR(__xludf.DUMMYFUNCTION("""COMPUTED_VALUE"""),"쌀과 함께")</f>
        <v>쌀과 함께</v>
      </c>
      <c r="B13953" s="2" t="str">
        <f>IFERROR(__xludf.DUMMYFUNCTION("""COMPUTED_VALUE"""),"쌀국수면")</f>
        <v>쌀국수면</v>
      </c>
    </row>
    <row r="13954">
      <c r="A13954" s="2" t="str">
        <f>IFERROR(__xludf.DUMMYFUNCTION("""COMPUTED_VALUE"""),"쌀과 함께")</f>
        <v>쌀과 함께</v>
      </c>
      <c r="B13954" s="2" t="str">
        <f>IFERROR(__xludf.DUMMYFUNCTION("""COMPUTED_VALUE"""),"쌀가루")</f>
        <v>쌀가루</v>
      </c>
    </row>
    <row r="13955">
      <c r="A13955" s="2" t="str">
        <f>IFERROR(__xludf.DUMMYFUNCTION("""COMPUTED_VALUE"""),"쌀과 함께")</f>
        <v>쌀과 함께</v>
      </c>
      <c r="B13955" s="2" t="str">
        <f>IFERROR(__xludf.DUMMYFUNCTION("""COMPUTED_VALUE"""),"표고버섯")</f>
        <v>표고버섯</v>
      </c>
    </row>
    <row r="13956">
      <c r="A13956" s="2" t="str">
        <f>IFERROR(__xludf.DUMMYFUNCTION("""COMPUTED_VALUE"""),"쌀과 함께")</f>
        <v>쌀과 함께</v>
      </c>
      <c r="B13956" s="2" t="str">
        <f>IFERROR(__xludf.DUMMYFUNCTION("""COMPUTED_VALUE"""),"브로콜리 새싹")</f>
        <v>브로콜리 새싹</v>
      </c>
    </row>
    <row r="13957">
      <c r="A13957" s="2" t="str">
        <f>IFERROR(__xludf.DUMMYFUNCTION("""COMPUTED_VALUE"""),"쌀과 함께")</f>
        <v>쌀과 함께</v>
      </c>
      <c r="B13957" s="2" t="str">
        <f>IFERROR(__xludf.DUMMYFUNCTION("""COMPUTED_VALUE"""),"양파")</f>
        <v>양파</v>
      </c>
    </row>
    <row r="13958">
      <c r="A13958" s="2" t="str">
        <f>IFERROR(__xludf.DUMMYFUNCTION("""COMPUTED_VALUE"""),"쌀과 함께")</f>
        <v>쌀과 함께</v>
      </c>
      <c r="B13958" s="2" t="str">
        <f>IFERROR(__xludf.DUMMYFUNCTION("""COMPUTED_VALUE"""),"간장")</f>
        <v>간장</v>
      </c>
    </row>
    <row r="13959">
      <c r="A13959" s="2" t="str">
        <f>IFERROR(__xludf.DUMMYFUNCTION("""COMPUTED_VALUE"""),"쌀과 함께")</f>
        <v>쌀과 함께</v>
      </c>
      <c r="B13959" s="2" t="str">
        <f>IFERROR(__xludf.DUMMYFUNCTION("""COMPUTED_VALUE"""),"후추")</f>
        <v>후추</v>
      </c>
    </row>
    <row r="13960">
      <c r="A13960" s="2" t="str">
        <f>IFERROR(__xludf.DUMMYFUNCTION("""COMPUTED_VALUE"""),"쌀과 함께")</f>
        <v>쌀과 함께</v>
      </c>
      <c r="B13960" s="2" t="str">
        <f>IFERROR(__xludf.DUMMYFUNCTION("""COMPUTED_VALUE"""),"소금")</f>
        <v>소금</v>
      </c>
    </row>
    <row r="13961">
      <c r="A13961" s="2" t="str">
        <f>IFERROR(__xludf.DUMMYFUNCTION("""COMPUTED_VALUE"""),"쌀과 함께")</f>
        <v>쌀과 함께</v>
      </c>
      <c r="B13961" s="2" t="str">
        <f>IFERROR(__xludf.DUMMYFUNCTION("""COMPUTED_VALUE"""),"참기름")</f>
        <v>참기름</v>
      </c>
    </row>
    <row r="13962">
      <c r="A13962" s="2" t="str">
        <f>IFERROR(__xludf.DUMMYFUNCTION("""COMPUTED_VALUE"""),"쌀과 함께")</f>
        <v>쌀과 함께</v>
      </c>
      <c r="B13962" s="2" t="str">
        <f>IFERROR(__xludf.DUMMYFUNCTION("""COMPUTED_VALUE"""),"고추")</f>
        <v>고추</v>
      </c>
    </row>
    <row r="13963">
      <c r="A13963" s="2" t="str">
        <f>IFERROR(__xludf.DUMMYFUNCTION("""COMPUTED_VALUE"""),"쌀과 함께")</f>
        <v>쌀과 함께</v>
      </c>
      <c r="B13963" s="2" t="str">
        <f>IFERROR(__xludf.DUMMYFUNCTION("""COMPUTED_VALUE"""),"홍고추")</f>
        <v>홍고추</v>
      </c>
    </row>
    <row r="13964">
      <c r="A13964" s="2" t="str">
        <f>IFERROR(__xludf.DUMMYFUNCTION("""COMPUTED_VALUE"""),"킴가네")</f>
        <v>킴가네</v>
      </c>
      <c r="B13964" s="2" t="str">
        <f>IFERROR(__xludf.DUMMYFUNCTION("""COMPUTED_VALUE"""),"떡볶이 떡")</f>
        <v>떡볶이 떡</v>
      </c>
    </row>
    <row r="13965">
      <c r="A13965" s="2" t="str">
        <f>IFERROR(__xludf.DUMMYFUNCTION("""COMPUTED_VALUE"""),"킴가네")</f>
        <v>킴가네</v>
      </c>
      <c r="B13965" s="2" t="str">
        <f>IFERROR(__xludf.DUMMYFUNCTION("""COMPUTED_VALUE"""),"소 등심")</f>
        <v>소 등심</v>
      </c>
    </row>
    <row r="13966">
      <c r="A13966" s="2" t="str">
        <f>IFERROR(__xludf.DUMMYFUNCTION("""COMPUTED_VALUE"""),"킴가네")</f>
        <v>킴가네</v>
      </c>
      <c r="B13966" s="2" t="str">
        <f>IFERROR(__xludf.DUMMYFUNCTION("""COMPUTED_VALUE"""),"돼지갈비양념")</f>
        <v>돼지갈비양념</v>
      </c>
    </row>
    <row r="13967">
      <c r="A13967" s="2" t="str">
        <f>IFERROR(__xludf.DUMMYFUNCTION("""COMPUTED_VALUE"""),"킴가네")</f>
        <v>킴가네</v>
      </c>
      <c r="B13967" s="2" t="str">
        <f>IFERROR(__xludf.DUMMYFUNCTION("""COMPUTED_VALUE"""),"가쓰오부시")</f>
        <v>가쓰오부시</v>
      </c>
    </row>
    <row r="13968">
      <c r="A13968" s="2" t="str">
        <f>IFERROR(__xludf.DUMMYFUNCTION("""COMPUTED_VALUE"""),"킴가네")</f>
        <v>킴가네</v>
      </c>
      <c r="B13968" s="2" t="str">
        <f>IFERROR(__xludf.DUMMYFUNCTION("""COMPUTED_VALUE"""),"베트남고추")</f>
        <v>베트남고추</v>
      </c>
    </row>
    <row r="13969">
      <c r="A13969" s="2" t="str">
        <f>IFERROR(__xludf.DUMMYFUNCTION("""COMPUTED_VALUE"""),"킴가네")</f>
        <v>킴가네</v>
      </c>
      <c r="B13969" s="2" t="str">
        <f>IFERROR(__xludf.DUMMYFUNCTION("""COMPUTED_VALUE"""),"해시브라운")</f>
        <v>해시브라운</v>
      </c>
    </row>
    <row r="13970">
      <c r="A13970" s="2" t="str">
        <f>IFERROR(__xludf.DUMMYFUNCTION("""COMPUTED_VALUE"""),"킴가네")</f>
        <v>킴가네</v>
      </c>
      <c r="B13970" s="2" t="str">
        <f>IFERROR(__xludf.DUMMYFUNCTION("""COMPUTED_VALUE"""),"오징어")</f>
        <v>오징어</v>
      </c>
    </row>
    <row r="13971">
      <c r="A13971" s="2" t="str">
        <f>IFERROR(__xludf.DUMMYFUNCTION("""COMPUTED_VALUE"""),"킴가네")</f>
        <v>킴가네</v>
      </c>
      <c r="B13971" s="2" t="str">
        <f>IFERROR(__xludf.DUMMYFUNCTION("""COMPUTED_VALUE"""),"로제소스")</f>
        <v>로제소스</v>
      </c>
    </row>
    <row r="13972">
      <c r="A13972" s="2" t="str">
        <f>IFERROR(__xludf.DUMMYFUNCTION("""COMPUTED_VALUE"""),"킴가네")</f>
        <v>킴가네</v>
      </c>
      <c r="B13972" s="2" t="str">
        <f>IFERROR(__xludf.DUMMYFUNCTION("""COMPUTED_VALUE"""),"파프리카")</f>
        <v>파프리카</v>
      </c>
    </row>
    <row r="13973">
      <c r="A13973" s="2" t="str">
        <f>IFERROR(__xludf.DUMMYFUNCTION("""COMPUTED_VALUE"""),"킴가네")</f>
        <v>킴가네</v>
      </c>
      <c r="B13973" s="2" t="str">
        <f>IFERROR(__xludf.DUMMYFUNCTION("""COMPUTED_VALUE"""),"모차렐라치즈")</f>
        <v>모차렐라치즈</v>
      </c>
    </row>
    <row r="13974">
      <c r="A13974" s="2" t="str">
        <f>IFERROR(__xludf.DUMMYFUNCTION("""COMPUTED_VALUE"""),"킴가네")</f>
        <v>킴가네</v>
      </c>
      <c r="B13974" s="2" t="str">
        <f>IFERROR(__xludf.DUMMYFUNCTION("""COMPUTED_VALUE"""),"새우")</f>
        <v>새우</v>
      </c>
    </row>
    <row r="13975">
      <c r="A13975" s="2" t="str">
        <f>IFERROR(__xludf.DUMMYFUNCTION("""COMPUTED_VALUE"""),"킴가네")</f>
        <v>킴가네</v>
      </c>
      <c r="B13975" s="2" t="str">
        <f>IFERROR(__xludf.DUMMYFUNCTION("""COMPUTED_VALUE"""),"양파")</f>
        <v>양파</v>
      </c>
    </row>
    <row r="13976">
      <c r="A13976" s="2" t="str">
        <f>IFERROR(__xludf.DUMMYFUNCTION("""COMPUTED_VALUE"""),"킴가네")</f>
        <v>킴가네</v>
      </c>
      <c r="B13976" s="2" t="str">
        <f>IFERROR(__xludf.DUMMYFUNCTION("""COMPUTED_VALUE"""),"전분")</f>
        <v>전분</v>
      </c>
    </row>
    <row r="13977">
      <c r="A13977" s="2" t="str">
        <f>IFERROR(__xludf.DUMMYFUNCTION("""COMPUTED_VALUE"""),"킴가네")</f>
        <v>킴가네</v>
      </c>
      <c r="B13977" s="2" t="str">
        <f>IFERROR(__xludf.DUMMYFUNCTION("""COMPUTED_VALUE"""),"고춧가루")</f>
        <v>고춧가루</v>
      </c>
    </row>
    <row r="13978">
      <c r="A13978" s="2" t="str">
        <f>IFERROR(__xludf.DUMMYFUNCTION("""COMPUTED_VALUE"""),"킴가네")</f>
        <v>킴가네</v>
      </c>
      <c r="B13978" s="2" t="str">
        <f>IFERROR(__xludf.DUMMYFUNCTION("""COMPUTED_VALUE"""),"대파")</f>
        <v>대파</v>
      </c>
    </row>
    <row r="13979">
      <c r="A13979" s="2" t="str">
        <f>IFERROR(__xludf.DUMMYFUNCTION("""COMPUTED_VALUE"""),"킴가네")</f>
        <v>킴가네</v>
      </c>
      <c r="B13979" s="2" t="str">
        <f>IFERROR(__xludf.DUMMYFUNCTION("""COMPUTED_VALUE"""),"마늘")</f>
        <v>마늘</v>
      </c>
    </row>
    <row r="13980">
      <c r="A13980" s="2" t="str">
        <f>IFERROR(__xludf.DUMMYFUNCTION("""COMPUTED_VALUE"""),"킴가네")</f>
        <v>킴가네</v>
      </c>
      <c r="B13980" s="2" t="str">
        <f>IFERROR(__xludf.DUMMYFUNCTION("""COMPUTED_VALUE"""),"간장")</f>
        <v>간장</v>
      </c>
    </row>
    <row r="13981">
      <c r="A13981" s="2" t="str">
        <f>IFERROR(__xludf.DUMMYFUNCTION("""COMPUTED_VALUE"""),"킴가네")</f>
        <v>킴가네</v>
      </c>
      <c r="B13981" s="2" t="str">
        <f>IFERROR(__xludf.DUMMYFUNCTION("""COMPUTED_VALUE"""),"설탕")</f>
        <v>설탕</v>
      </c>
    </row>
    <row r="13982">
      <c r="A13982" s="2" t="str">
        <f>IFERROR(__xludf.DUMMYFUNCTION("""COMPUTED_VALUE"""),"킴가네")</f>
        <v>킴가네</v>
      </c>
      <c r="B13982" s="2" t="str">
        <f>IFERROR(__xludf.DUMMYFUNCTION("""COMPUTED_VALUE"""),"맛술")</f>
        <v>맛술</v>
      </c>
    </row>
    <row r="13983">
      <c r="A13983" s="2" t="str">
        <f>IFERROR(__xludf.DUMMYFUNCTION("""COMPUTED_VALUE"""),"킴가네")</f>
        <v>킴가네</v>
      </c>
      <c r="B13983" s="2" t="str">
        <f>IFERROR(__xludf.DUMMYFUNCTION("""COMPUTED_VALUE"""),"후추")</f>
        <v>후추</v>
      </c>
    </row>
    <row r="13984">
      <c r="A13984" s="2" t="str">
        <f>IFERROR(__xludf.DUMMYFUNCTION("""COMPUTED_VALUE"""),"킴가네")</f>
        <v>킴가네</v>
      </c>
      <c r="B13984" s="2" t="str">
        <f>IFERROR(__xludf.DUMMYFUNCTION("""COMPUTED_VALUE"""),"마요네즈")</f>
        <v>마요네즈</v>
      </c>
    </row>
    <row r="13985">
      <c r="A13985" s="2" t="str">
        <f>IFERROR(__xludf.DUMMYFUNCTION("""COMPUTED_VALUE"""),"킴가네")</f>
        <v>킴가네</v>
      </c>
      <c r="B13985" s="2" t="str">
        <f>IFERROR(__xludf.DUMMYFUNCTION("""COMPUTED_VALUE"""),"올리브 오일")</f>
        <v>올리브 오일</v>
      </c>
    </row>
    <row r="13986">
      <c r="A13986" s="2" t="str">
        <f>IFERROR(__xludf.DUMMYFUNCTION("""COMPUTED_VALUE"""),"킴가네")</f>
        <v>킴가네</v>
      </c>
      <c r="B13986" s="2" t="str">
        <f>IFERROR(__xludf.DUMMYFUNCTION("""COMPUTED_VALUE"""),"소금")</f>
        <v>소금</v>
      </c>
    </row>
    <row r="13987">
      <c r="A13987" s="2" t="str">
        <f>IFERROR(__xludf.DUMMYFUNCTION("""COMPUTED_VALUE"""),"킴가네")</f>
        <v>킴가네</v>
      </c>
      <c r="B13987" s="2" t="str">
        <f>IFERROR(__xludf.DUMMYFUNCTION("""COMPUTED_VALUE"""),"레몬")</f>
        <v>레몬</v>
      </c>
    </row>
    <row r="13988">
      <c r="A13988" s="2" t="str">
        <f>IFERROR(__xludf.DUMMYFUNCTION("""COMPUTED_VALUE"""),"분식과의 전쟁")</f>
        <v>분식과의 전쟁</v>
      </c>
      <c r="B13988" s="2" t="str">
        <f>IFERROR(__xludf.DUMMYFUNCTION("""COMPUTED_VALUE"""),"떡볶이 떡")</f>
        <v>떡볶이 떡</v>
      </c>
    </row>
    <row r="13989">
      <c r="A13989" s="2" t="str">
        <f>IFERROR(__xludf.DUMMYFUNCTION("""COMPUTED_VALUE"""),"분식과의 전쟁")</f>
        <v>분식과의 전쟁</v>
      </c>
      <c r="B13989" s="2" t="str">
        <f>IFERROR(__xludf.DUMMYFUNCTION("""COMPUTED_VALUE"""),"소 등심")</f>
        <v>소 등심</v>
      </c>
    </row>
    <row r="13990">
      <c r="A13990" s="2" t="str">
        <f>IFERROR(__xludf.DUMMYFUNCTION("""COMPUTED_VALUE"""),"분식과의 전쟁")</f>
        <v>분식과의 전쟁</v>
      </c>
      <c r="B13990" s="2" t="str">
        <f>IFERROR(__xludf.DUMMYFUNCTION("""COMPUTED_VALUE"""),"칵테일 새우")</f>
        <v>칵테일 새우</v>
      </c>
    </row>
    <row r="13991">
      <c r="A13991" s="2" t="str">
        <f>IFERROR(__xludf.DUMMYFUNCTION("""COMPUTED_VALUE"""),"분식과의 전쟁")</f>
        <v>분식과의 전쟁</v>
      </c>
      <c r="B13991" s="2" t="str">
        <f>IFERROR(__xludf.DUMMYFUNCTION("""COMPUTED_VALUE"""),"두부")</f>
        <v>두부</v>
      </c>
    </row>
    <row r="13992">
      <c r="A13992" s="2" t="str">
        <f>IFERROR(__xludf.DUMMYFUNCTION("""COMPUTED_VALUE"""),"분식과의 전쟁")</f>
        <v>분식과의 전쟁</v>
      </c>
      <c r="B13992" s="2" t="str">
        <f>IFERROR(__xludf.DUMMYFUNCTION("""COMPUTED_VALUE"""),"청경채")</f>
        <v>청경채</v>
      </c>
    </row>
    <row r="13993">
      <c r="A13993" s="2" t="str">
        <f>IFERROR(__xludf.DUMMYFUNCTION("""COMPUTED_VALUE"""),"분식과의 전쟁")</f>
        <v>분식과의 전쟁</v>
      </c>
      <c r="B13993" s="2" t="str">
        <f>IFERROR(__xludf.DUMMYFUNCTION("""COMPUTED_VALUE"""),"비엔나소시지")</f>
        <v>비엔나소시지</v>
      </c>
    </row>
    <row r="13994">
      <c r="A13994" s="2" t="str">
        <f>IFERROR(__xludf.DUMMYFUNCTION("""COMPUTED_VALUE"""),"분식과의 전쟁")</f>
        <v>분식과의 전쟁</v>
      </c>
      <c r="B13994" s="2" t="str">
        <f>IFERROR(__xludf.DUMMYFUNCTION("""COMPUTED_VALUE"""),"팽이버섯")</f>
        <v>팽이버섯</v>
      </c>
    </row>
    <row r="13995">
      <c r="A13995" s="2" t="str">
        <f>IFERROR(__xludf.DUMMYFUNCTION("""COMPUTED_VALUE"""),"분식과의 전쟁")</f>
        <v>분식과의 전쟁</v>
      </c>
      <c r="B13995" s="2" t="str">
        <f>IFERROR(__xludf.DUMMYFUNCTION("""COMPUTED_VALUE"""),"통조림 햄")</f>
        <v>통조림 햄</v>
      </c>
    </row>
    <row r="13996">
      <c r="A13996" s="2" t="str">
        <f>IFERROR(__xludf.DUMMYFUNCTION("""COMPUTED_VALUE"""),"분식과의 전쟁")</f>
        <v>분식과의 전쟁</v>
      </c>
      <c r="B13996" s="2" t="str">
        <f>IFERROR(__xludf.DUMMYFUNCTION("""COMPUTED_VALUE"""),"양송이버섯")</f>
        <v>양송이버섯</v>
      </c>
    </row>
    <row r="13997">
      <c r="A13997" s="2" t="str">
        <f>IFERROR(__xludf.DUMMYFUNCTION("""COMPUTED_VALUE"""),"분식과의 전쟁")</f>
        <v>분식과의 전쟁</v>
      </c>
      <c r="B13997" s="2" t="str">
        <f>IFERROR(__xludf.DUMMYFUNCTION("""COMPUTED_VALUE"""),"오징어")</f>
        <v>오징어</v>
      </c>
    </row>
    <row r="13998">
      <c r="A13998" s="2" t="str">
        <f>IFERROR(__xludf.DUMMYFUNCTION("""COMPUTED_VALUE"""),"분식과의 전쟁")</f>
        <v>분식과의 전쟁</v>
      </c>
      <c r="B13998" s="2" t="str">
        <f>IFERROR(__xludf.DUMMYFUNCTION("""COMPUTED_VALUE"""),"건홍합")</f>
        <v>건홍합</v>
      </c>
    </row>
    <row r="13999">
      <c r="A13999" s="2" t="str">
        <f>IFERROR(__xludf.DUMMYFUNCTION("""COMPUTED_VALUE"""),"분식과의 전쟁")</f>
        <v>분식과의 전쟁</v>
      </c>
      <c r="B13999" s="2" t="str">
        <f>IFERROR(__xludf.DUMMYFUNCTION("""COMPUTED_VALUE"""),"바지락")</f>
        <v>바지락</v>
      </c>
    </row>
    <row r="14000">
      <c r="A14000" s="2" t="str">
        <f>IFERROR(__xludf.DUMMYFUNCTION("""COMPUTED_VALUE"""),"분식과의 전쟁")</f>
        <v>분식과의 전쟁</v>
      </c>
      <c r="B14000" s="2" t="str">
        <f>IFERROR(__xludf.DUMMYFUNCTION("""COMPUTED_VALUE"""),"무")</f>
        <v>무</v>
      </c>
    </row>
    <row r="14001">
      <c r="A14001" s="2" t="str">
        <f>IFERROR(__xludf.DUMMYFUNCTION("""COMPUTED_VALUE"""),"분식과의 전쟁")</f>
        <v>분식과의 전쟁</v>
      </c>
      <c r="B14001" s="2" t="str">
        <f>IFERROR(__xludf.DUMMYFUNCTION("""COMPUTED_VALUE"""),"어묵")</f>
        <v>어묵</v>
      </c>
    </row>
    <row r="14002">
      <c r="A14002" s="2" t="str">
        <f>IFERROR(__xludf.DUMMYFUNCTION("""COMPUTED_VALUE"""),"분식과의 전쟁")</f>
        <v>분식과의 전쟁</v>
      </c>
      <c r="B14002" s="2" t="str">
        <f>IFERROR(__xludf.DUMMYFUNCTION("""COMPUTED_VALUE"""),"굴소스")</f>
        <v>굴소스</v>
      </c>
    </row>
    <row r="14003">
      <c r="A14003" s="2" t="str">
        <f>IFERROR(__xludf.DUMMYFUNCTION("""COMPUTED_VALUE"""),"분식과의 전쟁")</f>
        <v>분식과의 전쟁</v>
      </c>
      <c r="B14003" s="2" t="str">
        <f>IFERROR(__xludf.DUMMYFUNCTION("""COMPUTED_VALUE"""),"대파")</f>
        <v>대파</v>
      </c>
    </row>
    <row r="14004">
      <c r="A14004" s="2" t="str">
        <f>IFERROR(__xludf.DUMMYFUNCTION("""COMPUTED_VALUE"""),"분식과의 전쟁")</f>
        <v>분식과의 전쟁</v>
      </c>
      <c r="B14004" s="2" t="str">
        <f>IFERROR(__xludf.DUMMYFUNCTION("""COMPUTED_VALUE"""),"달걀")</f>
        <v>달걀</v>
      </c>
    </row>
    <row r="14005">
      <c r="A14005" s="2" t="str">
        <f>IFERROR(__xludf.DUMMYFUNCTION("""COMPUTED_VALUE"""),"분식과의 전쟁")</f>
        <v>분식과의 전쟁</v>
      </c>
      <c r="B14005" s="2" t="str">
        <f>IFERROR(__xludf.DUMMYFUNCTION("""COMPUTED_VALUE"""),"마늘")</f>
        <v>마늘</v>
      </c>
    </row>
    <row r="14006">
      <c r="A14006" s="2" t="str">
        <f>IFERROR(__xludf.DUMMYFUNCTION("""COMPUTED_VALUE"""),"분식과의 전쟁")</f>
        <v>분식과의 전쟁</v>
      </c>
      <c r="B14006" s="2" t="str">
        <f>IFERROR(__xludf.DUMMYFUNCTION("""COMPUTED_VALUE"""),"고춧가루")</f>
        <v>고춧가루</v>
      </c>
    </row>
    <row r="14007">
      <c r="A14007" s="2" t="str">
        <f>IFERROR(__xludf.DUMMYFUNCTION("""COMPUTED_VALUE"""),"분식과의 전쟁")</f>
        <v>분식과의 전쟁</v>
      </c>
      <c r="B14007" s="2" t="str">
        <f>IFERROR(__xludf.DUMMYFUNCTION("""COMPUTED_VALUE"""),"설탕")</f>
        <v>설탕</v>
      </c>
    </row>
    <row r="14008">
      <c r="A14008" s="2" t="str">
        <f>IFERROR(__xludf.DUMMYFUNCTION("""COMPUTED_VALUE"""),"분식과의 전쟁")</f>
        <v>분식과의 전쟁</v>
      </c>
      <c r="B14008" s="2" t="str">
        <f>IFERROR(__xludf.DUMMYFUNCTION("""COMPUTED_VALUE"""),"된장")</f>
        <v>된장</v>
      </c>
    </row>
    <row r="14009">
      <c r="A14009" s="2" t="str">
        <f>IFERROR(__xludf.DUMMYFUNCTION("""COMPUTED_VALUE"""),"분식과의 전쟁")</f>
        <v>분식과의 전쟁</v>
      </c>
      <c r="B14009" s="2" t="str">
        <f>IFERROR(__xludf.DUMMYFUNCTION("""COMPUTED_VALUE"""),"전분")</f>
        <v>전분</v>
      </c>
    </row>
    <row r="14010">
      <c r="A14010" s="2" t="str">
        <f>IFERROR(__xludf.DUMMYFUNCTION("""COMPUTED_VALUE"""),"분식과의 전쟁")</f>
        <v>분식과의 전쟁</v>
      </c>
      <c r="B14010" s="2" t="str">
        <f>IFERROR(__xludf.DUMMYFUNCTION("""COMPUTED_VALUE"""),"밀가루")</f>
        <v>밀가루</v>
      </c>
    </row>
    <row r="14011">
      <c r="A14011" s="2" t="str">
        <f>IFERROR(__xludf.DUMMYFUNCTION("""COMPUTED_VALUE"""),"후뚜루마뚜루")</f>
        <v>후뚜루마뚜루</v>
      </c>
      <c r="B14011" s="2" t="str">
        <f>IFERROR(__xludf.DUMMYFUNCTION("""COMPUTED_VALUE"""),"연어")</f>
        <v>연어</v>
      </c>
    </row>
    <row r="14012">
      <c r="A14012" s="2" t="str">
        <f>IFERROR(__xludf.DUMMYFUNCTION("""COMPUTED_VALUE"""),"후뚜루마뚜루")</f>
        <v>후뚜루마뚜루</v>
      </c>
      <c r="B14012" s="2" t="str">
        <f>IFERROR(__xludf.DUMMYFUNCTION("""COMPUTED_VALUE"""),"인스턴트 훈제통닭")</f>
        <v>인스턴트 훈제통닭</v>
      </c>
    </row>
    <row r="14013">
      <c r="A14013" s="2" t="str">
        <f>IFERROR(__xludf.DUMMYFUNCTION("""COMPUTED_VALUE"""),"후뚜루마뚜루")</f>
        <v>후뚜루마뚜루</v>
      </c>
      <c r="B14013" s="2" t="str">
        <f>IFERROR(__xludf.DUMMYFUNCTION("""COMPUTED_VALUE"""),"김밥용 김")</f>
        <v>김밥용 김</v>
      </c>
    </row>
    <row r="14014">
      <c r="A14014" s="2" t="str">
        <f>IFERROR(__xludf.DUMMYFUNCTION("""COMPUTED_VALUE"""),"후뚜루마뚜루")</f>
        <v>후뚜루마뚜루</v>
      </c>
      <c r="B14014" s="2" t="str">
        <f>IFERROR(__xludf.DUMMYFUNCTION("""COMPUTED_VALUE"""),"돼지갈비양념")</f>
        <v>돼지갈비양념</v>
      </c>
    </row>
    <row r="14015">
      <c r="A14015" s="2" t="str">
        <f>IFERROR(__xludf.DUMMYFUNCTION("""COMPUTED_VALUE"""),"후뚜루마뚜루")</f>
        <v>후뚜루마뚜루</v>
      </c>
      <c r="B14015" s="2" t="str">
        <f>IFERROR(__xludf.DUMMYFUNCTION("""COMPUTED_VALUE"""),"칵테일 새우")</f>
        <v>칵테일 새우</v>
      </c>
    </row>
    <row r="14016">
      <c r="A14016" s="2" t="str">
        <f>IFERROR(__xludf.DUMMYFUNCTION("""COMPUTED_VALUE"""),"후뚜루마뚜루")</f>
        <v>후뚜루마뚜루</v>
      </c>
      <c r="B14016" s="2" t="str">
        <f>IFERROR(__xludf.DUMMYFUNCTION("""COMPUTED_VALUE"""),"새우")</f>
        <v>새우</v>
      </c>
    </row>
    <row r="14017">
      <c r="A14017" s="2" t="str">
        <f>IFERROR(__xludf.DUMMYFUNCTION("""COMPUTED_VALUE"""),"후뚜루마뚜루")</f>
        <v>후뚜루마뚜루</v>
      </c>
      <c r="B14017" s="2" t="str">
        <f>IFERROR(__xludf.DUMMYFUNCTION("""COMPUTED_VALUE"""),"오징어")</f>
        <v>오징어</v>
      </c>
    </row>
    <row r="14018">
      <c r="A14018" s="2" t="str">
        <f>IFERROR(__xludf.DUMMYFUNCTION("""COMPUTED_VALUE"""),"후뚜루마뚜루")</f>
        <v>후뚜루마뚜루</v>
      </c>
      <c r="B14018" s="2" t="str">
        <f>IFERROR(__xludf.DUMMYFUNCTION("""COMPUTED_VALUE"""),"미니오이")</f>
        <v>미니오이</v>
      </c>
    </row>
    <row r="14019">
      <c r="A14019" s="2" t="str">
        <f>IFERROR(__xludf.DUMMYFUNCTION("""COMPUTED_VALUE"""),"후뚜루마뚜루")</f>
        <v>후뚜루마뚜루</v>
      </c>
      <c r="B14019" s="2" t="str">
        <f>IFERROR(__xludf.DUMMYFUNCTION("""COMPUTED_VALUE"""),"통조림 햄")</f>
        <v>통조림 햄</v>
      </c>
    </row>
    <row r="14020">
      <c r="A14020" s="2" t="str">
        <f>IFERROR(__xludf.DUMMYFUNCTION("""COMPUTED_VALUE"""),"후뚜루마뚜루")</f>
        <v>후뚜루마뚜루</v>
      </c>
      <c r="B14020" s="2" t="str">
        <f>IFERROR(__xludf.DUMMYFUNCTION("""COMPUTED_VALUE"""),"소 갈빗살")</f>
        <v>소 갈빗살</v>
      </c>
    </row>
    <row r="14021">
      <c r="A14021" s="2" t="str">
        <f>IFERROR(__xludf.DUMMYFUNCTION("""COMPUTED_VALUE"""),"후뚜루마뚜루")</f>
        <v>후뚜루마뚜루</v>
      </c>
      <c r="B14021" s="2" t="str">
        <f>IFERROR(__xludf.DUMMYFUNCTION("""COMPUTED_VALUE"""),"파프리카")</f>
        <v>파프리카</v>
      </c>
    </row>
    <row r="14022">
      <c r="A14022" s="2" t="str">
        <f>IFERROR(__xludf.DUMMYFUNCTION("""COMPUTED_VALUE"""),"후뚜루마뚜루")</f>
        <v>후뚜루마뚜루</v>
      </c>
      <c r="B14022" s="2" t="str">
        <f>IFERROR(__xludf.DUMMYFUNCTION("""COMPUTED_VALUE"""),"깻잎")</f>
        <v>깻잎</v>
      </c>
    </row>
    <row r="14023">
      <c r="A14023" s="2" t="str">
        <f>IFERROR(__xludf.DUMMYFUNCTION("""COMPUTED_VALUE"""),"후뚜루마뚜루")</f>
        <v>후뚜루마뚜루</v>
      </c>
      <c r="B14023" s="2" t="str">
        <f>IFERROR(__xludf.DUMMYFUNCTION("""COMPUTED_VALUE"""),"불닭 라면")</f>
        <v>불닭 라면</v>
      </c>
    </row>
    <row r="14024">
      <c r="A14024" s="2" t="str">
        <f>IFERROR(__xludf.DUMMYFUNCTION("""COMPUTED_VALUE"""),"후뚜루마뚜루")</f>
        <v>후뚜루마뚜루</v>
      </c>
      <c r="B14024" s="2" t="str">
        <f>IFERROR(__xludf.DUMMYFUNCTION("""COMPUTED_VALUE"""),"슬라이스 치즈")</f>
        <v>슬라이스 치즈</v>
      </c>
    </row>
    <row r="14025">
      <c r="A14025" s="2" t="str">
        <f>IFERROR(__xludf.DUMMYFUNCTION("""COMPUTED_VALUE"""),"후뚜루마뚜루")</f>
        <v>후뚜루마뚜루</v>
      </c>
      <c r="B14025" s="2" t="str">
        <f>IFERROR(__xludf.DUMMYFUNCTION("""COMPUTED_VALUE"""),"밀가루")</f>
        <v>밀가루</v>
      </c>
    </row>
    <row r="14026">
      <c r="A14026" s="2" t="str">
        <f>IFERROR(__xludf.DUMMYFUNCTION("""COMPUTED_VALUE"""),"후뚜루마뚜루")</f>
        <v>후뚜루마뚜루</v>
      </c>
      <c r="B14026" s="2" t="str">
        <f>IFERROR(__xludf.DUMMYFUNCTION("""COMPUTED_VALUE"""),"달걀")</f>
        <v>달걀</v>
      </c>
    </row>
    <row r="14027">
      <c r="A14027" s="2" t="str">
        <f>IFERROR(__xludf.DUMMYFUNCTION("""COMPUTED_VALUE"""),"후뚜루마뚜루")</f>
        <v>후뚜루마뚜루</v>
      </c>
      <c r="B14027" s="2" t="str">
        <f>IFERROR(__xludf.DUMMYFUNCTION("""COMPUTED_VALUE"""),"전분")</f>
        <v>전분</v>
      </c>
    </row>
    <row r="14028">
      <c r="A14028" s="2" t="str">
        <f>IFERROR(__xludf.DUMMYFUNCTION("""COMPUTED_VALUE"""),"후뚜루마뚜루")</f>
        <v>후뚜루마뚜루</v>
      </c>
      <c r="B14028" s="2" t="str">
        <f>IFERROR(__xludf.DUMMYFUNCTION("""COMPUTED_VALUE"""),"즉석밥")</f>
        <v>즉석밥</v>
      </c>
    </row>
    <row r="14029">
      <c r="A14029" s="2" t="str">
        <f>IFERROR(__xludf.DUMMYFUNCTION("""COMPUTED_VALUE"""),"후뚜루마뚜루")</f>
        <v>후뚜루마뚜루</v>
      </c>
      <c r="B14029" s="2" t="str">
        <f>IFERROR(__xludf.DUMMYFUNCTION("""COMPUTED_VALUE"""),"참기름")</f>
        <v>참기름</v>
      </c>
    </row>
    <row r="14030">
      <c r="A14030" s="2" t="str">
        <f>IFERROR(__xludf.DUMMYFUNCTION("""COMPUTED_VALUE"""),"김치 와장창")</f>
        <v>김치 와장창</v>
      </c>
      <c r="B14030" s="2" t="str">
        <f>IFERROR(__xludf.DUMMYFUNCTION("""COMPUTED_VALUE"""),"배추김치")</f>
        <v>배추김치</v>
      </c>
    </row>
    <row r="14031">
      <c r="A14031" s="2" t="str">
        <f>IFERROR(__xludf.DUMMYFUNCTION("""COMPUTED_VALUE"""),"김치 와장창")</f>
        <v>김치 와장창</v>
      </c>
      <c r="B14031" s="2" t="str">
        <f>IFERROR(__xludf.DUMMYFUNCTION("""COMPUTED_VALUE"""),"인스턴트 김치만두")</f>
        <v>인스턴트 김치만두</v>
      </c>
    </row>
    <row r="14032">
      <c r="A14032" s="2" t="str">
        <f>IFERROR(__xludf.DUMMYFUNCTION("""COMPUTED_VALUE"""),"김치 와장창")</f>
        <v>김치 와장창</v>
      </c>
      <c r="B14032" s="2" t="str">
        <f>IFERROR(__xludf.DUMMYFUNCTION("""COMPUTED_VALUE"""),"로제소스")</f>
        <v>로제소스</v>
      </c>
    </row>
    <row r="14033">
      <c r="A14033" s="2" t="str">
        <f>IFERROR(__xludf.DUMMYFUNCTION("""COMPUTED_VALUE"""),"김치 와장창")</f>
        <v>김치 와장창</v>
      </c>
      <c r="B14033" s="2" t="str">
        <f>IFERROR(__xludf.DUMMYFUNCTION("""COMPUTED_VALUE"""),"해시브라운")</f>
        <v>해시브라운</v>
      </c>
    </row>
    <row r="14034">
      <c r="A14034" s="2" t="str">
        <f>IFERROR(__xludf.DUMMYFUNCTION("""COMPUTED_VALUE"""),"김치 와장창")</f>
        <v>김치 와장창</v>
      </c>
      <c r="B14034" s="2" t="str">
        <f>IFERROR(__xludf.DUMMYFUNCTION("""COMPUTED_VALUE"""),"미숫가루")</f>
        <v>미숫가루</v>
      </c>
    </row>
    <row r="14035">
      <c r="A14035" s="2" t="str">
        <f>IFERROR(__xludf.DUMMYFUNCTION("""COMPUTED_VALUE"""),"김치 와장창")</f>
        <v>김치 와장창</v>
      </c>
      <c r="B14035" s="2" t="str">
        <f>IFERROR(__xludf.DUMMYFUNCTION("""COMPUTED_VALUE"""),"초코맛 크림파이")</f>
        <v>초코맛 크림파이</v>
      </c>
    </row>
    <row r="14036">
      <c r="A14036" s="2" t="str">
        <f>IFERROR(__xludf.DUMMYFUNCTION("""COMPUTED_VALUE"""),"김치 와장창")</f>
        <v>김치 와장창</v>
      </c>
      <c r="B14036" s="2" t="str">
        <f>IFERROR(__xludf.DUMMYFUNCTION("""COMPUTED_VALUE"""),"모차렐라치즈")</f>
        <v>모차렐라치즈</v>
      </c>
    </row>
    <row r="14037">
      <c r="A14037" s="2" t="str">
        <f>IFERROR(__xludf.DUMMYFUNCTION("""COMPUTED_VALUE"""),"김치 와장창")</f>
        <v>김치 와장창</v>
      </c>
      <c r="B14037" s="2" t="str">
        <f>IFERROR(__xludf.DUMMYFUNCTION("""COMPUTED_VALUE"""),"다진 소고기")</f>
        <v>다진 소고기</v>
      </c>
    </row>
    <row r="14038">
      <c r="A14038" s="2" t="str">
        <f>IFERROR(__xludf.DUMMYFUNCTION("""COMPUTED_VALUE"""),"김치 와장창")</f>
        <v>김치 와장창</v>
      </c>
      <c r="B14038" s="2" t="str">
        <f>IFERROR(__xludf.DUMMYFUNCTION("""COMPUTED_VALUE"""),"알프레도파스타 소스")</f>
        <v>알프레도파스타 소스</v>
      </c>
    </row>
    <row r="14039">
      <c r="A14039" s="2" t="str">
        <f>IFERROR(__xludf.DUMMYFUNCTION("""COMPUTED_VALUE"""),"김치 와장창")</f>
        <v>김치 와장창</v>
      </c>
      <c r="B14039" s="2" t="str">
        <f>IFERROR(__xludf.DUMMYFUNCTION("""COMPUTED_VALUE"""),"고추장")</f>
        <v>고추장</v>
      </c>
    </row>
    <row r="14040">
      <c r="A14040" s="2" t="str">
        <f>IFERROR(__xludf.DUMMYFUNCTION("""COMPUTED_VALUE"""),"김치 와장창")</f>
        <v>김치 와장창</v>
      </c>
      <c r="B14040" s="2" t="str">
        <f>IFERROR(__xludf.DUMMYFUNCTION("""COMPUTED_VALUE"""),"칵테일 새우")</f>
        <v>칵테일 새우</v>
      </c>
    </row>
    <row r="14041">
      <c r="A14041" s="2" t="str">
        <f>IFERROR(__xludf.DUMMYFUNCTION("""COMPUTED_VALUE"""),"김치 와장창")</f>
        <v>김치 와장창</v>
      </c>
      <c r="B14041" s="2" t="str">
        <f>IFERROR(__xludf.DUMMYFUNCTION("""COMPUTED_VALUE"""),"슬라이스 치즈")</f>
        <v>슬라이스 치즈</v>
      </c>
    </row>
    <row r="14042">
      <c r="A14042" s="2" t="str">
        <f>IFERROR(__xludf.DUMMYFUNCTION("""COMPUTED_VALUE"""),"김치 와장창")</f>
        <v>김치 와장창</v>
      </c>
      <c r="B14042" s="2" t="str">
        <f>IFERROR(__xludf.DUMMYFUNCTION("""COMPUTED_VALUE"""),"달걀")</f>
        <v>달걀</v>
      </c>
    </row>
    <row r="14043">
      <c r="A14043" s="2" t="str">
        <f>IFERROR(__xludf.DUMMYFUNCTION("""COMPUTED_VALUE"""),"김치 와장창")</f>
        <v>김치 와장창</v>
      </c>
      <c r="B14043" s="2" t="str">
        <f>IFERROR(__xludf.DUMMYFUNCTION("""COMPUTED_VALUE"""),"설탕")</f>
        <v>설탕</v>
      </c>
    </row>
    <row r="14044">
      <c r="A14044" s="2" t="str">
        <f>IFERROR(__xludf.DUMMYFUNCTION("""COMPUTED_VALUE"""),"김치 와장창")</f>
        <v>김치 와장창</v>
      </c>
      <c r="B14044" s="2" t="str">
        <f>IFERROR(__xludf.DUMMYFUNCTION("""COMPUTED_VALUE"""),"후추")</f>
        <v>후추</v>
      </c>
    </row>
    <row r="14045">
      <c r="A14045" s="2" t="str">
        <f>IFERROR(__xludf.DUMMYFUNCTION("""COMPUTED_VALUE"""),"김치 와장창")</f>
        <v>김치 와장창</v>
      </c>
      <c r="B14045" s="2" t="str">
        <f>IFERROR(__xludf.DUMMYFUNCTION("""COMPUTED_VALUE"""),"소금")</f>
        <v>소금</v>
      </c>
    </row>
    <row r="14046">
      <c r="A14046" s="2" t="str">
        <f>IFERROR(__xludf.DUMMYFUNCTION("""COMPUTED_VALUE"""),"김치 와장창")</f>
        <v>김치 와장창</v>
      </c>
      <c r="B14046" s="2" t="str">
        <f>IFERROR(__xludf.DUMMYFUNCTION("""COMPUTED_VALUE"""),"식용유")</f>
        <v>식용유</v>
      </c>
    </row>
    <row r="14047">
      <c r="A14047" s="2" t="str">
        <f>IFERROR(__xludf.DUMMYFUNCTION("""COMPUTED_VALUE"""),"김치 와장창")</f>
        <v>김치 와장창</v>
      </c>
      <c r="B14047" s="2" t="str">
        <f>IFERROR(__xludf.DUMMYFUNCTION("""COMPUTED_VALUE"""),"튀김가루")</f>
        <v>튀김가루</v>
      </c>
    </row>
    <row r="14048">
      <c r="A14048" s="2" t="str">
        <f>IFERROR(__xludf.DUMMYFUNCTION("""COMPUTED_VALUE"""),"김치 와장창")</f>
        <v>김치 와장창</v>
      </c>
      <c r="B14048" s="2" t="str">
        <f>IFERROR(__xludf.DUMMYFUNCTION("""COMPUTED_VALUE"""),"양파")</f>
        <v>양파</v>
      </c>
    </row>
    <row r="14049">
      <c r="A14049" s="2" t="str">
        <f>IFERROR(__xludf.DUMMYFUNCTION("""COMPUTED_VALUE"""),"김치 와장창")</f>
        <v>김치 와장창</v>
      </c>
      <c r="B14049" s="2" t="str">
        <f>IFERROR(__xludf.DUMMYFUNCTION("""COMPUTED_VALUE"""),"청양고추")</f>
        <v>청양고추</v>
      </c>
    </row>
    <row r="14050">
      <c r="A14050" s="2" t="str">
        <f>IFERROR(__xludf.DUMMYFUNCTION("""COMPUTED_VALUE"""),"김치 와장창")</f>
        <v>김치 와장창</v>
      </c>
      <c r="B14050" s="2" t="str">
        <f>IFERROR(__xludf.DUMMYFUNCTION("""COMPUTED_VALUE"""),"간장")</f>
        <v>간장</v>
      </c>
    </row>
    <row r="14051">
      <c r="A14051" s="2" t="str">
        <f>IFERROR(__xludf.DUMMYFUNCTION("""COMPUTED_VALUE"""),"김치 와장창")</f>
        <v>김치 와장창</v>
      </c>
      <c r="B14051" s="2" t="str">
        <f>IFERROR(__xludf.DUMMYFUNCTION("""COMPUTED_VALUE"""),"식초")</f>
        <v>식초</v>
      </c>
    </row>
    <row r="14052">
      <c r="A14052" s="2" t="str">
        <f>IFERROR(__xludf.DUMMYFUNCTION("""COMPUTED_VALUE"""),"김치 와장창")</f>
        <v>김치 와장창</v>
      </c>
      <c r="B14052" s="2" t="str">
        <f>IFERROR(__xludf.DUMMYFUNCTION("""COMPUTED_VALUE"""),"케첩")</f>
        <v>케첩</v>
      </c>
    </row>
    <row r="14053">
      <c r="A14053" s="2" t="str">
        <f>IFERROR(__xludf.DUMMYFUNCTION("""COMPUTED_VALUE"""),"김치 와장창")</f>
        <v>김치 와장창</v>
      </c>
      <c r="B14053" s="2" t="str">
        <f>IFERROR(__xludf.DUMMYFUNCTION("""COMPUTED_VALUE"""),"고추장")</f>
        <v>고추장</v>
      </c>
    </row>
    <row r="14054">
      <c r="A14054" s="2" t="str">
        <f>IFERROR(__xludf.DUMMYFUNCTION("""COMPUTED_VALUE"""),"소희네 반찬")</f>
        <v>소희네 반찬</v>
      </c>
      <c r="B14054" s="2" t="str">
        <f>IFERROR(__xludf.DUMMYFUNCTION("""COMPUTED_VALUE"""),"총각김치")</f>
        <v>총각김치</v>
      </c>
    </row>
    <row r="14055">
      <c r="A14055" s="2" t="str">
        <f>IFERROR(__xludf.DUMMYFUNCTION("""COMPUTED_VALUE"""),"소희네 반찬")</f>
        <v>소희네 반찬</v>
      </c>
      <c r="B14055" s="2" t="str">
        <f>IFERROR(__xludf.DUMMYFUNCTION("""COMPUTED_VALUE"""),"고등어")</f>
        <v>고등어</v>
      </c>
    </row>
    <row r="14056">
      <c r="A14056" s="2" t="str">
        <f>IFERROR(__xludf.DUMMYFUNCTION("""COMPUTED_VALUE"""),"소희네 반찬")</f>
        <v>소희네 반찬</v>
      </c>
      <c r="B14056" s="2" t="str">
        <f>IFERROR(__xludf.DUMMYFUNCTION("""COMPUTED_VALUE"""),"매운 고추장아찌")</f>
        <v>매운 고추장아찌</v>
      </c>
    </row>
    <row r="14057">
      <c r="A14057" s="2" t="str">
        <f>IFERROR(__xludf.DUMMYFUNCTION("""COMPUTED_VALUE"""),"소희네 반찬")</f>
        <v>소희네 반찬</v>
      </c>
      <c r="B14057" s="2" t="str">
        <f>IFERROR(__xludf.DUMMYFUNCTION("""COMPUTED_VALUE"""),"양송이버섯")</f>
        <v>양송이버섯</v>
      </c>
    </row>
    <row r="14058">
      <c r="A14058" s="2" t="str">
        <f>IFERROR(__xludf.DUMMYFUNCTION("""COMPUTED_VALUE"""),"소희네 반찬")</f>
        <v>소희네 반찬</v>
      </c>
      <c r="B14058" s="2" t="str">
        <f>IFERROR(__xludf.DUMMYFUNCTION("""COMPUTED_VALUE"""),"깻잎장아찌")</f>
        <v>깻잎장아찌</v>
      </c>
    </row>
    <row r="14059">
      <c r="A14059" s="2" t="str">
        <f>IFERROR(__xludf.DUMMYFUNCTION("""COMPUTED_VALUE"""),"소희네 반찬")</f>
        <v>소희네 반찬</v>
      </c>
      <c r="B14059" s="2" t="str">
        <f>IFERROR(__xludf.DUMMYFUNCTION("""COMPUTED_VALUE"""),"셀러리장아찌")</f>
        <v>셀러리장아찌</v>
      </c>
    </row>
    <row r="14060">
      <c r="A14060" s="2" t="str">
        <f>IFERROR(__xludf.DUMMYFUNCTION("""COMPUTED_VALUE"""),"소희네 반찬")</f>
        <v>소희네 반찬</v>
      </c>
      <c r="B14060" s="2" t="str">
        <f>IFERROR(__xludf.DUMMYFUNCTION("""COMPUTED_VALUE"""),"체리페퍼 크림치즈")</f>
        <v>체리페퍼 크림치즈</v>
      </c>
    </row>
    <row r="14061">
      <c r="A14061" s="2" t="str">
        <f>IFERROR(__xludf.DUMMYFUNCTION("""COMPUTED_VALUE"""),"소희네 반찬")</f>
        <v>소희네 반찬</v>
      </c>
      <c r="B14061" s="2" t="str">
        <f>IFERROR(__xludf.DUMMYFUNCTION("""COMPUTED_VALUE"""),"버섯 크림치즈")</f>
        <v>버섯 크림치즈</v>
      </c>
    </row>
    <row r="14062">
      <c r="A14062" s="2" t="str">
        <f>IFERROR(__xludf.DUMMYFUNCTION("""COMPUTED_VALUE"""),"소희네 반찬")</f>
        <v>소희네 반찬</v>
      </c>
      <c r="B14062" s="2" t="str">
        <f>IFERROR(__xludf.DUMMYFUNCTION("""COMPUTED_VALUE"""),"마")</f>
        <v>마</v>
      </c>
    </row>
    <row r="14063">
      <c r="A14063" s="2" t="str">
        <f>IFERROR(__xludf.DUMMYFUNCTION("""COMPUTED_VALUE"""),"소희네 반찬")</f>
        <v>소희네 반찬</v>
      </c>
      <c r="B14063" s="2" t="str">
        <f>IFERROR(__xludf.DUMMYFUNCTION("""COMPUTED_VALUE"""),"토마토소스")</f>
        <v>토마토소스</v>
      </c>
    </row>
    <row r="14064">
      <c r="A14064" s="2" t="str">
        <f>IFERROR(__xludf.DUMMYFUNCTION("""COMPUTED_VALUE"""),"소희네 반찬")</f>
        <v>소희네 반찬</v>
      </c>
      <c r="B14064" s="2" t="str">
        <f>IFERROR(__xludf.DUMMYFUNCTION("""COMPUTED_VALUE"""),"방울토마토")</f>
        <v>방울토마토</v>
      </c>
    </row>
    <row r="14065">
      <c r="A14065" s="2" t="str">
        <f>IFERROR(__xludf.DUMMYFUNCTION("""COMPUTED_VALUE"""),"소희네 반찬")</f>
        <v>소희네 반찬</v>
      </c>
      <c r="B14065" s="2" t="str">
        <f>IFERROR(__xludf.DUMMYFUNCTION("""COMPUTED_VALUE"""),"묵은지")</f>
        <v>묵은지</v>
      </c>
    </row>
    <row r="14066">
      <c r="A14066" s="2" t="str">
        <f>IFERROR(__xludf.DUMMYFUNCTION("""COMPUTED_VALUE"""),"소희네 반찬")</f>
        <v>소희네 반찬</v>
      </c>
      <c r="B14066" s="2" t="str">
        <f>IFERROR(__xludf.DUMMYFUNCTION("""COMPUTED_VALUE"""),"아스파라거스")</f>
        <v>아스파라거스</v>
      </c>
    </row>
    <row r="14067">
      <c r="A14067" s="2" t="str">
        <f>IFERROR(__xludf.DUMMYFUNCTION("""COMPUTED_VALUE"""),"소희네 반찬")</f>
        <v>소희네 반찬</v>
      </c>
      <c r="B14067" s="2" t="str">
        <f>IFERROR(__xludf.DUMMYFUNCTION("""COMPUTED_VALUE"""),"쌀")</f>
        <v>쌀</v>
      </c>
    </row>
    <row r="14068">
      <c r="A14068" s="2" t="str">
        <f>IFERROR(__xludf.DUMMYFUNCTION("""COMPUTED_VALUE"""),"소희네 반찬")</f>
        <v>소희네 반찬</v>
      </c>
      <c r="B14068" s="2" t="str">
        <f>IFERROR(__xludf.DUMMYFUNCTION("""COMPUTED_VALUE"""),"후추")</f>
        <v>후추</v>
      </c>
    </row>
    <row r="14069">
      <c r="A14069" s="2" t="str">
        <f>IFERROR(__xludf.DUMMYFUNCTION("""COMPUTED_VALUE"""),"소희네 반찬")</f>
        <v>소희네 반찬</v>
      </c>
      <c r="B14069" s="2" t="str">
        <f>IFERROR(__xludf.DUMMYFUNCTION("""COMPUTED_VALUE"""),"다진마늘")</f>
        <v>다진마늘</v>
      </c>
    </row>
    <row r="14070">
      <c r="A14070" s="2" t="str">
        <f>IFERROR(__xludf.DUMMYFUNCTION("""COMPUTED_VALUE"""),"소희네 반찬")</f>
        <v>소희네 반찬</v>
      </c>
      <c r="B14070" s="2" t="str">
        <f>IFERROR(__xludf.DUMMYFUNCTION("""COMPUTED_VALUE"""),"올리브오일")</f>
        <v>올리브오일</v>
      </c>
    </row>
    <row r="14071">
      <c r="A14071" s="2" t="str">
        <f>IFERROR(__xludf.DUMMYFUNCTION("""COMPUTED_VALUE"""),"소희네 반찬")</f>
        <v>소희네 반찬</v>
      </c>
      <c r="B14071" s="2" t="str">
        <f>IFERROR(__xludf.DUMMYFUNCTION("""COMPUTED_VALUE"""),"대파")</f>
        <v>대파</v>
      </c>
    </row>
    <row r="14072">
      <c r="A14072" s="2" t="str">
        <f>IFERROR(__xludf.DUMMYFUNCTION("""COMPUTED_VALUE"""),"소희네 반찬")</f>
        <v>소희네 반찬</v>
      </c>
      <c r="B14072" s="2" t="str">
        <f>IFERROR(__xludf.DUMMYFUNCTION("""COMPUTED_VALUE"""),"양파")</f>
        <v>양파</v>
      </c>
    </row>
    <row r="14073">
      <c r="A14073" s="2" t="str">
        <f>IFERROR(__xludf.DUMMYFUNCTION("""COMPUTED_VALUE"""),"소희네 반찬")</f>
        <v>소희네 반찬</v>
      </c>
      <c r="B14073" s="2" t="str">
        <f>IFERROR(__xludf.DUMMYFUNCTION("""COMPUTED_VALUE"""),"마늘")</f>
        <v>마늘</v>
      </c>
    </row>
    <row r="14074">
      <c r="A14074" s="2" t="str">
        <f>IFERROR(__xludf.DUMMYFUNCTION("""COMPUTED_VALUE"""),"소희네 반찬")</f>
        <v>소희네 반찬</v>
      </c>
      <c r="B14074" s="2" t="str">
        <f>IFERROR(__xludf.DUMMYFUNCTION("""COMPUTED_VALUE"""),"당근")</f>
        <v>당근</v>
      </c>
    </row>
    <row r="14075">
      <c r="A14075" s="2" t="str">
        <f>IFERROR(__xludf.DUMMYFUNCTION("""COMPUTED_VALUE"""),"소희네 반찬")</f>
        <v>소희네 반찬</v>
      </c>
      <c r="B14075" s="2" t="str">
        <f>IFERROR(__xludf.DUMMYFUNCTION("""COMPUTED_VALUE"""),"레드와인")</f>
        <v>레드와인</v>
      </c>
    </row>
    <row r="14076">
      <c r="A14076" s="2" t="str">
        <f>IFERROR(__xludf.DUMMYFUNCTION("""COMPUTED_VALUE"""),"소희네 반찬")</f>
        <v>소희네 반찬</v>
      </c>
      <c r="B14076" s="2" t="str">
        <f>IFERROR(__xludf.DUMMYFUNCTION("""COMPUTED_VALUE"""),"소금")</f>
        <v>소금</v>
      </c>
    </row>
    <row r="14077">
      <c r="A14077" s="2" t="str">
        <f>IFERROR(__xludf.DUMMYFUNCTION("""COMPUTED_VALUE"""),"소희네 반찬")</f>
        <v>소희네 반찬</v>
      </c>
      <c r="B14077" s="2" t="str">
        <f>IFERROR(__xludf.DUMMYFUNCTION("""COMPUTED_VALUE"""),"물엿")</f>
        <v>물엿</v>
      </c>
    </row>
    <row r="14078">
      <c r="A14078" s="2" t="str">
        <f>IFERROR(__xludf.DUMMYFUNCTION("""COMPUTED_VALUE"""),"땡잡은 장아찌")</f>
        <v>땡잡은 장아찌</v>
      </c>
      <c r="B14078" s="2" t="str">
        <f>IFERROR(__xludf.DUMMYFUNCTION("""COMPUTED_VALUE"""),"묵은지")</f>
        <v>묵은지</v>
      </c>
    </row>
    <row r="14079">
      <c r="A14079" s="2" t="str">
        <f>IFERROR(__xludf.DUMMYFUNCTION("""COMPUTED_VALUE"""),"땡잡은 장아찌")</f>
        <v>땡잡은 장아찌</v>
      </c>
      <c r="B14079" s="2" t="str">
        <f>IFERROR(__xludf.DUMMYFUNCTION("""COMPUTED_VALUE"""),"다진 돼지고기")</f>
        <v>다진 돼지고기</v>
      </c>
    </row>
    <row r="14080">
      <c r="A14080" s="2" t="str">
        <f>IFERROR(__xludf.DUMMYFUNCTION("""COMPUTED_VALUE"""),"땡잡은 장아찌")</f>
        <v>땡잡은 장아찌</v>
      </c>
      <c r="B14080" s="2" t="str">
        <f>IFERROR(__xludf.DUMMYFUNCTION("""COMPUTED_VALUE"""),"멸치육수팩")</f>
        <v>멸치육수팩</v>
      </c>
    </row>
    <row r="14081">
      <c r="A14081" s="2" t="str">
        <f>IFERROR(__xludf.DUMMYFUNCTION("""COMPUTED_VALUE"""),"땡잡은 장아찌")</f>
        <v>땡잡은 장아찌</v>
      </c>
      <c r="B14081" s="2" t="str">
        <f>IFERROR(__xludf.DUMMYFUNCTION("""COMPUTED_VALUE"""),"새우젓")</f>
        <v>새우젓</v>
      </c>
    </row>
    <row r="14082">
      <c r="A14082" s="2" t="str">
        <f>IFERROR(__xludf.DUMMYFUNCTION("""COMPUTED_VALUE"""),"땡잡은 장아찌")</f>
        <v>땡잡은 장아찌</v>
      </c>
      <c r="B14082" s="2" t="str">
        <f>IFERROR(__xludf.DUMMYFUNCTION("""COMPUTED_VALUE"""),"마")</f>
        <v>마</v>
      </c>
    </row>
    <row r="14083">
      <c r="A14083" s="2" t="str">
        <f>IFERROR(__xludf.DUMMYFUNCTION("""COMPUTED_VALUE"""),"땡잡은 장아찌")</f>
        <v>땡잡은 장아찌</v>
      </c>
      <c r="B14083" s="2" t="str">
        <f>IFERROR(__xludf.DUMMYFUNCTION("""COMPUTED_VALUE"""),"김장아찌")</f>
        <v>김장아찌</v>
      </c>
    </row>
    <row r="14084">
      <c r="A14084" s="2" t="str">
        <f>IFERROR(__xludf.DUMMYFUNCTION("""COMPUTED_VALUE"""),"땡잡은 장아찌")</f>
        <v>땡잡은 장아찌</v>
      </c>
      <c r="B14084" s="2" t="str">
        <f>IFERROR(__xludf.DUMMYFUNCTION("""COMPUTED_VALUE"""),"아스파라거스")</f>
        <v>아스파라거스</v>
      </c>
    </row>
    <row r="14085">
      <c r="A14085" s="2" t="str">
        <f>IFERROR(__xludf.DUMMYFUNCTION("""COMPUTED_VALUE"""),"땡잡은 장아찌")</f>
        <v>땡잡은 장아찌</v>
      </c>
      <c r="B14085" s="2" t="str">
        <f>IFERROR(__xludf.DUMMYFUNCTION("""COMPUTED_VALUE"""),"시금치")</f>
        <v>시금치</v>
      </c>
    </row>
    <row r="14086">
      <c r="A14086" s="2" t="str">
        <f>IFERROR(__xludf.DUMMYFUNCTION("""COMPUTED_VALUE"""),"땡잡은 장아찌")</f>
        <v>땡잡은 장아찌</v>
      </c>
      <c r="B14086" s="2" t="str">
        <f>IFERROR(__xludf.DUMMYFUNCTION("""COMPUTED_VALUE"""),"무장아찌")</f>
        <v>무장아찌</v>
      </c>
    </row>
    <row r="14087">
      <c r="A14087" s="2" t="str">
        <f>IFERROR(__xludf.DUMMYFUNCTION("""COMPUTED_VALUE"""),"땡잡은 장아찌")</f>
        <v>땡잡은 장아찌</v>
      </c>
      <c r="B14087" s="2" t="str">
        <f>IFERROR(__xludf.DUMMYFUNCTION("""COMPUTED_VALUE"""),"매운 고추장아찌")</f>
        <v>매운 고추장아찌</v>
      </c>
    </row>
    <row r="14088">
      <c r="A14088" s="2" t="str">
        <f>IFERROR(__xludf.DUMMYFUNCTION("""COMPUTED_VALUE"""),"땡잡은 장아찌")</f>
        <v>땡잡은 장아찌</v>
      </c>
      <c r="B14088" s="2" t="str">
        <f>IFERROR(__xludf.DUMMYFUNCTION("""COMPUTED_VALUE"""),"반숙란")</f>
        <v>반숙란</v>
      </c>
    </row>
    <row r="14089">
      <c r="A14089" s="2" t="str">
        <f>IFERROR(__xludf.DUMMYFUNCTION("""COMPUTED_VALUE"""),"땡잡은 장아찌")</f>
        <v>땡잡은 장아찌</v>
      </c>
      <c r="B14089" s="2" t="str">
        <f>IFERROR(__xludf.DUMMYFUNCTION("""COMPUTED_VALUE"""),"청양고춧가루")</f>
        <v>청양고춧가루</v>
      </c>
    </row>
    <row r="14090">
      <c r="A14090" s="2" t="str">
        <f>IFERROR(__xludf.DUMMYFUNCTION("""COMPUTED_VALUE"""),"땡잡은 장아찌")</f>
        <v>땡잡은 장아찌</v>
      </c>
      <c r="B14090" s="2" t="str">
        <f>IFERROR(__xludf.DUMMYFUNCTION("""COMPUTED_VALUE"""),"고춧가루")</f>
        <v>고춧가루</v>
      </c>
    </row>
    <row r="14091">
      <c r="A14091" s="2" t="str">
        <f>IFERROR(__xludf.DUMMYFUNCTION("""COMPUTED_VALUE"""),"땡잡은 장아찌")</f>
        <v>땡잡은 장아찌</v>
      </c>
      <c r="B14091" s="2" t="str">
        <f>IFERROR(__xludf.DUMMYFUNCTION("""COMPUTED_VALUE"""),"즉석밥")</f>
        <v>즉석밥</v>
      </c>
    </row>
    <row r="14092">
      <c r="A14092" s="2" t="str">
        <f>IFERROR(__xludf.DUMMYFUNCTION("""COMPUTED_VALUE"""),"땡잡은 장아찌")</f>
        <v>땡잡은 장아찌</v>
      </c>
      <c r="B14092" s="2" t="str">
        <f>IFERROR(__xludf.DUMMYFUNCTION("""COMPUTED_VALUE"""),"소금")</f>
        <v>소금</v>
      </c>
    </row>
    <row r="14093">
      <c r="A14093" s="2" t="str">
        <f>IFERROR(__xludf.DUMMYFUNCTION("""COMPUTED_VALUE"""),"땡잡은 장아찌")</f>
        <v>땡잡은 장아찌</v>
      </c>
      <c r="B14093" s="2" t="str">
        <f>IFERROR(__xludf.DUMMYFUNCTION("""COMPUTED_VALUE"""),"대파")</f>
        <v>대파</v>
      </c>
    </row>
    <row r="14094">
      <c r="A14094" s="2" t="str">
        <f>IFERROR(__xludf.DUMMYFUNCTION("""COMPUTED_VALUE"""),"땡잡은 장아찌")</f>
        <v>땡잡은 장아찌</v>
      </c>
      <c r="B14094" s="2" t="str">
        <f>IFERROR(__xludf.DUMMYFUNCTION("""COMPUTED_VALUE"""),"다진마늘")</f>
        <v>다진마늘</v>
      </c>
    </row>
    <row r="14095">
      <c r="A14095" s="2" t="str">
        <f>IFERROR(__xludf.DUMMYFUNCTION("""COMPUTED_VALUE"""),"땡잡은 장아찌")</f>
        <v>땡잡은 장아찌</v>
      </c>
      <c r="B14095" s="2" t="str">
        <f>IFERROR(__xludf.DUMMYFUNCTION("""COMPUTED_VALUE"""),"양파")</f>
        <v>양파</v>
      </c>
    </row>
    <row r="14096">
      <c r="A14096" s="2" t="str">
        <f>IFERROR(__xludf.DUMMYFUNCTION("""COMPUTED_VALUE"""),"땡잡은 장아찌")</f>
        <v>땡잡은 장아찌</v>
      </c>
      <c r="B14096" s="2" t="str">
        <f>IFERROR(__xludf.DUMMYFUNCTION("""COMPUTED_VALUE"""),"달걀")</f>
        <v>달걀</v>
      </c>
    </row>
    <row r="14097">
      <c r="A14097" s="2" t="str">
        <f>IFERROR(__xludf.DUMMYFUNCTION("""COMPUTED_VALUE"""),"땡잡은 장아찌")</f>
        <v>땡잡은 장아찌</v>
      </c>
      <c r="B14097" s="2" t="str">
        <f>IFERROR(__xludf.DUMMYFUNCTION("""COMPUTED_VALUE"""),"튀김가루")</f>
        <v>튀김가루</v>
      </c>
    </row>
    <row r="14098">
      <c r="A14098" s="2" t="str">
        <f>IFERROR(__xludf.DUMMYFUNCTION("""COMPUTED_VALUE"""),"땡잡은 장아찌")</f>
        <v>땡잡은 장아찌</v>
      </c>
      <c r="B14098" s="2" t="str">
        <f>IFERROR(__xludf.DUMMYFUNCTION("""COMPUTED_VALUE"""),"간장")</f>
        <v>간장</v>
      </c>
    </row>
    <row r="14099">
      <c r="A14099" s="2" t="str">
        <f>IFERROR(__xludf.DUMMYFUNCTION("""COMPUTED_VALUE"""),"땡잡은 장아찌")</f>
        <v>땡잡은 장아찌</v>
      </c>
      <c r="B14099" s="2" t="str">
        <f>IFERROR(__xludf.DUMMYFUNCTION("""COMPUTED_VALUE"""),"물엿")</f>
        <v>물엿</v>
      </c>
    </row>
    <row r="14100">
      <c r="A14100" s="2" t="str">
        <f>IFERROR(__xludf.DUMMYFUNCTION("""COMPUTED_VALUE"""),"땡잡은 장아찌")</f>
        <v>땡잡은 장아찌</v>
      </c>
      <c r="B14100" s="2" t="str">
        <f>IFERROR(__xludf.DUMMYFUNCTION("""COMPUTED_VALUE"""),"깨")</f>
        <v>깨</v>
      </c>
    </row>
    <row r="14101">
      <c r="A14101" s="2" t="str">
        <f>IFERROR(__xludf.DUMMYFUNCTION("""COMPUTED_VALUE"""),"땡잡은 장아찌")</f>
        <v>땡잡은 장아찌</v>
      </c>
      <c r="B14101" s="2" t="str">
        <f>IFERROR(__xludf.DUMMYFUNCTION("""COMPUTED_VALUE"""),"홍고추")</f>
        <v>홍고추</v>
      </c>
    </row>
    <row r="14102">
      <c r="A14102" s="2" t="str">
        <f>IFERROR(__xludf.DUMMYFUNCTION("""COMPUTED_VALUE"""),"으라차차 스테이키")</f>
        <v>으라차차 스테이키</v>
      </c>
      <c r="B14102" s="2" t="str">
        <f>IFERROR(__xludf.DUMMYFUNCTION("""COMPUTED_VALUE"""),"채끝등심")</f>
        <v>채끝등심</v>
      </c>
    </row>
    <row r="14103">
      <c r="A14103" s="2" t="str">
        <f>IFERROR(__xludf.DUMMYFUNCTION("""COMPUTED_VALUE"""),"으라차차 스테이키")</f>
        <v>으라차차 스테이키</v>
      </c>
      <c r="B14103" s="2" t="str">
        <f>IFERROR(__xludf.DUMMYFUNCTION("""COMPUTED_VALUE"""),"건크랜베리")</f>
        <v>건크랜베리</v>
      </c>
    </row>
    <row r="14104">
      <c r="A14104" s="2" t="str">
        <f>IFERROR(__xludf.DUMMYFUNCTION("""COMPUTED_VALUE"""),"으라차차 스테이키")</f>
        <v>으라차차 스테이키</v>
      </c>
      <c r="B14104" s="2" t="str">
        <f>IFERROR(__xludf.DUMMYFUNCTION("""COMPUTED_VALUE"""),"할라피뇨")</f>
        <v>할라피뇨</v>
      </c>
    </row>
    <row r="14105">
      <c r="A14105" s="2" t="str">
        <f>IFERROR(__xludf.DUMMYFUNCTION("""COMPUTED_VALUE"""),"으라차차 스테이키")</f>
        <v>으라차차 스테이키</v>
      </c>
      <c r="B14105" s="2" t="str">
        <f>IFERROR(__xludf.DUMMYFUNCTION("""COMPUTED_VALUE"""),"스리라차소스")</f>
        <v>스리라차소스</v>
      </c>
    </row>
    <row r="14106">
      <c r="A14106" s="2" t="str">
        <f>IFERROR(__xludf.DUMMYFUNCTION("""COMPUTED_VALUE"""),"으라차차 스테이키")</f>
        <v>으라차차 스테이키</v>
      </c>
      <c r="B14106" s="2" t="str">
        <f>IFERROR(__xludf.DUMMYFUNCTION("""COMPUTED_VALUE"""),"그뤼에르 치즈")</f>
        <v>그뤼에르 치즈</v>
      </c>
    </row>
    <row r="14107">
      <c r="A14107" s="2" t="str">
        <f>IFERROR(__xludf.DUMMYFUNCTION("""COMPUTED_VALUE"""),"으라차차 스테이키")</f>
        <v>으라차차 스테이키</v>
      </c>
      <c r="B14107" s="2" t="str">
        <f>IFERROR(__xludf.DUMMYFUNCTION("""COMPUTED_VALUE"""),"시금치")</f>
        <v>시금치</v>
      </c>
    </row>
    <row r="14108">
      <c r="A14108" s="2" t="str">
        <f>IFERROR(__xludf.DUMMYFUNCTION("""COMPUTED_VALUE"""),"으라차차 스테이키")</f>
        <v>으라차차 스테이키</v>
      </c>
      <c r="B14108" s="2" t="str">
        <f>IFERROR(__xludf.DUMMYFUNCTION("""COMPUTED_VALUE"""),"양송이버섯")</f>
        <v>양송이버섯</v>
      </c>
    </row>
    <row r="14109">
      <c r="A14109" s="2" t="str">
        <f>IFERROR(__xludf.DUMMYFUNCTION("""COMPUTED_VALUE"""),"으라차차 스테이키")</f>
        <v>으라차차 스테이키</v>
      </c>
      <c r="B14109" s="2" t="str">
        <f>IFERROR(__xludf.DUMMYFUNCTION("""COMPUTED_VALUE"""),"아몬드우유")</f>
        <v>아몬드우유</v>
      </c>
    </row>
    <row r="14110">
      <c r="A14110" s="2" t="str">
        <f>IFERROR(__xludf.DUMMYFUNCTION("""COMPUTED_VALUE"""),"으라차차 스테이키")</f>
        <v>으라차차 스테이키</v>
      </c>
      <c r="B14110" s="2" t="str">
        <f>IFERROR(__xludf.DUMMYFUNCTION("""COMPUTED_VALUE"""),"우유")</f>
        <v>우유</v>
      </c>
    </row>
    <row r="14111">
      <c r="A14111" s="2" t="str">
        <f>IFERROR(__xludf.DUMMYFUNCTION("""COMPUTED_VALUE"""),"으라차차 스테이키")</f>
        <v>으라차차 스테이키</v>
      </c>
      <c r="B14111" s="2" t="str">
        <f>IFERROR(__xludf.DUMMYFUNCTION("""COMPUTED_VALUE"""),"크랜베리주스")</f>
        <v>크랜베리주스</v>
      </c>
    </row>
    <row r="14112">
      <c r="A14112" s="2" t="str">
        <f>IFERROR(__xludf.DUMMYFUNCTION("""COMPUTED_VALUE"""),"으라차차 스테이키")</f>
        <v>으라차차 스테이키</v>
      </c>
      <c r="B14112" s="2" t="str">
        <f>IFERROR(__xludf.DUMMYFUNCTION("""COMPUTED_VALUE"""),"오렌지주스")</f>
        <v>오렌지주스</v>
      </c>
    </row>
    <row r="14113">
      <c r="A14113" s="2" t="str">
        <f>IFERROR(__xludf.DUMMYFUNCTION("""COMPUTED_VALUE"""),"으라차차 스테이키")</f>
        <v>으라차차 스테이키</v>
      </c>
      <c r="B14113" s="2" t="str">
        <f>IFERROR(__xludf.DUMMYFUNCTION("""COMPUTED_VALUE"""),"파인애플")</f>
        <v>파인애플</v>
      </c>
    </row>
    <row r="14114">
      <c r="A14114" s="2" t="str">
        <f>IFERROR(__xludf.DUMMYFUNCTION("""COMPUTED_VALUE"""),"으라차차 스테이키")</f>
        <v>으라차차 스테이키</v>
      </c>
      <c r="B14114" s="2" t="str">
        <f>IFERROR(__xludf.DUMMYFUNCTION("""COMPUTED_VALUE"""),"마")</f>
        <v>마</v>
      </c>
    </row>
    <row r="14115">
      <c r="A14115" s="2" t="str">
        <f>IFERROR(__xludf.DUMMYFUNCTION("""COMPUTED_VALUE"""),"으라차차 스테이키")</f>
        <v>으라차차 스테이키</v>
      </c>
      <c r="B14115" s="2" t="str">
        <f>IFERROR(__xludf.DUMMYFUNCTION("""COMPUTED_VALUE"""),"후추")</f>
        <v>후추</v>
      </c>
    </row>
    <row r="14116">
      <c r="A14116" s="2" t="str">
        <f>IFERROR(__xludf.DUMMYFUNCTION("""COMPUTED_VALUE"""),"으라차차 스테이키")</f>
        <v>으라차차 스테이키</v>
      </c>
      <c r="B14116" s="2" t="str">
        <f>IFERROR(__xludf.DUMMYFUNCTION("""COMPUTED_VALUE"""),"올리브오일")</f>
        <v>올리브오일</v>
      </c>
    </row>
    <row r="14117">
      <c r="A14117" s="2" t="str">
        <f>IFERROR(__xludf.DUMMYFUNCTION("""COMPUTED_VALUE"""),"으라차차 스테이키")</f>
        <v>으라차차 스테이키</v>
      </c>
      <c r="B14117" s="2" t="str">
        <f>IFERROR(__xludf.DUMMYFUNCTION("""COMPUTED_VALUE"""),"마늘")</f>
        <v>마늘</v>
      </c>
    </row>
    <row r="14118">
      <c r="A14118" s="2" t="str">
        <f>IFERROR(__xludf.DUMMYFUNCTION("""COMPUTED_VALUE"""),"으라차차 스테이키")</f>
        <v>으라차차 스테이키</v>
      </c>
      <c r="B14118" s="2" t="str">
        <f>IFERROR(__xludf.DUMMYFUNCTION("""COMPUTED_VALUE"""),"양파")</f>
        <v>양파</v>
      </c>
    </row>
    <row r="14119">
      <c r="A14119" s="2" t="str">
        <f>IFERROR(__xludf.DUMMYFUNCTION("""COMPUTED_VALUE"""),"으라차차 스테이키")</f>
        <v>으라차차 스테이키</v>
      </c>
      <c r="B14119" s="2" t="str">
        <f>IFERROR(__xludf.DUMMYFUNCTION("""COMPUTED_VALUE"""),"화이트와인")</f>
        <v>화이트와인</v>
      </c>
    </row>
    <row r="14120">
      <c r="A14120" s="2" t="str">
        <f>IFERROR(__xludf.DUMMYFUNCTION("""COMPUTED_VALUE"""),"으라차차 스테이키")</f>
        <v>으라차차 스테이키</v>
      </c>
      <c r="B14120" s="2" t="str">
        <f>IFERROR(__xludf.DUMMYFUNCTION("""COMPUTED_VALUE"""),"소금")</f>
        <v>소금</v>
      </c>
    </row>
    <row r="14121">
      <c r="A14121" s="2" t="str">
        <f>IFERROR(__xludf.DUMMYFUNCTION("""COMPUTED_VALUE"""),"으라차차 스테이키")</f>
        <v>으라차차 스테이키</v>
      </c>
      <c r="B14121" s="2" t="str">
        <f>IFERROR(__xludf.DUMMYFUNCTION("""COMPUTED_VALUE"""),"버터")</f>
        <v>버터</v>
      </c>
    </row>
    <row r="14122">
      <c r="A14122" s="2" t="str">
        <f>IFERROR(__xludf.DUMMYFUNCTION("""COMPUTED_VALUE"""),"으라차차 스테이키")</f>
        <v>으라차차 스테이키</v>
      </c>
      <c r="B14122" s="2" t="str">
        <f>IFERROR(__xludf.DUMMYFUNCTION("""COMPUTED_VALUE"""),"전분")</f>
        <v>전분</v>
      </c>
    </row>
    <row r="14123">
      <c r="A14123" s="2" t="str">
        <f>IFERROR(__xludf.DUMMYFUNCTION("""COMPUTED_VALUE"""),"으라차차 스테이키")</f>
        <v>으라차차 스테이키</v>
      </c>
      <c r="B14123" s="2" t="str">
        <f>IFERROR(__xludf.DUMMYFUNCTION("""COMPUTED_VALUE"""),"레몬")</f>
        <v>레몬</v>
      </c>
    </row>
    <row r="14124">
      <c r="A14124" s="2" t="str">
        <f>IFERROR(__xludf.DUMMYFUNCTION("""COMPUTED_VALUE"""),"스테이크가 어~머나!")</f>
        <v>스테이크가 어~머나!</v>
      </c>
      <c r="B14124" s="2" t="str">
        <f>IFERROR(__xludf.DUMMYFUNCTION("""COMPUTED_VALUE"""),"살치살")</f>
        <v>살치살</v>
      </c>
    </row>
    <row r="14125">
      <c r="A14125" s="2" t="str">
        <f>IFERROR(__xludf.DUMMYFUNCTION("""COMPUTED_VALUE"""),"스테이크가 어~머나!")</f>
        <v>스테이크가 어~머나!</v>
      </c>
      <c r="B14125" s="2" t="str">
        <f>IFERROR(__xludf.DUMMYFUNCTION("""COMPUTED_VALUE"""),"표고&amp;새우육수팩")</f>
        <v>표고&amp;새우육수팩</v>
      </c>
    </row>
    <row r="14126">
      <c r="A14126" s="2" t="str">
        <f>IFERROR(__xludf.DUMMYFUNCTION("""COMPUTED_VALUE"""),"스테이크가 어~머나!")</f>
        <v>스테이크가 어~머나!</v>
      </c>
      <c r="B14126" s="2" t="str">
        <f>IFERROR(__xludf.DUMMYFUNCTION("""COMPUTED_VALUE"""),"양송이버섯")</f>
        <v>양송이버섯</v>
      </c>
    </row>
    <row r="14127">
      <c r="A14127" s="2" t="str">
        <f>IFERROR(__xludf.DUMMYFUNCTION("""COMPUTED_VALUE"""),"스테이크가 어~머나!")</f>
        <v>스테이크가 어~머나!</v>
      </c>
      <c r="B14127" s="2" t="str">
        <f>IFERROR(__xludf.DUMMYFUNCTION("""COMPUTED_VALUE"""),"트러플 치즈크림소스")</f>
        <v>트러플 치즈크림소스</v>
      </c>
    </row>
    <row r="14128">
      <c r="A14128" s="2" t="str">
        <f>IFERROR(__xludf.DUMMYFUNCTION("""COMPUTED_VALUE"""),"스테이크가 어~머나!")</f>
        <v>스테이크가 어~머나!</v>
      </c>
      <c r="B14128" s="2" t="str">
        <f>IFERROR(__xludf.DUMMYFUNCTION("""COMPUTED_VALUE"""),"우유")</f>
        <v>우유</v>
      </c>
    </row>
    <row r="14129">
      <c r="A14129" s="2" t="str">
        <f>IFERROR(__xludf.DUMMYFUNCTION("""COMPUTED_VALUE"""),"스테이크가 어~머나!")</f>
        <v>스테이크가 어~머나!</v>
      </c>
      <c r="B14129" s="2" t="str">
        <f>IFERROR(__xludf.DUMMYFUNCTION("""COMPUTED_VALUE"""),"그뤼에르 치즈")</f>
        <v>그뤼에르 치즈</v>
      </c>
    </row>
    <row r="14130">
      <c r="A14130" s="2" t="str">
        <f>IFERROR(__xludf.DUMMYFUNCTION("""COMPUTED_VALUE"""),"스테이크가 어~머나!")</f>
        <v>스테이크가 어~머나!</v>
      </c>
      <c r="B14130" s="2" t="str">
        <f>IFERROR(__xludf.DUMMYFUNCTION("""COMPUTED_VALUE"""),"식빵 테두리")</f>
        <v>식빵 테두리</v>
      </c>
    </row>
    <row r="14131">
      <c r="A14131" s="2" t="str">
        <f>IFERROR(__xludf.DUMMYFUNCTION("""COMPUTED_VALUE"""),"스테이크가 어~머나!")</f>
        <v>스테이크가 어~머나!</v>
      </c>
      <c r="B14131" s="2" t="str">
        <f>IFERROR(__xludf.DUMMYFUNCTION("""COMPUTED_VALUE"""),"아스파라거스")</f>
        <v>아스파라거스</v>
      </c>
    </row>
    <row r="14132">
      <c r="A14132" s="2" t="str">
        <f>IFERROR(__xludf.DUMMYFUNCTION("""COMPUTED_VALUE"""),"스테이크가 어~머나!")</f>
        <v>스테이크가 어~머나!</v>
      </c>
      <c r="B14132" s="2" t="str">
        <f>IFERROR(__xludf.DUMMYFUNCTION("""COMPUTED_VALUE"""),"아보카도")</f>
        <v>아보카도</v>
      </c>
    </row>
    <row r="14133">
      <c r="A14133" s="2" t="str">
        <f>IFERROR(__xludf.DUMMYFUNCTION("""COMPUTED_VALUE"""),"스테이크가 어~머나!")</f>
        <v>스테이크가 어~머나!</v>
      </c>
      <c r="B14133" s="2" t="str">
        <f>IFERROR(__xludf.DUMMYFUNCTION("""COMPUTED_VALUE"""),"명란젓")</f>
        <v>명란젓</v>
      </c>
    </row>
    <row r="14134">
      <c r="A14134" s="2" t="str">
        <f>IFERROR(__xludf.DUMMYFUNCTION("""COMPUTED_VALUE"""),"스테이크가 어~머나!")</f>
        <v>스테이크가 어~머나!</v>
      </c>
      <c r="B14134" s="2" t="str">
        <f>IFERROR(__xludf.DUMMYFUNCTION("""COMPUTED_VALUE"""),"유자후추")</f>
        <v>유자후추</v>
      </c>
    </row>
    <row r="14135">
      <c r="A14135" s="2" t="str">
        <f>IFERROR(__xludf.DUMMYFUNCTION("""COMPUTED_VALUE"""),"스테이크가 어~머나!")</f>
        <v>스테이크가 어~머나!</v>
      </c>
      <c r="B14135" s="2" t="str">
        <f>IFERROR(__xludf.DUMMYFUNCTION("""COMPUTED_VALUE"""),"방울토마토")</f>
        <v>방울토마토</v>
      </c>
    </row>
    <row r="14136">
      <c r="A14136" s="2" t="str">
        <f>IFERROR(__xludf.DUMMYFUNCTION("""COMPUTED_VALUE"""),"스테이크가 어~머나!")</f>
        <v>스테이크가 어~머나!</v>
      </c>
      <c r="B14136" s="2" t="str">
        <f>IFERROR(__xludf.DUMMYFUNCTION("""COMPUTED_VALUE"""),"굴소스")</f>
        <v>굴소스</v>
      </c>
    </row>
    <row r="14137">
      <c r="A14137" s="2" t="str">
        <f>IFERROR(__xludf.DUMMYFUNCTION("""COMPUTED_VALUE"""),"스테이크가 어~머나!")</f>
        <v>스테이크가 어~머나!</v>
      </c>
      <c r="B14137" s="2" t="str">
        <f>IFERROR(__xludf.DUMMYFUNCTION("""COMPUTED_VALUE"""),"청주")</f>
        <v>청주</v>
      </c>
    </row>
    <row r="14138">
      <c r="A14138" s="2" t="str">
        <f>IFERROR(__xludf.DUMMYFUNCTION("""COMPUTED_VALUE"""),"스테이크가 어~머나!")</f>
        <v>스테이크가 어~머나!</v>
      </c>
      <c r="B14138" s="2" t="str">
        <f>IFERROR(__xludf.DUMMYFUNCTION("""COMPUTED_VALUE"""),"맛술")</f>
        <v>맛술</v>
      </c>
    </row>
    <row r="14139">
      <c r="A14139" s="2" t="str">
        <f>IFERROR(__xludf.DUMMYFUNCTION("""COMPUTED_VALUE"""),"스테이크가 어~머나!")</f>
        <v>스테이크가 어~머나!</v>
      </c>
      <c r="B14139" s="2" t="str">
        <f>IFERROR(__xludf.DUMMYFUNCTION("""COMPUTED_VALUE"""),"설탕")</f>
        <v>설탕</v>
      </c>
    </row>
    <row r="14140">
      <c r="A14140" s="2" t="str">
        <f>IFERROR(__xludf.DUMMYFUNCTION("""COMPUTED_VALUE"""),"스테이크가 어~머나!")</f>
        <v>스테이크가 어~머나!</v>
      </c>
      <c r="B14140" s="2" t="str">
        <f>IFERROR(__xludf.DUMMYFUNCTION("""COMPUTED_VALUE"""),"간장")</f>
        <v>간장</v>
      </c>
    </row>
    <row r="14141">
      <c r="A14141" s="2" t="str">
        <f>IFERROR(__xludf.DUMMYFUNCTION("""COMPUTED_VALUE"""),"스테이크가 어~머나!")</f>
        <v>스테이크가 어~머나!</v>
      </c>
      <c r="B14141" s="2" t="str">
        <f>IFERROR(__xludf.DUMMYFUNCTION("""COMPUTED_VALUE"""),"후추")</f>
        <v>후추</v>
      </c>
    </row>
    <row r="14142">
      <c r="A14142" s="2" t="str">
        <f>IFERROR(__xludf.DUMMYFUNCTION("""COMPUTED_VALUE"""),"스테이크가 어~머나!")</f>
        <v>스테이크가 어~머나!</v>
      </c>
      <c r="B14142" s="2" t="str">
        <f>IFERROR(__xludf.DUMMYFUNCTION("""COMPUTED_VALUE"""),"마늘")</f>
        <v>마늘</v>
      </c>
    </row>
    <row r="14143">
      <c r="A14143" s="2" t="str">
        <f>IFERROR(__xludf.DUMMYFUNCTION("""COMPUTED_VALUE"""),"스테이크가 어~머나!")</f>
        <v>스테이크가 어~머나!</v>
      </c>
      <c r="B14143" s="2" t="str">
        <f>IFERROR(__xludf.DUMMYFUNCTION("""COMPUTED_VALUE"""),"양파")</f>
        <v>양파</v>
      </c>
    </row>
    <row r="14144">
      <c r="A14144" s="2" t="str">
        <f>IFERROR(__xludf.DUMMYFUNCTION("""COMPUTED_VALUE"""),"스테이크가 어~머나!")</f>
        <v>스테이크가 어~머나!</v>
      </c>
      <c r="B14144" s="2" t="str">
        <f>IFERROR(__xludf.DUMMYFUNCTION("""COMPUTED_VALUE"""),"청양고추")</f>
        <v>청양고추</v>
      </c>
    </row>
    <row r="14145">
      <c r="A14145" s="2" t="str">
        <f>IFERROR(__xludf.DUMMYFUNCTION("""COMPUTED_VALUE"""),"스테이크가 어~머나!")</f>
        <v>스테이크가 어~머나!</v>
      </c>
      <c r="B14145" s="2" t="str">
        <f>IFERROR(__xludf.DUMMYFUNCTION("""COMPUTED_VALUE"""),"올리브오일")</f>
        <v>올리브오일</v>
      </c>
    </row>
    <row r="14146">
      <c r="A14146" s="2" t="str">
        <f>IFERROR(__xludf.DUMMYFUNCTION("""COMPUTED_VALUE"""),"스테이크가 어~머나!")</f>
        <v>스테이크가 어~머나!</v>
      </c>
      <c r="B14146" s="2" t="str">
        <f>IFERROR(__xludf.DUMMYFUNCTION("""COMPUTED_VALUE"""),"전분")</f>
        <v>전분</v>
      </c>
    </row>
    <row r="14147">
      <c r="A14147" s="2" t="str">
        <f>IFERROR(__xludf.DUMMYFUNCTION("""COMPUTED_VALUE"""),"스테이크가 어~머나!")</f>
        <v>스테이크가 어~머나!</v>
      </c>
      <c r="B14147" s="2" t="str">
        <f>IFERROR(__xludf.DUMMYFUNCTION("""COMPUTED_VALUE"""),"식초")</f>
        <v>식초</v>
      </c>
    </row>
    <row r="14148">
      <c r="A14148" s="2" t="str">
        <f>IFERROR(__xludf.DUMMYFUNCTION("""COMPUTED_VALUE"""),"스테이크가 어~머나!")</f>
        <v>스테이크가 어~머나!</v>
      </c>
      <c r="B14148" s="2" t="str">
        <f>IFERROR(__xludf.DUMMYFUNCTION("""COMPUTED_VALUE"""),"달걀")</f>
        <v>달걀</v>
      </c>
    </row>
    <row r="14149">
      <c r="A14149" s="2" t="str">
        <f>IFERROR(__xludf.DUMMYFUNCTION("""COMPUTED_VALUE"""),"계모임")</f>
        <v>계모임</v>
      </c>
      <c r="B14149" s="2" t="str">
        <f>IFERROR(__xludf.DUMMYFUNCTION("""COMPUTED_VALUE"""),"닭가슴살")</f>
        <v>닭가슴살</v>
      </c>
    </row>
    <row r="14150">
      <c r="A14150" s="2" t="str">
        <f>IFERROR(__xludf.DUMMYFUNCTION("""COMPUTED_VALUE"""),"계모임")</f>
        <v>계모임</v>
      </c>
      <c r="B14150" s="2" t="str">
        <f>IFERROR(__xludf.DUMMYFUNCTION("""COMPUTED_VALUE"""),"커리맛 닭가슴살")</f>
        <v>커리맛 닭가슴살</v>
      </c>
    </row>
    <row r="14151">
      <c r="A14151" s="2" t="str">
        <f>IFERROR(__xludf.DUMMYFUNCTION("""COMPUTED_VALUE"""),"계모임")</f>
        <v>계모임</v>
      </c>
      <c r="B14151" s="2" t="str">
        <f>IFERROR(__xludf.DUMMYFUNCTION("""COMPUTED_VALUE"""),"새우")</f>
        <v>새우</v>
      </c>
    </row>
    <row r="14152">
      <c r="A14152" s="2" t="str">
        <f>IFERROR(__xludf.DUMMYFUNCTION("""COMPUTED_VALUE"""),"계모임")</f>
        <v>계모임</v>
      </c>
      <c r="B14152" s="2" t="str">
        <f>IFERROR(__xludf.DUMMYFUNCTION("""COMPUTED_VALUE"""),"당면")</f>
        <v>당면</v>
      </c>
    </row>
    <row r="14153">
      <c r="A14153" s="2" t="str">
        <f>IFERROR(__xludf.DUMMYFUNCTION("""COMPUTED_VALUE"""),"계모임")</f>
        <v>계모임</v>
      </c>
      <c r="B14153" s="2" t="str">
        <f>IFERROR(__xludf.DUMMYFUNCTION("""COMPUTED_VALUE"""),"불냉면 소스")</f>
        <v>불냉면 소스</v>
      </c>
    </row>
    <row r="14154">
      <c r="A14154" s="2" t="str">
        <f>IFERROR(__xludf.DUMMYFUNCTION("""COMPUTED_VALUE"""),"계모임")</f>
        <v>계모임</v>
      </c>
      <c r="B14154" s="2" t="str">
        <f>IFERROR(__xludf.DUMMYFUNCTION("""COMPUTED_VALUE"""),"우유")</f>
        <v>우유</v>
      </c>
    </row>
    <row r="14155">
      <c r="A14155" s="2" t="str">
        <f>IFERROR(__xludf.DUMMYFUNCTION("""COMPUTED_VALUE"""),"계모임")</f>
        <v>계모임</v>
      </c>
      <c r="B14155" s="2" t="str">
        <f>IFERROR(__xludf.DUMMYFUNCTION("""COMPUTED_VALUE"""),"장국")</f>
        <v>장국</v>
      </c>
    </row>
    <row r="14156">
      <c r="A14156" s="2" t="str">
        <f>IFERROR(__xludf.DUMMYFUNCTION("""COMPUTED_VALUE"""),"계모임")</f>
        <v>계모임</v>
      </c>
      <c r="B14156" s="2" t="str">
        <f>IFERROR(__xludf.DUMMYFUNCTION("""COMPUTED_VALUE"""),"멸치액젓")</f>
        <v>멸치액젓</v>
      </c>
    </row>
    <row r="14157">
      <c r="A14157" s="2" t="str">
        <f>IFERROR(__xludf.DUMMYFUNCTION("""COMPUTED_VALUE"""),"계모임")</f>
        <v>계모임</v>
      </c>
      <c r="B14157" s="2" t="str">
        <f>IFERROR(__xludf.DUMMYFUNCTION("""COMPUTED_VALUE"""),"부추")</f>
        <v>부추</v>
      </c>
    </row>
    <row r="14158">
      <c r="A14158" s="2" t="str">
        <f>IFERROR(__xludf.DUMMYFUNCTION("""COMPUTED_VALUE"""),"계모임")</f>
        <v>계모임</v>
      </c>
      <c r="B14158" s="2" t="str">
        <f>IFERROR(__xludf.DUMMYFUNCTION("""COMPUTED_VALUE"""),"청고추")</f>
        <v>청고추</v>
      </c>
    </row>
    <row r="14159">
      <c r="A14159" s="2" t="str">
        <f>IFERROR(__xludf.DUMMYFUNCTION("""COMPUTED_VALUE"""),"계모임")</f>
        <v>계모임</v>
      </c>
      <c r="B14159" s="2" t="str">
        <f>IFERROR(__xludf.DUMMYFUNCTION("""COMPUTED_VALUE"""),"버터")</f>
        <v>버터</v>
      </c>
    </row>
    <row r="14160">
      <c r="A14160" s="2" t="str">
        <f>IFERROR(__xludf.DUMMYFUNCTION("""COMPUTED_VALUE"""),"계모임")</f>
        <v>계모임</v>
      </c>
      <c r="B14160" s="2" t="str">
        <f>IFERROR(__xludf.DUMMYFUNCTION("""COMPUTED_VALUE"""),"소금")</f>
        <v>소금</v>
      </c>
    </row>
    <row r="14161">
      <c r="A14161" s="2" t="str">
        <f>IFERROR(__xludf.DUMMYFUNCTION("""COMPUTED_VALUE"""),"계모임")</f>
        <v>계모임</v>
      </c>
      <c r="B14161" s="2" t="str">
        <f>IFERROR(__xludf.DUMMYFUNCTION("""COMPUTED_VALUE"""),"전분")</f>
        <v>전분</v>
      </c>
    </row>
    <row r="14162">
      <c r="A14162" s="2" t="str">
        <f>IFERROR(__xludf.DUMMYFUNCTION("""COMPUTED_VALUE"""),"계모임")</f>
        <v>계모임</v>
      </c>
      <c r="B14162" s="2" t="str">
        <f>IFERROR(__xludf.DUMMYFUNCTION("""COMPUTED_VALUE"""),"달걀")</f>
        <v>달걀</v>
      </c>
    </row>
    <row r="14163">
      <c r="A14163" s="2" t="str">
        <f>IFERROR(__xludf.DUMMYFUNCTION("""COMPUTED_VALUE"""),"계모임")</f>
        <v>계모임</v>
      </c>
      <c r="B14163" s="2" t="str">
        <f>IFERROR(__xludf.DUMMYFUNCTION("""COMPUTED_VALUE"""),"생강")</f>
        <v>생강</v>
      </c>
    </row>
    <row r="14164">
      <c r="A14164" s="2" t="str">
        <f>IFERROR(__xludf.DUMMYFUNCTION("""COMPUTED_VALUE"""),"계모임")</f>
        <v>계모임</v>
      </c>
      <c r="B14164" s="2" t="str">
        <f>IFERROR(__xludf.DUMMYFUNCTION("""COMPUTED_VALUE"""),"마늘")</f>
        <v>마늘</v>
      </c>
    </row>
    <row r="14165">
      <c r="A14165" s="2" t="str">
        <f>IFERROR(__xludf.DUMMYFUNCTION("""COMPUTED_VALUE"""),"계모임")</f>
        <v>계모임</v>
      </c>
      <c r="B14165" s="2" t="str">
        <f>IFERROR(__xludf.DUMMYFUNCTION("""COMPUTED_VALUE"""),"청양고추")</f>
        <v>청양고추</v>
      </c>
    </row>
    <row r="14166">
      <c r="A14166" s="2" t="str">
        <f>IFERROR(__xludf.DUMMYFUNCTION("""COMPUTED_VALUE"""),"계모임")</f>
        <v>계모임</v>
      </c>
      <c r="B14166" s="2" t="str">
        <f>IFERROR(__xludf.DUMMYFUNCTION("""COMPUTED_VALUE"""),"설탕")</f>
        <v>설탕</v>
      </c>
    </row>
    <row r="14167">
      <c r="A14167" s="2" t="str">
        <f>IFERROR(__xludf.DUMMYFUNCTION("""COMPUTED_VALUE"""),"계모임")</f>
        <v>계모임</v>
      </c>
      <c r="B14167" s="2" t="str">
        <f>IFERROR(__xludf.DUMMYFUNCTION("""COMPUTED_VALUE"""),"고춧가루")</f>
        <v>고춧가루</v>
      </c>
    </row>
    <row r="14168">
      <c r="A14168" s="2" t="str">
        <f>IFERROR(__xludf.DUMMYFUNCTION("""COMPUTED_VALUE"""),"계모임")</f>
        <v>계모임</v>
      </c>
      <c r="B14168" s="2" t="str">
        <f>IFERROR(__xludf.DUMMYFUNCTION("""COMPUTED_VALUE"""),"다진 마늘")</f>
        <v>다진 마늘</v>
      </c>
    </row>
    <row r="14169">
      <c r="A14169" s="2" t="str">
        <f>IFERROR(__xludf.DUMMYFUNCTION("""COMPUTED_VALUE"""),"계모임")</f>
        <v>계모임</v>
      </c>
      <c r="B14169" s="2" t="str">
        <f>IFERROR(__xludf.DUMMYFUNCTION("""COMPUTED_VALUE"""),"대파")</f>
        <v>대파</v>
      </c>
    </row>
    <row r="14170">
      <c r="A14170" s="2" t="str">
        <f>IFERROR(__xludf.DUMMYFUNCTION("""COMPUTED_VALUE"""),"계모임")</f>
        <v>계모임</v>
      </c>
      <c r="B14170" s="2" t="str">
        <f>IFERROR(__xludf.DUMMYFUNCTION("""COMPUTED_VALUE"""),"식용유")</f>
        <v>식용유</v>
      </c>
    </row>
    <row r="14171">
      <c r="A14171" s="2" t="str">
        <f>IFERROR(__xludf.DUMMYFUNCTION("""COMPUTED_VALUE"""),"계모임")</f>
        <v>계모임</v>
      </c>
      <c r="B14171" s="2" t="str">
        <f>IFERROR(__xludf.DUMMYFUNCTION("""COMPUTED_VALUE"""),"튀김가루")</f>
        <v>튀김가루</v>
      </c>
    </row>
    <row r="14172">
      <c r="A14172" s="2" t="str">
        <f>IFERROR(__xludf.DUMMYFUNCTION("""COMPUTED_VALUE"""),"계모임")</f>
        <v>계모임</v>
      </c>
      <c r="B14172" s="2" t="str">
        <f>IFERROR(__xludf.DUMMYFUNCTION("""COMPUTED_VALUE"""),"물엿")</f>
        <v>물엿</v>
      </c>
    </row>
    <row r="14173">
      <c r="A14173" s="2" t="str">
        <f>IFERROR(__xludf.DUMMYFUNCTION("""COMPUTED_VALUE"""),"계모임")</f>
        <v>계모임</v>
      </c>
      <c r="B14173" s="2" t="str">
        <f>IFERROR(__xludf.DUMMYFUNCTION("""COMPUTED_VALUE"""),"간장")</f>
        <v>간장</v>
      </c>
    </row>
    <row r="14174">
      <c r="A14174" s="2" t="str">
        <f>IFERROR(__xludf.DUMMYFUNCTION("""COMPUTED_VALUE"""),"계모임")</f>
        <v>계모임</v>
      </c>
      <c r="B14174" s="2" t="str">
        <f>IFERROR(__xludf.DUMMYFUNCTION("""COMPUTED_VALUE"""),"참기름")</f>
        <v>참기름</v>
      </c>
    </row>
    <row r="14175">
      <c r="A14175" s="2" t="str">
        <f>IFERROR(__xludf.DUMMYFUNCTION("""COMPUTED_VALUE"""),"샘킴반점")</f>
        <v>샘킴반점</v>
      </c>
      <c r="B14175" s="2" t="str">
        <f>IFERROR(__xludf.DUMMYFUNCTION("""COMPUTED_VALUE"""),"닭가슴살")</f>
        <v>닭가슴살</v>
      </c>
    </row>
    <row r="14176">
      <c r="A14176" s="2" t="str">
        <f>IFERROR(__xludf.DUMMYFUNCTION("""COMPUTED_VALUE"""),"샘킴반점")</f>
        <v>샘킴반점</v>
      </c>
      <c r="B14176" s="2" t="str">
        <f>IFERROR(__xludf.DUMMYFUNCTION("""COMPUTED_VALUE"""),"쯔유")</f>
        <v>쯔유</v>
      </c>
    </row>
    <row r="14177">
      <c r="A14177" s="2" t="str">
        <f>IFERROR(__xludf.DUMMYFUNCTION("""COMPUTED_VALUE"""),"샘킴반점")</f>
        <v>샘킴반점</v>
      </c>
      <c r="B14177" s="2" t="str">
        <f>IFERROR(__xludf.DUMMYFUNCTION("""COMPUTED_VALUE"""),"양념 소갈비 국물")</f>
        <v>양념 소갈비 국물</v>
      </c>
    </row>
    <row r="14178">
      <c r="A14178" s="2" t="str">
        <f>IFERROR(__xludf.DUMMYFUNCTION("""COMPUTED_VALUE"""),"샘킴반점")</f>
        <v>샘킴반점</v>
      </c>
      <c r="B14178" s="2" t="str">
        <f>IFERROR(__xludf.DUMMYFUNCTION("""COMPUTED_VALUE"""),"레몬청")</f>
        <v>레몬청</v>
      </c>
    </row>
    <row r="14179">
      <c r="A14179" s="2" t="str">
        <f>IFERROR(__xludf.DUMMYFUNCTION("""COMPUTED_VALUE"""),"샘킴반점")</f>
        <v>샘킴반점</v>
      </c>
      <c r="B14179" s="2" t="str">
        <f>IFERROR(__xludf.DUMMYFUNCTION("""COMPUTED_VALUE"""),"밀가루")</f>
        <v>밀가루</v>
      </c>
    </row>
    <row r="14180">
      <c r="A14180" s="2" t="str">
        <f>IFERROR(__xludf.DUMMYFUNCTION("""COMPUTED_VALUE"""),"샘킴반점")</f>
        <v>샘킴반점</v>
      </c>
      <c r="B14180" s="2" t="str">
        <f>IFERROR(__xludf.DUMMYFUNCTION("""COMPUTED_VALUE"""),"달걀")</f>
        <v>달걀</v>
      </c>
    </row>
    <row r="14181">
      <c r="A14181" s="2" t="str">
        <f>IFERROR(__xludf.DUMMYFUNCTION("""COMPUTED_VALUE"""),"샘킴반점")</f>
        <v>샘킴반점</v>
      </c>
      <c r="B14181" s="2" t="str">
        <f>IFERROR(__xludf.DUMMYFUNCTION("""COMPUTED_VALUE"""),"대파")</f>
        <v>대파</v>
      </c>
    </row>
    <row r="14182">
      <c r="A14182" s="2" t="str">
        <f>IFERROR(__xludf.DUMMYFUNCTION("""COMPUTED_VALUE"""),"샘킴반점")</f>
        <v>샘킴반점</v>
      </c>
      <c r="B14182" s="2" t="str">
        <f>IFERROR(__xludf.DUMMYFUNCTION("""COMPUTED_VALUE"""),"홍고추")</f>
        <v>홍고추</v>
      </c>
    </row>
    <row r="14183">
      <c r="A14183" s="2" t="str">
        <f>IFERROR(__xludf.DUMMYFUNCTION("""COMPUTED_VALUE"""),"샘킴반점")</f>
        <v>샘킴반점</v>
      </c>
      <c r="B14183" s="2" t="str">
        <f>IFERROR(__xludf.DUMMYFUNCTION("""COMPUTED_VALUE"""),"마늘")</f>
        <v>마늘</v>
      </c>
    </row>
    <row r="14184">
      <c r="A14184" s="2" t="str">
        <f>IFERROR(__xludf.DUMMYFUNCTION("""COMPUTED_VALUE"""),"샘킴반점")</f>
        <v>샘킴반점</v>
      </c>
      <c r="B14184" s="2" t="str">
        <f>IFERROR(__xludf.DUMMYFUNCTION("""COMPUTED_VALUE"""),"소금")</f>
        <v>소금</v>
      </c>
    </row>
    <row r="14185">
      <c r="A14185" s="2" t="str">
        <f>IFERROR(__xludf.DUMMYFUNCTION("""COMPUTED_VALUE"""),"샘킴반점")</f>
        <v>샘킴반점</v>
      </c>
      <c r="B14185" s="2" t="str">
        <f>IFERROR(__xludf.DUMMYFUNCTION("""COMPUTED_VALUE"""),"후추")</f>
        <v>후추</v>
      </c>
    </row>
    <row r="14186">
      <c r="A14186" s="2" t="str">
        <f>IFERROR(__xludf.DUMMYFUNCTION("""COMPUTED_VALUE"""),"샘킴반점")</f>
        <v>샘킴반점</v>
      </c>
      <c r="B14186" s="2" t="str">
        <f>IFERROR(__xludf.DUMMYFUNCTION("""COMPUTED_VALUE"""),"생강")</f>
        <v>생강</v>
      </c>
    </row>
    <row r="14187">
      <c r="A14187" s="2" t="str">
        <f>IFERROR(__xludf.DUMMYFUNCTION("""COMPUTED_VALUE"""),"샘킴반점")</f>
        <v>샘킴반점</v>
      </c>
      <c r="B14187" s="2" t="str">
        <f>IFERROR(__xludf.DUMMYFUNCTION("""COMPUTED_VALUE"""),"고춧가루")</f>
        <v>고춧가루</v>
      </c>
    </row>
    <row r="14188">
      <c r="A14188" s="2" t="str">
        <f>IFERROR(__xludf.DUMMYFUNCTION("""COMPUTED_VALUE"""),"샘킴반점")</f>
        <v>샘킴반점</v>
      </c>
      <c r="B14188" s="2" t="str">
        <f>IFERROR(__xludf.DUMMYFUNCTION("""COMPUTED_VALUE"""),"식용유")</f>
        <v>식용유</v>
      </c>
    </row>
    <row r="14189">
      <c r="A14189" s="2" t="str">
        <f>IFERROR(__xludf.DUMMYFUNCTION("""COMPUTED_VALUE"""),"샘킴반점")</f>
        <v>샘킴반점</v>
      </c>
      <c r="B14189" s="2" t="str">
        <f>IFERROR(__xludf.DUMMYFUNCTION("""COMPUTED_VALUE"""),"설탕")</f>
        <v>설탕</v>
      </c>
    </row>
    <row r="14190">
      <c r="A14190" s="2" t="str">
        <f>IFERROR(__xludf.DUMMYFUNCTION("""COMPUTED_VALUE"""),"샘킴반점")</f>
        <v>샘킴반점</v>
      </c>
      <c r="B14190" s="2" t="str">
        <f>IFERROR(__xludf.DUMMYFUNCTION("""COMPUTED_VALUE"""),"참기름")</f>
        <v>참기름</v>
      </c>
    </row>
    <row r="14191">
      <c r="A14191" s="2" t="str">
        <f>IFERROR(__xludf.DUMMYFUNCTION("""COMPUTED_VALUE"""),"샘킴반점")</f>
        <v>샘킴반점</v>
      </c>
      <c r="B14191" s="2" t="str">
        <f>IFERROR(__xludf.DUMMYFUNCTION("""COMPUTED_VALUE"""),"깨")</f>
        <v>깨</v>
      </c>
    </row>
    <row r="14192">
      <c r="A14192" s="2" t="str">
        <f>IFERROR(__xludf.DUMMYFUNCTION("""COMPUTED_VALUE"""),"샘킴반점")</f>
        <v>샘킴반점</v>
      </c>
      <c r="B14192" s="2" t="str">
        <f>IFERROR(__xludf.DUMMYFUNCTION("""COMPUTED_VALUE"""),"간장")</f>
        <v>간장</v>
      </c>
    </row>
    <row r="14193">
      <c r="A14193" s="2" t="str">
        <f>IFERROR(__xludf.DUMMYFUNCTION("""COMPUTED_VALUE"""),"샘킴반점")</f>
        <v>샘킴반점</v>
      </c>
      <c r="B14193" s="2" t="str">
        <f>IFERROR(__xludf.DUMMYFUNCTION("""COMPUTED_VALUE"""),"식초")</f>
        <v>식초</v>
      </c>
    </row>
    <row r="14194">
      <c r="A14194" s="2" t="str">
        <f>IFERROR(__xludf.DUMMYFUNCTION("""COMPUTED_VALUE"""),"나베로 이경?")</f>
        <v>나베로 이경?</v>
      </c>
      <c r="B14194" s="2" t="str">
        <f>IFERROR(__xludf.DUMMYFUNCTION("""COMPUTED_VALUE"""),"양념 소갈비")</f>
        <v>양념 소갈비</v>
      </c>
    </row>
    <row r="14195">
      <c r="A14195" s="2" t="str">
        <f>IFERROR(__xludf.DUMMYFUNCTION("""COMPUTED_VALUE"""),"나베로 이경?")</f>
        <v>나베로 이경?</v>
      </c>
      <c r="B14195" s="2" t="str">
        <f>IFERROR(__xludf.DUMMYFUNCTION("""COMPUTED_VALUE"""),"부추")</f>
        <v>부추</v>
      </c>
    </row>
    <row r="14196">
      <c r="A14196" s="2" t="str">
        <f>IFERROR(__xludf.DUMMYFUNCTION("""COMPUTED_VALUE"""),"나베로 이경?")</f>
        <v>나베로 이경?</v>
      </c>
      <c r="B14196" s="2" t="str">
        <f>IFERROR(__xludf.DUMMYFUNCTION("""COMPUTED_VALUE"""),"새우")</f>
        <v>새우</v>
      </c>
    </row>
    <row r="14197">
      <c r="A14197" s="2" t="str">
        <f>IFERROR(__xludf.DUMMYFUNCTION("""COMPUTED_VALUE"""),"나베로 이경?")</f>
        <v>나베로 이경?</v>
      </c>
      <c r="B14197" s="2" t="str">
        <f>IFERROR(__xludf.DUMMYFUNCTION("""COMPUTED_VALUE"""),"배추김치")</f>
        <v>배추김치</v>
      </c>
    </row>
    <row r="14198">
      <c r="A14198" s="2" t="str">
        <f>IFERROR(__xludf.DUMMYFUNCTION("""COMPUTED_VALUE"""),"나베로 이경?")</f>
        <v>나베로 이경?</v>
      </c>
      <c r="B14198" s="2" t="str">
        <f>IFERROR(__xludf.DUMMYFUNCTION("""COMPUTED_VALUE"""),"명이나물 장아찌")</f>
        <v>명이나물 장아찌</v>
      </c>
    </row>
    <row r="14199">
      <c r="A14199" s="2" t="str">
        <f>IFERROR(__xludf.DUMMYFUNCTION("""COMPUTED_VALUE"""),"나베로 이경?")</f>
        <v>나베로 이경?</v>
      </c>
      <c r="B14199" s="2" t="str">
        <f>IFERROR(__xludf.DUMMYFUNCTION("""COMPUTED_VALUE"""),"통조림 참치샐러드")</f>
        <v>통조림 참치샐러드</v>
      </c>
    </row>
    <row r="14200">
      <c r="A14200" s="2" t="str">
        <f>IFERROR(__xludf.DUMMYFUNCTION("""COMPUTED_VALUE"""),"나베로 이경?")</f>
        <v>나베로 이경?</v>
      </c>
      <c r="B14200" s="2" t="str">
        <f>IFERROR(__xludf.DUMMYFUNCTION("""COMPUTED_VALUE"""),"베이크드 빈")</f>
        <v>베이크드 빈</v>
      </c>
    </row>
    <row r="14201">
      <c r="A14201" s="2" t="str">
        <f>IFERROR(__xludf.DUMMYFUNCTION("""COMPUTED_VALUE"""),"나베로 이경?")</f>
        <v>나베로 이경?</v>
      </c>
      <c r="B14201" s="2" t="str">
        <f>IFERROR(__xludf.DUMMYFUNCTION("""COMPUTED_VALUE"""),"스키야키 소스")</f>
        <v>스키야키 소스</v>
      </c>
    </row>
    <row r="14202">
      <c r="A14202" s="2" t="str">
        <f>IFERROR(__xludf.DUMMYFUNCTION("""COMPUTED_VALUE"""),"나베로 이경?")</f>
        <v>나베로 이경?</v>
      </c>
      <c r="B14202" s="2" t="str">
        <f>IFERROR(__xludf.DUMMYFUNCTION("""COMPUTED_VALUE"""),"쯔유")</f>
        <v>쯔유</v>
      </c>
    </row>
    <row r="14203">
      <c r="A14203" s="2" t="str">
        <f>IFERROR(__xludf.DUMMYFUNCTION("""COMPUTED_VALUE"""),"나베로 이경?")</f>
        <v>나베로 이경?</v>
      </c>
      <c r="B14203" s="2" t="str">
        <f>IFERROR(__xludf.DUMMYFUNCTION("""COMPUTED_VALUE"""),"연어육포")</f>
        <v>연어육포</v>
      </c>
    </row>
    <row r="14204">
      <c r="A14204" s="2" t="str">
        <f>IFERROR(__xludf.DUMMYFUNCTION("""COMPUTED_VALUE"""),"나베로 이경?")</f>
        <v>나베로 이경?</v>
      </c>
      <c r="B14204" s="2" t="str">
        <f>IFERROR(__xludf.DUMMYFUNCTION("""COMPUTED_VALUE"""),"닭봉")</f>
        <v>닭봉</v>
      </c>
    </row>
    <row r="14205">
      <c r="A14205" s="2" t="str">
        <f>IFERROR(__xludf.DUMMYFUNCTION("""COMPUTED_VALUE"""),"나베로 이경?")</f>
        <v>나베로 이경?</v>
      </c>
      <c r="B14205" s="2" t="str">
        <f>IFERROR(__xludf.DUMMYFUNCTION("""COMPUTED_VALUE"""),"칼국수라면")</f>
        <v>칼국수라면</v>
      </c>
    </row>
    <row r="14206">
      <c r="A14206" s="2" t="str">
        <f>IFERROR(__xludf.DUMMYFUNCTION("""COMPUTED_VALUE"""),"나베로 이경?")</f>
        <v>나베로 이경?</v>
      </c>
      <c r="B14206" s="2" t="str">
        <f>IFERROR(__xludf.DUMMYFUNCTION("""COMPUTED_VALUE"""),"비엔나소시지")</f>
        <v>비엔나소시지</v>
      </c>
    </row>
    <row r="14207">
      <c r="A14207" s="2" t="str">
        <f>IFERROR(__xludf.DUMMYFUNCTION("""COMPUTED_VALUE"""),"나베로 이경?")</f>
        <v>나베로 이경?</v>
      </c>
      <c r="B14207" s="2" t="str">
        <f>IFERROR(__xludf.DUMMYFUNCTION("""COMPUTED_VALUE"""),"고춧가루")</f>
        <v>고춧가루</v>
      </c>
    </row>
    <row r="14208">
      <c r="A14208" s="2" t="str">
        <f>IFERROR(__xludf.DUMMYFUNCTION("""COMPUTED_VALUE"""),"나베로 이경?")</f>
        <v>나베로 이경?</v>
      </c>
      <c r="B14208" s="2" t="str">
        <f>IFERROR(__xludf.DUMMYFUNCTION("""COMPUTED_VALUE"""),"대파")</f>
        <v>대파</v>
      </c>
    </row>
    <row r="14209">
      <c r="A14209" s="2" t="str">
        <f>IFERROR(__xludf.DUMMYFUNCTION("""COMPUTED_VALUE"""),"나베로 이경?")</f>
        <v>나베로 이경?</v>
      </c>
      <c r="B14209" s="2" t="str">
        <f>IFERROR(__xludf.DUMMYFUNCTION("""COMPUTED_VALUE"""),"밀가루")</f>
        <v>밀가루</v>
      </c>
    </row>
    <row r="14210">
      <c r="A14210" s="2" t="str">
        <f>IFERROR(__xludf.DUMMYFUNCTION("""COMPUTED_VALUE"""),"나베로 이경?")</f>
        <v>나베로 이경?</v>
      </c>
      <c r="B14210" s="2" t="str">
        <f>IFERROR(__xludf.DUMMYFUNCTION("""COMPUTED_VALUE"""),"달걀")</f>
        <v>달걀</v>
      </c>
    </row>
    <row r="14211">
      <c r="A14211" s="2" t="str">
        <f>IFERROR(__xludf.DUMMYFUNCTION("""COMPUTED_VALUE"""),"나베로 이경?")</f>
        <v>나베로 이경?</v>
      </c>
      <c r="B14211" s="2" t="str">
        <f>IFERROR(__xludf.DUMMYFUNCTION("""COMPUTED_VALUE"""),"홍고추")</f>
        <v>홍고추</v>
      </c>
    </row>
    <row r="14212">
      <c r="A14212" s="2" t="str">
        <f>IFERROR(__xludf.DUMMYFUNCTION("""COMPUTED_VALUE"""),"나베로 이경?")</f>
        <v>나베로 이경?</v>
      </c>
      <c r="B14212" s="2" t="str">
        <f>IFERROR(__xludf.DUMMYFUNCTION("""COMPUTED_VALUE"""),"청양고추")</f>
        <v>청양고추</v>
      </c>
    </row>
    <row r="14213">
      <c r="A14213" s="2" t="str">
        <f>IFERROR(__xludf.DUMMYFUNCTION("""COMPUTED_VALUE"""),"나베로 이경?")</f>
        <v>나베로 이경?</v>
      </c>
      <c r="B14213" s="2" t="str">
        <f>IFERROR(__xludf.DUMMYFUNCTION("""COMPUTED_VALUE"""),"식용유")</f>
        <v>식용유</v>
      </c>
    </row>
    <row r="14214">
      <c r="A14214" s="2" t="str">
        <f>IFERROR(__xludf.DUMMYFUNCTION("""COMPUTED_VALUE"""),"나베로 이경?")</f>
        <v>나베로 이경?</v>
      </c>
      <c r="B14214" s="2" t="str">
        <f>IFERROR(__xludf.DUMMYFUNCTION("""COMPUTED_VALUE"""),"후추")</f>
        <v>후추</v>
      </c>
    </row>
    <row r="14215">
      <c r="A14215" s="2" t="str">
        <f>IFERROR(__xludf.DUMMYFUNCTION("""COMPUTED_VALUE"""),"전병 가즈아~ 온면도 가보자!")</f>
        <v>전병 가즈아~ 온면도 가보자!</v>
      </c>
      <c r="B14215" s="2" t="str">
        <f>IFERROR(__xludf.DUMMYFUNCTION("""COMPUTED_VALUE"""),"인스턴트 비빔냉면")</f>
        <v>인스턴트 비빔냉면</v>
      </c>
    </row>
    <row r="14216">
      <c r="A14216" s="2" t="str">
        <f>IFERROR(__xludf.DUMMYFUNCTION("""COMPUTED_VALUE"""),"전병 가즈아~ 온면도 가보자!")</f>
        <v>전병 가즈아~ 온면도 가보자!</v>
      </c>
      <c r="B14216" s="2" t="str">
        <f>IFERROR(__xludf.DUMMYFUNCTION("""COMPUTED_VALUE"""),"진미채 무침")</f>
        <v>진미채 무침</v>
      </c>
    </row>
    <row r="14217">
      <c r="A14217" s="2" t="str">
        <f>IFERROR(__xludf.DUMMYFUNCTION("""COMPUTED_VALUE"""),"전병 가즈아~ 온면도 가보자!")</f>
        <v>전병 가즈아~ 온면도 가보자!</v>
      </c>
      <c r="B14217" s="2" t="str">
        <f>IFERROR(__xludf.DUMMYFUNCTION("""COMPUTED_VALUE"""),"멸치볶음")</f>
        <v>멸치볶음</v>
      </c>
    </row>
    <row r="14218">
      <c r="A14218" s="2" t="str">
        <f>IFERROR(__xludf.DUMMYFUNCTION("""COMPUTED_VALUE"""),"전병 가즈아~ 온면도 가보자!")</f>
        <v>전병 가즈아~ 온면도 가보자!</v>
      </c>
      <c r="B14218" s="2" t="str">
        <f>IFERROR(__xludf.DUMMYFUNCTION("""COMPUTED_VALUE"""),"불린 황태채")</f>
        <v>불린 황태채</v>
      </c>
    </row>
    <row r="14219">
      <c r="A14219" s="2" t="str">
        <f>IFERROR(__xludf.DUMMYFUNCTION("""COMPUTED_VALUE"""),"전병 가즈아~ 온면도 가보자!")</f>
        <v>전병 가즈아~ 온면도 가보자!</v>
      </c>
      <c r="B14219" s="2" t="str">
        <f>IFERROR(__xludf.DUMMYFUNCTION("""COMPUTED_VALUE"""),"콘마요네즈")</f>
        <v>콘마요네즈</v>
      </c>
    </row>
    <row r="14220">
      <c r="A14220" s="2" t="str">
        <f>IFERROR(__xludf.DUMMYFUNCTION("""COMPUTED_VALUE"""),"전병 가즈아~ 온면도 가보자!")</f>
        <v>전병 가즈아~ 온면도 가보자!</v>
      </c>
      <c r="B14220" s="2" t="str">
        <f>IFERROR(__xludf.DUMMYFUNCTION("""COMPUTED_VALUE"""),"냉동 아보카도")</f>
        <v>냉동 아보카도</v>
      </c>
    </row>
    <row r="14221">
      <c r="A14221" s="2" t="str">
        <f>IFERROR(__xludf.DUMMYFUNCTION("""COMPUTED_VALUE"""),"전병 가즈아~ 온면도 가보자!")</f>
        <v>전병 가즈아~ 온면도 가보자!</v>
      </c>
      <c r="B14221" s="2" t="str">
        <f>IFERROR(__xludf.DUMMYFUNCTION("""COMPUTED_VALUE"""),"배추김치")</f>
        <v>배추김치</v>
      </c>
    </row>
    <row r="14222">
      <c r="A14222" s="2" t="str">
        <f>IFERROR(__xludf.DUMMYFUNCTION("""COMPUTED_VALUE"""),"전병 가즈아~ 온면도 가보자!")</f>
        <v>전병 가즈아~ 온면도 가보자!</v>
      </c>
      <c r="B14222" s="2" t="str">
        <f>IFERROR(__xludf.DUMMYFUNCTION("""COMPUTED_VALUE"""),"양념 소갈비")</f>
        <v>양념 소갈비</v>
      </c>
    </row>
    <row r="14223">
      <c r="A14223" s="2" t="str">
        <f>IFERROR(__xludf.DUMMYFUNCTION("""COMPUTED_VALUE"""),"전병 가즈아~ 온면도 가보자!")</f>
        <v>전병 가즈아~ 온면도 가보자!</v>
      </c>
      <c r="B14223" s="2" t="str">
        <f>IFERROR(__xludf.DUMMYFUNCTION("""COMPUTED_VALUE"""),"부추")</f>
        <v>부추</v>
      </c>
    </row>
    <row r="14224">
      <c r="A14224" s="2" t="str">
        <f>IFERROR(__xludf.DUMMYFUNCTION("""COMPUTED_VALUE"""),"전병 가즈아~ 온면도 가보자!")</f>
        <v>전병 가즈아~ 온면도 가보자!</v>
      </c>
      <c r="B14224" s="2" t="str">
        <f>IFERROR(__xludf.DUMMYFUNCTION("""COMPUTED_VALUE"""),"쯔유")</f>
        <v>쯔유</v>
      </c>
    </row>
    <row r="14225">
      <c r="A14225" s="2" t="str">
        <f>IFERROR(__xludf.DUMMYFUNCTION("""COMPUTED_VALUE"""),"전병 가즈아~ 온면도 가보자!")</f>
        <v>전병 가즈아~ 온면도 가보자!</v>
      </c>
      <c r="B14225" s="2" t="str">
        <f>IFERROR(__xludf.DUMMYFUNCTION("""COMPUTED_VALUE"""),"멸치육수팩")</f>
        <v>멸치육수팩</v>
      </c>
    </row>
    <row r="14226">
      <c r="A14226" s="2" t="str">
        <f>IFERROR(__xludf.DUMMYFUNCTION("""COMPUTED_VALUE"""),"전병 가즈아~ 온면도 가보자!")</f>
        <v>전병 가즈아~ 온면도 가보자!</v>
      </c>
      <c r="B14226" s="2" t="str">
        <f>IFERROR(__xludf.DUMMYFUNCTION("""COMPUTED_VALUE"""),"새우 머리")</f>
        <v>새우 머리</v>
      </c>
    </row>
    <row r="14227">
      <c r="A14227" s="2" t="str">
        <f>IFERROR(__xludf.DUMMYFUNCTION("""COMPUTED_VALUE"""),"전병 가즈아~ 온면도 가보자!")</f>
        <v>전병 가즈아~ 온면도 가보자!</v>
      </c>
      <c r="B14227" s="2" t="str">
        <f>IFERROR(__xludf.DUMMYFUNCTION("""COMPUTED_VALUE"""),"비엔나소시지")</f>
        <v>비엔나소시지</v>
      </c>
    </row>
    <row r="14228">
      <c r="A14228" s="2" t="str">
        <f>IFERROR(__xludf.DUMMYFUNCTION("""COMPUTED_VALUE"""),"전병 가즈아~ 온면도 가보자!")</f>
        <v>전병 가즈아~ 온면도 가보자!</v>
      </c>
      <c r="B14228" s="2" t="str">
        <f>IFERROR(__xludf.DUMMYFUNCTION("""COMPUTED_VALUE"""),"고춧가루")</f>
        <v>고춧가루</v>
      </c>
    </row>
    <row r="14229">
      <c r="A14229" s="2" t="str">
        <f>IFERROR(__xludf.DUMMYFUNCTION("""COMPUTED_VALUE"""),"전병 가즈아~ 온면도 가보자!")</f>
        <v>전병 가즈아~ 온면도 가보자!</v>
      </c>
      <c r="B14229" s="2" t="str">
        <f>IFERROR(__xludf.DUMMYFUNCTION("""COMPUTED_VALUE"""),"대파")</f>
        <v>대파</v>
      </c>
    </row>
    <row r="14230">
      <c r="A14230" s="2" t="str">
        <f>IFERROR(__xludf.DUMMYFUNCTION("""COMPUTED_VALUE"""),"전병 가즈아~ 온면도 가보자!")</f>
        <v>전병 가즈아~ 온면도 가보자!</v>
      </c>
      <c r="B14230" s="2" t="str">
        <f>IFERROR(__xludf.DUMMYFUNCTION("""COMPUTED_VALUE"""),"밀가루")</f>
        <v>밀가루</v>
      </c>
    </row>
    <row r="14231">
      <c r="A14231" s="2" t="str">
        <f>IFERROR(__xludf.DUMMYFUNCTION("""COMPUTED_VALUE"""),"전병 가즈아~ 온면도 가보자!")</f>
        <v>전병 가즈아~ 온면도 가보자!</v>
      </c>
      <c r="B14231" s="2" t="str">
        <f>IFERROR(__xludf.DUMMYFUNCTION("""COMPUTED_VALUE"""),"부침가루")</f>
        <v>부침가루</v>
      </c>
    </row>
    <row r="14232">
      <c r="A14232" s="2" t="str">
        <f>IFERROR(__xludf.DUMMYFUNCTION("""COMPUTED_VALUE"""),"전병 가즈아~ 온면도 가보자!")</f>
        <v>전병 가즈아~ 온면도 가보자!</v>
      </c>
      <c r="B14232" s="2" t="str">
        <f>IFERROR(__xludf.DUMMYFUNCTION("""COMPUTED_VALUE"""),"간장")</f>
        <v>간장</v>
      </c>
    </row>
    <row r="14233">
      <c r="A14233" s="2" t="str">
        <f>IFERROR(__xludf.DUMMYFUNCTION("""COMPUTED_VALUE"""),"스튜맨이 돌아왔다")</f>
        <v>스튜맨이 돌아왔다</v>
      </c>
      <c r="B14233" s="2" t="str">
        <f>IFERROR(__xludf.DUMMYFUNCTION("""COMPUTED_VALUE"""),"연어")</f>
        <v>연어</v>
      </c>
    </row>
    <row r="14234">
      <c r="A14234" s="2" t="str">
        <f>IFERROR(__xludf.DUMMYFUNCTION("""COMPUTED_VALUE"""),"스튜맨이 돌아왔다")</f>
        <v>스튜맨이 돌아왔다</v>
      </c>
      <c r="B14234" s="2" t="str">
        <f>IFERROR(__xludf.DUMMYFUNCTION("""COMPUTED_VALUE"""),"새우")</f>
        <v>새우</v>
      </c>
    </row>
    <row r="14235">
      <c r="A14235" s="2" t="str">
        <f>IFERROR(__xludf.DUMMYFUNCTION("""COMPUTED_VALUE"""),"스튜맨이 돌아왔다")</f>
        <v>스튜맨이 돌아왔다</v>
      </c>
      <c r="B14235" s="2" t="str">
        <f>IFERROR(__xludf.DUMMYFUNCTION("""COMPUTED_VALUE"""),"새우살")</f>
        <v>새우살</v>
      </c>
    </row>
    <row r="14236">
      <c r="A14236" s="2" t="str">
        <f>IFERROR(__xludf.DUMMYFUNCTION("""COMPUTED_VALUE"""),"스튜맨이 돌아왔다")</f>
        <v>스튜맨이 돌아왔다</v>
      </c>
      <c r="B14236" s="2" t="str">
        <f>IFERROR(__xludf.DUMMYFUNCTION("""COMPUTED_VALUE"""),"참돔")</f>
        <v>참돔</v>
      </c>
    </row>
    <row r="14237">
      <c r="A14237" s="2" t="str">
        <f>IFERROR(__xludf.DUMMYFUNCTION("""COMPUTED_VALUE"""),"스튜맨이 돌아왔다")</f>
        <v>스튜맨이 돌아왔다</v>
      </c>
      <c r="B14237" s="2" t="str">
        <f>IFERROR(__xludf.DUMMYFUNCTION("""COMPUTED_VALUE"""),"베지마이트")</f>
        <v>베지마이트</v>
      </c>
    </row>
    <row r="14238">
      <c r="A14238" s="2" t="str">
        <f>IFERROR(__xludf.DUMMYFUNCTION("""COMPUTED_VALUE"""),"스튜맨이 돌아왔다")</f>
        <v>스튜맨이 돌아왔다</v>
      </c>
      <c r="B14238" s="2" t="str">
        <f>IFERROR(__xludf.DUMMYFUNCTION("""COMPUTED_VALUE"""),"셀러리")</f>
        <v>셀러리</v>
      </c>
    </row>
    <row r="14239">
      <c r="A14239" s="2" t="str">
        <f>IFERROR(__xludf.DUMMYFUNCTION("""COMPUTED_VALUE"""),"스튜맨이 돌아왔다")</f>
        <v>스튜맨이 돌아왔다</v>
      </c>
      <c r="B14239" s="2" t="str">
        <f>IFERROR(__xludf.DUMMYFUNCTION("""COMPUTED_VALUE"""),"달래")</f>
        <v>달래</v>
      </c>
    </row>
    <row r="14240">
      <c r="A14240" s="2" t="str">
        <f>IFERROR(__xludf.DUMMYFUNCTION("""COMPUTED_VALUE"""),"스튜맨이 돌아왔다")</f>
        <v>스튜맨이 돌아왔다</v>
      </c>
      <c r="B14240" s="2" t="str">
        <f>IFERROR(__xludf.DUMMYFUNCTION("""COMPUTED_VALUE"""),"방울양배추")</f>
        <v>방울양배추</v>
      </c>
    </row>
    <row r="14241">
      <c r="A14241" s="2" t="str">
        <f>IFERROR(__xludf.DUMMYFUNCTION("""COMPUTED_VALUE"""),"스튜맨이 돌아왔다")</f>
        <v>스튜맨이 돌아왔다</v>
      </c>
      <c r="B14241" s="2" t="str">
        <f>IFERROR(__xludf.DUMMYFUNCTION("""COMPUTED_VALUE"""),"꽃게")</f>
        <v>꽃게</v>
      </c>
    </row>
    <row r="14242">
      <c r="A14242" s="2" t="str">
        <f>IFERROR(__xludf.DUMMYFUNCTION("""COMPUTED_VALUE"""),"스튜맨이 돌아왔다")</f>
        <v>스튜맨이 돌아왔다</v>
      </c>
      <c r="B14242" s="2" t="str">
        <f>IFERROR(__xludf.DUMMYFUNCTION("""COMPUTED_VALUE"""),"치킨스톡")</f>
        <v>치킨스톡</v>
      </c>
    </row>
    <row r="14243">
      <c r="A14243" s="2" t="str">
        <f>IFERROR(__xludf.DUMMYFUNCTION("""COMPUTED_VALUE"""),"스튜맨이 돌아왔다")</f>
        <v>스튜맨이 돌아왔다</v>
      </c>
      <c r="B14243" s="2" t="str">
        <f>IFERROR(__xludf.DUMMYFUNCTION("""COMPUTED_VALUE"""),"양송이버섯")</f>
        <v>양송이버섯</v>
      </c>
    </row>
    <row r="14244">
      <c r="A14244" s="2" t="str">
        <f>IFERROR(__xludf.DUMMYFUNCTION("""COMPUTED_VALUE"""),"스튜맨이 돌아왔다")</f>
        <v>스튜맨이 돌아왔다</v>
      </c>
      <c r="B14244" s="2" t="str">
        <f>IFERROR(__xludf.DUMMYFUNCTION("""COMPUTED_VALUE"""),"올리브토마토파스타소스")</f>
        <v>올리브토마토파스타소스</v>
      </c>
    </row>
    <row r="14245">
      <c r="A14245" s="2" t="str">
        <f>IFERROR(__xludf.DUMMYFUNCTION("""COMPUTED_VALUE"""),"스튜맨이 돌아왔다")</f>
        <v>스튜맨이 돌아왔다</v>
      </c>
      <c r="B14245" s="2" t="str">
        <f>IFERROR(__xludf.DUMMYFUNCTION("""COMPUTED_VALUE"""),"토마토 페이스트")</f>
        <v>토마토 페이스트</v>
      </c>
    </row>
    <row r="14246">
      <c r="A14246" s="2" t="str">
        <f>IFERROR(__xludf.DUMMYFUNCTION("""COMPUTED_VALUE"""),"스튜맨이 돌아왔다")</f>
        <v>스튜맨이 돌아왔다</v>
      </c>
      <c r="B14246" s="2" t="str">
        <f>IFERROR(__xludf.DUMMYFUNCTION("""COMPUTED_VALUE"""),"아스파라거스")</f>
        <v>아스파라거스</v>
      </c>
    </row>
    <row r="14247">
      <c r="A14247" s="2" t="str">
        <f>IFERROR(__xludf.DUMMYFUNCTION("""COMPUTED_VALUE"""),"스튜맨이 돌아왔다")</f>
        <v>스튜맨이 돌아왔다</v>
      </c>
      <c r="B14247" s="2" t="str">
        <f>IFERROR(__xludf.DUMMYFUNCTION("""COMPUTED_VALUE"""),"레지아노 치즈")</f>
        <v>레지아노 치즈</v>
      </c>
    </row>
    <row r="14248">
      <c r="A14248" s="2" t="str">
        <f>IFERROR(__xludf.DUMMYFUNCTION("""COMPUTED_VALUE"""),"스튜맨이 돌아왔다")</f>
        <v>스튜맨이 돌아왔다</v>
      </c>
      <c r="B14248" s="2" t="str">
        <f>IFERROR(__xludf.DUMMYFUNCTION("""COMPUTED_VALUE"""),"바질")</f>
        <v>바질</v>
      </c>
    </row>
    <row r="14249">
      <c r="A14249" s="2" t="str">
        <f>IFERROR(__xludf.DUMMYFUNCTION("""COMPUTED_VALUE"""),"스튜맨이 돌아왔다")</f>
        <v>스튜맨이 돌아왔다</v>
      </c>
      <c r="B14249" s="2" t="str">
        <f>IFERROR(__xludf.DUMMYFUNCTION("""COMPUTED_VALUE"""),"타임")</f>
        <v>타임</v>
      </c>
    </row>
    <row r="14250">
      <c r="A14250" s="2" t="str">
        <f>IFERROR(__xludf.DUMMYFUNCTION("""COMPUTED_VALUE"""),"스튜맨이 돌아왔다")</f>
        <v>스튜맨이 돌아왔다</v>
      </c>
      <c r="B14250" s="2" t="str">
        <f>IFERROR(__xludf.DUMMYFUNCTION("""COMPUTED_VALUE"""),"고수")</f>
        <v>고수</v>
      </c>
    </row>
    <row r="14251">
      <c r="A14251" s="2" t="str">
        <f>IFERROR(__xludf.DUMMYFUNCTION("""COMPUTED_VALUE"""),"스튜맨이 돌아왔다")</f>
        <v>스튜맨이 돌아왔다</v>
      </c>
      <c r="B14251" s="2" t="str">
        <f>IFERROR(__xludf.DUMMYFUNCTION("""COMPUTED_VALUE"""),"딜")</f>
        <v>딜</v>
      </c>
    </row>
    <row r="14252">
      <c r="A14252" s="2" t="str">
        <f>IFERROR(__xludf.DUMMYFUNCTION("""COMPUTED_VALUE"""),"스튜맨이 돌아왔다")</f>
        <v>스튜맨이 돌아왔다</v>
      </c>
      <c r="B14252" s="2" t="str">
        <f>IFERROR(__xludf.DUMMYFUNCTION("""COMPUTED_VALUE"""),"로즈마리")</f>
        <v>로즈마리</v>
      </c>
    </row>
    <row r="14253">
      <c r="A14253" s="2" t="str">
        <f>IFERROR(__xludf.DUMMYFUNCTION("""COMPUTED_VALUE"""),"스튜맨이 돌아왔다")</f>
        <v>스튜맨이 돌아왔다</v>
      </c>
      <c r="B14253" s="2" t="str">
        <f>IFERROR(__xludf.DUMMYFUNCTION("""COMPUTED_VALUE"""),"펜네")</f>
        <v>펜네</v>
      </c>
    </row>
    <row r="14254">
      <c r="A14254" s="2" t="str">
        <f>IFERROR(__xludf.DUMMYFUNCTION("""COMPUTED_VALUE"""),"스튜맨이 돌아왔다")</f>
        <v>스튜맨이 돌아왔다</v>
      </c>
      <c r="B14254" s="2" t="str">
        <f>IFERROR(__xludf.DUMMYFUNCTION("""COMPUTED_VALUE"""),"양파")</f>
        <v>양파</v>
      </c>
    </row>
    <row r="14255">
      <c r="A14255" s="2" t="str">
        <f>IFERROR(__xludf.DUMMYFUNCTION("""COMPUTED_VALUE"""),"스튜맨이 돌아왔다")</f>
        <v>스튜맨이 돌아왔다</v>
      </c>
      <c r="B14255" s="2" t="str">
        <f>IFERROR(__xludf.DUMMYFUNCTION("""COMPUTED_VALUE"""),"청양고추")</f>
        <v>청양고추</v>
      </c>
    </row>
    <row r="14256">
      <c r="A14256" s="2" t="str">
        <f>IFERROR(__xludf.DUMMYFUNCTION("""COMPUTED_VALUE"""),"스튜맨이 돌아왔다")</f>
        <v>스튜맨이 돌아왔다</v>
      </c>
      <c r="B14256" s="2" t="str">
        <f>IFERROR(__xludf.DUMMYFUNCTION("""COMPUTED_VALUE"""),"버터")</f>
        <v>버터</v>
      </c>
    </row>
    <row r="14257">
      <c r="A14257" s="2" t="str">
        <f>IFERROR(__xludf.DUMMYFUNCTION("""COMPUTED_VALUE"""),"스튜맨이 돌아왔다")</f>
        <v>스튜맨이 돌아왔다</v>
      </c>
      <c r="B14257" s="2" t="str">
        <f>IFERROR(__xludf.DUMMYFUNCTION("""COMPUTED_VALUE"""),"화이트 와인")</f>
        <v>화이트 와인</v>
      </c>
    </row>
    <row r="14258">
      <c r="A14258" s="2" t="str">
        <f>IFERROR(__xludf.DUMMYFUNCTION("""COMPUTED_VALUE"""),"스튜맨이 돌아왔다")</f>
        <v>스튜맨이 돌아왔다</v>
      </c>
      <c r="B14258" s="2" t="str">
        <f>IFERROR(__xludf.DUMMYFUNCTION("""COMPUTED_VALUE"""),"밀가루")</f>
        <v>밀가루</v>
      </c>
    </row>
    <row r="14259">
      <c r="A14259" s="2" t="str">
        <f>IFERROR(__xludf.DUMMYFUNCTION("""COMPUTED_VALUE"""),"스튜맨이 돌아왔다")</f>
        <v>스튜맨이 돌아왔다</v>
      </c>
      <c r="B14259" s="2" t="str">
        <f>IFERROR(__xludf.DUMMYFUNCTION("""COMPUTED_VALUE"""),"마늘")</f>
        <v>마늘</v>
      </c>
    </row>
    <row r="14260">
      <c r="A14260" s="2" t="str">
        <f>IFERROR(__xludf.DUMMYFUNCTION("""COMPUTED_VALUE"""),"스튜맨이 돌아왔다")</f>
        <v>스튜맨이 돌아왔다</v>
      </c>
      <c r="B14260" s="2" t="str">
        <f>IFERROR(__xludf.DUMMYFUNCTION("""COMPUTED_VALUE"""),"올리브오일")</f>
        <v>올리브오일</v>
      </c>
    </row>
    <row r="14261">
      <c r="A14261" s="2" t="str">
        <f>IFERROR(__xludf.DUMMYFUNCTION("""COMPUTED_VALUE"""),"스튜맨이 돌아왔다")</f>
        <v>스튜맨이 돌아왔다</v>
      </c>
      <c r="B14261" s="2" t="str">
        <f>IFERROR(__xludf.DUMMYFUNCTION("""COMPUTED_VALUE"""),"레몬")</f>
        <v>레몬</v>
      </c>
    </row>
    <row r="14262">
      <c r="A14262" s="2" t="str">
        <f>IFERROR(__xludf.DUMMYFUNCTION("""COMPUTED_VALUE"""),"스튜맨이 돌아왔다")</f>
        <v>스튜맨이 돌아왔다</v>
      </c>
      <c r="B14262" s="2" t="str">
        <f>IFERROR(__xludf.DUMMYFUNCTION("""COMPUTED_VALUE"""),"소금")</f>
        <v>소금</v>
      </c>
    </row>
    <row r="14263">
      <c r="A14263" s="2" t="str">
        <f>IFERROR(__xludf.DUMMYFUNCTION("""COMPUTED_VALUE"""),"스튜맨이 돌아왔다")</f>
        <v>스튜맨이 돌아왔다</v>
      </c>
      <c r="B14263" s="2" t="str">
        <f>IFERROR(__xludf.DUMMYFUNCTION("""COMPUTED_VALUE"""),"당근")</f>
        <v>당근</v>
      </c>
    </row>
    <row r="14264">
      <c r="A14264" s="2" t="str">
        <f>IFERROR(__xludf.DUMMYFUNCTION("""COMPUTED_VALUE"""),"스튜맨이 돌아왔다")</f>
        <v>스튜맨이 돌아왔다</v>
      </c>
      <c r="B14264" s="2" t="str">
        <f>IFERROR(__xludf.DUMMYFUNCTION("""COMPUTED_VALUE"""),"후추")</f>
        <v>후추</v>
      </c>
    </row>
    <row r="14265">
      <c r="A14265" s="2" t="str">
        <f>IFERROR(__xludf.DUMMYFUNCTION("""COMPUTED_VALUE"""),"미트파이~ 진촤 맛있다")</f>
        <v>미트파이~ 진촤 맛있다</v>
      </c>
      <c r="B14265" s="2" t="str">
        <f>IFERROR(__xludf.DUMMYFUNCTION("""COMPUTED_VALUE"""),"베이컨")</f>
        <v>베이컨</v>
      </c>
    </row>
    <row r="14266">
      <c r="A14266" s="2" t="str">
        <f>IFERROR(__xludf.DUMMYFUNCTION("""COMPUTED_VALUE"""),"미트파이~ 진촤 맛있다")</f>
        <v>미트파이~ 진촤 맛있다</v>
      </c>
      <c r="B14266" s="2" t="str">
        <f>IFERROR(__xludf.DUMMYFUNCTION("""COMPUTED_VALUE"""),"올리브토마토파스타소스")</f>
        <v>올리브토마토파스타소스</v>
      </c>
    </row>
    <row r="14267">
      <c r="A14267" s="2" t="str">
        <f>IFERROR(__xludf.DUMMYFUNCTION("""COMPUTED_VALUE"""),"미트파이~ 진촤 맛있다")</f>
        <v>미트파이~ 진촤 맛있다</v>
      </c>
      <c r="B14267" s="2" t="str">
        <f>IFERROR(__xludf.DUMMYFUNCTION("""COMPUTED_VALUE"""),"모차렐라치즈")</f>
        <v>모차렐라치즈</v>
      </c>
    </row>
    <row r="14268">
      <c r="A14268" s="2" t="str">
        <f>IFERROR(__xludf.DUMMYFUNCTION("""COMPUTED_VALUE"""),"미트파이~ 진촤 맛있다")</f>
        <v>미트파이~ 진촤 맛있다</v>
      </c>
      <c r="B14268" s="2" t="str">
        <f>IFERROR(__xludf.DUMMYFUNCTION("""COMPUTED_VALUE"""),"슬라이스치즈")</f>
        <v>슬라이스치즈</v>
      </c>
    </row>
    <row r="14269">
      <c r="A14269" s="2" t="str">
        <f>IFERROR(__xludf.DUMMYFUNCTION("""COMPUTED_VALUE"""),"미트파이~ 진촤 맛있다")</f>
        <v>미트파이~ 진촤 맛있다</v>
      </c>
      <c r="B14269" s="2" t="str">
        <f>IFERROR(__xludf.DUMMYFUNCTION("""COMPUTED_VALUE"""),"굴소스")</f>
        <v>굴소스</v>
      </c>
    </row>
    <row r="14270">
      <c r="A14270" s="2" t="str">
        <f>IFERROR(__xludf.DUMMYFUNCTION("""COMPUTED_VALUE"""),"미트파이~ 진촤 맛있다")</f>
        <v>미트파이~ 진촤 맛있다</v>
      </c>
      <c r="B14270" s="2" t="str">
        <f>IFERROR(__xludf.DUMMYFUNCTION("""COMPUTED_VALUE"""),"바비큐소스")</f>
        <v>바비큐소스</v>
      </c>
    </row>
    <row r="14271">
      <c r="A14271" s="2" t="str">
        <f>IFERROR(__xludf.DUMMYFUNCTION("""COMPUTED_VALUE"""),"미트파이~ 진촤 맛있다")</f>
        <v>미트파이~ 진촤 맛있다</v>
      </c>
      <c r="B14271" s="2" t="str">
        <f>IFERROR(__xludf.DUMMYFUNCTION("""COMPUTED_VALUE"""),"파프리카")</f>
        <v>파프리카</v>
      </c>
    </row>
    <row r="14272">
      <c r="A14272" s="2" t="str">
        <f>IFERROR(__xludf.DUMMYFUNCTION("""COMPUTED_VALUE"""),"미트파이~ 진촤 맛있다")</f>
        <v>미트파이~ 진촤 맛있다</v>
      </c>
      <c r="B14272" s="2" t="str">
        <f>IFERROR(__xludf.DUMMYFUNCTION("""COMPUTED_VALUE"""),"다진 소고기")</f>
        <v>다진 소고기</v>
      </c>
    </row>
    <row r="14273">
      <c r="A14273" s="2" t="str">
        <f>IFERROR(__xludf.DUMMYFUNCTION("""COMPUTED_VALUE"""),"미트파이~ 진촤 맛있다")</f>
        <v>미트파이~ 진촤 맛있다</v>
      </c>
      <c r="B14273" s="2" t="str">
        <f>IFERROR(__xludf.DUMMYFUNCTION("""COMPUTED_VALUE"""),"토마토 처트니")</f>
        <v>토마토 처트니</v>
      </c>
    </row>
    <row r="14274">
      <c r="A14274" s="2" t="str">
        <f>IFERROR(__xludf.DUMMYFUNCTION("""COMPUTED_VALUE"""),"미트파이~ 진촤 맛있다")</f>
        <v>미트파이~ 진촤 맛있다</v>
      </c>
      <c r="B14274" s="2" t="str">
        <f>IFERROR(__xludf.DUMMYFUNCTION("""COMPUTED_VALUE"""),"양송이버섯")</f>
        <v>양송이버섯</v>
      </c>
    </row>
    <row r="14275">
      <c r="A14275" s="2" t="str">
        <f>IFERROR(__xludf.DUMMYFUNCTION("""COMPUTED_VALUE"""),"미트파이~ 진촤 맛있다")</f>
        <v>미트파이~ 진촤 맛있다</v>
      </c>
      <c r="B14275" s="2" t="str">
        <f>IFERROR(__xludf.DUMMYFUNCTION("""COMPUTED_VALUE"""),"달래")</f>
        <v>달래</v>
      </c>
    </row>
    <row r="14276">
      <c r="A14276" s="2" t="str">
        <f>IFERROR(__xludf.DUMMYFUNCTION("""COMPUTED_VALUE"""),"미트파이~ 진촤 맛있다")</f>
        <v>미트파이~ 진촤 맛있다</v>
      </c>
      <c r="B14276" s="2" t="str">
        <f>IFERROR(__xludf.DUMMYFUNCTION("""COMPUTED_VALUE"""),"아스파라거스")</f>
        <v>아스파라거스</v>
      </c>
    </row>
    <row r="14277">
      <c r="A14277" s="2" t="str">
        <f>IFERROR(__xludf.DUMMYFUNCTION("""COMPUTED_VALUE"""),"미트파이~ 진촤 맛있다")</f>
        <v>미트파이~ 진촤 맛있다</v>
      </c>
      <c r="B14277" s="2" t="str">
        <f>IFERROR(__xludf.DUMMYFUNCTION("""COMPUTED_VALUE"""),"로즈마리")</f>
        <v>로즈마리</v>
      </c>
    </row>
    <row r="14278">
      <c r="A14278" s="2" t="str">
        <f>IFERROR(__xludf.DUMMYFUNCTION("""COMPUTED_VALUE"""),"미트파이~ 진촤 맛있다")</f>
        <v>미트파이~ 진촤 맛있다</v>
      </c>
      <c r="B14278" s="2" t="str">
        <f>IFERROR(__xludf.DUMMYFUNCTION("""COMPUTED_VALUE"""),"버터")</f>
        <v>버터</v>
      </c>
    </row>
    <row r="14279">
      <c r="A14279" s="2" t="str">
        <f>IFERROR(__xludf.DUMMYFUNCTION("""COMPUTED_VALUE"""),"미트파이~ 진촤 맛있다")</f>
        <v>미트파이~ 진촤 맛있다</v>
      </c>
      <c r="B14279" s="2" t="str">
        <f>IFERROR(__xludf.DUMMYFUNCTION("""COMPUTED_VALUE"""),"밀가루")</f>
        <v>밀가루</v>
      </c>
    </row>
    <row r="14280">
      <c r="A14280" s="2" t="str">
        <f>IFERROR(__xludf.DUMMYFUNCTION("""COMPUTED_VALUE"""),"미트파이~ 진촤 맛있다")</f>
        <v>미트파이~ 진촤 맛있다</v>
      </c>
      <c r="B14280" s="2" t="str">
        <f>IFERROR(__xludf.DUMMYFUNCTION("""COMPUTED_VALUE"""),"소금")</f>
        <v>소금</v>
      </c>
    </row>
    <row r="14281">
      <c r="A14281" s="2" t="str">
        <f>IFERROR(__xludf.DUMMYFUNCTION("""COMPUTED_VALUE"""),"미트파이~ 진촤 맛있다")</f>
        <v>미트파이~ 진촤 맛있다</v>
      </c>
      <c r="B14281" s="2" t="str">
        <f>IFERROR(__xludf.DUMMYFUNCTION("""COMPUTED_VALUE"""),"버터")</f>
        <v>버터</v>
      </c>
    </row>
    <row r="14282">
      <c r="A14282" s="2" t="str">
        <f>IFERROR(__xludf.DUMMYFUNCTION("""COMPUTED_VALUE"""),"미트파이~ 진촤 맛있다")</f>
        <v>미트파이~ 진촤 맛있다</v>
      </c>
      <c r="B14282" s="2" t="str">
        <f>IFERROR(__xludf.DUMMYFUNCTION("""COMPUTED_VALUE"""),"양파")</f>
        <v>양파</v>
      </c>
    </row>
    <row r="14283">
      <c r="A14283" s="2" t="str">
        <f>IFERROR(__xludf.DUMMYFUNCTION("""COMPUTED_VALUE"""),"미트파이~ 진촤 맛있다")</f>
        <v>미트파이~ 진촤 맛있다</v>
      </c>
      <c r="B14283" s="2" t="str">
        <f>IFERROR(__xludf.DUMMYFUNCTION("""COMPUTED_VALUE"""),"마늘")</f>
        <v>마늘</v>
      </c>
    </row>
    <row r="14284">
      <c r="A14284" s="2" t="str">
        <f>IFERROR(__xludf.DUMMYFUNCTION("""COMPUTED_VALUE"""),"미트파이~ 진촤 맛있다")</f>
        <v>미트파이~ 진촤 맛있다</v>
      </c>
      <c r="B14284" s="2" t="str">
        <f>IFERROR(__xludf.DUMMYFUNCTION("""COMPUTED_VALUE"""),"대파")</f>
        <v>대파</v>
      </c>
    </row>
    <row r="14285">
      <c r="A14285" s="2" t="str">
        <f>IFERROR(__xludf.DUMMYFUNCTION("""COMPUTED_VALUE"""),"미트파이~ 진촤 맛있다")</f>
        <v>미트파이~ 진촤 맛있다</v>
      </c>
      <c r="B14285" s="2" t="str">
        <f>IFERROR(__xludf.DUMMYFUNCTION("""COMPUTED_VALUE"""),"청양고추")</f>
        <v>청양고추</v>
      </c>
    </row>
    <row r="14286">
      <c r="A14286" s="2" t="str">
        <f>IFERROR(__xludf.DUMMYFUNCTION("""COMPUTED_VALUE"""),"미트파이~ 진촤 맛있다")</f>
        <v>미트파이~ 진촤 맛있다</v>
      </c>
      <c r="B14286" s="2" t="str">
        <f>IFERROR(__xludf.DUMMYFUNCTION("""COMPUTED_VALUE"""),"올리브오일")</f>
        <v>올리브오일</v>
      </c>
    </row>
    <row r="14287">
      <c r="A14287" s="2" t="str">
        <f>IFERROR(__xludf.DUMMYFUNCTION("""COMPUTED_VALUE"""),"미트파이~ 진촤 맛있다")</f>
        <v>미트파이~ 진촤 맛있다</v>
      </c>
      <c r="B14287" s="2" t="str">
        <f>IFERROR(__xludf.DUMMYFUNCTION("""COMPUTED_VALUE"""),"설탕")</f>
        <v>설탕</v>
      </c>
    </row>
    <row r="14288">
      <c r="A14288" s="2" t="str">
        <f>IFERROR(__xludf.DUMMYFUNCTION("""COMPUTED_VALUE"""),"미트파이~ 진촤 맛있다")</f>
        <v>미트파이~ 진촤 맛있다</v>
      </c>
      <c r="B14288" s="2" t="str">
        <f>IFERROR(__xludf.DUMMYFUNCTION("""COMPUTED_VALUE"""),"식용유")</f>
        <v>식용유</v>
      </c>
    </row>
    <row r="14289">
      <c r="A14289" s="2" t="str">
        <f>IFERROR(__xludf.DUMMYFUNCTION("""COMPUTED_VALUE"""),"샘해밍떡")</f>
        <v>샘해밍떡</v>
      </c>
      <c r="B14289" s="2" t="str">
        <f>IFERROR(__xludf.DUMMYFUNCTION("""COMPUTED_VALUE"""),"기리모찌")</f>
        <v>기리모찌</v>
      </c>
    </row>
    <row r="14290">
      <c r="A14290" s="2" t="str">
        <f>IFERROR(__xludf.DUMMYFUNCTION("""COMPUTED_VALUE"""),"샘해밍떡")</f>
        <v>샘해밍떡</v>
      </c>
      <c r="B14290" s="2" t="str">
        <f>IFERROR(__xludf.DUMMYFUNCTION("""COMPUTED_VALUE"""),"달래")</f>
        <v>달래</v>
      </c>
    </row>
    <row r="14291">
      <c r="A14291" s="2" t="str">
        <f>IFERROR(__xludf.DUMMYFUNCTION("""COMPUTED_VALUE"""),"샘해밍떡")</f>
        <v>샘해밍떡</v>
      </c>
      <c r="B14291" s="2" t="str">
        <f>IFERROR(__xludf.DUMMYFUNCTION("""COMPUTED_VALUE"""),"잣")</f>
        <v>잣</v>
      </c>
    </row>
    <row r="14292">
      <c r="A14292" s="2" t="str">
        <f>IFERROR(__xludf.DUMMYFUNCTION("""COMPUTED_VALUE"""),"샘해밍떡")</f>
        <v>샘해밍떡</v>
      </c>
      <c r="B14292" s="2" t="str">
        <f>IFERROR(__xludf.DUMMYFUNCTION("""COMPUTED_VALUE"""),"은행")</f>
        <v>은행</v>
      </c>
    </row>
    <row r="14293">
      <c r="A14293" s="2" t="str">
        <f>IFERROR(__xludf.DUMMYFUNCTION("""COMPUTED_VALUE"""),"샘해밍떡")</f>
        <v>샘해밍떡</v>
      </c>
      <c r="B14293" s="2" t="str">
        <f>IFERROR(__xludf.DUMMYFUNCTION("""COMPUTED_VALUE"""),"꽃게")</f>
        <v>꽃게</v>
      </c>
    </row>
    <row r="14294">
      <c r="A14294" s="2" t="str">
        <f>IFERROR(__xludf.DUMMYFUNCTION("""COMPUTED_VALUE"""),"샘해밍떡")</f>
        <v>샘해밍떡</v>
      </c>
      <c r="B14294" s="2" t="str">
        <f>IFERROR(__xludf.DUMMYFUNCTION("""COMPUTED_VALUE"""),"라이스페이퍼")</f>
        <v>라이스페이퍼</v>
      </c>
    </row>
    <row r="14295">
      <c r="A14295" s="2" t="str">
        <f>IFERROR(__xludf.DUMMYFUNCTION("""COMPUTED_VALUE"""),"샘해밍떡")</f>
        <v>샘해밍떡</v>
      </c>
      <c r="B14295" s="2" t="str">
        <f>IFERROR(__xludf.DUMMYFUNCTION("""COMPUTED_VALUE"""),"셀러리")</f>
        <v>셀러리</v>
      </c>
    </row>
    <row r="14296">
      <c r="A14296" s="2" t="str">
        <f>IFERROR(__xludf.DUMMYFUNCTION("""COMPUTED_VALUE"""),"샘해밍떡")</f>
        <v>샘해밍떡</v>
      </c>
      <c r="B14296" s="2" t="str">
        <f>IFERROR(__xludf.DUMMYFUNCTION("""COMPUTED_VALUE"""),"조미김")</f>
        <v>조미김</v>
      </c>
    </row>
    <row r="14297">
      <c r="A14297" s="2" t="str">
        <f>IFERROR(__xludf.DUMMYFUNCTION("""COMPUTED_VALUE"""),"샘해밍떡")</f>
        <v>샘해밍떡</v>
      </c>
      <c r="B14297" s="2" t="str">
        <f>IFERROR(__xludf.DUMMYFUNCTION("""COMPUTED_VALUE"""),"콜라비")</f>
        <v>콜라비</v>
      </c>
    </row>
    <row r="14298">
      <c r="A14298" s="2" t="str">
        <f>IFERROR(__xludf.DUMMYFUNCTION("""COMPUTED_VALUE"""),"샘해밍떡")</f>
        <v>샘해밍떡</v>
      </c>
      <c r="B14298" s="2" t="str">
        <f>IFERROR(__xludf.DUMMYFUNCTION("""COMPUTED_VALUE"""),"비트")</f>
        <v>비트</v>
      </c>
    </row>
    <row r="14299">
      <c r="A14299" s="2" t="str">
        <f>IFERROR(__xludf.DUMMYFUNCTION("""COMPUTED_VALUE"""),"샘해밍떡")</f>
        <v>샘해밍떡</v>
      </c>
      <c r="B14299" s="2" t="str">
        <f>IFERROR(__xludf.DUMMYFUNCTION("""COMPUTED_VALUE"""),"파프리카")</f>
        <v>파프리카</v>
      </c>
    </row>
    <row r="14300">
      <c r="A14300" s="2" t="str">
        <f>IFERROR(__xludf.DUMMYFUNCTION("""COMPUTED_VALUE"""),"샘해밍떡")</f>
        <v>샘해밍떡</v>
      </c>
      <c r="B14300" s="2" t="str">
        <f>IFERROR(__xludf.DUMMYFUNCTION("""COMPUTED_VALUE"""),"식초양념장")</f>
        <v>식초양념장</v>
      </c>
    </row>
    <row r="14301">
      <c r="A14301" s="2" t="str">
        <f>IFERROR(__xludf.DUMMYFUNCTION("""COMPUTED_VALUE"""),"샘해밍떡")</f>
        <v>샘해밍떡</v>
      </c>
      <c r="B14301" s="2" t="str">
        <f>IFERROR(__xludf.DUMMYFUNCTION("""COMPUTED_VALUE"""),"유자식초")</f>
        <v>유자식초</v>
      </c>
    </row>
    <row r="14302">
      <c r="A14302" s="2" t="str">
        <f>IFERROR(__xludf.DUMMYFUNCTION("""COMPUTED_VALUE"""),"샘해밍떡")</f>
        <v>샘해밍떡</v>
      </c>
      <c r="B14302" s="2" t="str">
        <f>IFERROR(__xludf.DUMMYFUNCTION("""COMPUTED_VALUE"""),"시콰사 마멀레이드")</f>
        <v>시콰사 마멀레이드</v>
      </c>
    </row>
    <row r="14303">
      <c r="A14303" s="2" t="str">
        <f>IFERROR(__xludf.DUMMYFUNCTION("""COMPUTED_VALUE"""),"샘해밍떡")</f>
        <v>샘해밍떡</v>
      </c>
      <c r="B14303" s="2" t="str">
        <f>IFERROR(__xludf.DUMMYFUNCTION("""COMPUTED_VALUE"""),"새우살")</f>
        <v>새우살</v>
      </c>
    </row>
    <row r="14304">
      <c r="A14304" s="2" t="str">
        <f>IFERROR(__xludf.DUMMYFUNCTION("""COMPUTED_VALUE"""),"샘해밍떡")</f>
        <v>샘해밍떡</v>
      </c>
      <c r="B14304" s="2" t="str">
        <f>IFERROR(__xludf.DUMMYFUNCTION("""COMPUTED_VALUE"""),"라임")</f>
        <v>라임</v>
      </c>
    </row>
    <row r="14305">
      <c r="A14305" s="2" t="str">
        <f>IFERROR(__xludf.DUMMYFUNCTION("""COMPUTED_VALUE"""),"샘해밍떡")</f>
        <v>샘해밍떡</v>
      </c>
      <c r="B14305" s="2" t="str">
        <f>IFERROR(__xludf.DUMMYFUNCTION("""COMPUTED_VALUE"""),"토마토 처트니")</f>
        <v>토마토 처트니</v>
      </c>
    </row>
    <row r="14306">
      <c r="A14306" s="2" t="str">
        <f>IFERROR(__xludf.DUMMYFUNCTION("""COMPUTED_VALUE"""),"샘해밍떡")</f>
        <v>샘해밍떡</v>
      </c>
      <c r="B14306" s="2" t="str">
        <f>IFERROR(__xludf.DUMMYFUNCTION("""COMPUTED_VALUE"""),"쯔유")</f>
        <v>쯔유</v>
      </c>
    </row>
    <row r="14307">
      <c r="A14307" s="2" t="str">
        <f>IFERROR(__xludf.DUMMYFUNCTION("""COMPUTED_VALUE"""),"샘해밍떡")</f>
        <v>샘해밍떡</v>
      </c>
      <c r="B14307" s="2" t="str">
        <f>IFERROR(__xludf.DUMMYFUNCTION("""COMPUTED_VALUE"""),"알목심")</f>
        <v>알목심</v>
      </c>
    </row>
    <row r="14308">
      <c r="A14308" s="2" t="str">
        <f>IFERROR(__xludf.DUMMYFUNCTION("""COMPUTED_VALUE"""),"샘해밍떡")</f>
        <v>샘해밍떡</v>
      </c>
      <c r="B14308" s="2" t="str">
        <f>IFERROR(__xludf.DUMMYFUNCTION("""COMPUTED_VALUE"""),"다진 소고기")</f>
        <v>다진 소고기</v>
      </c>
    </row>
    <row r="14309">
      <c r="A14309" s="2" t="str">
        <f>IFERROR(__xludf.DUMMYFUNCTION("""COMPUTED_VALUE"""),"샘해밍떡")</f>
        <v>샘해밍떡</v>
      </c>
      <c r="B14309" s="2" t="str">
        <f>IFERROR(__xludf.DUMMYFUNCTION("""COMPUTED_VALUE"""),"달걀")</f>
        <v>달걀</v>
      </c>
    </row>
    <row r="14310">
      <c r="A14310" s="2" t="str">
        <f>IFERROR(__xludf.DUMMYFUNCTION("""COMPUTED_VALUE"""),"샘해밍떡")</f>
        <v>샘해밍떡</v>
      </c>
      <c r="B14310" s="2" t="str">
        <f>IFERROR(__xludf.DUMMYFUNCTION("""COMPUTED_VALUE"""),"밀가루")</f>
        <v>밀가루</v>
      </c>
    </row>
    <row r="14311">
      <c r="A14311" s="2" t="str">
        <f>IFERROR(__xludf.DUMMYFUNCTION("""COMPUTED_VALUE"""),"샘해밍떡")</f>
        <v>샘해밍떡</v>
      </c>
      <c r="B14311" s="2" t="str">
        <f>IFERROR(__xludf.DUMMYFUNCTION("""COMPUTED_VALUE"""),"다진 생강")</f>
        <v>다진 생강</v>
      </c>
    </row>
    <row r="14312">
      <c r="A14312" s="2" t="str">
        <f>IFERROR(__xludf.DUMMYFUNCTION("""COMPUTED_VALUE"""),"샘해밍떡")</f>
        <v>샘해밍떡</v>
      </c>
      <c r="B14312" s="2" t="str">
        <f>IFERROR(__xludf.DUMMYFUNCTION("""COMPUTED_VALUE"""),"당근")</f>
        <v>당근</v>
      </c>
    </row>
    <row r="14313">
      <c r="A14313" s="2" t="str">
        <f>IFERROR(__xludf.DUMMYFUNCTION("""COMPUTED_VALUE"""),"샘해밍떡")</f>
        <v>샘해밍떡</v>
      </c>
      <c r="B14313" s="2" t="str">
        <f>IFERROR(__xludf.DUMMYFUNCTION("""COMPUTED_VALUE"""),"튀김가루")</f>
        <v>튀김가루</v>
      </c>
    </row>
    <row r="14314">
      <c r="A14314" s="2" t="str">
        <f>IFERROR(__xludf.DUMMYFUNCTION("""COMPUTED_VALUE"""),"샘해밍떡")</f>
        <v>샘해밍떡</v>
      </c>
      <c r="B14314" s="2" t="str">
        <f>IFERROR(__xludf.DUMMYFUNCTION("""COMPUTED_VALUE"""),"전분")</f>
        <v>전분</v>
      </c>
    </row>
    <row r="14315">
      <c r="A14315" s="2" t="str">
        <f>IFERROR(__xludf.DUMMYFUNCTION("""COMPUTED_VALUE"""),"샘해밍떡")</f>
        <v>샘해밍떡</v>
      </c>
      <c r="B14315" s="2" t="str">
        <f>IFERROR(__xludf.DUMMYFUNCTION("""COMPUTED_VALUE"""),"참기름")</f>
        <v>참기름</v>
      </c>
    </row>
    <row r="14316">
      <c r="A14316" s="2" t="str">
        <f>IFERROR(__xludf.DUMMYFUNCTION("""COMPUTED_VALUE"""),"게장이 달라 달라♬")</f>
        <v>게장이 달라 달라♬</v>
      </c>
      <c r="B14316" s="2" t="str">
        <f>IFERROR(__xludf.DUMMYFUNCTION("""COMPUTED_VALUE"""),"꽃게")</f>
        <v>꽃게</v>
      </c>
    </row>
    <row r="14317">
      <c r="A14317" s="2" t="str">
        <f>IFERROR(__xludf.DUMMYFUNCTION("""COMPUTED_VALUE"""),"게장이 달라 달라♬")</f>
        <v>게장이 달라 달라♬</v>
      </c>
      <c r="B14317" s="2" t="str">
        <f>IFERROR(__xludf.DUMMYFUNCTION("""COMPUTED_VALUE"""),"연어")</f>
        <v>연어</v>
      </c>
    </row>
    <row r="14318">
      <c r="A14318" s="2" t="str">
        <f>IFERROR(__xludf.DUMMYFUNCTION("""COMPUTED_VALUE"""),"게장이 달라 달라♬")</f>
        <v>게장이 달라 달라♬</v>
      </c>
      <c r="B14318" s="2" t="str">
        <f>IFERROR(__xludf.DUMMYFUNCTION("""COMPUTED_VALUE"""),"참돔")</f>
        <v>참돔</v>
      </c>
    </row>
    <row r="14319">
      <c r="A14319" s="2" t="str">
        <f>IFERROR(__xludf.DUMMYFUNCTION("""COMPUTED_VALUE"""),"게장이 달라 달라♬")</f>
        <v>게장이 달라 달라♬</v>
      </c>
      <c r="B14319" s="2" t="str">
        <f>IFERROR(__xludf.DUMMYFUNCTION("""COMPUTED_VALUE"""),"표고버섯 육수팩")</f>
        <v>표고버섯 육수팩</v>
      </c>
    </row>
    <row r="14320">
      <c r="A14320" s="2" t="str">
        <f>IFERROR(__xludf.DUMMYFUNCTION("""COMPUTED_VALUE"""),"게장이 달라 달라♬")</f>
        <v>게장이 달라 달라♬</v>
      </c>
      <c r="B14320" s="2" t="str">
        <f>IFERROR(__xludf.DUMMYFUNCTION("""COMPUTED_VALUE"""),"우엉")</f>
        <v>우엉</v>
      </c>
    </row>
    <row r="14321">
      <c r="A14321" s="2" t="str">
        <f>IFERROR(__xludf.DUMMYFUNCTION("""COMPUTED_VALUE"""),"게장이 달라 달라♬")</f>
        <v>게장이 달라 달라♬</v>
      </c>
      <c r="B14321" s="2" t="str">
        <f>IFERROR(__xludf.DUMMYFUNCTION("""COMPUTED_VALUE"""),"시금치")</f>
        <v>시금치</v>
      </c>
    </row>
    <row r="14322">
      <c r="A14322" s="2" t="str">
        <f>IFERROR(__xludf.DUMMYFUNCTION("""COMPUTED_VALUE"""),"게장이 달라 달라♬")</f>
        <v>게장이 달라 달라♬</v>
      </c>
      <c r="B14322" s="2" t="str">
        <f>IFERROR(__xludf.DUMMYFUNCTION("""COMPUTED_VALUE"""),"순두부")</f>
        <v>순두부</v>
      </c>
    </row>
    <row r="14323">
      <c r="A14323" s="2" t="str">
        <f>IFERROR(__xludf.DUMMYFUNCTION("""COMPUTED_VALUE"""),"게장이 달라 달라♬")</f>
        <v>게장이 달라 달라♬</v>
      </c>
      <c r="B14323" s="2" t="str">
        <f>IFERROR(__xludf.DUMMYFUNCTION("""COMPUTED_VALUE"""),"두부")</f>
        <v>두부</v>
      </c>
    </row>
    <row r="14324">
      <c r="A14324" s="2" t="str">
        <f>IFERROR(__xludf.DUMMYFUNCTION("""COMPUTED_VALUE"""),"게장이 달라 달라♬")</f>
        <v>게장이 달라 달라♬</v>
      </c>
      <c r="B14324" s="2" t="str">
        <f>IFERROR(__xludf.DUMMYFUNCTION("""COMPUTED_VALUE"""),"잣")</f>
        <v>잣</v>
      </c>
    </row>
    <row r="14325">
      <c r="A14325" s="2" t="str">
        <f>IFERROR(__xludf.DUMMYFUNCTION("""COMPUTED_VALUE"""),"게장이 달라 달라♬")</f>
        <v>게장이 달라 달라♬</v>
      </c>
      <c r="B14325" s="2" t="str">
        <f>IFERROR(__xludf.DUMMYFUNCTION("""COMPUTED_VALUE"""),"타마고간장")</f>
        <v>타마고간장</v>
      </c>
    </row>
    <row r="14326">
      <c r="A14326" s="2" t="str">
        <f>IFERROR(__xludf.DUMMYFUNCTION("""COMPUTED_VALUE"""),"게장이 달라 달라♬")</f>
        <v>게장이 달라 달라♬</v>
      </c>
      <c r="B14326" s="2" t="str">
        <f>IFERROR(__xludf.DUMMYFUNCTION("""COMPUTED_VALUE"""),"스키야키소스")</f>
        <v>스키야키소스</v>
      </c>
    </row>
    <row r="14327">
      <c r="A14327" s="2" t="str">
        <f>IFERROR(__xludf.DUMMYFUNCTION("""COMPUTED_VALUE"""),"게장이 달라 달라♬")</f>
        <v>게장이 달라 달라♬</v>
      </c>
      <c r="B14327" s="2" t="str">
        <f>IFERROR(__xludf.DUMMYFUNCTION("""COMPUTED_VALUE"""),"달래")</f>
        <v>달래</v>
      </c>
    </row>
    <row r="14328">
      <c r="A14328" s="2" t="str">
        <f>IFERROR(__xludf.DUMMYFUNCTION("""COMPUTED_VALUE"""),"게장이 달라 달라♬")</f>
        <v>게장이 달라 달라♬</v>
      </c>
      <c r="B14328" s="2" t="str">
        <f>IFERROR(__xludf.DUMMYFUNCTION("""COMPUTED_VALUE"""),"아스파라거스")</f>
        <v>아스파라거스</v>
      </c>
    </row>
    <row r="14329">
      <c r="A14329" s="2" t="str">
        <f>IFERROR(__xludf.DUMMYFUNCTION("""COMPUTED_VALUE"""),"게장이 달라 달라♬")</f>
        <v>게장이 달라 달라♬</v>
      </c>
      <c r="B14329" s="2" t="str">
        <f>IFERROR(__xludf.DUMMYFUNCTION("""COMPUTED_VALUE"""),"청주")</f>
        <v>청주</v>
      </c>
    </row>
    <row r="14330">
      <c r="A14330" s="2" t="str">
        <f>IFERROR(__xludf.DUMMYFUNCTION("""COMPUTED_VALUE"""),"게장이 달라 달라♬")</f>
        <v>게장이 달라 달라♬</v>
      </c>
      <c r="B14330" s="2" t="str">
        <f>IFERROR(__xludf.DUMMYFUNCTION("""COMPUTED_VALUE"""),"맛술")</f>
        <v>맛술</v>
      </c>
    </row>
    <row r="14331">
      <c r="A14331" s="2" t="str">
        <f>IFERROR(__xludf.DUMMYFUNCTION("""COMPUTED_VALUE"""),"게장이 달라 달라♬")</f>
        <v>게장이 달라 달라♬</v>
      </c>
      <c r="B14331" s="2" t="str">
        <f>IFERROR(__xludf.DUMMYFUNCTION("""COMPUTED_VALUE"""),"다진 생강")</f>
        <v>다진 생강</v>
      </c>
    </row>
    <row r="14332">
      <c r="A14332" s="2" t="str">
        <f>IFERROR(__xludf.DUMMYFUNCTION("""COMPUTED_VALUE"""),"게장이 달라 달라♬")</f>
        <v>게장이 달라 달라♬</v>
      </c>
      <c r="B14332" s="2" t="str">
        <f>IFERROR(__xludf.DUMMYFUNCTION("""COMPUTED_VALUE"""),"다진 마늘")</f>
        <v>다진 마늘</v>
      </c>
    </row>
    <row r="14333">
      <c r="A14333" s="2" t="str">
        <f>IFERROR(__xludf.DUMMYFUNCTION("""COMPUTED_VALUE"""),"게장이 달라 달라♬")</f>
        <v>게장이 달라 달라♬</v>
      </c>
      <c r="B14333" s="2" t="str">
        <f>IFERROR(__xludf.DUMMYFUNCTION("""COMPUTED_VALUE"""),"물엿")</f>
        <v>물엿</v>
      </c>
    </row>
    <row r="14334">
      <c r="A14334" s="2" t="str">
        <f>IFERROR(__xludf.DUMMYFUNCTION("""COMPUTED_VALUE"""),"게장이 달라 달라♬")</f>
        <v>게장이 달라 달라♬</v>
      </c>
      <c r="B14334" s="2" t="str">
        <f>IFERROR(__xludf.DUMMYFUNCTION("""COMPUTED_VALUE"""),"쌀")</f>
        <v>쌀</v>
      </c>
    </row>
    <row r="14335">
      <c r="A14335" s="2" t="str">
        <f>IFERROR(__xludf.DUMMYFUNCTION("""COMPUTED_VALUE"""),"게장이 달라 달라♬")</f>
        <v>게장이 달라 달라♬</v>
      </c>
      <c r="B14335" s="2" t="str">
        <f>IFERROR(__xludf.DUMMYFUNCTION("""COMPUTED_VALUE"""),"소금")</f>
        <v>소금</v>
      </c>
    </row>
    <row r="14336">
      <c r="A14336" s="2" t="str">
        <f>IFERROR(__xludf.DUMMYFUNCTION("""COMPUTED_VALUE"""),"게장이 달라 달라♬")</f>
        <v>게장이 달라 달라♬</v>
      </c>
      <c r="B14336" s="2" t="str">
        <f>IFERROR(__xludf.DUMMYFUNCTION("""COMPUTED_VALUE"""),"깨")</f>
        <v>깨</v>
      </c>
    </row>
    <row r="14337">
      <c r="A14337" s="2" t="str">
        <f>IFERROR(__xludf.DUMMYFUNCTION("""COMPUTED_VALUE"""),"완자가 앗 뜨거뜨거♬")</f>
        <v>완자가 앗 뜨거뜨거♬</v>
      </c>
      <c r="B14337" s="2" t="str">
        <f>IFERROR(__xludf.DUMMYFUNCTION("""COMPUTED_VALUE"""),"가자미살")</f>
        <v>가자미살</v>
      </c>
    </row>
    <row r="14338">
      <c r="A14338" s="2" t="str">
        <f>IFERROR(__xludf.DUMMYFUNCTION("""COMPUTED_VALUE"""),"완자가 앗 뜨거뜨거♬")</f>
        <v>완자가 앗 뜨거뜨거♬</v>
      </c>
      <c r="B14338" s="2" t="str">
        <f>IFERROR(__xludf.DUMMYFUNCTION("""COMPUTED_VALUE"""),"대구살")</f>
        <v>대구살</v>
      </c>
    </row>
    <row r="14339">
      <c r="A14339" s="2" t="str">
        <f>IFERROR(__xludf.DUMMYFUNCTION("""COMPUTED_VALUE"""),"완자가 앗 뜨거뜨거♬")</f>
        <v>완자가 앗 뜨거뜨거♬</v>
      </c>
      <c r="B14339" s="2" t="str">
        <f>IFERROR(__xludf.DUMMYFUNCTION("""COMPUTED_VALUE"""),"칵테일새우")</f>
        <v>칵테일새우</v>
      </c>
    </row>
    <row r="14340">
      <c r="A14340" s="2" t="str">
        <f>IFERROR(__xludf.DUMMYFUNCTION("""COMPUTED_VALUE"""),"완자가 앗 뜨거뜨거♬")</f>
        <v>완자가 앗 뜨거뜨거♬</v>
      </c>
      <c r="B14340" s="2" t="str">
        <f>IFERROR(__xludf.DUMMYFUNCTION("""COMPUTED_VALUE"""),"연어")</f>
        <v>연어</v>
      </c>
    </row>
    <row r="14341">
      <c r="A14341" s="2" t="str">
        <f>IFERROR(__xludf.DUMMYFUNCTION("""COMPUTED_VALUE"""),"완자가 앗 뜨거뜨거♬")</f>
        <v>완자가 앗 뜨거뜨거♬</v>
      </c>
      <c r="B14341" s="2" t="str">
        <f>IFERROR(__xludf.DUMMYFUNCTION("""COMPUTED_VALUE"""),"청경채")</f>
        <v>청경채</v>
      </c>
    </row>
    <row r="14342">
      <c r="A14342" s="2" t="str">
        <f>IFERROR(__xludf.DUMMYFUNCTION("""COMPUTED_VALUE"""),"완자가 앗 뜨거뜨거♬")</f>
        <v>완자가 앗 뜨거뜨거♬</v>
      </c>
      <c r="B14342" s="2" t="str">
        <f>IFERROR(__xludf.DUMMYFUNCTION("""COMPUTED_VALUE"""),"바질페스토")</f>
        <v>바질페스토</v>
      </c>
    </row>
    <row r="14343">
      <c r="A14343" s="2" t="str">
        <f>IFERROR(__xludf.DUMMYFUNCTION("""COMPUTED_VALUE"""),"완자가 앗 뜨거뜨거♬")</f>
        <v>완자가 앗 뜨거뜨거♬</v>
      </c>
      <c r="B14343" s="2" t="str">
        <f>IFERROR(__xludf.DUMMYFUNCTION("""COMPUTED_VALUE"""),"플레인요거트")</f>
        <v>플레인요거트</v>
      </c>
    </row>
    <row r="14344">
      <c r="A14344" s="2" t="str">
        <f>IFERROR(__xludf.DUMMYFUNCTION("""COMPUTED_VALUE"""),"완자가 앗 뜨거뜨거♬")</f>
        <v>완자가 앗 뜨거뜨거♬</v>
      </c>
      <c r="B14344" s="2" t="str">
        <f>IFERROR(__xludf.DUMMYFUNCTION("""COMPUTED_VALUE"""),"베이비피클")</f>
        <v>베이비피클</v>
      </c>
    </row>
    <row r="14345">
      <c r="A14345" s="2" t="str">
        <f>IFERROR(__xludf.DUMMYFUNCTION("""COMPUTED_VALUE"""),"완자가 앗 뜨거뜨거♬")</f>
        <v>완자가 앗 뜨거뜨거♬</v>
      </c>
      <c r="B14345" s="2" t="str">
        <f>IFERROR(__xludf.DUMMYFUNCTION("""COMPUTED_VALUE"""),"무뼈닭발")</f>
        <v>무뼈닭발</v>
      </c>
    </row>
    <row r="14346">
      <c r="A14346" s="2" t="str">
        <f>IFERROR(__xludf.DUMMYFUNCTION("""COMPUTED_VALUE"""),"완자가 앗 뜨거뜨거♬")</f>
        <v>완자가 앗 뜨거뜨거♬</v>
      </c>
      <c r="B14346" s="2" t="str">
        <f>IFERROR(__xludf.DUMMYFUNCTION("""COMPUTED_VALUE"""),"애호박")</f>
        <v>애호박</v>
      </c>
    </row>
    <row r="14347">
      <c r="A14347" s="2" t="str">
        <f>IFERROR(__xludf.DUMMYFUNCTION("""COMPUTED_VALUE"""),"완자가 앗 뜨거뜨거♬")</f>
        <v>완자가 앗 뜨거뜨거♬</v>
      </c>
      <c r="B14347" s="2" t="str">
        <f>IFERROR(__xludf.DUMMYFUNCTION("""COMPUTED_VALUE"""),"말린 문어")</f>
        <v>말린 문어</v>
      </c>
    </row>
    <row r="14348">
      <c r="A14348" s="2" t="str">
        <f>IFERROR(__xludf.DUMMYFUNCTION("""COMPUTED_VALUE"""),"완자가 앗 뜨거뜨거♬")</f>
        <v>완자가 앗 뜨거뜨거♬</v>
      </c>
      <c r="B14348" s="2" t="str">
        <f>IFERROR(__xludf.DUMMYFUNCTION("""COMPUTED_VALUE"""),"가쓰오부시장국")</f>
        <v>가쓰오부시장국</v>
      </c>
    </row>
    <row r="14349">
      <c r="A14349" s="2" t="str">
        <f>IFERROR(__xludf.DUMMYFUNCTION("""COMPUTED_VALUE"""),"완자가 앗 뜨거뜨거♬")</f>
        <v>완자가 앗 뜨거뜨거♬</v>
      </c>
      <c r="B14349" s="2" t="str">
        <f>IFERROR(__xludf.DUMMYFUNCTION("""COMPUTED_VALUE"""),"인스턴트 황태해장국")</f>
        <v>인스턴트 황태해장국</v>
      </c>
    </row>
    <row r="14350">
      <c r="A14350" s="2" t="str">
        <f>IFERROR(__xludf.DUMMYFUNCTION("""COMPUTED_VALUE"""),"완자가 앗 뜨거뜨거♬")</f>
        <v>완자가 앗 뜨거뜨거♬</v>
      </c>
      <c r="B14350" s="2" t="str">
        <f>IFERROR(__xludf.DUMMYFUNCTION("""COMPUTED_VALUE"""),"올리브오일")</f>
        <v>올리브오일</v>
      </c>
    </row>
    <row r="14351">
      <c r="A14351" s="2" t="str">
        <f>IFERROR(__xludf.DUMMYFUNCTION("""COMPUTED_VALUE"""),"완자가 앗 뜨거뜨거♬")</f>
        <v>완자가 앗 뜨거뜨거♬</v>
      </c>
      <c r="B14351" s="2" t="str">
        <f>IFERROR(__xludf.DUMMYFUNCTION("""COMPUTED_VALUE"""),"대파")</f>
        <v>대파</v>
      </c>
    </row>
    <row r="14352">
      <c r="A14352" s="2" t="str">
        <f>IFERROR(__xludf.DUMMYFUNCTION("""COMPUTED_VALUE"""),"완자가 앗 뜨거뜨거♬")</f>
        <v>완자가 앗 뜨거뜨거♬</v>
      </c>
      <c r="B14352" s="2" t="str">
        <f>IFERROR(__xludf.DUMMYFUNCTION("""COMPUTED_VALUE"""),"홍고추")</f>
        <v>홍고추</v>
      </c>
    </row>
    <row r="14353">
      <c r="A14353" s="2" t="str">
        <f>IFERROR(__xludf.DUMMYFUNCTION("""COMPUTED_VALUE"""),"완자가 앗 뜨거뜨거♬")</f>
        <v>완자가 앗 뜨거뜨거♬</v>
      </c>
      <c r="B14353" s="2" t="str">
        <f>IFERROR(__xludf.DUMMYFUNCTION("""COMPUTED_VALUE"""),"마늘")</f>
        <v>마늘</v>
      </c>
    </row>
    <row r="14354">
      <c r="A14354" s="2" t="str">
        <f>IFERROR(__xludf.DUMMYFUNCTION("""COMPUTED_VALUE"""),"완자가 앗 뜨거뜨거♬")</f>
        <v>완자가 앗 뜨거뜨거♬</v>
      </c>
      <c r="B14354" s="2" t="str">
        <f>IFERROR(__xludf.DUMMYFUNCTION("""COMPUTED_VALUE"""),"고춧가루")</f>
        <v>고춧가루</v>
      </c>
    </row>
    <row r="14355">
      <c r="A14355" s="2" t="str">
        <f>IFERROR(__xludf.DUMMYFUNCTION("""COMPUTED_VALUE"""),"완자가 앗 뜨거뜨거♬")</f>
        <v>완자가 앗 뜨거뜨거♬</v>
      </c>
      <c r="B14355" s="2" t="str">
        <f>IFERROR(__xludf.DUMMYFUNCTION("""COMPUTED_VALUE"""),"후추")</f>
        <v>후추</v>
      </c>
    </row>
    <row r="14356">
      <c r="A14356" s="2" t="str">
        <f>IFERROR(__xludf.DUMMYFUNCTION("""COMPUTED_VALUE"""),"완자가 앗 뜨거뜨거♬")</f>
        <v>완자가 앗 뜨거뜨거♬</v>
      </c>
      <c r="B14356" s="2" t="str">
        <f>IFERROR(__xludf.DUMMYFUNCTION("""COMPUTED_VALUE"""),"전분")</f>
        <v>전분</v>
      </c>
    </row>
    <row r="14357">
      <c r="A14357" s="2" t="str">
        <f>IFERROR(__xludf.DUMMYFUNCTION("""COMPUTED_VALUE"""),"완자가 앗 뜨거뜨거♬")</f>
        <v>완자가 앗 뜨거뜨거♬</v>
      </c>
      <c r="B14357" s="2" t="str">
        <f>IFERROR(__xludf.DUMMYFUNCTION("""COMPUTED_VALUE"""),"소금")</f>
        <v>소금</v>
      </c>
    </row>
    <row r="14358">
      <c r="A14358" s="2" t="str">
        <f>IFERROR(__xludf.DUMMYFUNCTION("""COMPUTED_VALUE"""),"완자가 앗 뜨거뜨거♬")</f>
        <v>완자가 앗 뜨거뜨거♬</v>
      </c>
      <c r="B14358" s="2" t="str">
        <f>IFERROR(__xludf.DUMMYFUNCTION("""COMPUTED_VALUE"""),"양파")</f>
        <v>양파</v>
      </c>
    </row>
    <row r="14359">
      <c r="A14359" s="2" t="str">
        <f>IFERROR(__xludf.DUMMYFUNCTION("""COMPUTED_VALUE"""),"완자가 앗 뜨거뜨거♬")</f>
        <v>완자가 앗 뜨거뜨거♬</v>
      </c>
      <c r="B14359" s="2" t="str">
        <f>IFERROR(__xludf.DUMMYFUNCTION("""COMPUTED_VALUE"""),"설탕")</f>
        <v>설탕</v>
      </c>
    </row>
    <row r="14360">
      <c r="A14360" s="2" t="str">
        <f>IFERROR(__xludf.DUMMYFUNCTION("""COMPUTED_VALUE"""),"완자가 앗 뜨거뜨거♬")</f>
        <v>완자가 앗 뜨거뜨거♬</v>
      </c>
      <c r="B14360" s="2" t="str">
        <f>IFERROR(__xludf.DUMMYFUNCTION("""COMPUTED_VALUE"""),"레몬")</f>
        <v>레몬</v>
      </c>
    </row>
    <row r="14361">
      <c r="A14361" s="2" t="str">
        <f>IFERROR(__xludf.DUMMYFUNCTION("""COMPUTED_VALUE"""),"완자가 앗 뜨거뜨거♬")</f>
        <v>완자가 앗 뜨거뜨거♬</v>
      </c>
      <c r="B14361" s="2" t="str">
        <f>IFERROR(__xludf.DUMMYFUNCTION("""COMPUTED_VALUE"""),"고추")</f>
        <v>고추</v>
      </c>
    </row>
    <row r="14362">
      <c r="A14362" s="2" t="str">
        <f>IFERROR(__xludf.DUMMYFUNCTION("""COMPUTED_VALUE"""),"초통령")</f>
        <v>초통령</v>
      </c>
      <c r="B14362" s="2" t="str">
        <f>IFERROR(__xludf.DUMMYFUNCTION("""COMPUTED_VALUE"""),"무뼈닭발")</f>
        <v>무뼈닭발</v>
      </c>
    </row>
    <row r="14363">
      <c r="A14363" s="2" t="str">
        <f>IFERROR(__xludf.DUMMYFUNCTION("""COMPUTED_VALUE"""),"초통령")</f>
        <v>초통령</v>
      </c>
      <c r="B14363" s="2" t="str">
        <f>IFERROR(__xludf.DUMMYFUNCTION("""COMPUTED_VALUE"""),"청경채")</f>
        <v>청경채</v>
      </c>
    </row>
    <row r="14364">
      <c r="A14364" s="2" t="str">
        <f>IFERROR(__xludf.DUMMYFUNCTION("""COMPUTED_VALUE"""),"초통령")</f>
        <v>초통령</v>
      </c>
      <c r="B14364" s="2" t="str">
        <f>IFERROR(__xludf.DUMMYFUNCTION("""COMPUTED_VALUE"""),"가쓰오부시장국")</f>
        <v>가쓰오부시장국</v>
      </c>
    </row>
    <row r="14365">
      <c r="A14365" s="2" t="str">
        <f>IFERROR(__xludf.DUMMYFUNCTION("""COMPUTED_VALUE"""),"초통령")</f>
        <v>초통령</v>
      </c>
      <c r="B14365" s="2" t="str">
        <f>IFERROR(__xludf.DUMMYFUNCTION("""COMPUTED_VALUE"""),"가자미살")</f>
        <v>가자미살</v>
      </c>
    </row>
    <row r="14366">
      <c r="A14366" s="2" t="str">
        <f>IFERROR(__xludf.DUMMYFUNCTION("""COMPUTED_VALUE"""),"초통령")</f>
        <v>초통령</v>
      </c>
      <c r="B14366" s="2" t="str">
        <f>IFERROR(__xludf.DUMMYFUNCTION("""COMPUTED_VALUE"""),"새우살")</f>
        <v>새우살</v>
      </c>
    </row>
    <row r="14367">
      <c r="A14367" s="2" t="str">
        <f>IFERROR(__xludf.DUMMYFUNCTION("""COMPUTED_VALUE"""),"초통령")</f>
        <v>초통령</v>
      </c>
      <c r="B14367" s="2" t="str">
        <f>IFERROR(__xludf.DUMMYFUNCTION("""COMPUTED_VALUE"""),"대구살")</f>
        <v>대구살</v>
      </c>
    </row>
    <row r="14368">
      <c r="A14368" s="2" t="str">
        <f>IFERROR(__xludf.DUMMYFUNCTION("""COMPUTED_VALUE"""),"초통령")</f>
        <v>초통령</v>
      </c>
      <c r="B14368" s="2" t="str">
        <f>IFERROR(__xludf.DUMMYFUNCTION("""COMPUTED_VALUE"""),"인스턴트 황태해장국")</f>
        <v>인스턴트 황태해장국</v>
      </c>
    </row>
    <row r="14369">
      <c r="A14369" s="2" t="str">
        <f>IFERROR(__xludf.DUMMYFUNCTION("""COMPUTED_VALUE"""),"초통령")</f>
        <v>초통령</v>
      </c>
      <c r="B14369" s="2" t="str">
        <f>IFERROR(__xludf.DUMMYFUNCTION("""COMPUTED_VALUE"""),"바지락살")</f>
        <v>바지락살</v>
      </c>
    </row>
    <row r="14370">
      <c r="A14370" s="2" t="str">
        <f>IFERROR(__xludf.DUMMYFUNCTION("""COMPUTED_VALUE"""),"초통령")</f>
        <v>초통령</v>
      </c>
      <c r="B14370" s="2" t="str">
        <f>IFERROR(__xludf.DUMMYFUNCTION("""COMPUTED_VALUE"""),"방울토마토")</f>
        <v>방울토마토</v>
      </c>
    </row>
    <row r="14371">
      <c r="A14371" s="2" t="str">
        <f>IFERROR(__xludf.DUMMYFUNCTION("""COMPUTED_VALUE"""),"초통령")</f>
        <v>초통령</v>
      </c>
      <c r="B14371" s="2" t="str">
        <f>IFERROR(__xludf.DUMMYFUNCTION("""COMPUTED_VALUE"""),"된장")</f>
        <v>된장</v>
      </c>
    </row>
    <row r="14372">
      <c r="A14372" s="2" t="str">
        <f>IFERROR(__xludf.DUMMYFUNCTION("""COMPUTED_VALUE"""),"초통령")</f>
        <v>초통령</v>
      </c>
      <c r="B14372" s="2" t="str">
        <f>IFERROR(__xludf.DUMMYFUNCTION("""COMPUTED_VALUE"""),"소금")</f>
        <v>소금</v>
      </c>
    </row>
    <row r="14373">
      <c r="A14373" s="2" t="str">
        <f>IFERROR(__xludf.DUMMYFUNCTION("""COMPUTED_VALUE"""),"초통령")</f>
        <v>초통령</v>
      </c>
      <c r="B14373" s="2" t="str">
        <f>IFERROR(__xludf.DUMMYFUNCTION("""COMPUTED_VALUE"""),"밀가루")</f>
        <v>밀가루</v>
      </c>
    </row>
    <row r="14374">
      <c r="A14374" s="2" t="str">
        <f>IFERROR(__xludf.DUMMYFUNCTION("""COMPUTED_VALUE"""),"초통령")</f>
        <v>초통령</v>
      </c>
      <c r="B14374" s="2" t="str">
        <f>IFERROR(__xludf.DUMMYFUNCTION("""COMPUTED_VALUE"""),"전분")</f>
        <v>전분</v>
      </c>
    </row>
    <row r="14375">
      <c r="A14375" s="2" t="str">
        <f>IFERROR(__xludf.DUMMYFUNCTION("""COMPUTED_VALUE"""),"초통령")</f>
        <v>초통령</v>
      </c>
      <c r="B14375" s="2" t="str">
        <f>IFERROR(__xludf.DUMMYFUNCTION("""COMPUTED_VALUE"""),"식용유")</f>
        <v>식용유</v>
      </c>
    </row>
    <row r="14376">
      <c r="A14376" s="2" t="str">
        <f>IFERROR(__xludf.DUMMYFUNCTION("""COMPUTED_VALUE"""),"초통령")</f>
        <v>초통령</v>
      </c>
      <c r="B14376" s="2" t="str">
        <f>IFERROR(__xludf.DUMMYFUNCTION("""COMPUTED_VALUE"""),"대파")</f>
        <v>대파</v>
      </c>
    </row>
    <row r="14377">
      <c r="A14377" s="2" t="str">
        <f>IFERROR(__xludf.DUMMYFUNCTION("""COMPUTED_VALUE"""),"초통령")</f>
        <v>초통령</v>
      </c>
      <c r="B14377" s="2" t="str">
        <f>IFERROR(__xludf.DUMMYFUNCTION("""COMPUTED_VALUE"""),"다진마늘")</f>
        <v>다진마늘</v>
      </c>
    </row>
    <row r="14378">
      <c r="A14378" s="2" t="str">
        <f>IFERROR(__xludf.DUMMYFUNCTION("""COMPUTED_VALUE"""),"초통령")</f>
        <v>초통령</v>
      </c>
      <c r="B14378" s="2" t="str">
        <f>IFERROR(__xludf.DUMMYFUNCTION("""COMPUTED_VALUE"""),"청양고추")</f>
        <v>청양고추</v>
      </c>
    </row>
    <row r="14379">
      <c r="A14379" s="2" t="str">
        <f>IFERROR(__xludf.DUMMYFUNCTION("""COMPUTED_VALUE"""),"초통령")</f>
        <v>초통령</v>
      </c>
      <c r="B14379" s="2" t="str">
        <f>IFERROR(__xludf.DUMMYFUNCTION("""COMPUTED_VALUE"""),"간장")</f>
        <v>간장</v>
      </c>
    </row>
    <row r="14380">
      <c r="A14380" s="2" t="str">
        <f>IFERROR(__xludf.DUMMYFUNCTION("""COMPUTED_VALUE"""),"초통령")</f>
        <v>초통령</v>
      </c>
      <c r="B14380" s="2" t="str">
        <f>IFERROR(__xludf.DUMMYFUNCTION("""COMPUTED_VALUE"""),"고춧가루")</f>
        <v>고춧가루</v>
      </c>
    </row>
    <row r="14381">
      <c r="A14381" s="2" t="str">
        <f>IFERROR(__xludf.DUMMYFUNCTION("""COMPUTED_VALUE"""),"초통령")</f>
        <v>초통령</v>
      </c>
      <c r="B14381" s="2" t="str">
        <f>IFERROR(__xludf.DUMMYFUNCTION("""COMPUTED_VALUE"""),"식초")</f>
        <v>식초</v>
      </c>
    </row>
    <row r="14382">
      <c r="A14382" s="2" t="str">
        <f>IFERROR(__xludf.DUMMYFUNCTION("""COMPUTED_VALUE"""),"세.나.떡")</f>
        <v>세.나.떡</v>
      </c>
      <c r="B14382" s="2" t="str">
        <f>IFERROR(__xludf.DUMMYFUNCTION("""COMPUTED_VALUE"""),"말린 문어")</f>
        <v>말린 문어</v>
      </c>
    </row>
    <row r="14383">
      <c r="A14383" s="2" t="str">
        <f>IFERROR(__xludf.DUMMYFUNCTION("""COMPUTED_VALUE"""),"세.나.떡")</f>
        <v>세.나.떡</v>
      </c>
      <c r="B14383" s="2" t="str">
        <f>IFERROR(__xludf.DUMMYFUNCTION("""COMPUTED_VALUE"""),"고추장")</f>
        <v>고추장</v>
      </c>
    </row>
    <row r="14384">
      <c r="A14384" s="2" t="str">
        <f>IFERROR(__xludf.DUMMYFUNCTION("""COMPUTED_VALUE"""),"세.나.떡")</f>
        <v>세.나.떡</v>
      </c>
      <c r="B14384" s="2" t="str">
        <f>IFERROR(__xludf.DUMMYFUNCTION("""COMPUTED_VALUE"""),"청경채")</f>
        <v>청경채</v>
      </c>
    </row>
    <row r="14385">
      <c r="A14385" s="2" t="str">
        <f>IFERROR(__xludf.DUMMYFUNCTION("""COMPUTED_VALUE"""),"세.나.떡")</f>
        <v>세.나.떡</v>
      </c>
      <c r="B14385" s="2" t="str">
        <f>IFERROR(__xludf.DUMMYFUNCTION("""COMPUTED_VALUE"""),"대구살")</f>
        <v>대구살</v>
      </c>
    </row>
    <row r="14386">
      <c r="A14386" s="2" t="str">
        <f>IFERROR(__xludf.DUMMYFUNCTION("""COMPUTED_VALUE"""),"세.나.떡")</f>
        <v>세.나.떡</v>
      </c>
      <c r="B14386" s="2" t="str">
        <f>IFERROR(__xludf.DUMMYFUNCTION("""COMPUTED_VALUE"""),"새우살")</f>
        <v>새우살</v>
      </c>
    </row>
    <row r="14387">
      <c r="A14387" s="2" t="str">
        <f>IFERROR(__xludf.DUMMYFUNCTION("""COMPUTED_VALUE"""),"세.나.떡")</f>
        <v>세.나.떡</v>
      </c>
      <c r="B14387" s="2" t="str">
        <f>IFERROR(__xludf.DUMMYFUNCTION("""COMPUTED_VALUE"""),"칵테일새우")</f>
        <v>칵테일새우</v>
      </c>
    </row>
    <row r="14388">
      <c r="A14388" s="2" t="str">
        <f>IFERROR(__xludf.DUMMYFUNCTION("""COMPUTED_VALUE"""),"세.나.떡")</f>
        <v>세.나.떡</v>
      </c>
      <c r="B14388" s="2" t="str">
        <f>IFERROR(__xludf.DUMMYFUNCTION("""COMPUTED_VALUE"""),"가자미살")</f>
        <v>가자미살</v>
      </c>
    </row>
    <row r="14389">
      <c r="A14389" s="2" t="str">
        <f>IFERROR(__xludf.DUMMYFUNCTION("""COMPUTED_VALUE"""),"세.나.떡")</f>
        <v>세.나.떡</v>
      </c>
      <c r="B14389" s="2" t="str">
        <f>IFERROR(__xludf.DUMMYFUNCTION("""COMPUTED_VALUE"""),"고체 카레")</f>
        <v>고체 카레</v>
      </c>
    </row>
    <row r="14390">
      <c r="A14390" s="2" t="str">
        <f>IFERROR(__xludf.DUMMYFUNCTION("""COMPUTED_VALUE"""),"세.나.떡")</f>
        <v>세.나.떡</v>
      </c>
      <c r="B14390" s="2" t="str">
        <f>IFERROR(__xludf.DUMMYFUNCTION("""COMPUTED_VALUE"""),"인스턴트 황태해장국")</f>
        <v>인스턴트 황태해장국</v>
      </c>
    </row>
    <row r="14391">
      <c r="A14391" s="2" t="str">
        <f>IFERROR(__xludf.DUMMYFUNCTION("""COMPUTED_VALUE"""),"세.나.떡")</f>
        <v>세.나.떡</v>
      </c>
      <c r="B14391" s="2" t="str">
        <f>IFERROR(__xludf.DUMMYFUNCTION("""COMPUTED_VALUE"""),"바질페스토")</f>
        <v>바질페스토</v>
      </c>
    </row>
    <row r="14392">
      <c r="A14392" s="2" t="str">
        <f>IFERROR(__xludf.DUMMYFUNCTION("""COMPUTED_VALUE"""),"세.나.떡")</f>
        <v>세.나.떡</v>
      </c>
      <c r="B14392" s="2" t="str">
        <f>IFERROR(__xludf.DUMMYFUNCTION("""COMPUTED_VALUE"""),"가쓰오부시장국")</f>
        <v>가쓰오부시장국</v>
      </c>
    </row>
    <row r="14393">
      <c r="A14393" s="2" t="str">
        <f>IFERROR(__xludf.DUMMYFUNCTION("""COMPUTED_VALUE"""),"세.나.떡")</f>
        <v>세.나.떡</v>
      </c>
      <c r="B14393" s="2" t="str">
        <f>IFERROR(__xludf.DUMMYFUNCTION("""COMPUTED_VALUE"""),"방울토마토")</f>
        <v>방울토마토</v>
      </c>
    </row>
    <row r="14394">
      <c r="A14394" s="2" t="str">
        <f>IFERROR(__xludf.DUMMYFUNCTION("""COMPUTED_VALUE"""),"세.나.떡")</f>
        <v>세.나.떡</v>
      </c>
      <c r="B14394" s="2" t="str">
        <f>IFERROR(__xludf.DUMMYFUNCTION("""COMPUTED_VALUE"""),"즉석밥")</f>
        <v>즉석밥</v>
      </c>
    </row>
    <row r="14395">
      <c r="A14395" s="2" t="str">
        <f>IFERROR(__xludf.DUMMYFUNCTION("""COMPUTED_VALUE"""),"세.나.떡")</f>
        <v>세.나.떡</v>
      </c>
      <c r="B14395" s="2" t="str">
        <f>IFERROR(__xludf.DUMMYFUNCTION("""COMPUTED_VALUE"""),"전분")</f>
        <v>전분</v>
      </c>
    </row>
    <row r="14396">
      <c r="A14396" s="2" t="str">
        <f>IFERROR(__xludf.DUMMYFUNCTION("""COMPUTED_VALUE"""),"세.나.떡")</f>
        <v>세.나.떡</v>
      </c>
      <c r="B14396" s="2" t="str">
        <f>IFERROR(__xludf.DUMMYFUNCTION("""COMPUTED_VALUE"""),"고추장")</f>
        <v>고추장</v>
      </c>
    </row>
    <row r="14397">
      <c r="A14397" s="2" t="str">
        <f>IFERROR(__xludf.DUMMYFUNCTION("""COMPUTED_VALUE"""),"세.나.떡")</f>
        <v>세.나.떡</v>
      </c>
      <c r="B14397" s="2" t="str">
        <f>IFERROR(__xludf.DUMMYFUNCTION("""COMPUTED_VALUE"""),"고춧가루")</f>
        <v>고춧가루</v>
      </c>
    </row>
    <row r="14398">
      <c r="A14398" s="2" t="str">
        <f>IFERROR(__xludf.DUMMYFUNCTION("""COMPUTED_VALUE"""),"세.나.떡")</f>
        <v>세.나.떡</v>
      </c>
      <c r="B14398" s="2" t="str">
        <f>IFERROR(__xludf.DUMMYFUNCTION("""COMPUTED_VALUE"""),"설탕")</f>
        <v>설탕</v>
      </c>
    </row>
    <row r="14399">
      <c r="A14399" s="2" t="str">
        <f>IFERROR(__xludf.DUMMYFUNCTION("""COMPUTED_VALUE"""),"세.나.떡")</f>
        <v>세.나.떡</v>
      </c>
      <c r="B14399" s="2" t="str">
        <f>IFERROR(__xludf.DUMMYFUNCTION("""COMPUTED_VALUE"""),"물엿")</f>
        <v>물엿</v>
      </c>
    </row>
    <row r="14400">
      <c r="A14400" s="2" t="str">
        <f>IFERROR(__xludf.DUMMYFUNCTION("""COMPUTED_VALUE"""),"세.나.떡")</f>
        <v>세.나.떡</v>
      </c>
      <c r="B14400" s="2" t="str">
        <f>IFERROR(__xludf.DUMMYFUNCTION("""COMPUTED_VALUE"""),"고추")</f>
        <v>고추</v>
      </c>
    </row>
    <row r="14401">
      <c r="A14401" s="2" t="str">
        <f>IFERROR(__xludf.DUMMYFUNCTION("""COMPUTED_VALUE"""),"세.나.떡")</f>
        <v>세.나.떡</v>
      </c>
      <c r="B14401" s="2" t="str">
        <f>IFERROR(__xludf.DUMMYFUNCTION("""COMPUTED_VALUE"""),"홍고추")</f>
        <v>홍고추</v>
      </c>
    </row>
    <row r="14402">
      <c r="A14402" s="2" t="str">
        <f>IFERROR(__xludf.DUMMYFUNCTION("""COMPUTED_VALUE"""),"세.나.떡")</f>
        <v>세.나.떡</v>
      </c>
      <c r="B14402" s="2" t="str">
        <f>IFERROR(__xludf.DUMMYFUNCTION("""COMPUTED_VALUE"""),"참깨")</f>
        <v>참깨</v>
      </c>
    </row>
    <row r="14403">
      <c r="A14403" s="2" t="str">
        <f>IFERROR(__xludf.DUMMYFUNCTION("""COMPUTED_VALUE"""),"세.나.떡")</f>
        <v>세.나.떡</v>
      </c>
      <c r="B14403" s="2" t="str">
        <f>IFERROR(__xludf.DUMMYFUNCTION("""COMPUTED_VALUE"""),"대파")</f>
        <v>대파</v>
      </c>
    </row>
    <row r="14404">
      <c r="A14404" s="2" t="str">
        <f>IFERROR(__xludf.DUMMYFUNCTION("""COMPUTED_VALUE"""),"세.나.떡")</f>
        <v>세.나.떡</v>
      </c>
      <c r="B14404" s="2" t="str">
        <f>IFERROR(__xludf.DUMMYFUNCTION("""COMPUTED_VALUE"""),"달걀")</f>
        <v>달걀</v>
      </c>
    </row>
    <row r="14405">
      <c r="A14405" s="2" t="str">
        <f>IFERROR(__xludf.DUMMYFUNCTION("""COMPUTED_VALUE"""),"세.나.떡")</f>
        <v>세.나.떡</v>
      </c>
      <c r="B14405" s="2" t="str">
        <f>IFERROR(__xludf.DUMMYFUNCTION("""COMPUTED_VALUE"""),"레몬")</f>
        <v>레몬</v>
      </c>
    </row>
    <row r="14406">
      <c r="A14406" s="2" t="str">
        <f>IFERROR(__xludf.DUMMYFUNCTION("""COMPUTED_VALUE"""),"세.나.떡")</f>
        <v>세.나.떡</v>
      </c>
      <c r="B14406" s="2" t="str">
        <f>IFERROR(__xludf.DUMMYFUNCTION("""COMPUTED_VALUE"""),"참기름")</f>
        <v>참기름</v>
      </c>
    </row>
    <row r="14407">
      <c r="A14407" s="2" t="str">
        <f>IFERROR(__xludf.DUMMYFUNCTION("""COMPUTED_VALUE"""),"세.나.피")</f>
        <v>세.나.피</v>
      </c>
      <c r="B14407" s="2" t="str">
        <f>IFERROR(__xludf.DUMMYFUNCTION("""COMPUTED_VALUE"""),"글루텐프리 도우")</f>
        <v>글루텐프리 도우</v>
      </c>
    </row>
    <row r="14408">
      <c r="A14408" s="2" t="str">
        <f>IFERROR(__xludf.DUMMYFUNCTION("""COMPUTED_VALUE"""),"세.나.피")</f>
        <v>세.나.피</v>
      </c>
      <c r="B14408" s="2" t="str">
        <f>IFERROR(__xludf.DUMMYFUNCTION("""COMPUTED_VALUE"""),"연어")</f>
        <v>연어</v>
      </c>
    </row>
    <row r="14409">
      <c r="A14409" s="2" t="str">
        <f>IFERROR(__xludf.DUMMYFUNCTION("""COMPUTED_VALUE"""),"세.나.피")</f>
        <v>세.나.피</v>
      </c>
      <c r="B14409" s="2" t="str">
        <f>IFERROR(__xludf.DUMMYFUNCTION("""COMPUTED_VALUE"""),"그릭요거트")</f>
        <v>그릭요거트</v>
      </c>
    </row>
    <row r="14410">
      <c r="A14410" s="2" t="str">
        <f>IFERROR(__xludf.DUMMYFUNCTION("""COMPUTED_VALUE"""),"세.나.피")</f>
        <v>세.나.피</v>
      </c>
      <c r="B14410" s="2" t="str">
        <f>IFERROR(__xludf.DUMMYFUNCTION("""COMPUTED_VALUE"""),"아보카도")</f>
        <v>아보카도</v>
      </c>
    </row>
    <row r="14411">
      <c r="A14411" s="2" t="str">
        <f>IFERROR(__xludf.DUMMYFUNCTION("""COMPUTED_VALUE"""),"세.나.피")</f>
        <v>세.나.피</v>
      </c>
      <c r="B14411" s="2" t="str">
        <f>IFERROR(__xludf.DUMMYFUNCTION("""COMPUTED_VALUE"""),"된장")</f>
        <v>된장</v>
      </c>
    </row>
    <row r="14412">
      <c r="A14412" s="2" t="str">
        <f>IFERROR(__xludf.DUMMYFUNCTION("""COMPUTED_VALUE"""),"세.나.피")</f>
        <v>세.나.피</v>
      </c>
      <c r="B14412" s="2" t="str">
        <f>IFERROR(__xludf.DUMMYFUNCTION("""COMPUTED_VALUE"""),"새우살")</f>
        <v>새우살</v>
      </c>
    </row>
    <row r="14413">
      <c r="A14413" s="2" t="str">
        <f>IFERROR(__xludf.DUMMYFUNCTION("""COMPUTED_VALUE"""),"세.나.피")</f>
        <v>세.나.피</v>
      </c>
      <c r="B14413" s="2" t="str">
        <f>IFERROR(__xludf.DUMMYFUNCTION("""COMPUTED_VALUE"""),"말린 문어")</f>
        <v>말린 문어</v>
      </c>
    </row>
    <row r="14414">
      <c r="A14414" s="2" t="str">
        <f>IFERROR(__xludf.DUMMYFUNCTION("""COMPUTED_VALUE"""),"세.나.피")</f>
        <v>세.나.피</v>
      </c>
      <c r="B14414" s="2" t="str">
        <f>IFERROR(__xludf.DUMMYFUNCTION("""COMPUTED_VALUE"""),"곡물가루")</f>
        <v>곡물가루</v>
      </c>
    </row>
    <row r="14415">
      <c r="A14415" s="2" t="str">
        <f>IFERROR(__xludf.DUMMYFUNCTION("""COMPUTED_VALUE"""),"세.나.피")</f>
        <v>세.나.피</v>
      </c>
      <c r="B14415" s="2" t="str">
        <f>IFERROR(__xludf.DUMMYFUNCTION("""COMPUTED_VALUE"""),"애호박")</f>
        <v>애호박</v>
      </c>
    </row>
    <row r="14416">
      <c r="A14416" s="2" t="str">
        <f>IFERROR(__xludf.DUMMYFUNCTION("""COMPUTED_VALUE"""),"세.나.피")</f>
        <v>세.나.피</v>
      </c>
      <c r="B14416" s="2" t="str">
        <f>IFERROR(__xludf.DUMMYFUNCTION("""COMPUTED_VALUE"""),"가쓰오부시장국")</f>
        <v>가쓰오부시장국</v>
      </c>
    </row>
    <row r="14417">
      <c r="A14417" s="2" t="str">
        <f>IFERROR(__xludf.DUMMYFUNCTION("""COMPUTED_VALUE"""),"세.나.피")</f>
        <v>세.나.피</v>
      </c>
      <c r="B14417" s="2" t="str">
        <f>IFERROR(__xludf.DUMMYFUNCTION("""COMPUTED_VALUE"""),"고추장")</f>
        <v>고추장</v>
      </c>
    </row>
    <row r="14418">
      <c r="A14418" s="2" t="str">
        <f>IFERROR(__xludf.DUMMYFUNCTION("""COMPUTED_VALUE"""),"세.나.피")</f>
        <v>세.나.피</v>
      </c>
      <c r="B14418" s="2" t="str">
        <f>IFERROR(__xludf.DUMMYFUNCTION("""COMPUTED_VALUE"""),"소금")</f>
        <v>소금</v>
      </c>
    </row>
    <row r="14419">
      <c r="A14419" s="2" t="str">
        <f>IFERROR(__xludf.DUMMYFUNCTION("""COMPUTED_VALUE"""),"세.나.피")</f>
        <v>세.나.피</v>
      </c>
      <c r="B14419" s="2" t="str">
        <f>IFERROR(__xludf.DUMMYFUNCTION("""COMPUTED_VALUE"""),"달걀")</f>
        <v>달걀</v>
      </c>
    </row>
    <row r="14420">
      <c r="A14420" s="2" t="str">
        <f>IFERROR(__xludf.DUMMYFUNCTION("""COMPUTED_VALUE"""),"세.나.피")</f>
        <v>세.나.피</v>
      </c>
      <c r="B14420" s="2" t="str">
        <f>IFERROR(__xludf.DUMMYFUNCTION("""COMPUTED_VALUE"""),"대파")</f>
        <v>대파</v>
      </c>
    </row>
    <row r="14421">
      <c r="A14421" s="2" t="str">
        <f>IFERROR(__xludf.DUMMYFUNCTION("""COMPUTED_VALUE"""),"세.나.피")</f>
        <v>세.나.피</v>
      </c>
      <c r="B14421" s="2" t="str">
        <f>IFERROR(__xludf.DUMMYFUNCTION("""COMPUTED_VALUE"""),"양파")</f>
        <v>양파</v>
      </c>
    </row>
    <row r="14422">
      <c r="A14422" s="2" t="str">
        <f>IFERROR(__xludf.DUMMYFUNCTION("""COMPUTED_VALUE"""),"세.나.피")</f>
        <v>세.나.피</v>
      </c>
      <c r="B14422" s="2" t="str">
        <f>IFERROR(__xludf.DUMMYFUNCTION("""COMPUTED_VALUE"""),"홍고추")</f>
        <v>홍고추</v>
      </c>
    </row>
    <row r="14423">
      <c r="A14423" s="2" t="str">
        <f>IFERROR(__xludf.DUMMYFUNCTION("""COMPUTED_VALUE"""),"세.나.피")</f>
        <v>세.나.피</v>
      </c>
      <c r="B14423" s="2" t="str">
        <f>IFERROR(__xludf.DUMMYFUNCTION("""COMPUTED_VALUE"""),"고추")</f>
        <v>고추</v>
      </c>
    </row>
    <row r="14424">
      <c r="A14424" s="2" t="str">
        <f>IFERROR(__xludf.DUMMYFUNCTION("""COMPUTED_VALUE"""),"세.나.피")</f>
        <v>세.나.피</v>
      </c>
      <c r="B14424" s="2" t="str">
        <f>IFERROR(__xludf.DUMMYFUNCTION("""COMPUTED_VALUE"""),"된장")</f>
        <v>된장</v>
      </c>
    </row>
    <row r="14425">
      <c r="A14425" s="2" t="str">
        <f>IFERROR(__xludf.DUMMYFUNCTION("""COMPUTED_VALUE"""),"세.나.피")</f>
        <v>세.나.피</v>
      </c>
      <c r="B14425" s="2" t="str">
        <f>IFERROR(__xludf.DUMMYFUNCTION("""COMPUTED_VALUE"""),"올리브오일")</f>
        <v>올리브오일</v>
      </c>
    </row>
    <row r="14426">
      <c r="A14426" s="2" t="str">
        <f>IFERROR(__xludf.DUMMYFUNCTION("""COMPUTED_VALUE"""),"세.나.피")</f>
        <v>세.나.피</v>
      </c>
      <c r="B14426" s="2" t="str">
        <f>IFERROR(__xludf.DUMMYFUNCTION("""COMPUTED_VALUE"""),"연겨자")</f>
        <v>연겨자</v>
      </c>
    </row>
    <row r="14427">
      <c r="A14427" s="2" t="str">
        <f>IFERROR(__xludf.DUMMYFUNCTION("""COMPUTED_VALUE"""),"세.나.피")</f>
        <v>세.나.피</v>
      </c>
      <c r="B14427" s="2" t="str">
        <f>IFERROR(__xludf.DUMMYFUNCTION("""COMPUTED_VALUE"""),"다진마늘")</f>
        <v>다진마늘</v>
      </c>
    </row>
    <row r="14428">
      <c r="A14428" s="2" t="str">
        <f>IFERROR(__xludf.DUMMYFUNCTION("""COMPUTED_VALUE"""),"한 이불 덮었닭")</f>
        <v>한 이불 덮었닭</v>
      </c>
      <c r="B14428" s="2" t="str">
        <f>IFERROR(__xludf.DUMMYFUNCTION("""COMPUTED_VALUE"""),"감자수제비가루")</f>
        <v>감자수제비가루</v>
      </c>
    </row>
    <row r="14429">
      <c r="A14429" s="2" t="str">
        <f>IFERROR(__xludf.DUMMYFUNCTION("""COMPUTED_VALUE"""),"한 이불 덮었닭")</f>
        <v>한 이불 덮었닭</v>
      </c>
      <c r="B14429" s="2" t="str">
        <f>IFERROR(__xludf.DUMMYFUNCTION("""COMPUTED_VALUE"""),"카레가루")</f>
        <v>카레가루</v>
      </c>
    </row>
    <row r="14430">
      <c r="A14430" s="2" t="str">
        <f>IFERROR(__xludf.DUMMYFUNCTION("""COMPUTED_VALUE"""),"한 이불 덮었닭")</f>
        <v>한 이불 덮었닭</v>
      </c>
      <c r="B14430" s="2" t="str">
        <f>IFERROR(__xludf.DUMMYFUNCTION("""COMPUTED_VALUE"""),"탄두리맛 닭가슴살")</f>
        <v>탄두리맛 닭가슴살</v>
      </c>
    </row>
    <row r="14431">
      <c r="A14431" s="2" t="str">
        <f>IFERROR(__xludf.DUMMYFUNCTION("""COMPUTED_VALUE"""),"한 이불 덮었닭")</f>
        <v>한 이불 덮었닭</v>
      </c>
      <c r="B14431" s="2" t="str">
        <f>IFERROR(__xludf.DUMMYFUNCTION("""COMPUTED_VALUE"""),"닭날개")</f>
        <v>닭날개</v>
      </c>
    </row>
    <row r="14432">
      <c r="A14432" s="2" t="str">
        <f>IFERROR(__xludf.DUMMYFUNCTION("""COMPUTED_VALUE"""),"한 이불 덮었닭")</f>
        <v>한 이불 덮었닭</v>
      </c>
      <c r="B14432" s="2" t="str">
        <f>IFERROR(__xludf.DUMMYFUNCTION("""COMPUTED_VALUE"""),"치즈맛 핫바")</f>
        <v>치즈맛 핫바</v>
      </c>
    </row>
    <row r="14433">
      <c r="A14433" s="2" t="str">
        <f>IFERROR(__xludf.DUMMYFUNCTION("""COMPUTED_VALUE"""),"한 이불 덮었닭")</f>
        <v>한 이불 덮었닭</v>
      </c>
      <c r="B14433" s="2" t="str">
        <f>IFERROR(__xludf.DUMMYFUNCTION("""COMPUTED_VALUE"""),"인스턴트 갈비탕")</f>
        <v>인스턴트 갈비탕</v>
      </c>
    </row>
    <row r="14434">
      <c r="A14434" s="2" t="str">
        <f>IFERROR(__xludf.DUMMYFUNCTION("""COMPUTED_VALUE"""),"한 이불 덮었닭")</f>
        <v>한 이불 덮었닭</v>
      </c>
      <c r="B14434" s="2" t="str">
        <f>IFERROR(__xludf.DUMMYFUNCTION("""COMPUTED_VALUE"""),"시금치")</f>
        <v>시금치</v>
      </c>
    </row>
    <row r="14435">
      <c r="A14435" s="2" t="str">
        <f>IFERROR(__xludf.DUMMYFUNCTION("""COMPUTED_VALUE"""),"한 이불 덮었닭")</f>
        <v>한 이불 덮었닭</v>
      </c>
      <c r="B14435" s="2" t="str">
        <f>IFERROR(__xludf.DUMMYFUNCTION("""COMPUTED_VALUE"""),"올리브오일")</f>
        <v>올리브오일</v>
      </c>
    </row>
    <row r="14436">
      <c r="A14436" s="2" t="str">
        <f>IFERROR(__xludf.DUMMYFUNCTION("""COMPUTED_VALUE"""),"한 이불 덮었닭")</f>
        <v>한 이불 덮었닭</v>
      </c>
      <c r="B14436" s="2" t="str">
        <f>IFERROR(__xludf.DUMMYFUNCTION("""COMPUTED_VALUE"""),"청양고추")</f>
        <v>청양고추</v>
      </c>
    </row>
    <row r="14437">
      <c r="A14437" s="2" t="str">
        <f>IFERROR(__xludf.DUMMYFUNCTION("""COMPUTED_VALUE"""),"한 이불 덮었닭")</f>
        <v>한 이불 덮었닭</v>
      </c>
      <c r="B14437" s="2" t="str">
        <f>IFERROR(__xludf.DUMMYFUNCTION("""COMPUTED_VALUE"""),"홍고추")</f>
        <v>홍고추</v>
      </c>
    </row>
    <row r="14438">
      <c r="A14438" s="2" t="str">
        <f>IFERROR(__xludf.DUMMYFUNCTION("""COMPUTED_VALUE"""),"한 이불 덮었닭")</f>
        <v>한 이불 덮었닭</v>
      </c>
      <c r="B14438" s="2" t="str">
        <f>IFERROR(__xludf.DUMMYFUNCTION("""COMPUTED_VALUE"""),"양파")</f>
        <v>양파</v>
      </c>
    </row>
    <row r="14439">
      <c r="A14439" s="2" t="str">
        <f>IFERROR(__xludf.DUMMYFUNCTION("""COMPUTED_VALUE"""),"한 이불 덮었닭")</f>
        <v>한 이불 덮었닭</v>
      </c>
      <c r="B14439" s="2" t="str">
        <f>IFERROR(__xludf.DUMMYFUNCTION("""COMPUTED_VALUE"""),"마늘")</f>
        <v>마늘</v>
      </c>
    </row>
    <row r="14440">
      <c r="A14440" s="2" t="str">
        <f>IFERROR(__xludf.DUMMYFUNCTION("""COMPUTED_VALUE"""),"한 이불 덮었닭")</f>
        <v>한 이불 덮었닭</v>
      </c>
      <c r="B14440" s="2" t="str">
        <f>IFERROR(__xludf.DUMMYFUNCTION("""COMPUTED_VALUE"""),"버터")</f>
        <v>버터</v>
      </c>
    </row>
    <row r="14441">
      <c r="A14441" s="2" t="str">
        <f>IFERROR(__xludf.DUMMYFUNCTION("""COMPUTED_VALUE"""),"한 이불 덮었닭")</f>
        <v>한 이불 덮었닭</v>
      </c>
      <c r="B14441" s="2" t="str">
        <f>IFERROR(__xludf.DUMMYFUNCTION("""COMPUTED_VALUE"""),"레몬")</f>
        <v>레몬</v>
      </c>
    </row>
    <row r="14442">
      <c r="A14442" s="2" t="str">
        <f>IFERROR(__xludf.DUMMYFUNCTION("""COMPUTED_VALUE"""),"한 이불 덮었닭")</f>
        <v>한 이불 덮었닭</v>
      </c>
      <c r="B14442" s="2" t="str">
        <f>IFERROR(__xludf.DUMMYFUNCTION("""COMPUTED_VALUE"""),"소금")</f>
        <v>소금</v>
      </c>
    </row>
    <row r="14443">
      <c r="A14443" s="2" t="str">
        <f>IFERROR(__xludf.DUMMYFUNCTION("""COMPUTED_VALUE"""),"짬짜탕")</f>
        <v>짬짜탕</v>
      </c>
      <c r="B14443" s="2" t="str">
        <f>IFERROR(__xludf.DUMMYFUNCTION("""COMPUTED_VALUE"""),"닭날개")</f>
        <v>닭날개</v>
      </c>
    </row>
    <row r="14444">
      <c r="A14444" s="2" t="str">
        <f>IFERROR(__xludf.DUMMYFUNCTION("""COMPUTED_VALUE"""),"짬짜탕")</f>
        <v>짬짜탕</v>
      </c>
      <c r="B14444" s="2" t="str">
        <f>IFERROR(__xludf.DUMMYFUNCTION("""COMPUTED_VALUE"""),"닭봉")</f>
        <v>닭봉</v>
      </c>
    </row>
    <row r="14445">
      <c r="A14445" s="2" t="str">
        <f>IFERROR(__xludf.DUMMYFUNCTION("""COMPUTED_VALUE"""),"짬짜탕")</f>
        <v>짬짜탕</v>
      </c>
      <c r="B14445" s="2" t="str">
        <f>IFERROR(__xludf.DUMMYFUNCTION("""COMPUTED_VALUE"""),"숯불맛 핫바")</f>
        <v>숯불맛 핫바</v>
      </c>
    </row>
    <row r="14446">
      <c r="A14446" s="2" t="str">
        <f>IFERROR(__xludf.DUMMYFUNCTION("""COMPUTED_VALUE"""),"짬짜탕")</f>
        <v>짬짜탕</v>
      </c>
      <c r="B14446" s="2" t="str">
        <f>IFERROR(__xludf.DUMMYFUNCTION("""COMPUTED_VALUE"""),"전복")</f>
        <v>전복</v>
      </c>
    </row>
    <row r="14447">
      <c r="A14447" s="2" t="str">
        <f>IFERROR(__xludf.DUMMYFUNCTION("""COMPUTED_VALUE"""),"짬짜탕")</f>
        <v>짬짜탕</v>
      </c>
      <c r="B14447" s="2" t="str">
        <f>IFERROR(__xludf.DUMMYFUNCTION("""COMPUTED_VALUE"""),"인스턴트 갈비탕")</f>
        <v>인스턴트 갈비탕</v>
      </c>
    </row>
    <row r="14448">
      <c r="A14448" s="2" t="str">
        <f>IFERROR(__xludf.DUMMYFUNCTION("""COMPUTED_VALUE"""),"짬짜탕")</f>
        <v>짬짜탕</v>
      </c>
      <c r="B14448" s="2" t="str">
        <f>IFERROR(__xludf.DUMMYFUNCTION("""COMPUTED_VALUE"""),"누룽지")</f>
        <v>누룽지</v>
      </c>
    </row>
    <row r="14449">
      <c r="A14449" s="2" t="str">
        <f>IFERROR(__xludf.DUMMYFUNCTION("""COMPUTED_VALUE"""),"짬짜탕")</f>
        <v>짬짜탕</v>
      </c>
      <c r="B14449" s="2" t="str">
        <f>IFERROR(__xludf.DUMMYFUNCTION("""COMPUTED_VALUE"""),"매운맛 짜장라면")</f>
        <v>매운맛 짜장라면</v>
      </c>
    </row>
    <row r="14450">
      <c r="A14450" s="2" t="str">
        <f>IFERROR(__xludf.DUMMYFUNCTION("""COMPUTED_VALUE"""),"짬짜탕")</f>
        <v>짬짜탕</v>
      </c>
      <c r="B14450" s="2" t="str">
        <f>IFERROR(__xludf.DUMMYFUNCTION("""COMPUTED_VALUE"""),"시금치")</f>
        <v>시금치</v>
      </c>
    </row>
    <row r="14451">
      <c r="A14451" s="2" t="str">
        <f>IFERROR(__xludf.DUMMYFUNCTION("""COMPUTED_VALUE"""),"짬짜탕")</f>
        <v>짬짜탕</v>
      </c>
      <c r="B14451" s="2" t="str">
        <f>IFERROR(__xludf.DUMMYFUNCTION("""COMPUTED_VALUE"""),"간장")</f>
        <v>간장</v>
      </c>
    </row>
    <row r="14452">
      <c r="A14452" s="2" t="str">
        <f>IFERROR(__xludf.DUMMYFUNCTION("""COMPUTED_VALUE"""),"짬짜탕")</f>
        <v>짬짜탕</v>
      </c>
      <c r="B14452" s="2" t="str">
        <f>IFERROR(__xludf.DUMMYFUNCTION("""COMPUTED_VALUE"""),"달걀")</f>
        <v>달걀</v>
      </c>
    </row>
    <row r="14453">
      <c r="A14453" s="2" t="str">
        <f>IFERROR(__xludf.DUMMYFUNCTION("""COMPUTED_VALUE"""),"짬짜탕")</f>
        <v>짬짜탕</v>
      </c>
      <c r="B14453" s="2" t="str">
        <f>IFERROR(__xludf.DUMMYFUNCTION("""COMPUTED_VALUE"""),"전분")</f>
        <v>전분</v>
      </c>
    </row>
    <row r="14454">
      <c r="A14454" s="2" t="str">
        <f>IFERROR(__xludf.DUMMYFUNCTION("""COMPUTED_VALUE"""),"짬짜탕")</f>
        <v>짬짜탕</v>
      </c>
      <c r="B14454" s="2" t="str">
        <f>IFERROR(__xludf.DUMMYFUNCTION("""COMPUTED_VALUE"""),"대파")</f>
        <v>대파</v>
      </c>
    </row>
    <row r="14455">
      <c r="A14455" s="2" t="str">
        <f>IFERROR(__xludf.DUMMYFUNCTION("""COMPUTED_VALUE"""),"짬짜탕")</f>
        <v>짬짜탕</v>
      </c>
      <c r="B14455" s="2" t="str">
        <f>IFERROR(__xludf.DUMMYFUNCTION("""COMPUTED_VALUE"""),"마늘")</f>
        <v>마늘</v>
      </c>
    </row>
    <row r="14456">
      <c r="A14456" s="2" t="str">
        <f>IFERROR(__xludf.DUMMYFUNCTION("""COMPUTED_VALUE"""),"짬짜탕")</f>
        <v>짬짜탕</v>
      </c>
      <c r="B14456" s="2" t="str">
        <f>IFERROR(__xludf.DUMMYFUNCTION("""COMPUTED_VALUE"""),"양파")</f>
        <v>양파</v>
      </c>
    </row>
    <row r="14457">
      <c r="A14457" s="2" t="str">
        <f>IFERROR(__xludf.DUMMYFUNCTION("""COMPUTED_VALUE"""),"짬짜탕")</f>
        <v>짬짜탕</v>
      </c>
      <c r="B14457" s="2" t="str">
        <f>IFERROR(__xludf.DUMMYFUNCTION("""COMPUTED_VALUE"""),"고춧가루")</f>
        <v>고춧가루</v>
      </c>
    </row>
    <row r="14458">
      <c r="A14458" s="2" t="str">
        <f>IFERROR(__xludf.DUMMYFUNCTION("""COMPUTED_VALUE"""),"짬짜탕")</f>
        <v>짬짜탕</v>
      </c>
      <c r="B14458" s="2" t="str">
        <f>IFERROR(__xludf.DUMMYFUNCTION("""COMPUTED_VALUE"""),"당근")</f>
        <v>당근</v>
      </c>
    </row>
    <row r="14459">
      <c r="A14459" s="2" t="str">
        <f>IFERROR(__xludf.DUMMYFUNCTION("""COMPUTED_VALUE"""),"레이먼의 손아귀")</f>
        <v>레이먼의 손아귀</v>
      </c>
      <c r="B14459" s="2" t="str">
        <f>IFERROR(__xludf.DUMMYFUNCTION("""COMPUTED_VALUE"""),"아귀")</f>
        <v>아귀</v>
      </c>
    </row>
    <row r="14460">
      <c r="A14460" s="2" t="str">
        <f>IFERROR(__xludf.DUMMYFUNCTION("""COMPUTED_VALUE"""),"레이먼의 손아귀")</f>
        <v>레이먼의 손아귀</v>
      </c>
      <c r="B14460" s="2" t="str">
        <f>IFERROR(__xludf.DUMMYFUNCTION("""COMPUTED_VALUE"""),"시금치")</f>
        <v>시금치</v>
      </c>
    </row>
    <row r="14461">
      <c r="A14461" s="2" t="str">
        <f>IFERROR(__xludf.DUMMYFUNCTION("""COMPUTED_VALUE"""),"레이먼의 손아귀")</f>
        <v>레이먼의 손아귀</v>
      </c>
      <c r="B14461" s="2" t="str">
        <f>IFERROR(__xludf.DUMMYFUNCTION("""COMPUTED_VALUE"""),"애호박")</f>
        <v>애호박</v>
      </c>
    </row>
    <row r="14462">
      <c r="A14462" s="2" t="str">
        <f>IFERROR(__xludf.DUMMYFUNCTION("""COMPUTED_VALUE"""),"레이먼의 손아귀")</f>
        <v>레이먼의 손아귀</v>
      </c>
      <c r="B14462" s="2" t="str">
        <f>IFERROR(__xludf.DUMMYFUNCTION("""COMPUTED_VALUE"""),"유자소스")</f>
        <v>유자소스</v>
      </c>
    </row>
    <row r="14463">
      <c r="A14463" s="2" t="str">
        <f>IFERROR(__xludf.DUMMYFUNCTION("""COMPUTED_VALUE"""),"레이먼의 손아귀")</f>
        <v>레이먼의 손아귀</v>
      </c>
      <c r="B14463" s="2" t="str">
        <f>IFERROR(__xludf.DUMMYFUNCTION("""COMPUTED_VALUE"""),"낙지젓")</f>
        <v>낙지젓</v>
      </c>
    </row>
    <row r="14464">
      <c r="A14464" s="2" t="str">
        <f>IFERROR(__xludf.DUMMYFUNCTION("""COMPUTED_VALUE"""),"레이먼의 손아귀")</f>
        <v>레이먼의 손아귀</v>
      </c>
      <c r="B14464" s="2" t="str">
        <f>IFERROR(__xludf.DUMMYFUNCTION("""COMPUTED_VALUE"""),"무")</f>
        <v>무</v>
      </c>
    </row>
    <row r="14465">
      <c r="A14465" s="2" t="str">
        <f>IFERROR(__xludf.DUMMYFUNCTION("""COMPUTED_VALUE"""),"레이먼의 손아귀")</f>
        <v>레이먼의 손아귀</v>
      </c>
      <c r="B14465" s="2" t="str">
        <f>IFERROR(__xludf.DUMMYFUNCTION("""COMPUTED_VALUE"""),"다시마")</f>
        <v>다시마</v>
      </c>
    </row>
    <row r="14466">
      <c r="A14466" s="2" t="str">
        <f>IFERROR(__xludf.DUMMYFUNCTION("""COMPUTED_VALUE"""),"레이먼의 손아귀")</f>
        <v>레이먼의 손아귀</v>
      </c>
      <c r="B14466" s="2" t="str">
        <f>IFERROR(__xludf.DUMMYFUNCTION("""COMPUTED_VALUE"""),"국물용 멸치")</f>
        <v>국물용 멸치</v>
      </c>
    </row>
    <row r="14467">
      <c r="A14467" s="2" t="str">
        <f>IFERROR(__xludf.DUMMYFUNCTION("""COMPUTED_VALUE"""),"레이먼의 손아귀")</f>
        <v>레이먼의 손아귀</v>
      </c>
      <c r="B14467" s="2" t="str">
        <f>IFERROR(__xludf.DUMMYFUNCTION("""COMPUTED_VALUE"""),"간장")</f>
        <v>간장</v>
      </c>
    </row>
    <row r="14468">
      <c r="A14468" s="2" t="str">
        <f>IFERROR(__xludf.DUMMYFUNCTION("""COMPUTED_VALUE"""),"레이먼의 손아귀")</f>
        <v>레이먼의 손아귀</v>
      </c>
      <c r="B14468" s="2" t="str">
        <f>IFERROR(__xludf.DUMMYFUNCTION("""COMPUTED_VALUE"""),"설탕")</f>
        <v>설탕</v>
      </c>
    </row>
    <row r="14469">
      <c r="A14469" s="2" t="str">
        <f>IFERROR(__xludf.DUMMYFUNCTION("""COMPUTED_VALUE"""),"레이먼의 손아귀")</f>
        <v>레이먼의 손아귀</v>
      </c>
      <c r="B14469" s="2" t="str">
        <f>IFERROR(__xludf.DUMMYFUNCTION("""COMPUTED_VALUE"""),"맛술")</f>
        <v>맛술</v>
      </c>
    </row>
    <row r="14470">
      <c r="A14470" s="2" t="str">
        <f>IFERROR(__xludf.DUMMYFUNCTION("""COMPUTED_VALUE"""),"레이먼의 손아귀")</f>
        <v>레이먼의 손아귀</v>
      </c>
      <c r="B14470" s="2" t="str">
        <f>IFERROR(__xludf.DUMMYFUNCTION("""COMPUTED_VALUE"""),"청양고추")</f>
        <v>청양고추</v>
      </c>
    </row>
    <row r="14471">
      <c r="A14471" s="2" t="str">
        <f>IFERROR(__xludf.DUMMYFUNCTION("""COMPUTED_VALUE"""),"레이먼의 손아귀")</f>
        <v>레이먼의 손아귀</v>
      </c>
      <c r="B14471" s="2" t="str">
        <f>IFERROR(__xludf.DUMMYFUNCTION("""COMPUTED_VALUE"""),"대파")</f>
        <v>대파</v>
      </c>
    </row>
    <row r="14472">
      <c r="A14472" s="2" t="str">
        <f>IFERROR(__xludf.DUMMYFUNCTION("""COMPUTED_VALUE"""),"레이먼의 손아귀")</f>
        <v>레이먼의 손아귀</v>
      </c>
      <c r="B14472" s="2" t="str">
        <f>IFERROR(__xludf.DUMMYFUNCTION("""COMPUTED_VALUE"""),"마늘")</f>
        <v>마늘</v>
      </c>
    </row>
    <row r="14473">
      <c r="A14473" s="2" t="str">
        <f>IFERROR(__xludf.DUMMYFUNCTION("""COMPUTED_VALUE"""),"레이먼의 손아귀")</f>
        <v>레이먼의 손아귀</v>
      </c>
      <c r="B14473" s="2" t="str">
        <f>IFERROR(__xludf.DUMMYFUNCTION("""COMPUTED_VALUE"""),"후추")</f>
        <v>후추</v>
      </c>
    </row>
    <row r="14474">
      <c r="A14474" s="2" t="str">
        <f>IFERROR(__xludf.DUMMYFUNCTION("""COMPUTED_VALUE"""),"레이먼의 손아귀")</f>
        <v>레이먼의 손아귀</v>
      </c>
      <c r="B14474" s="2" t="str">
        <f>IFERROR(__xludf.DUMMYFUNCTION("""COMPUTED_VALUE"""),"생강")</f>
        <v>생강</v>
      </c>
    </row>
    <row r="14475">
      <c r="A14475" s="2" t="str">
        <f>IFERROR(__xludf.DUMMYFUNCTION("""COMPUTED_VALUE"""),"레이먼의 손아귀")</f>
        <v>레이먼의 손아귀</v>
      </c>
      <c r="B14475" s="2" t="str">
        <f>IFERROR(__xludf.DUMMYFUNCTION("""COMPUTED_VALUE"""),"소금")</f>
        <v>소금</v>
      </c>
    </row>
    <row r="14476">
      <c r="A14476" s="2" t="str">
        <f>IFERROR(__xludf.DUMMYFUNCTION("""COMPUTED_VALUE"""),"레이먼의 손아귀")</f>
        <v>레이먼의 손아귀</v>
      </c>
      <c r="B14476" s="2" t="str">
        <f>IFERROR(__xludf.DUMMYFUNCTION("""COMPUTED_VALUE"""),"후추")</f>
        <v>후추</v>
      </c>
    </row>
    <row r="14477">
      <c r="A14477" s="2" t="str">
        <f>IFERROR(__xludf.DUMMYFUNCTION("""COMPUTED_VALUE"""),"레이먼의 손아귀")</f>
        <v>레이먼의 손아귀</v>
      </c>
      <c r="B14477" s="2" t="str">
        <f>IFERROR(__xludf.DUMMYFUNCTION("""COMPUTED_VALUE"""),"청주")</f>
        <v>청주</v>
      </c>
    </row>
    <row r="14478">
      <c r="A14478" s="2" t="str">
        <f>IFERROR(__xludf.DUMMYFUNCTION("""COMPUTED_VALUE"""),"레이먼의 손아귀")</f>
        <v>레이먼의 손아귀</v>
      </c>
      <c r="B14478" s="2" t="str">
        <f>IFERROR(__xludf.DUMMYFUNCTION("""COMPUTED_VALUE"""),"홍고추")</f>
        <v>홍고추</v>
      </c>
    </row>
    <row r="14479">
      <c r="A14479" s="2" t="str">
        <f>IFERROR(__xludf.DUMMYFUNCTION("""COMPUTED_VALUE"""),"레이먼의 손아귀")</f>
        <v>레이먼의 손아귀</v>
      </c>
      <c r="B14479" s="2" t="str">
        <f>IFERROR(__xludf.DUMMYFUNCTION("""COMPUTED_VALUE"""),"청양고추")</f>
        <v>청양고추</v>
      </c>
    </row>
    <row r="14480">
      <c r="A14480" s="2" t="str">
        <f>IFERROR(__xludf.DUMMYFUNCTION("""COMPUTED_VALUE"""),"레이먼의 손아귀")</f>
        <v>레이먼의 손아귀</v>
      </c>
      <c r="B14480" s="2" t="str">
        <f>IFERROR(__xludf.DUMMYFUNCTION("""COMPUTED_VALUE"""),"즉석밥")</f>
        <v>즉석밥</v>
      </c>
    </row>
    <row r="14481">
      <c r="A14481" s="2" t="str">
        <f>IFERROR(__xludf.DUMMYFUNCTION("""COMPUTED_VALUE"""),"폭식해도 대구")</f>
        <v>폭식해도 대구</v>
      </c>
      <c r="B14481" s="2" t="str">
        <f>IFERROR(__xludf.DUMMYFUNCTION("""COMPUTED_VALUE"""),"대구")</f>
        <v>대구</v>
      </c>
    </row>
    <row r="14482">
      <c r="A14482" s="2" t="str">
        <f>IFERROR(__xludf.DUMMYFUNCTION("""COMPUTED_VALUE"""),"폭식해도 대구")</f>
        <v>폭식해도 대구</v>
      </c>
      <c r="B14482" s="2" t="str">
        <f>IFERROR(__xludf.DUMMYFUNCTION("""COMPUTED_VALUE"""),"문어")</f>
        <v>문어</v>
      </c>
    </row>
    <row r="14483">
      <c r="A14483" s="2" t="str">
        <f>IFERROR(__xludf.DUMMYFUNCTION("""COMPUTED_VALUE"""),"폭식해도 대구")</f>
        <v>폭식해도 대구</v>
      </c>
      <c r="B14483" s="2" t="str">
        <f>IFERROR(__xludf.DUMMYFUNCTION("""COMPUTED_VALUE"""),"오징어젓")</f>
        <v>오징어젓</v>
      </c>
    </row>
    <row r="14484">
      <c r="A14484" s="2" t="str">
        <f>IFERROR(__xludf.DUMMYFUNCTION("""COMPUTED_VALUE"""),"폭식해도 대구")</f>
        <v>폭식해도 대구</v>
      </c>
      <c r="B14484" s="2" t="str">
        <f>IFERROR(__xludf.DUMMYFUNCTION("""COMPUTED_VALUE"""),"전복")</f>
        <v>전복</v>
      </c>
    </row>
    <row r="14485">
      <c r="A14485" s="2" t="str">
        <f>IFERROR(__xludf.DUMMYFUNCTION("""COMPUTED_VALUE"""),"폭식해도 대구")</f>
        <v>폭식해도 대구</v>
      </c>
      <c r="B14485" s="2" t="str">
        <f>IFERROR(__xludf.DUMMYFUNCTION("""COMPUTED_VALUE"""),"미역")</f>
        <v>미역</v>
      </c>
    </row>
    <row r="14486">
      <c r="A14486" s="2" t="str">
        <f>IFERROR(__xludf.DUMMYFUNCTION("""COMPUTED_VALUE"""),"폭식해도 대구")</f>
        <v>폭식해도 대구</v>
      </c>
      <c r="B14486" s="2" t="str">
        <f>IFERROR(__xludf.DUMMYFUNCTION("""COMPUTED_VALUE"""),"달래")</f>
        <v>달래</v>
      </c>
    </row>
    <row r="14487">
      <c r="A14487" s="2" t="str">
        <f>IFERROR(__xludf.DUMMYFUNCTION("""COMPUTED_VALUE"""),"폭식해도 대구")</f>
        <v>폭식해도 대구</v>
      </c>
      <c r="B14487" s="2" t="str">
        <f>IFERROR(__xludf.DUMMYFUNCTION("""COMPUTED_VALUE"""),"버터")</f>
        <v>버터</v>
      </c>
    </row>
    <row r="14488">
      <c r="A14488" s="2" t="str">
        <f>IFERROR(__xludf.DUMMYFUNCTION("""COMPUTED_VALUE"""),"폭식해도 대구")</f>
        <v>폭식해도 대구</v>
      </c>
      <c r="B14488" s="2" t="str">
        <f>IFERROR(__xludf.DUMMYFUNCTION("""COMPUTED_VALUE"""),"즉석밥")</f>
        <v>즉석밥</v>
      </c>
    </row>
    <row r="14489">
      <c r="A14489" s="2" t="str">
        <f>IFERROR(__xludf.DUMMYFUNCTION("""COMPUTED_VALUE"""),"폭식해도 대구")</f>
        <v>폭식해도 대구</v>
      </c>
      <c r="B14489" s="2" t="str">
        <f>IFERROR(__xludf.DUMMYFUNCTION("""COMPUTED_VALUE"""),"고춧가루")</f>
        <v>고춧가루</v>
      </c>
    </row>
    <row r="14490">
      <c r="A14490" s="2" t="str">
        <f>IFERROR(__xludf.DUMMYFUNCTION("""COMPUTED_VALUE"""),"폭식해도 대구")</f>
        <v>폭식해도 대구</v>
      </c>
      <c r="B14490" s="2" t="str">
        <f>IFERROR(__xludf.DUMMYFUNCTION("""COMPUTED_VALUE"""),"청양고추")</f>
        <v>청양고추</v>
      </c>
    </row>
    <row r="14491">
      <c r="A14491" s="2" t="str">
        <f>IFERROR(__xludf.DUMMYFUNCTION("""COMPUTED_VALUE"""),"폭식해도 대구")</f>
        <v>폭식해도 대구</v>
      </c>
      <c r="B14491" s="2" t="str">
        <f>IFERROR(__xludf.DUMMYFUNCTION("""COMPUTED_VALUE"""),"양파")</f>
        <v>양파</v>
      </c>
    </row>
    <row r="14492">
      <c r="A14492" s="2" t="str">
        <f>IFERROR(__xludf.DUMMYFUNCTION("""COMPUTED_VALUE"""),"폭식해도 대구")</f>
        <v>폭식해도 대구</v>
      </c>
      <c r="B14492" s="2" t="str">
        <f>IFERROR(__xludf.DUMMYFUNCTION("""COMPUTED_VALUE"""),"당근")</f>
        <v>당근</v>
      </c>
    </row>
    <row r="14493">
      <c r="A14493" s="2" t="str">
        <f>IFERROR(__xludf.DUMMYFUNCTION("""COMPUTED_VALUE"""),"폭식해도 대구")</f>
        <v>폭식해도 대구</v>
      </c>
      <c r="B14493" s="2" t="str">
        <f>IFERROR(__xludf.DUMMYFUNCTION("""COMPUTED_VALUE"""),"간장")</f>
        <v>간장</v>
      </c>
    </row>
    <row r="14494">
      <c r="A14494" s="2" t="str">
        <f>IFERROR(__xludf.DUMMYFUNCTION("""COMPUTED_VALUE"""),"폭식해도 대구")</f>
        <v>폭식해도 대구</v>
      </c>
      <c r="B14494" s="2" t="str">
        <f>IFERROR(__xludf.DUMMYFUNCTION("""COMPUTED_VALUE"""),"설탕")</f>
        <v>설탕</v>
      </c>
    </row>
    <row r="14495">
      <c r="A14495" s="2" t="str">
        <f>IFERROR(__xludf.DUMMYFUNCTION("""COMPUTED_VALUE"""),"폭식해도 대구")</f>
        <v>폭식해도 대구</v>
      </c>
      <c r="B14495" s="2" t="str">
        <f>IFERROR(__xludf.DUMMYFUNCTION("""COMPUTED_VALUE"""),"들기름")</f>
        <v>들기름</v>
      </c>
    </row>
    <row r="14496">
      <c r="A14496" s="2" t="str">
        <f>IFERROR(__xludf.DUMMYFUNCTION("""COMPUTED_VALUE"""),"폭식해도 대구")</f>
        <v>폭식해도 대구</v>
      </c>
      <c r="B14496" s="2" t="str">
        <f>IFERROR(__xludf.DUMMYFUNCTION("""COMPUTED_VALUE"""),"깨")</f>
        <v>깨</v>
      </c>
    </row>
    <row r="14497">
      <c r="A14497" s="2" t="str">
        <f>IFERROR(__xludf.DUMMYFUNCTION("""COMPUTED_VALUE"""),"나비족 세트")</f>
        <v>나비족 세트</v>
      </c>
      <c r="B14497" s="2" t="str">
        <f>IFERROR(__xludf.DUMMYFUNCTION("""COMPUTED_VALUE"""),"삼겹살")</f>
        <v>삼겹살</v>
      </c>
    </row>
    <row r="14498">
      <c r="A14498" s="2" t="str">
        <f>IFERROR(__xludf.DUMMYFUNCTION("""COMPUTED_VALUE"""),"나비족 세트")</f>
        <v>나비족 세트</v>
      </c>
      <c r="B14498" s="2" t="str">
        <f>IFERROR(__xludf.DUMMYFUNCTION("""COMPUTED_VALUE"""),"갈치속젓")</f>
        <v>갈치속젓</v>
      </c>
    </row>
    <row r="14499">
      <c r="A14499" s="2" t="str">
        <f>IFERROR(__xludf.DUMMYFUNCTION("""COMPUTED_VALUE"""),"나비족 세트")</f>
        <v>나비족 세트</v>
      </c>
      <c r="B14499" s="2" t="str">
        <f>IFERROR(__xludf.DUMMYFUNCTION("""COMPUTED_VALUE"""),"통조림 번데기")</f>
        <v>통조림 번데기</v>
      </c>
    </row>
    <row r="14500">
      <c r="A14500" s="2" t="str">
        <f>IFERROR(__xludf.DUMMYFUNCTION("""COMPUTED_VALUE"""),"나비족 세트")</f>
        <v>나비족 세트</v>
      </c>
      <c r="B14500" s="2" t="str">
        <f>IFERROR(__xludf.DUMMYFUNCTION("""COMPUTED_VALUE"""),"인스턴트 순대")</f>
        <v>인스턴트 순대</v>
      </c>
    </row>
    <row r="14501">
      <c r="A14501" s="2" t="str">
        <f>IFERROR(__xludf.DUMMYFUNCTION("""COMPUTED_VALUE"""),"나비족 세트")</f>
        <v>나비족 세트</v>
      </c>
      <c r="B14501" s="2" t="str">
        <f>IFERROR(__xludf.DUMMYFUNCTION("""COMPUTED_VALUE"""),"부추")</f>
        <v>부추</v>
      </c>
    </row>
    <row r="14502">
      <c r="A14502" s="2" t="str">
        <f>IFERROR(__xludf.DUMMYFUNCTION("""COMPUTED_VALUE"""),"나비족 세트")</f>
        <v>나비족 세트</v>
      </c>
      <c r="B14502" s="2" t="str">
        <f>IFERROR(__xludf.DUMMYFUNCTION("""COMPUTED_VALUE"""),"숙취해소음료")</f>
        <v>숙취해소음료</v>
      </c>
    </row>
    <row r="14503">
      <c r="A14503" s="2" t="str">
        <f>IFERROR(__xludf.DUMMYFUNCTION("""COMPUTED_VALUE"""),"나비족 세트")</f>
        <v>나비족 세트</v>
      </c>
      <c r="B14503" s="2" t="str">
        <f>IFERROR(__xludf.DUMMYFUNCTION("""COMPUTED_VALUE"""),"동그랑땡")</f>
        <v>동그랑땡</v>
      </c>
    </row>
    <row r="14504">
      <c r="A14504" s="2" t="str">
        <f>IFERROR(__xludf.DUMMYFUNCTION("""COMPUTED_VALUE"""),"나비족 세트")</f>
        <v>나비족 세트</v>
      </c>
      <c r="B14504" s="2" t="str">
        <f>IFERROR(__xludf.DUMMYFUNCTION("""COMPUTED_VALUE"""),"감자")</f>
        <v>감자</v>
      </c>
    </row>
    <row r="14505">
      <c r="A14505" s="2" t="str">
        <f>IFERROR(__xludf.DUMMYFUNCTION("""COMPUTED_VALUE"""),"나비족 세트")</f>
        <v>나비족 세트</v>
      </c>
      <c r="B14505" s="2" t="str">
        <f>IFERROR(__xludf.DUMMYFUNCTION("""COMPUTED_VALUE"""),"인스턴트 짜장")</f>
        <v>인스턴트 짜장</v>
      </c>
    </row>
    <row r="14506">
      <c r="A14506" s="2" t="str">
        <f>IFERROR(__xludf.DUMMYFUNCTION("""COMPUTED_VALUE"""),"나비족 세트")</f>
        <v>나비족 세트</v>
      </c>
      <c r="B14506" s="2" t="str">
        <f>IFERROR(__xludf.DUMMYFUNCTION("""COMPUTED_VALUE"""),"짜장라면")</f>
        <v>짜장라면</v>
      </c>
    </row>
    <row r="14507">
      <c r="A14507" s="2" t="str">
        <f>IFERROR(__xludf.DUMMYFUNCTION("""COMPUTED_VALUE"""),"나비족 세트")</f>
        <v>나비족 세트</v>
      </c>
      <c r="B14507" s="2" t="str">
        <f>IFERROR(__xludf.DUMMYFUNCTION("""COMPUTED_VALUE"""),"아보카도")</f>
        <v>아보카도</v>
      </c>
    </row>
    <row r="14508">
      <c r="A14508" s="2" t="str">
        <f>IFERROR(__xludf.DUMMYFUNCTION("""COMPUTED_VALUE"""),"나비족 세트")</f>
        <v>나비족 세트</v>
      </c>
      <c r="B14508" s="2" t="str">
        <f>IFERROR(__xludf.DUMMYFUNCTION("""COMPUTED_VALUE"""),"쌈무")</f>
        <v>쌈무</v>
      </c>
    </row>
    <row r="14509">
      <c r="A14509" s="2" t="str">
        <f>IFERROR(__xludf.DUMMYFUNCTION("""COMPUTED_VALUE"""),"나비족 세트")</f>
        <v>나비족 세트</v>
      </c>
      <c r="B14509" s="2" t="str">
        <f>IFERROR(__xludf.DUMMYFUNCTION("""COMPUTED_VALUE"""),"고추냉이 마요네즈")</f>
        <v>고추냉이 마요네즈</v>
      </c>
    </row>
    <row r="14510">
      <c r="A14510" s="2" t="str">
        <f>IFERROR(__xludf.DUMMYFUNCTION("""COMPUTED_VALUE"""),"나비족 세트")</f>
        <v>나비족 세트</v>
      </c>
      <c r="B14510" s="2" t="str">
        <f>IFERROR(__xludf.DUMMYFUNCTION("""COMPUTED_VALUE"""),"당근")</f>
        <v>당근</v>
      </c>
    </row>
    <row r="14511">
      <c r="A14511" s="2" t="str">
        <f>IFERROR(__xludf.DUMMYFUNCTION("""COMPUTED_VALUE"""),"나비족 세트")</f>
        <v>나비족 세트</v>
      </c>
      <c r="B14511" s="2" t="str">
        <f>IFERROR(__xludf.DUMMYFUNCTION("""COMPUTED_VALUE"""),"양파")</f>
        <v>양파</v>
      </c>
    </row>
    <row r="14512">
      <c r="A14512" s="2" t="str">
        <f>IFERROR(__xludf.DUMMYFUNCTION("""COMPUTED_VALUE"""),"나비족 세트")</f>
        <v>나비족 세트</v>
      </c>
      <c r="B14512" s="2" t="str">
        <f>IFERROR(__xludf.DUMMYFUNCTION("""COMPUTED_VALUE"""),"대파")</f>
        <v>대파</v>
      </c>
    </row>
    <row r="14513">
      <c r="A14513" s="2" t="str">
        <f>IFERROR(__xludf.DUMMYFUNCTION("""COMPUTED_VALUE"""),"나비족 세트")</f>
        <v>나비족 세트</v>
      </c>
      <c r="B14513" s="2" t="str">
        <f>IFERROR(__xludf.DUMMYFUNCTION("""COMPUTED_VALUE"""),"청양고추")</f>
        <v>청양고추</v>
      </c>
    </row>
    <row r="14514">
      <c r="A14514" s="2" t="str">
        <f>IFERROR(__xludf.DUMMYFUNCTION("""COMPUTED_VALUE"""),"나비족 세트")</f>
        <v>나비족 세트</v>
      </c>
      <c r="B14514" s="2" t="str">
        <f>IFERROR(__xludf.DUMMYFUNCTION("""COMPUTED_VALUE"""),"고춧가루")</f>
        <v>고춧가루</v>
      </c>
    </row>
    <row r="14515">
      <c r="A14515" s="2" t="str">
        <f>IFERROR(__xludf.DUMMYFUNCTION("""COMPUTED_VALUE"""),"나비족 세트")</f>
        <v>나비족 세트</v>
      </c>
      <c r="B14515" s="2" t="str">
        <f>IFERROR(__xludf.DUMMYFUNCTION("""COMPUTED_VALUE"""),"즉석밥")</f>
        <v>즉석밥</v>
      </c>
    </row>
    <row r="14516">
      <c r="A14516" s="2" t="str">
        <f>IFERROR(__xludf.DUMMYFUNCTION("""COMPUTED_VALUE"""),"나비족 세트")</f>
        <v>나비족 세트</v>
      </c>
      <c r="B14516" s="2" t="str">
        <f>IFERROR(__xludf.DUMMYFUNCTION("""COMPUTED_VALUE"""),"깨")</f>
        <v>깨</v>
      </c>
    </row>
    <row r="14517">
      <c r="A14517" s="2" t="str">
        <f>IFERROR(__xludf.DUMMYFUNCTION("""COMPUTED_VALUE"""),"나비족 세트")</f>
        <v>나비족 세트</v>
      </c>
      <c r="B14517" s="2" t="str">
        <f>IFERROR(__xludf.DUMMYFUNCTION("""COMPUTED_VALUE"""),"올리브오일")</f>
        <v>올리브오일</v>
      </c>
    </row>
    <row r="14518">
      <c r="A14518" s="2" t="str">
        <f>IFERROR(__xludf.DUMMYFUNCTION("""COMPUTED_VALUE"""),"보헤미안 미슐랭")</f>
        <v>보헤미안 미슐랭</v>
      </c>
      <c r="B14518" s="2" t="str">
        <f>IFERROR(__xludf.DUMMYFUNCTION("""COMPUTED_VALUE"""),"돼지목살")</f>
        <v>돼지목살</v>
      </c>
    </row>
    <row r="14519">
      <c r="A14519" s="2" t="str">
        <f>IFERROR(__xludf.DUMMYFUNCTION("""COMPUTED_VALUE"""),"보헤미안 미슐랭")</f>
        <v>보헤미안 미슐랭</v>
      </c>
      <c r="B14519" s="2" t="str">
        <f>IFERROR(__xludf.DUMMYFUNCTION("""COMPUTED_VALUE"""),"새우")</f>
        <v>새우</v>
      </c>
    </row>
    <row r="14520">
      <c r="A14520" s="2" t="str">
        <f>IFERROR(__xludf.DUMMYFUNCTION("""COMPUTED_VALUE"""),"보헤미안 미슐랭")</f>
        <v>보헤미안 미슐랭</v>
      </c>
      <c r="B14520" s="2" t="str">
        <f>IFERROR(__xludf.DUMMYFUNCTION("""COMPUTED_VALUE"""),"방울토마토")</f>
        <v>방울토마토</v>
      </c>
    </row>
    <row r="14521">
      <c r="A14521" s="2" t="str">
        <f>IFERROR(__xludf.DUMMYFUNCTION("""COMPUTED_VALUE"""),"보헤미안 미슐랭")</f>
        <v>보헤미안 미슐랭</v>
      </c>
      <c r="B14521" s="2" t="str">
        <f>IFERROR(__xludf.DUMMYFUNCTION("""COMPUTED_VALUE"""),"굴소스")</f>
        <v>굴소스</v>
      </c>
    </row>
    <row r="14522">
      <c r="A14522" s="2" t="str">
        <f>IFERROR(__xludf.DUMMYFUNCTION("""COMPUTED_VALUE"""),"보헤미안 미슐랭")</f>
        <v>보헤미안 미슐랭</v>
      </c>
      <c r="B14522" s="2" t="str">
        <f>IFERROR(__xludf.DUMMYFUNCTION("""COMPUTED_VALUE"""),"부추")</f>
        <v>부추</v>
      </c>
    </row>
    <row r="14523">
      <c r="A14523" s="2" t="str">
        <f>IFERROR(__xludf.DUMMYFUNCTION("""COMPUTED_VALUE"""),"보헤미안 미슐랭")</f>
        <v>보헤미안 미슐랭</v>
      </c>
      <c r="B14523" s="2" t="str">
        <f>IFERROR(__xludf.DUMMYFUNCTION("""COMPUTED_VALUE"""),"해물육수팩")</f>
        <v>해물육수팩</v>
      </c>
    </row>
    <row r="14524">
      <c r="A14524" s="2" t="str">
        <f>IFERROR(__xludf.DUMMYFUNCTION("""COMPUTED_VALUE"""),"보헤미안 미슐랭")</f>
        <v>보헤미안 미슐랭</v>
      </c>
      <c r="B14524" s="2" t="str">
        <f>IFERROR(__xludf.DUMMYFUNCTION("""COMPUTED_VALUE"""),"다시마")</f>
        <v>다시마</v>
      </c>
    </row>
    <row r="14525">
      <c r="A14525" s="2" t="str">
        <f>IFERROR(__xludf.DUMMYFUNCTION("""COMPUTED_VALUE"""),"보헤미안 미슐랭")</f>
        <v>보헤미안 미슐랭</v>
      </c>
      <c r="B14525" s="2" t="str">
        <f>IFERROR(__xludf.DUMMYFUNCTION("""COMPUTED_VALUE"""),"파스타면")</f>
        <v>파스타면</v>
      </c>
    </row>
    <row r="14526">
      <c r="A14526" s="2" t="str">
        <f>IFERROR(__xludf.DUMMYFUNCTION("""COMPUTED_VALUE"""),"보헤미안 미슐랭")</f>
        <v>보헤미안 미슐랭</v>
      </c>
      <c r="B14526" s="2" t="str">
        <f>IFERROR(__xludf.DUMMYFUNCTION("""COMPUTED_VALUE"""),"김과자")</f>
        <v>김과자</v>
      </c>
    </row>
    <row r="14527">
      <c r="A14527" s="2" t="str">
        <f>IFERROR(__xludf.DUMMYFUNCTION("""COMPUTED_VALUE"""),"보헤미안 미슐랭")</f>
        <v>보헤미안 미슐랭</v>
      </c>
      <c r="B14527" s="2" t="str">
        <f>IFERROR(__xludf.DUMMYFUNCTION("""COMPUTED_VALUE"""),"깻잎")</f>
        <v>깻잎</v>
      </c>
    </row>
    <row r="14528">
      <c r="A14528" s="2" t="str">
        <f>IFERROR(__xludf.DUMMYFUNCTION("""COMPUTED_VALUE"""),"보헤미안 미슐랭")</f>
        <v>보헤미안 미슐랭</v>
      </c>
      <c r="B14528" s="2" t="str">
        <f>IFERROR(__xludf.DUMMYFUNCTION("""COMPUTED_VALUE"""),"팽이버섯")</f>
        <v>팽이버섯</v>
      </c>
    </row>
    <row r="14529">
      <c r="A14529" s="2" t="str">
        <f>IFERROR(__xludf.DUMMYFUNCTION("""COMPUTED_VALUE"""),"보헤미안 미슐랭")</f>
        <v>보헤미안 미슐랭</v>
      </c>
      <c r="B14529" s="2" t="str">
        <f>IFERROR(__xludf.DUMMYFUNCTION("""COMPUTED_VALUE"""),"건새우")</f>
        <v>건새우</v>
      </c>
    </row>
    <row r="14530">
      <c r="A14530" s="2" t="str">
        <f>IFERROR(__xludf.DUMMYFUNCTION("""COMPUTED_VALUE"""),"보헤미안 미슐랭")</f>
        <v>보헤미안 미슐랭</v>
      </c>
      <c r="B14530" s="2" t="str">
        <f>IFERROR(__xludf.DUMMYFUNCTION("""COMPUTED_VALUE"""),"마늘")</f>
        <v>마늘</v>
      </c>
    </row>
    <row r="14531">
      <c r="A14531" s="2" t="str">
        <f>IFERROR(__xludf.DUMMYFUNCTION("""COMPUTED_VALUE"""),"보헤미안 미슐랭")</f>
        <v>보헤미안 미슐랭</v>
      </c>
      <c r="B14531" s="2" t="str">
        <f>IFERROR(__xludf.DUMMYFUNCTION("""COMPUTED_VALUE"""),"홍고추")</f>
        <v>홍고추</v>
      </c>
    </row>
    <row r="14532">
      <c r="A14532" s="2" t="str">
        <f>IFERROR(__xludf.DUMMYFUNCTION("""COMPUTED_VALUE"""),"보헤미안 미슐랭")</f>
        <v>보헤미안 미슐랭</v>
      </c>
      <c r="B14532" s="2" t="str">
        <f>IFERROR(__xludf.DUMMYFUNCTION("""COMPUTED_VALUE"""),"대파")</f>
        <v>대파</v>
      </c>
    </row>
    <row r="14533">
      <c r="A14533" s="2" t="str">
        <f>IFERROR(__xludf.DUMMYFUNCTION("""COMPUTED_VALUE"""),"보헤미안 미슐랭")</f>
        <v>보헤미안 미슐랭</v>
      </c>
      <c r="B14533" s="2" t="str">
        <f>IFERROR(__xludf.DUMMYFUNCTION("""COMPUTED_VALUE"""),"고춧가루")</f>
        <v>고춧가루</v>
      </c>
    </row>
    <row r="14534">
      <c r="A14534" s="2" t="str">
        <f>IFERROR(__xludf.DUMMYFUNCTION("""COMPUTED_VALUE"""),"보헤미안 미슐랭")</f>
        <v>보헤미안 미슐랭</v>
      </c>
      <c r="B14534" s="2" t="str">
        <f>IFERROR(__xludf.DUMMYFUNCTION("""COMPUTED_VALUE"""),"소금")</f>
        <v>소금</v>
      </c>
    </row>
    <row r="14535">
      <c r="A14535" s="2" t="str">
        <f>IFERROR(__xludf.DUMMYFUNCTION("""COMPUTED_VALUE"""),"보헤미안 미슐랭")</f>
        <v>보헤미안 미슐랭</v>
      </c>
      <c r="B14535" s="2" t="str">
        <f>IFERROR(__xludf.DUMMYFUNCTION("""COMPUTED_VALUE"""),"간장")</f>
        <v>간장</v>
      </c>
    </row>
    <row r="14536">
      <c r="A14536" s="2" t="str">
        <f>IFERROR(__xludf.DUMMYFUNCTION("""COMPUTED_VALUE"""),"보헤미안 미슐랭")</f>
        <v>보헤미안 미슐랭</v>
      </c>
      <c r="B14536" s="2" t="str">
        <f>IFERROR(__xludf.DUMMYFUNCTION("""COMPUTED_VALUE"""),"물엿")</f>
        <v>물엿</v>
      </c>
    </row>
    <row r="14537">
      <c r="A14537" s="2" t="str">
        <f>IFERROR(__xludf.DUMMYFUNCTION("""COMPUTED_VALUE"""),"보헤미안 미슐랭")</f>
        <v>보헤미안 미슐랭</v>
      </c>
      <c r="B14537" s="2" t="str">
        <f>IFERROR(__xludf.DUMMYFUNCTION("""COMPUTED_VALUE"""),"양파")</f>
        <v>양파</v>
      </c>
    </row>
    <row r="14538">
      <c r="A14538" s="2" t="str">
        <f>IFERROR(__xludf.DUMMYFUNCTION("""COMPUTED_VALUE"""),"보헤미안 미슐랭")</f>
        <v>보헤미안 미슐랭</v>
      </c>
      <c r="B14538" s="2" t="str">
        <f>IFERROR(__xludf.DUMMYFUNCTION("""COMPUTED_VALUE"""),"들기름")</f>
        <v>들기름</v>
      </c>
    </row>
    <row r="14539">
      <c r="A14539" s="2" t="str">
        <f>IFERROR(__xludf.DUMMYFUNCTION("""COMPUTED_VALUE"""),"보헤미안 미슐랭")</f>
        <v>보헤미안 미슐랭</v>
      </c>
      <c r="B14539" s="2" t="str">
        <f>IFERROR(__xludf.DUMMYFUNCTION("""COMPUTED_VALUE"""),"참기름")</f>
        <v>참기름</v>
      </c>
    </row>
    <row r="14540">
      <c r="A14540" s="2" t="str">
        <f>IFERROR(__xludf.DUMMYFUNCTION("""COMPUTED_VALUE"""),"보헤미안 미슐랭")</f>
        <v>보헤미안 미슐랭</v>
      </c>
      <c r="B14540" s="2" t="str">
        <f>IFERROR(__xludf.DUMMYFUNCTION("""COMPUTED_VALUE"""),"전분")</f>
        <v>전분</v>
      </c>
    </row>
    <row r="14541">
      <c r="A14541" s="2" t="str">
        <f>IFERROR(__xludf.DUMMYFUNCTION("""COMPUTED_VALUE"""),"이런 된장")</f>
        <v>이런 된장</v>
      </c>
      <c r="B14541" s="2" t="str">
        <f>IFERROR(__xludf.DUMMYFUNCTION("""COMPUTED_VALUE"""),"돼지목살")</f>
        <v>돼지목살</v>
      </c>
    </row>
    <row r="14542">
      <c r="A14542" s="2" t="str">
        <f>IFERROR(__xludf.DUMMYFUNCTION("""COMPUTED_VALUE"""),"이런 된장")</f>
        <v>이런 된장</v>
      </c>
      <c r="B14542" s="2" t="str">
        <f>IFERROR(__xludf.DUMMYFUNCTION("""COMPUTED_VALUE"""),"감자")</f>
        <v>감자</v>
      </c>
    </row>
    <row r="14543">
      <c r="A14543" s="2" t="str">
        <f>IFERROR(__xludf.DUMMYFUNCTION("""COMPUTED_VALUE"""),"이런 된장")</f>
        <v>이런 된장</v>
      </c>
      <c r="B14543" s="2" t="str">
        <f>IFERROR(__xludf.DUMMYFUNCTION("""COMPUTED_VALUE"""),"인스턴트 소라강된장")</f>
        <v>인스턴트 소라강된장</v>
      </c>
    </row>
    <row r="14544">
      <c r="A14544" s="2" t="str">
        <f>IFERROR(__xludf.DUMMYFUNCTION("""COMPUTED_VALUE"""),"이런 된장")</f>
        <v>이런 된장</v>
      </c>
      <c r="B14544" s="2" t="str">
        <f>IFERROR(__xludf.DUMMYFUNCTION("""COMPUTED_VALUE"""),"양상추")</f>
        <v>양상추</v>
      </c>
    </row>
    <row r="14545">
      <c r="A14545" s="2" t="str">
        <f>IFERROR(__xludf.DUMMYFUNCTION("""COMPUTED_VALUE"""),"이런 된장")</f>
        <v>이런 된장</v>
      </c>
      <c r="B14545" s="2" t="str">
        <f>IFERROR(__xludf.DUMMYFUNCTION("""COMPUTED_VALUE"""),"매운 김치")</f>
        <v>매운 김치</v>
      </c>
    </row>
    <row r="14546">
      <c r="A14546" s="2" t="str">
        <f>IFERROR(__xludf.DUMMYFUNCTION("""COMPUTED_VALUE"""),"이런 된장")</f>
        <v>이런 된장</v>
      </c>
      <c r="B14546" s="2" t="str">
        <f>IFERROR(__xludf.DUMMYFUNCTION("""COMPUTED_VALUE"""),"배추김치")</f>
        <v>배추김치</v>
      </c>
    </row>
    <row r="14547">
      <c r="A14547" s="2" t="str">
        <f>IFERROR(__xludf.DUMMYFUNCTION("""COMPUTED_VALUE"""),"이런 된장")</f>
        <v>이런 된장</v>
      </c>
      <c r="B14547" s="2" t="str">
        <f>IFERROR(__xludf.DUMMYFUNCTION("""COMPUTED_VALUE"""),"부추")</f>
        <v>부추</v>
      </c>
    </row>
    <row r="14548">
      <c r="A14548" s="2" t="str">
        <f>IFERROR(__xludf.DUMMYFUNCTION("""COMPUTED_VALUE"""),"이런 된장")</f>
        <v>이런 된장</v>
      </c>
      <c r="B14548" s="2" t="str">
        <f>IFERROR(__xludf.DUMMYFUNCTION("""COMPUTED_VALUE"""),"쪽파")</f>
        <v>쪽파</v>
      </c>
    </row>
    <row r="14549">
      <c r="A14549" s="2" t="str">
        <f>IFERROR(__xludf.DUMMYFUNCTION("""COMPUTED_VALUE"""),"이런 된장")</f>
        <v>이런 된장</v>
      </c>
      <c r="B14549" s="2" t="str">
        <f>IFERROR(__xludf.DUMMYFUNCTION("""COMPUTED_VALUE"""),"무")</f>
        <v>무</v>
      </c>
    </row>
    <row r="14550">
      <c r="A14550" s="2" t="str">
        <f>IFERROR(__xludf.DUMMYFUNCTION("""COMPUTED_VALUE"""),"이런 된장")</f>
        <v>이런 된장</v>
      </c>
      <c r="B14550" s="2" t="str">
        <f>IFERROR(__xludf.DUMMYFUNCTION("""COMPUTED_VALUE"""),"허브솔트")</f>
        <v>허브솔트</v>
      </c>
    </row>
    <row r="14551">
      <c r="A14551" s="2" t="str">
        <f>IFERROR(__xludf.DUMMYFUNCTION("""COMPUTED_VALUE"""),"이런 된장")</f>
        <v>이런 된장</v>
      </c>
      <c r="B14551" s="2" t="str">
        <f>IFERROR(__xludf.DUMMYFUNCTION("""COMPUTED_VALUE"""),"표고버섯")</f>
        <v>표고버섯</v>
      </c>
    </row>
    <row r="14552">
      <c r="A14552" s="2" t="str">
        <f>IFERROR(__xludf.DUMMYFUNCTION("""COMPUTED_VALUE"""),"이런 된장")</f>
        <v>이런 된장</v>
      </c>
      <c r="B14552" s="2" t="str">
        <f>IFERROR(__xludf.DUMMYFUNCTION("""COMPUTED_VALUE"""),"애호박")</f>
        <v>애호박</v>
      </c>
    </row>
    <row r="14553">
      <c r="A14553" s="2" t="str">
        <f>IFERROR(__xludf.DUMMYFUNCTION("""COMPUTED_VALUE"""),"이런 된장")</f>
        <v>이런 된장</v>
      </c>
      <c r="B14553" s="2" t="str">
        <f>IFERROR(__xludf.DUMMYFUNCTION("""COMPUTED_VALUE"""),"건새우")</f>
        <v>건새우</v>
      </c>
    </row>
    <row r="14554">
      <c r="A14554" s="2" t="str">
        <f>IFERROR(__xludf.DUMMYFUNCTION("""COMPUTED_VALUE"""),"이런 된장")</f>
        <v>이런 된장</v>
      </c>
      <c r="B14554" s="2" t="str">
        <f>IFERROR(__xludf.DUMMYFUNCTION("""COMPUTED_VALUE"""),"새우젓")</f>
        <v>새우젓</v>
      </c>
    </row>
    <row r="14555">
      <c r="A14555" s="2" t="str">
        <f>IFERROR(__xludf.DUMMYFUNCTION("""COMPUTED_VALUE"""),"이런 된장")</f>
        <v>이런 된장</v>
      </c>
      <c r="B14555" s="2" t="str">
        <f>IFERROR(__xludf.DUMMYFUNCTION("""COMPUTED_VALUE"""),"소금")</f>
        <v>소금</v>
      </c>
    </row>
    <row r="14556">
      <c r="A14556" s="2" t="str">
        <f>IFERROR(__xludf.DUMMYFUNCTION("""COMPUTED_VALUE"""),"이런 된장")</f>
        <v>이런 된장</v>
      </c>
      <c r="B14556" s="2" t="str">
        <f>IFERROR(__xludf.DUMMYFUNCTION("""COMPUTED_VALUE"""),"고춧가루")</f>
        <v>고춧가루</v>
      </c>
    </row>
    <row r="14557">
      <c r="A14557" s="2" t="str">
        <f>IFERROR(__xludf.DUMMYFUNCTION("""COMPUTED_VALUE"""),"이런 된장")</f>
        <v>이런 된장</v>
      </c>
      <c r="B14557" s="2" t="str">
        <f>IFERROR(__xludf.DUMMYFUNCTION("""COMPUTED_VALUE"""),"당근")</f>
        <v>당근</v>
      </c>
    </row>
    <row r="14558">
      <c r="A14558" s="2" t="str">
        <f>IFERROR(__xludf.DUMMYFUNCTION("""COMPUTED_VALUE"""),"이런 된장")</f>
        <v>이런 된장</v>
      </c>
      <c r="B14558" s="2" t="str">
        <f>IFERROR(__xludf.DUMMYFUNCTION("""COMPUTED_VALUE"""),"깨")</f>
        <v>깨</v>
      </c>
    </row>
    <row r="14559">
      <c r="A14559" s="2" t="str">
        <f>IFERROR(__xludf.DUMMYFUNCTION("""COMPUTED_VALUE"""),"이런 된장")</f>
        <v>이런 된장</v>
      </c>
      <c r="B14559" s="2" t="str">
        <f>IFERROR(__xludf.DUMMYFUNCTION("""COMPUTED_VALUE"""),"양파")</f>
        <v>양파</v>
      </c>
    </row>
    <row r="14560">
      <c r="A14560" s="2" t="str">
        <f>IFERROR(__xludf.DUMMYFUNCTION("""COMPUTED_VALUE"""),"이런 된장")</f>
        <v>이런 된장</v>
      </c>
      <c r="B14560" s="2" t="str">
        <f>IFERROR(__xludf.DUMMYFUNCTION("""COMPUTED_VALUE"""),"청양고추")</f>
        <v>청양고추</v>
      </c>
    </row>
    <row r="14561">
      <c r="A14561" s="2" t="str">
        <f>IFERROR(__xludf.DUMMYFUNCTION("""COMPUTED_VALUE"""),"이런 된장")</f>
        <v>이런 된장</v>
      </c>
      <c r="B14561" s="2" t="str">
        <f>IFERROR(__xludf.DUMMYFUNCTION("""COMPUTED_VALUE"""),"밀가루")</f>
        <v>밀가루</v>
      </c>
    </row>
    <row r="14562">
      <c r="A14562" s="2" t="str">
        <f>IFERROR(__xludf.DUMMYFUNCTION("""COMPUTED_VALUE"""),"이런 된장")</f>
        <v>이런 된장</v>
      </c>
      <c r="B14562" s="2" t="str">
        <f>IFERROR(__xludf.DUMMYFUNCTION("""COMPUTED_VALUE"""),"버터")</f>
        <v>버터</v>
      </c>
    </row>
    <row r="14563">
      <c r="A14563" s="2" t="str">
        <f>IFERROR(__xludf.DUMMYFUNCTION("""COMPUTED_VALUE"""),"이런 된장")</f>
        <v>이런 된장</v>
      </c>
      <c r="B14563" s="2" t="str">
        <f>IFERROR(__xludf.DUMMYFUNCTION("""COMPUTED_VALUE"""),"후추")</f>
        <v>후추</v>
      </c>
    </row>
    <row r="14564">
      <c r="A14564" s="2" t="str">
        <f>IFERROR(__xludf.DUMMYFUNCTION("""COMPUTED_VALUE"""),"이런 된장")</f>
        <v>이런 된장</v>
      </c>
      <c r="B14564" s="2" t="str">
        <f>IFERROR(__xludf.DUMMYFUNCTION("""COMPUTED_VALUE"""),"올리브오일")</f>
        <v>올리브오일</v>
      </c>
    </row>
    <row r="14565">
      <c r="A14565" s="2" t="str">
        <f>IFERROR(__xludf.DUMMYFUNCTION("""COMPUTED_VALUE"""),"이런 된장")</f>
        <v>이런 된장</v>
      </c>
      <c r="B14565" s="2" t="str">
        <f>IFERROR(__xludf.DUMMYFUNCTION("""COMPUTED_VALUE"""),"식초")</f>
        <v>식초</v>
      </c>
    </row>
    <row r="14566">
      <c r="A14566" s="2" t="str">
        <f>IFERROR(__xludf.DUMMYFUNCTION("""COMPUTED_VALUE"""),"막걸리 칼라 파워!")</f>
        <v>막걸리 칼라 파워!</v>
      </c>
      <c r="B14566" s="2" t="str">
        <f>IFERROR(__xludf.DUMMYFUNCTION("""COMPUTED_VALUE"""),"삼겹살")</f>
        <v>삼겹살</v>
      </c>
    </row>
    <row r="14567">
      <c r="A14567" s="2" t="str">
        <f>IFERROR(__xludf.DUMMYFUNCTION("""COMPUTED_VALUE"""),"막걸리 칼라 파워!")</f>
        <v>막걸리 칼라 파워!</v>
      </c>
      <c r="B14567" s="2" t="str">
        <f>IFERROR(__xludf.DUMMYFUNCTION("""COMPUTED_VALUE"""),"주꾸미")</f>
        <v>주꾸미</v>
      </c>
    </row>
    <row r="14568">
      <c r="A14568" s="2" t="str">
        <f>IFERROR(__xludf.DUMMYFUNCTION("""COMPUTED_VALUE"""),"막걸리 칼라 파워!")</f>
        <v>막걸리 칼라 파워!</v>
      </c>
      <c r="B14568" s="2" t="str">
        <f>IFERROR(__xludf.DUMMYFUNCTION("""COMPUTED_VALUE"""),"맥주")</f>
        <v>맥주</v>
      </c>
    </row>
    <row r="14569">
      <c r="A14569" s="2" t="str">
        <f>IFERROR(__xludf.DUMMYFUNCTION("""COMPUTED_VALUE"""),"막걸리 칼라 파워!")</f>
        <v>막걸리 칼라 파워!</v>
      </c>
      <c r="B14569" s="2" t="str">
        <f>IFERROR(__xludf.DUMMYFUNCTION("""COMPUTED_VALUE"""),"쪽파")</f>
        <v>쪽파</v>
      </c>
    </row>
    <row r="14570">
      <c r="A14570" s="2" t="str">
        <f>IFERROR(__xludf.DUMMYFUNCTION("""COMPUTED_VALUE"""),"막걸리 칼라 파워!")</f>
        <v>막걸리 칼라 파워!</v>
      </c>
      <c r="B14570" s="2" t="str">
        <f>IFERROR(__xludf.DUMMYFUNCTION("""COMPUTED_VALUE"""),"매운 고추장")</f>
        <v>매운 고추장</v>
      </c>
    </row>
    <row r="14571">
      <c r="A14571" s="2" t="str">
        <f>IFERROR(__xludf.DUMMYFUNCTION("""COMPUTED_VALUE"""),"막걸리 칼라 파워!")</f>
        <v>막걸리 칼라 파워!</v>
      </c>
      <c r="B14571" s="2" t="str">
        <f>IFERROR(__xludf.DUMMYFUNCTION("""COMPUTED_VALUE"""),"깻잎")</f>
        <v>깻잎</v>
      </c>
    </row>
    <row r="14572">
      <c r="A14572" s="2" t="str">
        <f>IFERROR(__xludf.DUMMYFUNCTION("""COMPUTED_VALUE"""),"막걸리 칼라 파워!")</f>
        <v>막걸리 칼라 파워!</v>
      </c>
      <c r="B14572" s="2" t="str">
        <f>IFERROR(__xludf.DUMMYFUNCTION("""COMPUTED_VALUE"""),"감자")</f>
        <v>감자</v>
      </c>
    </row>
    <row r="14573">
      <c r="A14573" s="2" t="str">
        <f>IFERROR(__xludf.DUMMYFUNCTION("""COMPUTED_VALUE"""),"막걸리 칼라 파워!")</f>
        <v>막걸리 칼라 파워!</v>
      </c>
      <c r="B14573" s="2" t="str">
        <f>IFERROR(__xludf.DUMMYFUNCTION("""COMPUTED_VALUE"""),"애호박")</f>
        <v>애호박</v>
      </c>
    </row>
    <row r="14574">
      <c r="A14574" s="2" t="str">
        <f>IFERROR(__xludf.DUMMYFUNCTION("""COMPUTED_VALUE"""),"막걸리 칼라 파워!")</f>
        <v>막걸리 칼라 파워!</v>
      </c>
      <c r="B14574" s="2" t="str">
        <f>IFERROR(__xludf.DUMMYFUNCTION("""COMPUTED_VALUE"""),"건새우")</f>
        <v>건새우</v>
      </c>
    </row>
    <row r="14575">
      <c r="A14575" s="2" t="str">
        <f>IFERROR(__xludf.DUMMYFUNCTION("""COMPUTED_VALUE"""),"막걸리 칼라 파워!")</f>
        <v>막걸리 칼라 파워!</v>
      </c>
      <c r="B14575" s="2" t="str">
        <f>IFERROR(__xludf.DUMMYFUNCTION("""COMPUTED_VALUE"""),"섞박지")</f>
        <v>섞박지</v>
      </c>
    </row>
    <row r="14576">
      <c r="A14576" s="2" t="str">
        <f>IFERROR(__xludf.DUMMYFUNCTION("""COMPUTED_VALUE"""),"막걸리 칼라 파워!")</f>
        <v>막걸리 칼라 파워!</v>
      </c>
      <c r="B14576" s="2" t="str">
        <f>IFERROR(__xludf.DUMMYFUNCTION("""COMPUTED_VALUE"""),"배")</f>
        <v>배</v>
      </c>
    </row>
    <row r="14577">
      <c r="A14577" s="2" t="str">
        <f>IFERROR(__xludf.DUMMYFUNCTION("""COMPUTED_VALUE"""),"막걸리 칼라 파워!")</f>
        <v>막걸리 칼라 파워!</v>
      </c>
      <c r="B14577" s="2" t="str">
        <f>IFERROR(__xludf.DUMMYFUNCTION("""COMPUTED_VALUE"""),"초고추장")</f>
        <v>초고추장</v>
      </c>
    </row>
    <row r="14578">
      <c r="A14578" s="2" t="str">
        <f>IFERROR(__xludf.DUMMYFUNCTION("""COMPUTED_VALUE"""),"막걸리 칼라 파워!")</f>
        <v>막걸리 칼라 파워!</v>
      </c>
      <c r="B14578" s="2" t="str">
        <f>IFERROR(__xludf.DUMMYFUNCTION("""COMPUTED_VALUE"""),"오이소박이")</f>
        <v>오이소박이</v>
      </c>
    </row>
    <row r="14579">
      <c r="A14579" s="2" t="str">
        <f>IFERROR(__xludf.DUMMYFUNCTION("""COMPUTED_VALUE"""),"막걸리 칼라 파워!")</f>
        <v>막걸리 칼라 파워!</v>
      </c>
      <c r="B14579" s="2" t="str">
        <f>IFERROR(__xludf.DUMMYFUNCTION("""COMPUTED_VALUE"""),"굴소스")</f>
        <v>굴소스</v>
      </c>
    </row>
    <row r="14580">
      <c r="A14580" s="2" t="str">
        <f>IFERROR(__xludf.DUMMYFUNCTION("""COMPUTED_VALUE"""),"막걸리 칼라 파워!")</f>
        <v>막걸리 칼라 파워!</v>
      </c>
      <c r="B14580" s="2" t="str">
        <f>IFERROR(__xludf.DUMMYFUNCTION("""COMPUTED_VALUE"""),"된장")</f>
        <v>된장</v>
      </c>
    </row>
    <row r="14581">
      <c r="A14581" s="2" t="str">
        <f>IFERROR(__xludf.DUMMYFUNCTION("""COMPUTED_VALUE"""),"막걸리 칼라 파워!")</f>
        <v>막걸리 칼라 파워!</v>
      </c>
      <c r="B14581" s="2" t="str">
        <f>IFERROR(__xludf.DUMMYFUNCTION("""COMPUTED_VALUE"""),"다진마늘")</f>
        <v>다진마늘</v>
      </c>
    </row>
    <row r="14582">
      <c r="A14582" s="2" t="str">
        <f>IFERROR(__xludf.DUMMYFUNCTION("""COMPUTED_VALUE"""),"막걸리 칼라 파워!")</f>
        <v>막걸리 칼라 파워!</v>
      </c>
      <c r="B14582" s="2" t="str">
        <f>IFERROR(__xludf.DUMMYFUNCTION("""COMPUTED_VALUE"""),"맛술")</f>
        <v>맛술</v>
      </c>
    </row>
    <row r="14583">
      <c r="A14583" s="2" t="str">
        <f>IFERROR(__xludf.DUMMYFUNCTION("""COMPUTED_VALUE"""),"막걸리 칼라 파워!")</f>
        <v>막걸리 칼라 파워!</v>
      </c>
      <c r="B14583" s="2" t="str">
        <f>IFERROR(__xludf.DUMMYFUNCTION("""COMPUTED_VALUE"""),"레몬")</f>
        <v>레몬</v>
      </c>
    </row>
    <row r="14584">
      <c r="A14584" s="2" t="str">
        <f>IFERROR(__xludf.DUMMYFUNCTION("""COMPUTED_VALUE"""),"막걸리 칼라 파워!")</f>
        <v>막걸리 칼라 파워!</v>
      </c>
      <c r="B14584" s="2" t="str">
        <f>IFERROR(__xludf.DUMMYFUNCTION("""COMPUTED_VALUE"""),"전분")</f>
        <v>전분</v>
      </c>
    </row>
    <row r="14585">
      <c r="A14585" s="2" t="str">
        <f>IFERROR(__xludf.DUMMYFUNCTION("""COMPUTED_VALUE"""),"막걸리 칼라 파워!")</f>
        <v>막걸리 칼라 파워!</v>
      </c>
      <c r="B14585" s="2" t="str">
        <f>IFERROR(__xludf.DUMMYFUNCTION("""COMPUTED_VALUE"""),"청양고추")</f>
        <v>청양고추</v>
      </c>
    </row>
    <row r="14586">
      <c r="A14586" s="2" t="str">
        <f>IFERROR(__xludf.DUMMYFUNCTION("""COMPUTED_VALUE"""),"막걸리 칼라 파워!")</f>
        <v>막걸리 칼라 파워!</v>
      </c>
      <c r="B14586" s="2" t="str">
        <f>IFERROR(__xludf.DUMMYFUNCTION("""COMPUTED_VALUE"""),"설탕")</f>
        <v>설탕</v>
      </c>
    </row>
    <row r="14587">
      <c r="A14587" s="2" t="str">
        <f>IFERROR(__xludf.DUMMYFUNCTION("""COMPUTED_VALUE"""),"막걸리 칼라 파워!")</f>
        <v>막걸리 칼라 파워!</v>
      </c>
      <c r="B14587" s="2" t="str">
        <f>IFERROR(__xludf.DUMMYFUNCTION("""COMPUTED_VALUE"""),"간장")</f>
        <v>간장</v>
      </c>
    </row>
    <row r="14588">
      <c r="A14588" s="2" t="str">
        <f>IFERROR(__xludf.DUMMYFUNCTION("""COMPUTED_VALUE"""),"막걸리 칼라 파워!")</f>
        <v>막걸리 칼라 파워!</v>
      </c>
      <c r="B14588" s="2" t="str">
        <f>IFERROR(__xludf.DUMMYFUNCTION("""COMPUTED_VALUE"""),"물엿")</f>
        <v>물엿</v>
      </c>
    </row>
    <row r="14589">
      <c r="A14589" s="2" t="str">
        <f>IFERROR(__xludf.DUMMYFUNCTION("""COMPUTED_VALUE"""),"막걸리 칼라 파워!")</f>
        <v>막걸리 칼라 파워!</v>
      </c>
      <c r="B14589" s="2" t="str">
        <f>IFERROR(__xludf.DUMMYFUNCTION("""COMPUTED_VALUE"""),"고춧가루")</f>
        <v>고춧가루</v>
      </c>
    </row>
    <row r="14590">
      <c r="A14590" s="2" t="str">
        <f>IFERROR(__xludf.DUMMYFUNCTION("""COMPUTED_VALUE"""),"막걸리 칼라 파워!")</f>
        <v>막걸리 칼라 파워!</v>
      </c>
      <c r="B14590" s="2" t="str">
        <f>IFERROR(__xludf.DUMMYFUNCTION("""COMPUTED_VALUE"""),"양파")</f>
        <v>양파</v>
      </c>
    </row>
    <row r="14591">
      <c r="A14591" s="2" t="str">
        <f>IFERROR(__xludf.DUMMYFUNCTION("""COMPUTED_VALUE"""),"막걸리 칼라 파워!")</f>
        <v>막걸리 칼라 파워!</v>
      </c>
      <c r="B14591" s="2" t="str">
        <f>IFERROR(__xludf.DUMMYFUNCTION("""COMPUTED_VALUE"""),"참기름")</f>
        <v>참기름</v>
      </c>
    </row>
    <row r="14592">
      <c r="A14592" s="2" t="str">
        <f>IFERROR(__xludf.DUMMYFUNCTION("""COMPUTED_VALUE"""),"막걸리 칼라 파워!")</f>
        <v>막걸리 칼라 파워!</v>
      </c>
      <c r="B14592" s="2" t="str">
        <f>IFERROR(__xludf.DUMMYFUNCTION("""COMPUTED_VALUE"""),"깨")</f>
        <v>깨</v>
      </c>
    </row>
    <row r="14593">
      <c r="A14593" s="2" t="str">
        <f>IFERROR(__xludf.DUMMYFUNCTION("""COMPUTED_VALUE"""),"막걸리 칼라 파워!")</f>
        <v>막걸리 칼라 파워!</v>
      </c>
      <c r="B14593" s="2" t="str">
        <f>IFERROR(__xludf.DUMMYFUNCTION("""COMPUTED_VALUE"""),"식초")</f>
        <v>식초</v>
      </c>
    </row>
    <row r="14594">
      <c r="A14594" s="2" t="str">
        <f>IFERROR(__xludf.DUMMYFUNCTION("""COMPUTED_VALUE"""),"청양공주")</f>
        <v>청양공주</v>
      </c>
      <c r="B14594" s="2" t="str">
        <f>IFERROR(__xludf.DUMMYFUNCTION("""COMPUTED_VALUE"""),"소 등심")</f>
        <v>소 등심</v>
      </c>
    </row>
    <row r="14595">
      <c r="A14595" s="2" t="str">
        <f>IFERROR(__xludf.DUMMYFUNCTION("""COMPUTED_VALUE"""),"청양공주")</f>
        <v>청양공주</v>
      </c>
      <c r="B14595" s="2" t="str">
        <f>IFERROR(__xludf.DUMMYFUNCTION("""COMPUTED_VALUE"""),"콜라비 깍두기")</f>
        <v>콜라비 깍두기</v>
      </c>
    </row>
    <row r="14596">
      <c r="A14596" s="2" t="str">
        <f>IFERROR(__xludf.DUMMYFUNCTION("""COMPUTED_VALUE"""),"청양공주")</f>
        <v>청양공주</v>
      </c>
      <c r="B14596" s="2" t="str">
        <f>IFERROR(__xludf.DUMMYFUNCTION("""COMPUTED_VALUE"""),"배추김치")</f>
        <v>배추김치</v>
      </c>
    </row>
    <row r="14597">
      <c r="A14597" s="2" t="str">
        <f>IFERROR(__xludf.DUMMYFUNCTION("""COMPUTED_VALUE"""),"청양공주")</f>
        <v>청양공주</v>
      </c>
      <c r="B14597" s="2" t="str">
        <f>IFERROR(__xludf.DUMMYFUNCTION("""COMPUTED_VALUE"""),"삼겹살")</f>
        <v>삼겹살</v>
      </c>
    </row>
    <row r="14598">
      <c r="A14598" s="2" t="str">
        <f>IFERROR(__xludf.DUMMYFUNCTION("""COMPUTED_VALUE"""),"청양공주")</f>
        <v>청양공주</v>
      </c>
      <c r="B14598" s="2" t="str">
        <f>IFERROR(__xludf.DUMMYFUNCTION("""COMPUTED_VALUE"""),"마른 김")</f>
        <v>마른 김</v>
      </c>
    </row>
    <row r="14599">
      <c r="A14599" s="2" t="str">
        <f>IFERROR(__xludf.DUMMYFUNCTION("""COMPUTED_VALUE"""),"청양공주")</f>
        <v>청양공주</v>
      </c>
      <c r="B14599" s="2" t="str">
        <f>IFERROR(__xludf.DUMMYFUNCTION("""COMPUTED_VALUE"""),"전복")</f>
        <v>전복</v>
      </c>
    </row>
    <row r="14600">
      <c r="A14600" s="2" t="str">
        <f>IFERROR(__xludf.DUMMYFUNCTION("""COMPUTED_VALUE"""),"청양공주")</f>
        <v>청양공주</v>
      </c>
      <c r="B14600" s="2" t="str">
        <f>IFERROR(__xludf.DUMMYFUNCTION("""COMPUTED_VALUE"""),"황설탕")</f>
        <v>황설탕</v>
      </c>
    </row>
    <row r="14601">
      <c r="A14601" s="2" t="str">
        <f>IFERROR(__xludf.DUMMYFUNCTION("""COMPUTED_VALUE"""),"청양공주")</f>
        <v>청양공주</v>
      </c>
      <c r="B14601" s="2" t="str">
        <f>IFERROR(__xludf.DUMMYFUNCTION("""COMPUTED_VALUE"""),"타마고 간장")</f>
        <v>타마고 간장</v>
      </c>
    </row>
    <row r="14602">
      <c r="A14602" s="2" t="str">
        <f>IFERROR(__xludf.DUMMYFUNCTION("""COMPUTED_VALUE"""),"청양공주")</f>
        <v>청양공주</v>
      </c>
      <c r="B14602" s="2" t="str">
        <f>IFERROR(__xludf.DUMMYFUNCTION("""COMPUTED_VALUE"""),"들기름")</f>
        <v>들기름</v>
      </c>
    </row>
    <row r="14603">
      <c r="A14603" s="2" t="str">
        <f>IFERROR(__xludf.DUMMYFUNCTION("""COMPUTED_VALUE"""),"청양공주")</f>
        <v>청양공주</v>
      </c>
      <c r="B14603" s="2" t="str">
        <f>IFERROR(__xludf.DUMMYFUNCTION("""COMPUTED_VALUE"""),"올리고당")</f>
        <v>올리고당</v>
      </c>
    </row>
    <row r="14604">
      <c r="A14604" s="2" t="str">
        <f>IFERROR(__xludf.DUMMYFUNCTION("""COMPUTED_VALUE"""),"청양공주")</f>
        <v>청양공주</v>
      </c>
      <c r="B14604" s="2" t="str">
        <f>IFERROR(__xludf.DUMMYFUNCTION("""COMPUTED_VALUE"""),"말린 뽕잎")</f>
        <v>말린 뽕잎</v>
      </c>
    </row>
    <row r="14605">
      <c r="A14605" s="2" t="str">
        <f>IFERROR(__xludf.DUMMYFUNCTION("""COMPUTED_VALUE"""),"청양공주")</f>
        <v>청양공주</v>
      </c>
      <c r="B14605" s="2" t="str">
        <f>IFERROR(__xludf.DUMMYFUNCTION("""COMPUTED_VALUE"""),"깻잎")</f>
        <v>깻잎</v>
      </c>
    </row>
    <row r="14606">
      <c r="A14606" s="2" t="str">
        <f>IFERROR(__xludf.DUMMYFUNCTION("""COMPUTED_VALUE"""),"청양공주")</f>
        <v>청양공주</v>
      </c>
      <c r="B14606" s="2" t="str">
        <f>IFERROR(__xludf.DUMMYFUNCTION("""COMPUTED_VALUE"""),"대파")</f>
        <v>대파</v>
      </c>
    </row>
    <row r="14607">
      <c r="A14607" s="2" t="str">
        <f>IFERROR(__xludf.DUMMYFUNCTION("""COMPUTED_VALUE"""),"청양공주")</f>
        <v>청양공주</v>
      </c>
      <c r="B14607" s="2" t="str">
        <f>IFERROR(__xludf.DUMMYFUNCTION("""COMPUTED_VALUE"""),"고춧가루")</f>
        <v>고춧가루</v>
      </c>
    </row>
    <row r="14608">
      <c r="A14608" s="2" t="str">
        <f>IFERROR(__xludf.DUMMYFUNCTION("""COMPUTED_VALUE"""),"청양공주")</f>
        <v>청양공주</v>
      </c>
      <c r="B14608" s="2" t="str">
        <f>IFERROR(__xludf.DUMMYFUNCTION("""COMPUTED_VALUE"""),"간장")</f>
        <v>간장</v>
      </c>
    </row>
    <row r="14609">
      <c r="A14609" s="2" t="str">
        <f>IFERROR(__xludf.DUMMYFUNCTION("""COMPUTED_VALUE"""),"청양공주")</f>
        <v>청양공주</v>
      </c>
      <c r="B14609" s="2" t="str">
        <f>IFERROR(__xludf.DUMMYFUNCTION("""COMPUTED_VALUE"""),"맛술")</f>
        <v>맛술</v>
      </c>
    </row>
    <row r="14610">
      <c r="A14610" s="2" t="str">
        <f>IFERROR(__xludf.DUMMYFUNCTION("""COMPUTED_VALUE"""),"청양공주")</f>
        <v>청양공주</v>
      </c>
      <c r="B14610" s="2" t="str">
        <f>IFERROR(__xludf.DUMMYFUNCTION("""COMPUTED_VALUE"""),"다진 마늘")</f>
        <v>다진 마늘</v>
      </c>
    </row>
    <row r="14611">
      <c r="A14611" s="2" t="str">
        <f>IFERROR(__xludf.DUMMYFUNCTION("""COMPUTED_VALUE"""),"청양공주")</f>
        <v>청양공주</v>
      </c>
      <c r="B14611" s="2" t="str">
        <f>IFERROR(__xludf.DUMMYFUNCTION("""COMPUTED_VALUE"""),"양파")</f>
        <v>양파</v>
      </c>
    </row>
    <row r="14612">
      <c r="A14612" s="2" t="str">
        <f>IFERROR(__xludf.DUMMYFUNCTION("""COMPUTED_VALUE"""),"청양공주")</f>
        <v>청양공주</v>
      </c>
      <c r="B14612" s="2" t="str">
        <f>IFERROR(__xludf.DUMMYFUNCTION("""COMPUTED_VALUE"""),"청양고추")</f>
        <v>청양고추</v>
      </c>
    </row>
    <row r="14613">
      <c r="A14613" s="2" t="str">
        <f>IFERROR(__xludf.DUMMYFUNCTION("""COMPUTED_VALUE"""),"청양공주")</f>
        <v>청양공주</v>
      </c>
      <c r="B14613" s="2" t="str">
        <f>IFERROR(__xludf.DUMMYFUNCTION("""COMPUTED_VALUE"""),"들기름")</f>
        <v>들기름</v>
      </c>
    </row>
    <row r="14614">
      <c r="A14614" s="2" t="str">
        <f>IFERROR(__xludf.DUMMYFUNCTION("""COMPUTED_VALUE"""),"청양공주")</f>
        <v>청양공주</v>
      </c>
      <c r="B14614" s="2" t="str">
        <f>IFERROR(__xludf.DUMMYFUNCTION("""COMPUTED_VALUE"""),"깨")</f>
        <v>깨</v>
      </c>
    </row>
    <row r="14615">
      <c r="A14615" s="2" t="str">
        <f>IFERROR(__xludf.DUMMYFUNCTION("""COMPUTED_VALUE"""),"지금 이 순간~ 전골처럼♬")</f>
        <v>지금 이 순간~ 전골처럼♬</v>
      </c>
      <c r="B14615" s="2" t="str">
        <f>IFERROR(__xludf.DUMMYFUNCTION("""COMPUTED_VALUE"""),"차돌박이")</f>
        <v>차돌박이</v>
      </c>
    </row>
    <row r="14616">
      <c r="A14616" s="2" t="str">
        <f>IFERROR(__xludf.DUMMYFUNCTION("""COMPUTED_VALUE"""),"지금 이 순간~ 전골처럼♬")</f>
        <v>지금 이 순간~ 전골처럼♬</v>
      </c>
      <c r="B14616" s="2" t="str">
        <f>IFERROR(__xludf.DUMMYFUNCTION("""COMPUTED_VALUE"""),"다진 소고기")</f>
        <v>다진 소고기</v>
      </c>
    </row>
    <row r="14617">
      <c r="A14617" s="2" t="str">
        <f>IFERROR(__xludf.DUMMYFUNCTION("""COMPUTED_VALUE"""),"지금 이 순간~ 전골처럼♬")</f>
        <v>지금 이 순간~ 전골처럼♬</v>
      </c>
      <c r="B14617" s="2" t="str">
        <f>IFERROR(__xludf.DUMMYFUNCTION("""COMPUTED_VALUE"""),"건표고버섯")</f>
        <v>건표고버섯</v>
      </c>
    </row>
    <row r="14618">
      <c r="A14618" s="2" t="str">
        <f>IFERROR(__xludf.DUMMYFUNCTION("""COMPUTED_VALUE"""),"지금 이 순간~ 전골처럼♬")</f>
        <v>지금 이 순간~ 전골처럼♬</v>
      </c>
      <c r="B14618" s="2" t="str">
        <f>IFERROR(__xludf.DUMMYFUNCTION("""COMPUTED_VALUE"""),"표고버섯")</f>
        <v>표고버섯</v>
      </c>
    </row>
    <row r="14619">
      <c r="A14619" s="2" t="str">
        <f>IFERROR(__xludf.DUMMYFUNCTION("""COMPUTED_VALUE"""),"지금 이 순간~ 전골처럼♬")</f>
        <v>지금 이 순간~ 전골처럼♬</v>
      </c>
      <c r="B14619" s="2" t="str">
        <f>IFERROR(__xludf.DUMMYFUNCTION("""COMPUTED_VALUE"""),"송이버섯")</f>
        <v>송이버섯</v>
      </c>
    </row>
    <row r="14620">
      <c r="A14620" s="2" t="str">
        <f>IFERROR(__xludf.DUMMYFUNCTION("""COMPUTED_VALUE"""),"지금 이 순간~ 전골처럼♬")</f>
        <v>지금 이 순간~ 전골처럼♬</v>
      </c>
      <c r="B14620" s="2" t="str">
        <f>IFERROR(__xludf.DUMMYFUNCTION("""COMPUTED_VALUE"""),"감자")</f>
        <v>감자</v>
      </c>
    </row>
    <row r="14621">
      <c r="A14621" s="2" t="str">
        <f>IFERROR(__xludf.DUMMYFUNCTION("""COMPUTED_VALUE"""),"지금 이 순간~ 전골처럼♬")</f>
        <v>지금 이 순간~ 전골처럼♬</v>
      </c>
      <c r="B14621" s="2" t="str">
        <f>IFERROR(__xludf.DUMMYFUNCTION("""COMPUTED_VALUE"""),"애호박")</f>
        <v>애호박</v>
      </c>
    </row>
    <row r="14622">
      <c r="A14622" s="2" t="str">
        <f>IFERROR(__xludf.DUMMYFUNCTION("""COMPUTED_VALUE"""),"지금 이 순간~ 전골처럼♬")</f>
        <v>지금 이 순간~ 전골처럼♬</v>
      </c>
      <c r="B14622" s="2" t="str">
        <f>IFERROR(__xludf.DUMMYFUNCTION("""COMPUTED_VALUE"""),"타마고 간장")</f>
        <v>타마고 간장</v>
      </c>
    </row>
    <row r="14623">
      <c r="A14623" s="2" t="str">
        <f>IFERROR(__xludf.DUMMYFUNCTION("""COMPUTED_VALUE"""),"지금 이 순간~ 전골처럼♬")</f>
        <v>지금 이 순간~ 전골처럼♬</v>
      </c>
      <c r="B14623" s="2" t="str">
        <f>IFERROR(__xludf.DUMMYFUNCTION("""COMPUTED_VALUE"""),"소고기뭇국")</f>
        <v>소고기뭇국</v>
      </c>
    </row>
    <row r="14624">
      <c r="A14624" s="2" t="str">
        <f>IFERROR(__xludf.DUMMYFUNCTION("""COMPUTED_VALUE"""),"지금 이 순간~ 전골처럼♬")</f>
        <v>지금 이 순간~ 전골처럼♬</v>
      </c>
      <c r="B14624" s="2" t="str">
        <f>IFERROR(__xludf.DUMMYFUNCTION("""COMPUTED_VALUE"""),"무")</f>
        <v>무</v>
      </c>
    </row>
    <row r="14625">
      <c r="A14625" s="2" t="str">
        <f>IFERROR(__xludf.DUMMYFUNCTION("""COMPUTED_VALUE"""),"지금 이 순간~ 전골처럼♬")</f>
        <v>지금 이 순간~ 전골처럼♬</v>
      </c>
      <c r="B14625" s="2" t="str">
        <f>IFERROR(__xludf.DUMMYFUNCTION("""COMPUTED_VALUE"""),"올리브오일")</f>
        <v>올리브오일</v>
      </c>
    </row>
    <row r="14626">
      <c r="A14626" s="2" t="str">
        <f>IFERROR(__xludf.DUMMYFUNCTION("""COMPUTED_VALUE"""),"지금 이 순간~ 전골처럼♬")</f>
        <v>지금 이 순간~ 전골처럼♬</v>
      </c>
      <c r="B14626" s="2" t="str">
        <f>IFERROR(__xludf.DUMMYFUNCTION("""COMPUTED_VALUE"""),"청양고추")</f>
        <v>청양고추</v>
      </c>
    </row>
    <row r="14627">
      <c r="A14627" s="2" t="str">
        <f>IFERROR(__xludf.DUMMYFUNCTION("""COMPUTED_VALUE"""),"지금 이 순간~ 전골처럼♬")</f>
        <v>지금 이 순간~ 전골처럼♬</v>
      </c>
      <c r="B14627" s="2" t="str">
        <f>IFERROR(__xludf.DUMMYFUNCTION("""COMPUTED_VALUE"""),"밀가루")</f>
        <v>밀가루</v>
      </c>
    </row>
    <row r="14628">
      <c r="A14628" s="2" t="str">
        <f>IFERROR(__xludf.DUMMYFUNCTION("""COMPUTED_VALUE"""),"지금 이 순간~ 전골처럼♬")</f>
        <v>지금 이 순간~ 전골처럼♬</v>
      </c>
      <c r="B14628" s="2" t="str">
        <f>IFERROR(__xludf.DUMMYFUNCTION("""COMPUTED_VALUE"""),"대파")</f>
        <v>대파</v>
      </c>
    </row>
    <row r="14629">
      <c r="A14629" s="2" t="str">
        <f>IFERROR(__xludf.DUMMYFUNCTION("""COMPUTED_VALUE"""),"지금 이 순간~ 전골처럼♬")</f>
        <v>지금 이 순간~ 전골처럼♬</v>
      </c>
      <c r="B14629" s="2" t="str">
        <f>IFERROR(__xludf.DUMMYFUNCTION("""COMPUTED_VALUE"""),"홍고추")</f>
        <v>홍고추</v>
      </c>
    </row>
    <row r="14630">
      <c r="A14630" s="2" t="str">
        <f>IFERROR(__xludf.DUMMYFUNCTION("""COMPUTED_VALUE"""),"지금 이 순간~ 전골처럼♬")</f>
        <v>지금 이 순간~ 전골처럼♬</v>
      </c>
      <c r="B14630" s="2" t="str">
        <f>IFERROR(__xludf.DUMMYFUNCTION("""COMPUTED_VALUE"""),"양파")</f>
        <v>양파</v>
      </c>
    </row>
    <row r="14631">
      <c r="A14631" s="2" t="str">
        <f>IFERROR(__xludf.DUMMYFUNCTION("""COMPUTED_VALUE"""),"지금 이 순간~ 전골처럼♬")</f>
        <v>지금 이 순간~ 전골처럼♬</v>
      </c>
      <c r="B14631" s="2" t="str">
        <f>IFERROR(__xludf.DUMMYFUNCTION("""COMPUTED_VALUE"""),"식초")</f>
        <v>식초</v>
      </c>
    </row>
    <row r="14632">
      <c r="A14632" s="2" t="str">
        <f>IFERROR(__xludf.DUMMYFUNCTION("""COMPUTED_VALUE"""),"지금 이 순간~ 전골처럼♬")</f>
        <v>지금 이 순간~ 전골처럼♬</v>
      </c>
      <c r="B14632" s="2" t="str">
        <f>IFERROR(__xludf.DUMMYFUNCTION("""COMPUTED_VALUE"""),"레몬")</f>
        <v>레몬</v>
      </c>
    </row>
    <row r="14633">
      <c r="A14633" s="2" t="str">
        <f>IFERROR(__xludf.DUMMYFUNCTION("""COMPUTED_VALUE"""),"지금 이 순간~ 전골처럼♬")</f>
        <v>지금 이 순간~ 전골처럼♬</v>
      </c>
      <c r="B14633" s="2" t="str">
        <f>IFERROR(__xludf.DUMMYFUNCTION("""COMPUTED_VALUE"""),"들기름")</f>
        <v>들기름</v>
      </c>
    </row>
    <row r="14634">
      <c r="A14634" s="2" t="str">
        <f>IFERROR(__xludf.DUMMYFUNCTION("""COMPUTED_VALUE"""),"지금 이 순간~ 전골처럼♬")</f>
        <v>지금 이 순간~ 전골처럼♬</v>
      </c>
      <c r="B14634" s="2" t="str">
        <f>IFERROR(__xludf.DUMMYFUNCTION("""COMPUTED_VALUE"""),"소금")</f>
        <v>소금</v>
      </c>
    </row>
    <row r="14635">
      <c r="A14635" s="2" t="str">
        <f>IFERROR(__xludf.DUMMYFUNCTION("""COMPUTED_VALUE"""),"러시아 가 봤슈?")</f>
        <v>러시아 가 봤슈?</v>
      </c>
      <c r="B14635" s="2" t="str">
        <f>IFERROR(__xludf.DUMMYFUNCTION("""COMPUTED_VALUE"""),"다진 소고기")</f>
        <v>다진 소고기</v>
      </c>
    </row>
    <row r="14636">
      <c r="A14636" s="2" t="str">
        <f>IFERROR(__xludf.DUMMYFUNCTION("""COMPUTED_VALUE"""),"러시아 가 봤슈?")</f>
        <v>러시아 가 봤슈?</v>
      </c>
      <c r="B14636" s="2" t="str">
        <f>IFERROR(__xludf.DUMMYFUNCTION("""COMPUTED_VALUE"""),"콜라비 깍두기")</f>
        <v>콜라비 깍두기</v>
      </c>
    </row>
    <row r="14637">
      <c r="A14637" s="2" t="str">
        <f>IFERROR(__xludf.DUMMYFUNCTION("""COMPUTED_VALUE"""),"러시아 가 봤슈?")</f>
        <v>러시아 가 봤슈?</v>
      </c>
      <c r="B14637" s="2" t="str">
        <f>IFERROR(__xludf.DUMMYFUNCTION("""COMPUTED_VALUE"""),"마늘장아찌")</f>
        <v>마늘장아찌</v>
      </c>
    </row>
    <row r="14638">
      <c r="A14638" s="2" t="str">
        <f>IFERROR(__xludf.DUMMYFUNCTION("""COMPUTED_VALUE"""),"러시아 가 봤슈?")</f>
        <v>러시아 가 봤슈?</v>
      </c>
      <c r="B14638" s="2" t="str">
        <f>IFERROR(__xludf.DUMMYFUNCTION("""COMPUTED_VALUE"""),"매실장아찌")</f>
        <v>매실장아찌</v>
      </c>
    </row>
    <row r="14639">
      <c r="A14639" s="2" t="str">
        <f>IFERROR(__xludf.DUMMYFUNCTION("""COMPUTED_VALUE"""),"러시아 가 봤슈?")</f>
        <v>러시아 가 봤슈?</v>
      </c>
      <c r="B14639" s="2" t="str">
        <f>IFERROR(__xludf.DUMMYFUNCTION("""COMPUTED_VALUE"""),"표고버섯")</f>
        <v>표고버섯</v>
      </c>
    </row>
    <row r="14640">
      <c r="A14640" s="2" t="str">
        <f>IFERROR(__xludf.DUMMYFUNCTION("""COMPUTED_VALUE"""),"러시아 가 봤슈?")</f>
        <v>러시아 가 봤슈?</v>
      </c>
      <c r="B14640" s="2" t="str">
        <f>IFERROR(__xludf.DUMMYFUNCTION("""COMPUTED_VALUE"""),"송이버섯")</f>
        <v>송이버섯</v>
      </c>
    </row>
    <row r="14641">
      <c r="A14641" s="2" t="str">
        <f>IFERROR(__xludf.DUMMYFUNCTION("""COMPUTED_VALUE"""),"러시아 가 봤슈?")</f>
        <v>러시아 가 봤슈?</v>
      </c>
      <c r="B14641" s="2" t="str">
        <f>IFERROR(__xludf.DUMMYFUNCTION("""COMPUTED_VALUE"""),"감자")</f>
        <v>감자</v>
      </c>
    </row>
    <row r="14642">
      <c r="A14642" s="2" t="str">
        <f>IFERROR(__xludf.DUMMYFUNCTION("""COMPUTED_VALUE"""),"러시아 가 봤슈?")</f>
        <v>러시아 가 봤슈?</v>
      </c>
      <c r="B14642" s="2" t="str">
        <f>IFERROR(__xludf.DUMMYFUNCTION("""COMPUTED_VALUE"""),"카레가루")</f>
        <v>카레가루</v>
      </c>
    </row>
    <row r="14643">
      <c r="A14643" s="2" t="str">
        <f>IFERROR(__xludf.DUMMYFUNCTION("""COMPUTED_VALUE"""),"러시아 가 봤슈?")</f>
        <v>러시아 가 봤슈?</v>
      </c>
      <c r="B14643" s="2" t="str">
        <f>IFERROR(__xludf.DUMMYFUNCTION("""COMPUTED_VALUE"""),"찹쌀호떡가루")</f>
        <v>찹쌀호떡가루</v>
      </c>
    </row>
    <row r="14644">
      <c r="A14644" s="2" t="str">
        <f>IFERROR(__xludf.DUMMYFUNCTION("""COMPUTED_VALUE"""),"러시아 가 봤슈?")</f>
        <v>러시아 가 봤슈?</v>
      </c>
      <c r="B14644" s="2" t="str">
        <f>IFERROR(__xludf.DUMMYFUNCTION("""COMPUTED_VALUE"""),"로열젤리")</f>
        <v>로열젤리</v>
      </c>
    </row>
    <row r="14645">
      <c r="A14645" s="2" t="str">
        <f>IFERROR(__xludf.DUMMYFUNCTION("""COMPUTED_VALUE"""),"러시아 가 봤슈?")</f>
        <v>러시아 가 봤슈?</v>
      </c>
      <c r="B14645" s="2" t="str">
        <f>IFERROR(__xludf.DUMMYFUNCTION("""COMPUTED_VALUE"""),"사과")</f>
        <v>사과</v>
      </c>
    </row>
    <row r="14646">
      <c r="A14646" s="2" t="str">
        <f>IFERROR(__xludf.DUMMYFUNCTION("""COMPUTED_VALUE"""),"러시아 가 봤슈?")</f>
        <v>러시아 가 봤슈?</v>
      </c>
      <c r="B14646" s="2" t="str">
        <f>IFERROR(__xludf.DUMMYFUNCTION("""COMPUTED_VALUE"""),"연근조림")</f>
        <v>연근조림</v>
      </c>
    </row>
    <row r="14647">
      <c r="A14647" s="2" t="str">
        <f>IFERROR(__xludf.DUMMYFUNCTION("""COMPUTED_VALUE"""),"러시아 가 봤슈?")</f>
        <v>러시아 가 봤슈?</v>
      </c>
      <c r="B14647" s="2" t="str">
        <f>IFERROR(__xludf.DUMMYFUNCTION("""COMPUTED_VALUE"""),"대파")</f>
        <v>대파</v>
      </c>
    </row>
    <row r="14648">
      <c r="A14648" s="2" t="str">
        <f>IFERROR(__xludf.DUMMYFUNCTION("""COMPUTED_VALUE"""),"러시아 가 봤슈?")</f>
        <v>러시아 가 봤슈?</v>
      </c>
      <c r="B14648" s="2" t="str">
        <f>IFERROR(__xludf.DUMMYFUNCTION("""COMPUTED_VALUE"""),"양파")</f>
        <v>양파</v>
      </c>
    </row>
    <row r="14649">
      <c r="A14649" s="2" t="str">
        <f>IFERROR(__xludf.DUMMYFUNCTION("""COMPUTED_VALUE"""),"러시아 가 봤슈?")</f>
        <v>러시아 가 봤슈?</v>
      </c>
      <c r="B14649" s="2" t="str">
        <f>IFERROR(__xludf.DUMMYFUNCTION("""COMPUTED_VALUE"""),"맛술")</f>
        <v>맛술</v>
      </c>
    </row>
    <row r="14650">
      <c r="A14650" s="2" t="str">
        <f>IFERROR(__xludf.DUMMYFUNCTION("""COMPUTED_VALUE"""),"러시아 가 봤슈?")</f>
        <v>러시아 가 봤슈?</v>
      </c>
      <c r="B14650" s="2" t="str">
        <f>IFERROR(__xludf.DUMMYFUNCTION("""COMPUTED_VALUE"""),"간장")</f>
        <v>간장</v>
      </c>
    </row>
    <row r="14651">
      <c r="A14651" s="2" t="str">
        <f>IFERROR(__xludf.DUMMYFUNCTION("""COMPUTED_VALUE"""),"러시아 가 봤슈?")</f>
        <v>러시아 가 봤슈?</v>
      </c>
      <c r="B14651" s="2" t="str">
        <f>IFERROR(__xludf.DUMMYFUNCTION("""COMPUTED_VALUE"""),"설탕")</f>
        <v>설탕</v>
      </c>
    </row>
    <row r="14652">
      <c r="A14652" s="2" t="str">
        <f>IFERROR(__xludf.DUMMYFUNCTION("""COMPUTED_VALUE"""),"러시아 가 봤슈?")</f>
        <v>러시아 가 봤슈?</v>
      </c>
      <c r="B14652" s="2" t="str">
        <f>IFERROR(__xludf.DUMMYFUNCTION("""COMPUTED_VALUE"""),"소금")</f>
        <v>소금</v>
      </c>
    </row>
    <row r="14653">
      <c r="A14653" s="2" t="str">
        <f>IFERROR(__xludf.DUMMYFUNCTION("""COMPUTED_VALUE"""),"러시아 가 봤슈?")</f>
        <v>러시아 가 봤슈?</v>
      </c>
      <c r="B14653" s="2" t="str">
        <f>IFERROR(__xludf.DUMMYFUNCTION("""COMPUTED_VALUE"""),"당근")</f>
        <v>당근</v>
      </c>
    </row>
    <row r="14654">
      <c r="A14654" s="2" t="str">
        <f>IFERROR(__xludf.DUMMYFUNCTION("""COMPUTED_VALUE"""),"러시아 가 봤슈?")</f>
        <v>러시아 가 봤슈?</v>
      </c>
      <c r="B14654" s="2" t="str">
        <f>IFERROR(__xludf.DUMMYFUNCTION("""COMPUTED_VALUE"""),"달걀")</f>
        <v>달걀</v>
      </c>
    </row>
    <row r="14655">
      <c r="A14655" s="2" t="str">
        <f>IFERROR(__xludf.DUMMYFUNCTION("""COMPUTED_VALUE"""),"러시아 가 봤슈?")</f>
        <v>러시아 가 봤슈?</v>
      </c>
      <c r="B14655" s="2" t="str">
        <f>IFERROR(__xludf.DUMMYFUNCTION("""COMPUTED_VALUE"""),"참기름")</f>
        <v>참기름</v>
      </c>
    </row>
    <row r="14656">
      <c r="A14656" s="2" t="str">
        <f>IFERROR(__xludf.DUMMYFUNCTION("""COMPUTED_VALUE"""),"러시아 가 봤슈?")</f>
        <v>러시아 가 봤슈?</v>
      </c>
      <c r="B14656" s="2" t="str">
        <f>IFERROR(__xludf.DUMMYFUNCTION("""COMPUTED_VALUE"""),"청양고추")</f>
        <v>청양고추</v>
      </c>
    </row>
    <row r="14657">
      <c r="A14657" s="2" t="str">
        <f>IFERROR(__xludf.DUMMYFUNCTION("""COMPUTED_VALUE"""),"러시아 가 봤슈?")</f>
        <v>러시아 가 봤슈?</v>
      </c>
      <c r="B14657" s="2" t="str">
        <f>IFERROR(__xludf.DUMMYFUNCTION("""COMPUTED_VALUE"""),"홍고추")</f>
        <v>홍고추</v>
      </c>
    </row>
    <row r="14658">
      <c r="A14658" s="2" t="str">
        <f>IFERROR(__xludf.DUMMYFUNCTION("""COMPUTED_VALUE"""),"러시아 가 봤슈?")</f>
        <v>러시아 가 봤슈?</v>
      </c>
      <c r="B14658" s="2" t="str">
        <f>IFERROR(__xludf.DUMMYFUNCTION("""COMPUTED_VALUE"""),"화이트와인")</f>
        <v>화이트와인</v>
      </c>
    </row>
    <row r="14659">
      <c r="A14659" s="2" t="str">
        <f>IFERROR(__xludf.DUMMYFUNCTION("""COMPUTED_VALUE"""),"러시아 가 봤슈?")</f>
        <v>러시아 가 봤슈?</v>
      </c>
      <c r="B14659" s="2" t="str">
        <f>IFERROR(__xludf.DUMMYFUNCTION("""COMPUTED_VALUE"""),"올리브오일")</f>
        <v>올리브오일</v>
      </c>
    </row>
    <row r="14660">
      <c r="A14660" s="2" t="str">
        <f>IFERROR(__xludf.DUMMYFUNCTION("""COMPUTED_VALUE"""),"러시아 가 봤슈?")</f>
        <v>러시아 가 봤슈?</v>
      </c>
      <c r="B14660" s="2" t="str">
        <f>IFERROR(__xludf.DUMMYFUNCTION("""COMPUTED_VALUE"""),"고추장")</f>
        <v>고추장</v>
      </c>
    </row>
    <row r="14661">
      <c r="A14661" s="2" t="str">
        <f>IFERROR(__xludf.DUMMYFUNCTION("""COMPUTED_VALUE"""),"러시아 가 봤슈?")</f>
        <v>러시아 가 봤슈?</v>
      </c>
      <c r="B14661" s="2" t="str">
        <f>IFERROR(__xludf.DUMMYFUNCTION("""COMPUTED_VALUE"""),"후추")</f>
        <v>후추</v>
      </c>
    </row>
    <row r="14662">
      <c r="A14662" s="2" t="str">
        <f>IFERROR(__xludf.DUMMYFUNCTION("""COMPUTED_VALUE"""),"러시아풍 크레페")</f>
        <v>러시아풍 크레페</v>
      </c>
      <c r="B14662" s="2" t="str">
        <f>IFERROR(__xludf.DUMMYFUNCTION("""COMPUTED_VALUE"""),"차돌박이")</f>
        <v>차돌박이</v>
      </c>
    </row>
    <row r="14663">
      <c r="A14663" s="2" t="str">
        <f>IFERROR(__xludf.DUMMYFUNCTION("""COMPUTED_VALUE"""),"러시아풍 크레페")</f>
        <v>러시아풍 크레페</v>
      </c>
      <c r="B14663" s="2" t="str">
        <f>IFERROR(__xludf.DUMMYFUNCTION("""COMPUTED_VALUE"""),"딸기")</f>
        <v>딸기</v>
      </c>
    </row>
    <row r="14664">
      <c r="A14664" s="2" t="str">
        <f>IFERROR(__xludf.DUMMYFUNCTION("""COMPUTED_VALUE"""),"러시아풍 크레페")</f>
        <v>러시아풍 크레페</v>
      </c>
      <c r="B14664" s="2" t="str">
        <f>IFERROR(__xludf.DUMMYFUNCTION("""COMPUTED_VALUE"""),"타마고 간장")</f>
        <v>타마고 간장</v>
      </c>
    </row>
    <row r="14665">
      <c r="A14665" s="2" t="str">
        <f>IFERROR(__xludf.DUMMYFUNCTION("""COMPUTED_VALUE"""),"러시아풍 크레페")</f>
        <v>러시아풍 크레페</v>
      </c>
      <c r="B14665" s="2" t="str">
        <f>IFERROR(__xludf.DUMMYFUNCTION("""COMPUTED_VALUE"""),"깻잎")</f>
        <v>깻잎</v>
      </c>
    </row>
    <row r="14666">
      <c r="A14666" s="2" t="str">
        <f>IFERROR(__xludf.DUMMYFUNCTION("""COMPUTED_VALUE"""),"러시아풍 크레페")</f>
        <v>러시아풍 크레페</v>
      </c>
      <c r="B14666" s="2" t="str">
        <f>IFERROR(__xludf.DUMMYFUNCTION("""COMPUTED_VALUE"""),"우유")</f>
        <v>우유</v>
      </c>
    </row>
    <row r="14667">
      <c r="A14667" s="2" t="str">
        <f>IFERROR(__xludf.DUMMYFUNCTION("""COMPUTED_VALUE"""),"러시아풍 크레페")</f>
        <v>러시아풍 크레페</v>
      </c>
      <c r="B14667" s="2" t="str">
        <f>IFERROR(__xludf.DUMMYFUNCTION("""COMPUTED_VALUE"""),"건새우")</f>
        <v>건새우</v>
      </c>
    </row>
    <row r="14668">
      <c r="A14668" s="2" t="str">
        <f>IFERROR(__xludf.DUMMYFUNCTION("""COMPUTED_VALUE"""),"러시아풍 크레페")</f>
        <v>러시아풍 크레페</v>
      </c>
      <c r="B14668" s="2" t="str">
        <f>IFERROR(__xludf.DUMMYFUNCTION("""COMPUTED_VALUE"""),"찹쌀가루")</f>
        <v>찹쌀가루</v>
      </c>
    </row>
    <row r="14669">
      <c r="A14669" s="2" t="str">
        <f>IFERROR(__xludf.DUMMYFUNCTION("""COMPUTED_VALUE"""),"러시아풍 크레페")</f>
        <v>러시아풍 크레페</v>
      </c>
      <c r="B14669" s="2" t="str">
        <f>IFERROR(__xludf.DUMMYFUNCTION("""COMPUTED_VALUE"""),"설탕")</f>
        <v>설탕</v>
      </c>
    </row>
    <row r="14670">
      <c r="A14670" s="2" t="str">
        <f>IFERROR(__xludf.DUMMYFUNCTION("""COMPUTED_VALUE"""),"러시아풍 크레페")</f>
        <v>러시아풍 크레페</v>
      </c>
      <c r="B14670" s="2" t="str">
        <f>IFERROR(__xludf.DUMMYFUNCTION("""COMPUTED_VALUE"""),"밀가루")</f>
        <v>밀가루</v>
      </c>
    </row>
    <row r="14671">
      <c r="A14671" s="2" t="str">
        <f>IFERROR(__xludf.DUMMYFUNCTION("""COMPUTED_VALUE"""),"러시아풍 크레페")</f>
        <v>러시아풍 크레페</v>
      </c>
      <c r="B14671" s="2" t="str">
        <f>IFERROR(__xludf.DUMMYFUNCTION("""COMPUTED_VALUE"""),"달걀")</f>
        <v>달걀</v>
      </c>
    </row>
    <row r="14672">
      <c r="A14672" s="2" t="str">
        <f>IFERROR(__xludf.DUMMYFUNCTION("""COMPUTED_VALUE"""),"러시아풍 크레페")</f>
        <v>러시아풍 크레페</v>
      </c>
      <c r="B14672" s="2" t="str">
        <f>IFERROR(__xludf.DUMMYFUNCTION("""COMPUTED_VALUE"""),"소금")</f>
        <v>소금</v>
      </c>
    </row>
    <row r="14673">
      <c r="A14673" s="2" t="str">
        <f>IFERROR(__xludf.DUMMYFUNCTION("""COMPUTED_VALUE"""),"러시아풍 크레페")</f>
        <v>러시아풍 크레페</v>
      </c>
      <c r="B14673" s="2" t="str">
        <f>IFERROR(__xludf.DUMMYFUNCTION("""COMPUTED_VALUE"""),"양파")</f>
        <v>양파</v>
      </c>
    </row>
    <row r="14674">
      <c r="A14674" s="2" t="str">
        <f>IFERROR(__xludf.DUMMYFUNCTION("""COMPUTED_VALUE"""),"러시아풍 크레페")</f>
        <v>러시아풍 크레페</v>
      </c>
      <c r="B14674" s="2" t="str">
        <f>IFERROR(__xludf.DUMMYFUNCTION("""COMPUTED_VALUE"""),"물엿")</f>
        <v>물엿</v>
      </c>
    </row>
    <row r="14675">
      <c r="A14675" s="2" t="str">
        <f>IFERROR(__xludf.DUMMYFUNCTION("""COMPUTED_VALUE"""),"러시아풍 크레페")</f>
        <v>러시아풍 크레페</v>
      </c>
      <c r="B14675" s="2" t="str">
        <f>IFERROR(__xludf.DUMMYFUNCTION("""COMPUTED_VALUE"""),"식초")</f>
        <v>식초</v>
      </c>
    </row>
    <row r="14676">
      <c r="A14676" s="2" t="str">
        <f>IFERROR(__xludf.DUMMYFUNCTION("""COMPUTED_VALUE"""),"러시아풍 크레페")</f>
        <v>러시아풍 크레페</v>
      </c>
      <c r="B14676" s="2" t="str">
        <f>IFERROR(__xludf.DUMMYFUNCTION("""COMPUTED_VALUE"""),"청양고추")</f>
        <v>청양고추</v>
      </c>
    </row>
    <row r="14677">
      <c r="A14677" s="2" t="str">
        <f>IFERROR(__xludf.DUMMYFUNCTION("""COMPUTED_VALUE"""),"러시아풍 크레페")</f>
        <v>러시아풍 크레페</v>
      </c>
      <c r="B14677" s="2" t="str">
        <f>IFERROR(__xludf.DUMMYFUNCTION("""COMPUTED_VALUE"""),"레몬")</f>
        <v>레몬</v>
      </c>
    </row>
    <row r="14678">
      <c r="A14678" s="2" t="str">
        <f>IFERROR(__xludf.DUMMYFUNCTION("""COMPUTED_VALUE"""),"러시아풍 크레페")</f>
        <v>러시아풍 크레페</v>
      </c>
      <c r="B14678" s="2" t="str">
        <f>IFERROR(__xludf.DUMMYFUNCTION("""COMPUTED_VALUE"""),"간장")</f>
        <v>간장</v>
      </c>
    </row>
    <row r="14679">
      <c r="A14679" s="2" t="str">
        <f>IFERROR(__xludf.DUMMYFUNCTION("""COMPUTED_VALUE"""),"보양식이랑깨")</f>
        <v>보양식이랑깨</v>
      </c>
      <c r="B14679" s="2" t="str">
        <f>IFERROR(__xludf.DUMMYFUNCTION("""COMPUTED_VALUE"""),"꽃등심")</f>
        <v>꽃등심</v>
      </c>
    </row>
    <row r="14680">
      <c r="A14680" s="2" t="str">
        <f>IFERROR(__xludf.DUMMYFUNCTION("""COMPUTED_VALUE"""),"보양식이랑깨")</f>
        <v>보양식이랑깨</v>
      </c>
      <c r="B14680" s="2" t="str">
        <f>IFERROR(__xludf.DUMMYFUNCTION("""COMPUTED_VALUE"""),"샤부샤부용 소고기")</f>
        <v>샤부샤부용 소고기</v>
      </c>
    </row>
    <row r="14681">
      <c r="A14681" s="2" t="str">
        <f>IFERROR(__xludf.DUMMYFUNCTION("""COMPUTED_VALUE"""),"보양식이랑깨")</f>
        <v>보양식이랑깨</v>
      </c>
      <c r="B14681" s="2" t="str">
        <f>IFERROR(__xludf.DUMMYFUNCTION("""COMPUTED_VALUE"""),"차돌박이")</f>
        <v>차돌박이</v>
      </c>
    </row>
    <row r="14682">
      <c r="A14682" s="2" t="str">
        <f>IFERROR(__xludf.DUMMYFUNCTION("""COMPUTED_VALUE"""),"보양식이랑깨")</f>
        <v>보양식이랑깨</v>
      </c>
      <c r="B14682" s="2" t="str">
        <f>IFERROR(__xludf.DUMMYFUNCTION("""COMPUTED_VALUE"""),"낙지")</f>
        <v>낙지</v>
      </c>
    </row>
    <row r="14683">
      <c r="A14683" s="2" t="str">
        <f>IFERROR(__xludf.DUMMYFUNCTION("""COMPUTED_VALUE"""),"보양식이랑깨")</f>
        <v>보양식이랑깨</v>
      </c>
      <c r="B14683" s="2" t="str">
        <f>IFERROR(__xludf.DUMMYFUNCTION("""COMPUTED_VALUE"""),"마")</f>
        <v>마</v>
      </c>
    </row>
    <row r="14684">
      <c r="A14684" s="2" t="str">
        <f>IFERROR(__xludf.DUMMYFUNCTION("""COMPUTED_VALUE"""),"보양식이랑깨")</f>
        <v>보양식이랑깨</v>
      </c>
      <c r="B14684" s="2" t="str">
        <f>IFERROR(__xludf.DUMMYFUNCTION("""COMPUTED_VALUE"""),"설렁탕")</f>
        <v>설렁탕</v>
      </c>
    </row>
    <row r="14685">
      <c r="A14685" s="2" t="str">
        <f>IFERROR(__xludf.DUMMYFUNCTION("""COMPUTED_VALUE"""),"보양식이랑깨")</f>
        <v>보양식이랑깨</v>
      </c>
      <c r="B14685" s="2" t="str">
        <f>IFERROR(__xludf.DUMMYFUNCTION("""COMPUTED_VALUE"""),"국물용 멸치")</f>
        <v>국물용 멸치</v>
      </c>
    </row>
    <row r="14686">
      <c r="A14686" s="2" t="str">
        <f>IFERROR(__xludf.DUMMYFUNCTION("""COMPUTED_VALUE"""),"보양식이랑깨")</f>
        <v>보양식이랑깨</v>
      </c>
      <c r="B14686" s="2" t="str">
        <f>IFERROR(__xludf.DUMMYFUNCTION("""COMPUTED_VALUE"""),"무")</f>
        <v>무</v>
      </c>
    </row>
    <row r="14687">
      <c r="A14687" s="2" t="str">
        <f>IFERROR(__xludf.DUMMYFUNCTION("""COMPUTED_VALUE"""),"보양식이랑깨")</f>
        <v>보양식이랑깨</v>
      </c>
      <c r="B14687" s="2" t="str">
        <f>IFERROR(__xludf.DUMMYFUNCTION("""COMPUTED_VALUE"""),"다시마")</f>
        <v>다시마</v>
      </c>
    </row>
    <row r="14688">
      <c r="A14688" s="2" t="str">
        <f>IFERROR(__xludf.DUMMYFUNCTION("""COMPUTED_VALUE"""),"보양식이랑깨")</f>
        <v>보양식이랑깨</v>
      </c>
      <c r="B14688" s="2" t="str">
        <f>IFERROR(__xludf.DUMMYFUNCTION("""COMPUTED_VALUE"""),"총각김치")</f>
        <v>총각김치</v>
      </c>
    </row>
    <row r="14689">
      <c r="A14689" s="2" t="str">
        <f>IFERROR(__xludf.DUMMYFUNCTION("""COMPUTED_VALUE"""),"보양식이랑깨")</f>
        <v>보양식이랑깨</v>
      </c>
      <c r="B14689" s="2" t="str">
        <f>IFERROR(__xludf.DUMMYFUNCTION("""COMPUTED_VALUE"""),"들깻가루")</f>
        <v>들깻가루</v>
      </c>
    </row>
    <row r="14690">
      <c r="A14690" s="2" t="str">
        <f>IFERROR(__xludf.DUMMYFUNCTION("""COMPUTED_VALUE"""),"보양식이랑깨")</f>
        <v>보양식이랑깨</v>
      </c>
      <c r="B14690" s="2" t="str">
        <f>IFERROR(__xludf.DUMMYFUNCTION("""COMPUTED_VALUE"""),"초고추장")</f>
        <v>초고추장</v>
      </c>
    </row>
    <row r="14691">
      <c r="A14691" s="2" t="str">
        <f>IFERROR(__xludf.DUMMYFUNCTION("""COMPUTED_VALUE"""),"보양식이랑깨")</f>
        <v>보양식이랑깨</v>
      </c>
      <c r="B14691" s="2" t="str">
        <f>IFERROR(__xludf.DUMMYFUNCTION("""COMPUTED_VALUE"""),"부추")</f>
        <v>부추</v>
      </c>
    </row>
    <row r="14692">
      <c r="A14692" s="2" t="str">
        <f>IFERROR(__xludf.DUMMYFUNCTION("""COMPUTED_VALUE"""),"보양식이랑깨")</f>
        <v>보양식이랑깨</v>
      </c>
      <c r="B14692" s="2" t="str">
        <f>IFERROR(__xludf.DUMMYFUNCTION("""COMPUTED_VALUE"""),"깻잎")</f>
        <v>깻잎</v>
      </c>
    </row>
    <row r="14693">
      <c r="A14693" s="2" t="str">
        <f>IFERROR(__xludf.DUMMYFUNCTION("""COMPUTED_VALUE"""),"보양식이랑깨")</f>
        <v>보양식이랑깨</v>
      </c>
      <c r="B14693" s="2" t="str">
        <f>IFERROR(__xludf.DUMMYFUNCTION("""COMPUTED_VALUE"""),"팽이버섯")</f>
        <v>팽이버섯</v>
      </c>
    </row>
    <row r="14694">
      <c r="A14694" s="2" t="str">
        <f>IFERROR(__xludf.DUMMYFUNCTION("""COMPUTED_VALUE"""),"보양식이랑깨")</f>
        <v>보양식이랑깨</v>
      </c>
      <c r="B14694" s="2" t="str">
        <f>IFERROR(__xludf.DUMMYFUNCTION("""COMPUTED_VALUE"""),"들기름")</f>
        <v>들기름</v>
      </c>
    </row>
    <row r="14695">
      <c r="A14695" s="2" t="str">
        <f>IFERROR(__xludf.DUMMYFUNCTION("""COMPUTED_VALUE"""),"보양식이랑깨")</f>
        <v>보양식이랑깨</v>
      </c>
      <c r="B14695" s="2" t="str">
        <f>IFERROR(__xludf.DUMMYFUNCTION("""COMPUTED_VALUE"""),"대파")</f>
        <v>대파</v>
      </c>
    </row>
    <row r="14696">
      <c r="A14696" s="2" t="str">
        <f>IFERROR(__xludf.DUMMYFUNCTION("""COMPUTED_VALUE"""),"보양식이랑깨")</f>
        <v>보양식이랑깨</v>
      </c>
      <c r="B14696" s="2" t="str">
        <f>IFERROR(__xludf.DUMMYFUNCTION("""COMPUTED_VALUE"""),"설탕")</f>
        <v>설탕</v>
      </c>
    </row>
    <row r="14697">
      <c r="A14697" s="2" t="str">
        <f>IFERROR(__xludf.DUMMYFUNCTION("""COMPUTED_VALUE"""),"보양식이랑깨")</f>
        <v>보양식이랑깨</v>
      </c>
      <c r="B14697" s="2" t="str">
        <f>IFERROR(__xludf.DUMMYFUNCTION("""COMPUTED_VALUE"""),"간장")</f>
        <v>간장</v>
      </c>
    </row>
    <row r="14698">
      <c r="A14698" s="2" t="str">
        <f>IFERROR(__xludf.DUMMYFUNCTION("""COMPUTED_VALUE"""),"보양식이랑깨")</f>
        <v>보양식이랑깨</v>
      </c>
      <c r="B14698" s="2" t="str">
        <f>IFERROR(__xludf.DUMMYFUNCTION("""COMPUTED_VALUE"""),"소금")</f>
        <v>소금</v>
      </c>
    </row>
    <row r="14699">
      <c r="A14699" s="2" t="str">
        <f>IFERROR(__xludf.DUMMYFUNCTION("""COMPUTED_VALUE"""),"보양식이랑깨")</f>
        <v>보양식이랑깨</v>
      </c>
      <c r="B14699" s="2" t="str">
        <f>IFERROR(__xludf.DUMMYFUNCTION("""COMPUTED_VALUE"""),"밀가루")</f>
        <v>밀가루</v>
      </c>
    </row>
    <row r="14700">
      <c r="A14700" s="2" t="str">
        <f>IFERROR(__xludf.DUMMYFUNCTION("""COMPUTED_VALUE"""),"보양식이랑깨")</f>
        <v>보양식이랑깨</v>
      </c>
      <c r="B14700" s="2" t="str">
        <f>IFERROR(__xludf.DUMMYFUNCTION("""COMPUTED_VALUE"""),"달걀")</f>
        <v>달걀</v>
      </c>
    </row>
    <row r="14701">
      <c r="A14701" s="2" t="str">
        <f>IFERROR(__xludf.DUMMYFUNCTION("""COMPUTED_VALUE"""),"보양식이랑깨")</f>
        <v>보양식이랑깨</v>
      </c>
      <c r="B14701" s="2" t="str">
        <f>IFERROR(__xludf.DUMMYFUNCTION("""COMPUTED_VALUE"""),"된장")</f>
        <v>된장</v>
      </c>
    </row>
    <row r="14702">
      <c r="A14702" s="2" t="str">
        <f>IFERROR(__xludf.DUMMYFUNCTION("""COMPUTED_VALUE"""),"보양식이랑깨")</f>
        <v>보양식이랑깨</v>
      </c>
      <c r="B14702" s="2" t="str">
        <f>IFERROR(__xludf.DUMMYFUNCTION("""COMPUTED_VALUE"""),"맛술")</f>
        <v>맛술</v>
      </c>
    </row>
    <row r="14703">
      <c r="A14703" s="2" t="str">
        <f>IFERROR(__xludf.DUMMYFUNCTION("""COMPUTED_VALUE"""),"보양식이랑깨")</f>
        <v>보양식이랑깨</v>
      </c>
      <c r="B14703" s="2" t="str">
        <f>IFERROR(__xludf.DUMMYFUNCTION("""COMPUTED_VALUE"""),"고춧가루")</f>
        <v>고춧가루</v>
      </c>
    </row>
    <row r="14704">
      <c r="A14704" s="2" t="str">
        <f>IFERROR(__xludf.DUMMYFUNCTION("""COMPUTED_VALUE"""),"보양식이랑깨")</f>
        <v>보양식이랑깨</v>
      </c>
      <c r="B14704" s="2" t="str">
        <f>IFERROR(__xludf.DUMMYFUNCTION("""COMPUTED_VALUE"""),"다진마늘")</f>
        <v>다진마늘</v>
      </c>
    </row>
    <row r="14705">
      <c r="A14705" s="2" t="str">
        <f>IFERROR(__xludf.DUMMYFUNCTION("""COMPUTED_VALUE"""),"보양식이랑깨")</f>
        <v>보양식이랑깨</v>
      </c>
      <c r="B14705" s="2" t="str">
        <f>IFERROR(__xludf.DUMMYFUNCTION("""COMPUTED_VALUE"""),"연겨자")</f>
        <v>연겨자</v>
      </c>
    </row>
    <row r="14706">
      <c r="A14706" s="2" t="str">
        <f>IFERROR(__xludf.DUMMYFUNCTION("""COMPUTED_VALUE"""),"보양식이랑깨")</f>
        <v>보양식이랑깨</v>
      </c>
      <c r="B14706" s="2" t="str">
        <f>IFERROR(__xludf.DUMMYFUNCTION("""COMPUTED_VALUE"""),"마늘")</f>
        <v>마늘</v>
      </c>
    </row>
    <row r="14707">
      <c r="A14707" s="2" t="str">
        <f>IFERROR(__xludf.DUMMYFUNCTION("""COMPUTED_VALUE"""),"보양식이랑깨")</f>
        <v>보양식이랑깨</v>
      </c>
      <c r="B14707" s="2" t="str">
        <f>IFERROR(__xludf.DUMMYFUNCTION("""COMPUTED_VALUE"""),"홍고추")</f>
        <v>홍고추</v>
      </c>
    </row>
    <row r="14708">
      <c r="A14708" s="2" t="str">
        <f>IFERROR(__xludf.DUMMYFUNCTION("""COMPUTED_VALUE"""),"잣잣잣~하고 말아 드세요♬")</f>
        <v>잣잣잣~하고 말아 드세요♬</v>
      </c>
      <c r="B14708" s="2" t="str">
        <f>IFERROR(__xludf.DUMMYFUNCTION("""COMPUTED_VALUE"""),"전복")</f>
        <v>전복</v>
      </c>
    </row>
    <row r="14709">
      <c r="A14709" s="2" t="str">
        <f>IFERROR(__xludf.DUMMYFUNCTION("""COMPUTED_VALUE"""),"잣잣잣~하고 말아 드세요♬")</f>
        <v>잣잣잣~하고 말아 드세요♬</v>
      </c>
      <c r="B14709" s="2" t="str">
        <f>IFERROR(__xludf.DUMMYFUNCTION("""COMPUTED_VALUE"""),"낙지")</f>
        <v>낙지</v>
      </c>
    </row>
    <row r="14710">
      <c r="A14710" s="2" t="str">
        <f>IFERROR(__xludf.DUMMYFUNCTION("""COMPUTED_VALUE"""),"잣잣잣~하고 말아 드세요♬")</f>
        <v>잣잣잣~하고 말아 드세요♬</v>
      </c>
      <c r="B14710" s="2" t="str">
        <f>IFERROR(__xludf.DUMMYFUNCTION("""COMPUTED_VALUE"""),"오징어")</f>
        <v>오징어</v>
      </c>
    </row>
    <row r="14711">
      <c r="A14711" s="2" t="str">
        <f>IFERROR(__xludf.DUMMYFUNCTION("""COMPUTED_VALUE"""),"잣잣잣~하고 말아 드세요♬")</f>
        <v>잣잣잣~하고 말아 드세요♬</v>
      </c>
      <c r="B14711" s="2" t="str">
        <f>IFERROR(__xludf.DUMMYFUNCTION("""COMPUTED_VALUE"""),"새우")</f>
        <v>새우</v>
      </c>
    </row>
    <row r="14712">
      <c r="A14712" s="2" t="str">
        <f>IFERROR(__xludf.DUMMYFUNCTION("""COMPUTED_VALUE"""),"잣잣잣~하고 말아 드세요♬")</f>
        <v>잣잣잣~하고 말아 드세요♬</v>
      </c>
      <c r="B14712" s="2" t="str">
        <f>IFERROR(__xludf.DUMMYFUNCTION("""COMPUTED_VALUE"""),"잣")</f>
        <v>잣</v>
      </c>
    </row>
    <row r="14713">
      <c r="A14713" s="2" t="str">
        <f>IFERROR(__xludf.DUMMYFUNCTION("""COMPUTED_VALUE"""),"잣잣잣~하고 말아 드세요♬")</f>
        <v>잣잣잣~하고 말아 드세요♬</v>
      </c>
      <c r="B14713" s="2" t="str">
        <f>IFERROR(__xludf.DUMMYFUNCTION("""COMPUTED_VALUE"""),"두부")</f>
        <v>두부</v>
      </c>
    </row>
    <row r="14714">
      <c r="A14714" s="2" t="str">
        <f>IFERROR(__xludf.DUMMYFUNCTION("""COMPUTED_VALUE"""),"잣잣잣~하고 말아 드세요♬")</f>
        <v>잣잣잣~하고 말아 드세요♬</v>
      </c>
      <c r="B14714" s="2" t="str">
        <f>IFERROR(__xludf.DUMMYFUNCTION("""COMPUTED_VALUE"""),"레몬청")</f>
        <v>레몬청</v>
      </c>
    </row>
    <row r="14715">
      <c r="A14715" s="2" t="str">
        <f>IFERROR(__xludf.DUMMYFUNCTION("""COMPUTED_VALUE"""),"잣잣잣~하고 말아 드세요♬")</f>
        <v>잣잣잣~하고 말아 드세요♬</v>
      </c>
      <c r="B14715" s="2" t="str">
        <f>IFERROR(__xludf.DUMMYFUNCTION("""COMPUTED_VALUE"""),"오이")</f>
        <v>오이</v>
      </c>
    </row>
    <row r="14716">
      <c r="A14716" s="2" t="str">
        <f>IFERROR(__xludf.DUMMYFUNCTION("""COMPUTED_VALUE"""),"잣잣잣~하고 말아 드세요♬")</f>
        <v>잣잣잣~하고 말아 드세요♬</v>
      </c>
      <c r="B14716" s="2" t="str">
        <f>IFERROR(__xludf.DUMMYFUNCTION("""COMPUTED_VALUE"""),"애호박")</f>
        <v>애호박</v>
      </c>
    </row>
    <row r="14717">
      <c r="A14717" s="2" t="str">
        <f>IFERROR(__xludf.DUMMYFUNCTION("""COMPUTED_VALUE"""),"잣잣잣~하고 말아 드세요♬")</f>
        <v>잣잣잣~하고 말아 드세요♬</v>
      </c>
      <c r="B14717" s="2" t="str">
        <f>IFERROR(__xludf.DUMMYFUNCTION("""COMPUTED_VALUE"""),"무순")</f>
        <v>무순</v>
      </c>
    </row>
    <row r="14718">
      <c r="A14718" s="2" t="str">
        <f>IFERROR(__xludf.DUMMYFUNCTION("""COMPUTED_VALUE"""),"잣잣잣~하고 말아 드세요♬")</f>
        <v>잣잣잣~하고 말아 드세요♬</v>
      </c>
      <c r="B14718" s="2" t="str">
        <f>IFERROR(__xludf.DUMMYFUNCTION("""COMPUTED_VALUE"""),"깻잎")</f>
        <v>깻잎</v>
      </c>
    </row>
    <row r="14719">
      <c r="A14719" s="2" t="str">
        <f>IFERROR(__xludf.DUMMYFUNCTION("""COMPUTED_VALUE"""),"잣잣잣~하고 말아 드세요♬")</f>
        <v>잣잣잣~하고 말아 드세요♬</v>
      </c>
      <c r="B14719" s="2" t="str">
        <f>IFERROR(__xludf.DUMMYFUNCTION("""COMPUTED_VALUE"""),"팽이버섯")</f>
        <v>팽이버섯</v>
      </c>
    </row>
    <row r="14720">
      <c r="A14720" s="2" t="str">
        <f>IFERROR(__xludf.DUMMYFUNCTION("""COMPUTED_VALUE"""),"잣잣잣~하고 말아 드세요♬")</f>
        <v>잣잣잣~하고 말아 드세요♬</v>
      </c>
      <c r="B14720" s="2" t="str">
        <f>IFERROR(__xludf.DUMMYFUNCTION("""COMPUTED_VALUE"""),"감태")</f>
        <v>감태</v>
      </c>
    </row>
    <row r="14721">
      <c r="A14721" s="2" t="str">
        <f>IFERROR(__xludf.DUMMYFUNCTION("""COMPUTED_VALUE"""),"잣잣잣~하고 말아 드세요♬")</f>
        <v>잣잣잣~하고 말아 드세요♬</v>
      </c>
      <c r="B14721" s="2" t="str">
        <f>IFERROR(__xludf.DUMMYFUNCTION("""COMPUTED_VALUE"""),"스리라차소스")</f>
        <v>스리라차소스</v>
      </c>
    </row>
    <row r="14722">
      <c r="A14722" s="2" t="str">
        <f>IFERROR(__xludf.DUMMYFUNCTION("""COMPUTED_VALUE"""),"잣잣잣~하고 말아 드세요♬")</f>
        <v>잣잣잣~하고 말아 드세요♬</v>
      </c>
      <c r="B14722" s="2" t="str">
        <f>IFERROR(__xludf.DUMMYFUNCTION("""COMPUTED_VALUE"""),"굴소스")</f>
        <v>굴소스</v>
      </c>
    </row>
    <row r="14723">
      <c r="A14723" s="2" t="str">
        <f>IFERROR(__xludf.DUMMYFUNCTION("""COMPUTED_VALUE"""),"잣잣잣~하고 말아 드세요♬")</f>
        <v>잣잣잣~하고 말아 드세요♬</v>
      </c>
      <c r="B14723" s="2" t="str">
        <f>IFERROR(__xludf.DUMMYFUNCTION("""COMPUTED_VALUE"""),"소금")</f>
        <v>소금</v>
      </c>
    </row>
    <row r="14724">
      <c r="A14724" s="2" t="str">
        <f>IFERROR(__xludf.DUMMYFUNCTION("""COMPUTED_VALUE"""),"잣잣잣~하고 말아 드세요♬")</f>
        <v>잣잣잣~하고 말아 드세요♬</v>
      </c>
      <c r="B14724" s="2" t="str">
        <f>IFERROR(__xludf.DUMMYFUNCTION("""COMPUTED_VALUE"""),"밀가루")</f>
        <v>밀가루</v>
      </c>
    </row>
    <row r="14725">
      <c r="A14725" s="2" t="str">
        <f>IFERROR(__xludf.DUMMYFUNCTION("""COMPUTED_VALUE"""),"잣잣잣~하고 말아 드세요♬")</f>
        <v>잣잣잣~하고 말아 드세요♬</v>
      </c>
      <c r="B14725" s="2" t="str">
        <f>IFERROR(__xludf.DUMMYFUNCTION("""COMPUTED_VALUE"""),"마늘")</f>
        <v>마늘</v>
      </c>
    </row>
    <row r="14726">
      <c r="A14726" s="2" t="str">
        <f>IFERROR(__xludf.DUMMYFUNCTION("""COMPUTED_VALUE"""),"잣잣잣~하고 말아 드세요♬")</f>
        <v>잣잣잣~하고 말아 드세요♬</v>
      </c>
      <c r="B14726" s="2" t="str">
        <f>IFERROR(__xludf.DUMMYFUNCTION("""COMPUTED_VALUE"""),"맛술")</f>
        <v>맛술</v>
      </c>
    </row>
    <row r="14727">
      <c r="A14727" s="2" t="str">
        <f>IFERROR(__xludf.DUMMYFUNCTION("""COMPUTED_VALUE"""),"잣잣잣~하고 말아 드세요♬")</f>
        <v>잣잣잣~하고 말아 드세요♬</v>
      </c>
      <c r="B14727" s="2" t="str">
        <f>IFERROR(__xludf.DUMMYFUNCTION("""COMPUTED_VALUE"""),"간장")</f>
        <v>간장</v>
      </c>
    </row>
    <row r="14728">
      <c r="A14728" s="2" t="str">
        <f>IFERROR(__xludf.DUMMYFUNCTION("""COMPUTED_VALUE"""),"잣잣잣~하고 말아 드세요♬")</f>
        <v>잣잣잣~하고 말아 드세요♬</v>
      </c>
      <c r="B14728" s="2" t="str">
        <f>IFERROR(__xludf.DUMMYFUNCTION("""COMPUTED_VALUE"""),"설탕")</f>
        <v>설탕</v>
      </c>
    </row>
    <row r="14729">
      <c r="A14729" s="2" t="str">
        <f>IFERROR(__xludf.DUMMYFUNCTION("""COMPUTED_VALUE"""),"잣잣잣~하고 말아 드세요♬")</f>
        <v>잣잣잣~하고 말아 드세요♬</v>
      </c>
      <c r="B14729" s="2" t="str">
        <f>IFERROR(__xludf.DUMMYFUNCTION("""COMPUTED_VALUE"""),"식초")</f>
        <v>식초</v>
      </c>
    </row>
    <row r="14730">
      <c r="A14730" s="2" t="str">
        <f>IFERROR(__xludf.DUMMYFUNCTION("""COMPUTED_VALUE"""),"잣잣잣~하고 말아 드세요♬")</f>
        <v>잣잣잣~하고 말아 드세요♬</v>
      </c>
      <c r="B14730" s="2" t="str">
        <f>IFERROR(__xludf.DUMMYFUNCTION("""COMPUTED_VALUE"""),"케첩")</f>
        <v>케첩</v>
      </c>
    </row>
    <row r="14731">
      <c r="A14731" s="2" t="str">
        <f>IFERROR(__xludf.DUMMYFUNCTION("""COMPUTED_VALUE"""),"잣잣잣~하고 말아 드세요♬")</f>
        <v>잣잣잣~하고 말아 드세요♬</v>
      </c>
      <c r="B14731" s="2" t="str">
        <f>IFERROR(__xludf.DUMMYFUNCTION("""COMPUTED_VALUE"""),"마요네즈")</f>
        <v>마요네즈</v>
      </c>
    </row>
    <row r="14732">
      <c r="A14732" s="2" t="str">
        <f>IFERROR(__xludf.DUMMYFUNCTION("""COMPUTED_VALUE"""),"잣잣잣~하고 말아 드세요♬")</f>
        <v>잣잣잣~하고 말아 드세요♬</v>
      </c>
      <c r="B14732" s="2" t="str">
        <f>IFERROR(__xludf.DUMMYFUNCTION("""COMPUTED_VALUE"""),"대파")</f>
        <v>대파</v>
      </c>
    </row>
    <row r="14733">
      <c r="A14733" s="2" t="str">
        <f>IFERROR(__xludf.DUMMYFUNCTION("""COMPUTED_VALUE"""),"꽃중년 스테이크")</f>
        <v>꽃중년 스테이크</v>
      </c>
      <c r="B14733" s="2" t="str">
        <f>IFERROR(__xludf.DUMMYFUNCTION("""COMPUTED_VALUE"""),"꽃등심")</f>
        <v>꽃등심</v>
      </c>
    </row>
    <row r="14734">
      <c r="A14734" s="2" t="str">
        <f>IFERROR(__xludf.DUMMYFUNCTION("""COMPUTED_VALUE"""),"꽃중년 스테이크")</f>
        <v>꽃중년 스테이크</v>
      </c>
      <c r="B14734" s="2" t="str">
        <f>IFERROR(__xludf.DUMMYFUNCTION("""COMPUTED_VALUE"""),"삼겹살")</f>
        <v>삼겹살</v>
      </c>
    </row>
    <row r="14735">
      <c r="A14735" s="2" t="str">
        <f>IFERROR(__xludf.DUMMYFUNCTION("""COMPUTED_VALUE"""),"꽃중년 스테이크")</f>
        <v>꽃중년 스테이크</v>
      </c>
      <c r="B14735" s="2" t="str">
        <f>IFERROR(__xludf.DUMMYFUNCTION("""COMPUTED_VALUE"""),"애호박")</f>
        <v>애호박</v>
      </c>
    </row>
    <row r="14736">
      <c r="A14736" s="2" t="str">
        <f>IFERROR(__xludf.DUMMYFUNCTION("""COMPUTED_VALUE"""),"꽃중년 스테이크")</f>
        <v>꽃중년 스테이크</v>
      </c>
      <c r="B14736" s="2" t="str">
        <f>IFERROR(__xludf.DUMMYFUNCTION("""COMPUTED_VALUE"""),"양송이버섯")</f>
        <v>양송이버섯</v>
      </c>
    </row>
    <row r="14737">
      <c r="A14737" s="2" t="str">
        <f>IFERROR(__xludf.DUMMYFUNCTION("""COMPUTED_VALUE"""),"꽃중년 스테이크")</f>
        <v>꽃중년 스테이크</v>
      </c>
      <c r="B14737" s="2" t="str">
        <f>IFERROR(__xludf.DUMMYFUNCTION("""COMPUTED_VALUE"""),"상추")</f>
        <v>상추</v>
      </c>
    </row>
    <row r="14738">
      <c r="A14738" s="2" t="str">
        <f>IFERROR(__xludf.DUMMYFUNCTION("""COMPUTED_VALUE"""),"꽃중년 스테이크")</f>
        <v>꽃중년 스테이크</v>
      </c>
      <c r="B14738" s="2" t="str">
        <f>IFERROR(__xludf.DUMMYFUNCTION("""COMPUTED_VALUE"""),"마늘장아찌")</f>
        <v>마늘장아찌</v>
      </c>
    </row>
    <row r="14739">
      <c r="A14739" s="2" t="str">
        <f>IFERROR(__xludf.DUMMYFUNCTION("""COMPUTED_VALUE"""),"꽃중년 스테이크")</f>
        <v>꽃중년 스테이크</v>
      </c>
      <c r="B14739" s="2" t="str">
        <f>IFERROR(__xludf.DUMMYFUNCTION("""COMPUTED_VALUE"""),"오이")</f>
        <v>오이</v>
      </c>
    </row>
    <row r="14740">
      <c r="A14740" s="2" t="str">
        <f>IFERROR(__xludf.DUMMYFUNCTION("""COMPUTED_VALUE"""),"꽃중년 스테이크")</f>
        <v>꽃중년 스테이크</v>
      </c>
      <c r="B14740" s="2" t="str">
        <f>IFERROR(__xludf.DUMMYFUNCTION("""COMPUTED_VALUE"""),"부추")</f>
        <v>부추</v>
      </c>
    </row>
    <row r="14741">
      <c r="A14741" s="2" t="str">
        <f>IFERROR(__xludf.DUMMYFUNCTION("""COMPUTED_VALUE"""),"꽃중년 스테이크")</f>
        <v>꽃중년 스테이크</v>
      </c>
      <c r="B14741" s="2" t="str">
        <f>IFERROR(__xludf.DUMMYFUNCTION("""COMPUTED_VALUE"""),"레몬청")</f>
        <v>레몬청</v>
      </c>
    </row>
    <row r="14742">
      <c r="A14742" s="2" t="str">
        <f>IFERROR(__xludf.DUMMYFUNCTION("""COMPUTED_VALUE"""),"꽃중년 스테이크")</f>
        <v>꽃중년 스테이크</v>
      </c>
      <c r="B14742" s="2" t="str">
        <f>IFERROR(__xludf.DUMMYFUNCTION("""COMPUTED_VALUE"""),"유자폰즈소스")</f>
        <v>유자폰즈소스</v>
      </c>
    </row>
    <row r="14743">
      <c r="A14743" s="2" t="str">
        <f>IFERROR(__xludf.DUMMYFUNCTION("""COMPUTED_VALUE"""),"꽃중년 스테이크")</f>
        <v>꽃중년 스테이크</v>
      </c>
      <c r="B14743" s="2" t="str">
        <f>IFERROR(__xludf.DUMMYFUNCTION("""COMPUTED_VALUE"""),"잣")</f>
        <v>잣</v>
      </c>
    </row>
    <row r="14744">
      <c r="A14744" s="2" t="str">
        <f>IFERROR(__xludf.DUMMYFUNCTION("""COMPUTED_VALUE"""),"꽃중년 스테이크")</f>
        <v>꽃중년 스테이크</v>
      </c>
      <c r="B14744" s="2" t="str">
        <f>IFERROR(__xludf.DUMMYFUNCTION("""COMPUTED_VALUE"""),"새우젓무침")</f>
        <v>새우젓무침</v>
      </c>
    </row>
    <row r="14745">
      <c r="A14745" s="2" t="str">
        <f>IFERROR(__xludf.DUMMYFUNCTION("""COMPUTED_VALUE"""),"꽃중년 스테이크")</f>
        <v>꽃중년 스테이크</v>
      </c>
      <c r="B14745" s="2" t="str">
        <f>IFERROR(__xludf.DUMMYFUNCTION("""COMPUTED_VALUE"""),"마늘")</f>
        <v>마늘</v>
      </c>
    </row>
    <row r="14746">
      <c r="A14746" s="2" t="str">
        <f>IFERROR(__xludf.DUMMYFUNCTION("""COMPUTED_VALUE"""),"꽃중년 스테이크")</f>
        <v>꽃중년 스테이크</v>
      </c>
      <c r="B14746" s="2" t="str">
        <f>IFERROR(__xludf.DUMMYFUNCTION("""COMPUTED_VALUE"""),"달걀")</f>
        <v>달걀</v>
      </c>
    </row>
    <row r="14747">
      <c r="A14747" s="2" t="str">
        <f>IFERROR(__xludf.DUMMYFUNCTION("""COMPUTED_VALUE"""),"꽃중년 스테이크")</f>
        <v>꽃중년 스테이크</v>
      </c>
      <c r="B14747" s="2" t="str">
        <f>IFERROR(__xludf.DUMMYFUNCTION("""COMPUTED_VALUE"""),"소금")</f>
        <v>소금</v>
      </c>
    </row>
    <row r="14748">
      <c r="A14748" s="2" t="str">
        <f>IFERROR(__xludf.DUMMYFUNCTION("""COMPUTED_VALUE"""),"꽃중년 스테이크")</f>
        <v>꽃중년 스테이크</v>
      </c>
      <c r="B14748" s="2" t="str">
        <f>IFERROR(__xludf.DUMMYFUNCTION("""COMPUTED_VALUE"""),"레몬")</f>
        <v>레몬</v>
      </c>
    </row>
    <row r="14749">
      <c r="A14749" s="2" t="str">
        <f>IFERROR(__xludf.DUMMYFUNCTION("""COMPUTED_VALUE"""),"꽃중년 스테이크")</f>
        <v>꽃중년 스테이크</v>
      </c>
      <c r="B14749" s="2" t="str">
        <f>IFERROR(__xludf.DUMMYFUNCTION("""COMPUTED_VALUE"""),"후추")</f>
        <v>후추</v>
      </c>
    </row>
    <row r="14750">
      <c r="A14750" s="2" t="str">
        <f>IFERROR(__xludf.DUMMYFUNCTION("""COMPUTED_VALUE"""),"애꿎은 스테이크 어이하라고♬")</f>
        <v>애꿎은 스테이크 어이하라고♬</v>
      </c>
      <c r="B14750" s="2" t="str">
        <f>IFERROR(__xludf.DUMMYFUNCTION("""COMPUTED_VALUE"""),"토종닭")</f>
        <v>토종닭</v>
      </c>
    </row>
    <row r="14751">
      <c r="A14751" s="2" t="str">
        <f>IFERROR(__xludf.DUMMYFUNCTION("""COMPUTED_VALUE"""),"애꿎은 스테이크 어이하라고♬")</f>
        <v>애꿎은 스테이크 어이하라고♬</v>
      </c>
      <c r="B14751" s="2" t="str">
        <f>IFERROR(__xludf.DUMMYFUNCTION("""COMPUTED_VALUE"""),"소등심")</f>
        <v>소등심</v>
      </c>
    </row>
    <row r="14752">
      <c r="A14752" s="2" t="str">
        <f>IFERROR(__xludf.DUMMYFUNCTION("""COMPUTED_VALUE"""),"애꿎은 스테이크 어이하라고♬")</f>
        <v>애꿎은 스테이크 어이하라고♬</v>
      </c>
      <c r="B14752" s="2" t="str">
        <f>IFERROR(__xludf.DUMMYFUNCTION("""COMPUTED_VALUE"""),"새우")</f>
        <v>새우</v>
      </c>
    </row>
    <row r="14753">
      <c r="A14753" s="2" t="str">
        <f>IFERROR(__xludf.DUMMYFUNCTION("""COMPUTED_VALUE"""),"애꿎은 스테이크 어이하라고♬")</f>
        <v>애꿎은 스테이크 어이하라고♬</v>
      </c>
      <c r="B14753" s="2" t="str">
        <f>IFERROR(__xludf.DUMMYFUNCTION("""COMPUTED_VALUE"""),"콩비지")</f>
        <v>콩비지</v>
      </c>
    </row>
    <row r="14754">
      <c r="A14754" s="2" t="str">
        <f>IFERROR(__xludf.DUMMYFUNCTION("""COMPUTED_VALUE"""),"애꿎은 스테이크 어이하라고♬")</f>
        <v>애꿎은 스테이크 어이하라고♬</v>
      </c>
      <c r="B14754" s="2" t="str">
        <f>IFERROR(__xludf.DUMMYFUNCTION("""COMPUTED_VALUE"""),"잣")</f>
        <v>잣</v>
      </c>
    </row>
    <row r="14755">
      <c r="A14755" s="2" t="str">
        <f>IFERROR(__xludf.DUMMYFUNCTION("""COMPUTED_VALUE"""),"애꿎은 스테이크 어이하라고♬")</f>
        <v>애꿎은 스테이크 어이하라고♬</v>
      </c>
      <c r="B14755" s="2" t="str">
        <f>IFERROR(__xludf.DUMMYFUNCTION("""COMPUTED_VALUE"""),"마")</f>
        <v>마</v>
      </c>
    </row>
    <row r="14756">
      <c r="A14756" s="2" t="str">
        <f>IFERROR(__xludf.DUMMYFUNCTION("""COMPUTED_VALUE"""),"애꿎은 스테이크 어이하라고♬")</f>
        <v>애꿎은 스테이크 어이하라고♬</v>
      </c>
      <c r="B14756" s="2" t="str">
        <f>IFERROR(__xludf.DUMMYFUNCTION("""COMPUTED_VALUE"""),"호박죽")</f>
        <v>호박죽</v>
      </c>
    </row>
    <row r="14757">
      <c r="A14757" s="2" t="str">
        <f>IFERROR(__xludf.DUMMYFUNCTION("""COMPUTED_VALUE"""),"애꿎은 스테이크 어이하라고♬")</f>
        <v>애꿎은 스테이크 어이하라고♬</v>
      </c>
      <c r="B14757" s="2" t="str">
        <f>IFERROR(__xludf.DUMMYFUNCTION("""COMPUTED_VALUE"""),"오미자원액")</f>
        <v>오미자원액</v>
      </c>
    </row>
    <row r="14758">
      <c r="A14758" s="2" t="str">
        <f>IFERROR(__xludf.DUMMYFUNCTION("""COMPUTED_VALUE"""),"애꿎은 스테이크 어이하라고♬")</f>
        <v>애꿎은 스테이크 어이하라고♬</v>
      </c>
      <c r="B14758" s="2" t="str">
        <f>IFERROR(__xludf.DUMMYFUNCTION("""COMPUTED_VALUE"""),"감태")</f>
        <v>감태</v>
      </c>
    </row>
    <row r="14759">
      <c r="A14759" s="2" t="str">
        <f>IFERROR(__xludf.DUMMYFUNCTION("""COMPUTED_VALUE"""),"애꿎은 스테이크 어이하라고♬")</f>
        <v>애꿎은 스테이크 어이하라고♬</v>
      </c>
      <c r="B14759" s="2" t="str">
        <f>IFERROR(__xludf.DUMMYFUNCTION("""COMPUTED_VALUE"""),"자몽청")</f>
        <v>자몽청</v>
      </c>
    </row>
    <row r="14760">
      <c r="A14760" s="2" t="str">
        <f>IFERROR(__xludf.DUMMYFUNCTION("""COMPUTED_VALUE"""),"애꿎은 스테이크 어이하라고♬")</f>
        <v>애꿎은 스테이크 어이하라고♬</v>
      </c>
      <c r="B14760" s="2" t="str">
        <f>IFERROR(__xludf.DUMMYFUNCTION("""COMPUTED_VALUE"""),"두릅")</f>
        <v>두릅</v>
      </c>
    </row>
    <row r="14761">
      <c r="A14761" s="2" t="str">
        <f>IFERROR(__xludf.DUMMYFUNCTION("""COMPUTED_VALUE"""),"애꿎은 스테이크 어이하라고♬")</f>
        <v>애꿎은 스테이크 어이하라고♬</v>
      </c>
      <c r="B14761" s="2" t="str">
        <f>IFERROR(__xludf.DUMMYFUNCTION("""COMPUTED_VALUE"""),"마늘")</f>
        <v>마늘</v>
      </c>
    </row>
    <row r="14762">
      <c r="A14762" s="2" t="str">
        <f>IFERROR(__xludf.DUMMYFUNCTION("""COMPUTED_VALUE"""),"애꿎은 스테이크 어이하라고♬")</f>
        <v>애꿎은 스테이크 어이하라고♬</v>
      </c>
      <c r="B14762" s="2" t="str">
        <f>IFERROR(__xludf.DUMMYFUNCTION("""COMPUTED_VALUE"""),"소금")</f>
        <v>소금</v>
      </c>
    </row>
    <row r="14763">
      <c r="A14763" s="2" t="str">
        <f>IFERROR(__xludf.DUMMYFUNCTION("""COMPUTED_VALUE"""),"애꿎은 스테이크 어이하라고♬")</f>
        <v>애꿎은 스테이크 어이하라고♬</v>
      </c>
      <c r="B14763" s="2" t="str">
        <f>IFERROR(__xludf.DUMMYFUNCTION("""COMPUTED_VALUE"""),"후추")</f>
        <v>후추</v>
      </c>
    </row>
    <row r="14764">
      <c r="A14764" s="2" t="str">
        <f>IFERROR(__xludf.DUMMYFUNCTION("""COMPUTED_VALUE"""),"애꿎은 스테이크 어이하라고♬")</f>
        <v>애꿎은 스테이크 어이하라고♬</v>
      </c>
      <c r="B14764" s="2" t="str">
        <f>IFERROR(__xludf.DUMMYFUNCTION("""COMPUTED_VALUE"""),"올리브오일")</f>
        <v>올리브오일</v>
      </c>
    </row>
    <row r="14765">
      <c r="A14765" s="2" t="str">
        <f>IFERROR(__xludf.DUMMYFUNCTION("""COMPUTED_VALUE"""),"애꿎은 스테이크 어이하라고♬")</f>
        <v>애꿎은 스테이크 어이하라고♬</v>
      </c>
      <c r="B14765" s="2" t="str">
        <f>IFERROR(__xludf.DUMMYFUNCTION("""COMPUTED_VALUE"""),"튀김가루")</f>
        <v>튀김가루</v>
      </c>
    </row>
    <row r="14766">
      <c r="A14766" s="2" t="str">
        <f>IFERROR(__xludf.DUMMYFUNCTION("""COMPUTED_VALUE"""),"애꿎은 스테이크 어이하라고♬")</f>
        <v>애꿎은 스테이크 어이하라고♬</v>
      </c>
      <c r="B14766" s="2" t="str">
        <f>IFERROR(__xludf.DUMMYFUNCTION("""COMPUTED_VALUE"""),"전분")</f>
        <v>전분</v>
      </c>
    </row>
    <row r="14767">
      <c r="A14767" s="2" t="str">
        <f>IFERROR(__xludf.DUMMYFUNCTION("""COMPUTED_VALUE"""),"애꿎은 스테이크 어이하라고♬")</f>
        <v>애꿎은 스테이크 어이하라고♬</v>
      </c>
      <c r="B14767" s="2" t="str">
        <f>IFERROR(__xludf.DUMMYFUNCTION("""COMPUTED_VALUE"""),"식초")</f>
        <v>식초</v>
      </c>
    </row>
    <row r="14768">
      <c r="A14768" s="2" t="str">
        <f>IFERROR(__xludf.DUMMYFUNCTION("""COMPUTED_VALUE"""),"미역도 다시 한 번")</f>
        <v>미역도 다시 한 번</v>
      </c>
      <c r="B14768" s="2" t="str">
        <f>IFERROR(__xludf.DUMMYFUNCTION("""COMPUTED_VALUE"""),"연어")</f>
        <v>연어</v>
      </c>
    </row>
    <row r="14769">
      <c r="A14769" s="2" t="str">
        <f>IFERROR(__xludf.DUMMYFUNCTION("""COMPUTED_VALUE"""),"미역도 다시 한 번")</f>
        <v>미역도 다시 한 번</v>
      </c>
      <c r="B14769" s="2" t="str">
        <f>IFERROR(__xludf.DUMMYFUNCTION("""COMPUTED_VALUE"""),"미역")</f>
        <v>미역</v>
      </c>
    </row>
    <row r="14770">
      <c r="A14770" s="2" t="str">
        <f>IFERROR(__xludf.DUMMYFUNCTION("""COMPUTED_VALUE"""),"미역도 다시 한 번")</f>
        <v>미역도 다시 한 번</v>
      </c>
      <c r="B14770" s="2" t="str">
        <f>IFERROR(__xludf.DUMMYFUNCTION("""COMPUTED_VALUE"""),"훈제 연어")</f>
        <v>훈제 연어</v>
      </c>
    </row>
    <row r="14771">
      <c r="A14771" s="2" t="str">
        <f>IFERROR(__xludf.DUMMYFUNCTION("""COMPUTED_VALUE"""),"미역도 다시 한 번")</f>
        <v>미역도 다시 한 번</v>
      </c>
      <c r="B14771" s="2" t="str">
        <f>IFERROR(__xludf.DUMMYFUNCTION("""COMPUTED_VALUE"""),"참외")</f>
        <v>참외</v>
      </c>
    </row>
    <row r="14772">
      <c r="A14772" s="2" t="str">
        <f>IFERROR(__xludf.DUMMYFUNCTION("""COMPUTED_VALUE"""),"미역도 다시 한 번")</f>
        <v>미역도 다시 한 번</v>
      </c>
      <c r="B14772" s="2" t="str">
        <f>IFERROR(__xludf.DUMMYFUNCTION("""COMPUTED_VALUE"""),"사과")</f>
        <v>사과</v>
      </c>
    </row>
    <row r="14773">
      <c r="A14773" s="2" t="str">
        <f>IFERROR(__xludf.DUMMYFUNCTION("""COMPUTED_VALUE"""),"미역도 다시 한 번")</f>
        <v>미역도 다시 한 번</v>
      </c>
      <c r="B14773" s="2" t="str">
        <f>IFERROR(__xludf.DUMMYFUNCTION("""COMPUTED_VALUE"""),"두릅")</f>
        <v>두릅</v>
      </c>
    </row>
    <row r="14774">
      <c r="A14774" s="2" t="str">
        <f>IFERROR(__xludf.DUMMYFUNCTION("""COMPUTED_VALUE"""),"미역도 다시 한 번")</f>
        <v>미역도 다시 한 번</v>
      </c>
      <c r="B14774" s="2" t="str">
        <f>IFERROR(__xludf.DUMMYFUNCTION("""COMPUTED_VALUE"""),"돌나물")</f>
        <v>돌나물</v>
      </c>
    </row>
    <row r="14775">
      <c r="A14775" s="2" t="str">
        <f>IFERROR(__xludf.DUMMYFUNCTION("""COMPUTED_VALUE"""),"미역도 다시 한 번")</f>
        <v>미역도 다시 한 번</v>
      </c>
      <c r="B14775" s="2" t="str">
        <f>IFERROR(__xludf.DUMMYFUNCTION("""COMPUTED_VALUE"""),"크림치즈")</f>
        <v>크림치즈</v>
      </c>
    </row>
    <row r="14776">
      <c r="A14776" s="2" t="str">
        <f>IFERROR(__xludf.DUMMYFUNCTION("""COMPUTED_VALUE"""),"미역도 다시 한 번")</f>
        <v>미역도 다시 한 번</v>
      </c>
      <c r="B14776" s="2" t="str">
        <f>IFERROR(__xludf.DUMMYFUNCTION("""COMPUTED_VALUE"""),"쌈장")</f>
        <v>쌈장</v>
      </c>
    </row>
    <row r="14777">
      <c r="A14777" s="2" t="str">
        <f>IFERROR(__xludf.DUMMYFUNCTION("""COMPUTED_VALUE"""),"미역도 다시 한 번")</f>
        <v>미역도 다시 한 번</v>
      </c>
      <c r="B14777" s="2" t="str">
        <f>IFERROR(__xludf.DUMMYFUNCTION("""COMPUTED_VALUE"""),"소면")</f>
        <v>소면</v>
      </c>
    </row>
    <row r="14778">
      <c r="A14778" s="2" t="str">
        <f>IFERROR(__xludf.DUMMYFUNCTION("""COMPUTED_VALUE"""),"미역도 다시 한 번")</f>
        <v>미역도 다시 한 번</v>
      </c>
      <c r="B14778" s="2" t="str">
        <f>IFERROR(__xludf.DUMMYFUNCTION("""COMPUTED_VALUE"""),"백김치")</f>
        <v>백김치</v>
      </c>
    </row>
    <row r="14779">
      <c r="A14779" s="2" t="str">
        <f>IFERROR(__xludf.DUMMYFUNCTION("""COMPUTED_VALUE"""),"미역도 다시 한 번")</f>
        <v>미역도 다시 한 번</v>
      </c>
      <c r="B14779" s="2" t="str">
        <f>IFERROR(__xludf.DUMMYFUNCTION("""COMPUTED_VALUE"""),"소금")</f>
        <v>소금</v>
      </c>
    </row>
    <row r="14780">
      <c r="A14780" s="2" t="str">
        <f>IFERROR(__xludf.DUMMYFUNCTION("""COMPUTED_VALUE"""),"미역도 다시 한 번")</f>
        <v>미역도 다시 한 번</v>
      </c>
      <c r="B14780" s="2" t="str">
        <f>IFERROR(__xludf.DUMMYFUNCTION("""COMPUTED_VALUE"""),"달걀")</f>
        <v>달걀</v>
      </c>
    </row>
    <row r="14781">
      <c r="A14781" s="2" t="str">
        <f>IFERROR(__xludf.DUMMYFUNCTION("""COMPUTED_VALUE"""),"미역도 다시 한 번")</f>
        <v>미역도 다시 한 번</v>
      </c>
      <c r="B14781" s="2" t="str">
        <f>IFERROR(__xludf.DUMMYFUNCTION("""COMPUTED_VALUE"""),"고추냉이")</f>
        <v>고추냉이</v>
      </c>
    </row>
    <row r="14782">
      <c r="A14782" s="2" t="str">
        <f>IFERROR(__xludf.DUMMYFUNCTION("""COMPUTED_VALUE"""),"미역도 다시 한 번")</f>
        <v>미역도 다시 한 번</v>
      </c>
      <c r="B14782" s="2" t="str">
        <f>IFERROR(__xludf.DUMMYFUNCTION("""COMPUTED_VALUE"""),"대파")</f>
        <v>대파</v>
      </c>
    </row>
    <row r="14783">
      <c r="A14783" s="2" t="str">
        <f>IFERROR(__xludf.DUMMYFUNCTION("""COMPUTED_VALUE"""),"미역도 다시 한 번")</f>
        <v>미역도 다시 한 번</v>
      </c>
      <c r="B14783" s="2" t="str">
        <f>IFERROR(__xludf.DUMMYFUNCTION("""COMPUTED_VALUE"""),"마늘")</f>
        <v>마늘</v>
      </c>
    </row>
    <row r="14784">
      <c r="A14784" s="2" t="str">
        <f>IFERROR(__xludf.DUMMYFUNCTION("""COMPUTED_VALUE"""),"미역도 다시 한 번")</f>
        <v>미역도 다시 한 번</v>
      </c>
      <c r="B14784" s="2" t="str">
        <f>IFERROR(__xludf.DUMMYFUNCTION("""COMPUTED_VALUE"""),"고춧가루")</f>
        <v>고춧가루</v>
      </c>
    </row>
    <row r="14785">
      <c r="A14785" s="2" t="str">
        <f>IFERROR(__xludf.DUMMYFUNCTION("""COMPUTED_VALUE"""),"미역도 다시 한 번")</f>
        <v>미역도 다시 한 번</v>
      </c>
      <c r="B14785" s="2" t="str">
        <f>IFERROR(__xludf.DUMMYFUNCTION("""COMPUTED_VALUE"""),"설탕")</f>
        <v>설탕</v>
      </c>
    </row>
    <row r="14786">
      <c r="A14786" s="2" t="str">
        <f>IFERROR(__xludf.DUMMYFUNCTION("""COMPUTED_VALUE"""),"미역도 다시 한 번")</f>
        <v>미역도 다시 한 번</v>
      </c>
      <c r="B14786" s="2" t="str">
        <f>IFERROR(__xludf.DUMMYFUNCTION("""COMPUTED_VALUE"""),"다진 마늘")</f>
        <v>다진 마늘</v>
      </c>
    </row>
    <row r="14787">
      <c r="A14787" s="2" t="str">
        <f>IFERROR(__xludf.DUMMYFUNCTION("""COMPUTED_VALUE"""),"미역도 다시 한 번")</f>
        <v>미역도 다시 한 번</v>
      </c>
      <c r="B14787" s="2" t="str">
        <f>IFERROR(__xludf.DUMMYFUNCTION("""COMPUTED_VALUE"""),"다진 생강")</f>
        <v>다진 생강</v>
      </c>
    </row>
    <row r="14788">
      <c r="A14788" s="2" t="str">
        <f>IFERROR(__xludf.DUMMYFUNCTION("""COMPUTED_VALUE"""),"미역도 다시 한 번")</f>
        <v>미역도 다시 한 번</v>
      </c>
      <c r="B14788" s="2" t="str">
        <f>IFERROR(__xludf.DUMMYFUNCTION("""COMPUTED_VALUE"""),"식초")</f>
        <v>식초</v>
      </c>
    </row>
    <row r="14789">
      <c r="A14789" s="2" t="str">
        <f>IFERROR(__xludf.DUMMYFUNCTION("""COMPUTED_VALUE"""),"미역도 다시 한 번")</f>
        <v>미역도 다시 한 번</v>
      </c>
      <c r="B14789" s="2" t="str">
        <f>IFERROR(__xludf.DUMMYFUNCTION("""COMPUTED_VALUE"""),"간장")</f>
        <v>간장</v>
      </c>
    </row>
    <row r="14790">
      <c r="A14790" s="2" t="str">
        <f>IFERROR(__xludf.DUMMYFUNCTION("""COMPUTED_VALUE"""),"미역도 다시 한 번")</f>
        <v>미역도 다시 한 번</v>
      </c>
      <c r="B14790" s="2" t="str">
        <f>IFERROR(__xludf.DUMMYFUNCTION("""COMPUTED_VALUE"""),"청양고추")</f>
        <v>청양고추</v>
      </c>
    </row>
    <row r="14791">
      <c r="A14791" s="2" t="str">
        <f>IFERROR(__xludf.DUMMYFUNCTION("""COMPUTED_VALUE"""),"미역도 다시 한 번")</f>
        <v>미역도 다시 한 번</v>
      </c>
      <c r="B14791" s="2" t="str">
        <f>IFERROR(__xludf.DUMMYFUNCTION("""COMPUTED_VALUE"""),"참기름")</f>
        <v>참기름</v>
      </c>
    </row>
    <row r="14792">
      <c r="A14792" s="2" t="str">
        <f>IFERROR(__xludf.DUMMYFUNCTION("""COMPUTED_VALUE"""),"불혹에 딱 좋은 면인데♬")</f>
        <v>불혹에 딱 좋은 면인데♬</v>
      </c>
      <c r="B14792" s="2" t="str">
        <f>IFERROR(__xludf.DUMMYFUNCTION("""COMPUTED_VALUE"""),"연어")</f>
        <v>연어</v>
      </c>
    </row>
    <row r="14793">
      <c r="A14793" s="2" t="str">
        <f>IFERROR(__xludf.DUMMYFUNCTION("""COMPUTED_VALUE"""),"불혹에 딱 좋은 면인데♬")</f>
        <v>불혹에 딱 좋은 면인데♬</v>
      </c>
      <c r="B14793" s="2" t="str">
        <f>IFERROR(__xludf.DUMMYFUNCTION("""COMPUTED_VALUE"""),"미역")</f>
        <v>미역</v>
      </c>
    </row>
    <row r="14794">
      <c r="A14794" s="2" t="str">
        <f>IFERROR(__xludf.DUMMYFUNCTION("""COMPUTED_VALUE"""),"불혹에 딱 좋은 면인데♬")</f>
        <v>불혹에 딱 좋은 면인데♬</v>
      </c>
      <c r="B14794" s="2" t="str">
        <f>IFERROR(__xludf.DUMMYFUNCTION("""COMPUTED_VALUE"""),"파스타면")</f>
        <v>파스타면</v>
      </c>
    </row>
    <row r="14795">
      <c r="A14795" s="2" t="str">
        <f>IFERROR(__xludf.DUMMYFUNCTION("""COMPUTED_VALUE"""),"불혹에 딱 좋은 면인데♬")</f>
        <v>불혹에 딱 좋은 면인데♬</v>
      </c>
      <c r="B14795" s="2" t="str">
        <f>IFERROR(__xludf.DUMMYFUNCTION("""COMPUTED_VALUE"""),"시금치")</f>
        <v>시금치</v>
      </c>
    </row>
    <row r="14796">
      <c r="A14796" s="2" t="str">
        <f>IFERROR(__xludf.DUMMYFUNCTION("""COMPUTED_VALUE"""),"불혹에 딱 좋은 면인데♬")</f>
        <v>불혹에 딱 좋은 면인데♬</v>
      </c>
      <c r="B14796" s="2" t="str">
        <f>IFERROR(__xludf.DUMMYFUNCTION("""COMPUTED_VALUE"""),"굴소스")</f>
        <v>굴소스</v>
      </c>
    </row>
    <row r="14797">
      <c r="A14797" s="2" t="str">
        <f>IFERROR(__xludf.DUMMYFUNCTION("""COMPUTED_VALUE"""),"불혹에 딱 좋은 면인데♬")</f>
        <v>불혹에 딱 좋은 면인데♬</v>
      </c>
      <c r="B14797" s="2" t="str">
        <f>IFERROR(__xludf.DUMMYFUNCTION("""COMPUTED_VALUE"""),"두반장")</f>
        <v>두반장</v>
      </c>
    </row>
    <row r="14798">
      <c r="A14798" s="2" t="str">
        <f>IFERROR(__xludf.DUMMYFUNCTION("""COMPUTED_VALUE"""),"불혹에 딱 좋은 면인데♬")</f>
        <v>불혹에 딱 좋은 면인데♬</v>
      </c>
      <c r="B14798" s="2" t="str">
        <f>IFERROR(__xludf.DUMMYFUNCTION("""COMPUTED_VALUE"""),"바지락")</f>
        <v>바지락</v>
      </c>
    </row>
    <row r="14799">
      <c r="A14799" s="2" t="str">
        <f>IFERROR(__xludf.DUMMYFUNCTION("""COMPUTED_VALUE"""),"불혹에 딱 좋은 면인데♬")</f>
        <v>불혹에 딱 좋은 면인데♬</v>
      </c>
      <c r="B14799" s="2" t="str">
        <f>IFERROR(__xludf.DUMMYFUNCTION("""COMPUTED_VALUE"""),"돌나물")</f>
        <v>돌나물</v>
      </c>
    </row>
    <row r="14800">
      <c r="A14800" s="2" t="str">
        <f>IFERROR(__xludf.DUMMYFUNCTION("""COMPUTED_VALUE"""),"불혹에 딱 좋은 면인데♬")</f>
        <v>불혹에 딱 좋은 면인데♬</v>
      </c>
      <c r="B14800" s="2" t="str">
        <f>IFERROR(__xludf.DUMMYFUNCTION("""COMPUTED_VALUE"""),"건홍합")</f>
        <v>건홍합</v>
      </c>
    </row>
    <row r="14801">
      <c r="A14801" s="2" t="str">
        <f>IFERROR(__xludf.DUMMYFUNCTION("""COMPUTED_VALUE"""),"불혹에 딱 좋은 면인데♬")</f>
        <v>불혹에 딱 좋은 면인데♬</v>
      </c>
      <c r="B14801" s="2" t="str">
        <f>IFERROR(__xludf.DUMMYFUNCTION("""COMPUTED_VALUE"""),"전복")</f>
        <v>전복</v>
      </c>
    </row>
    <row r="14802">
      <c r="A14802" s="2" t="str">
        <f>IFERROR(__xludf.DUMMYFUNCTION("""COMPUTED_VALUE"""),"불혹에 딱 좋은 면인데♬")</f>
        <v>불혹에 딱 좋은 면인데♬</v>
      </c>
      <c r="B14802" s="2" t="str">
        <f>IFERROR(__xludf.DUMMYFUNCTION("""COMPUTED_VALUE"""),"파프리카")</f>
        <v>파프리카</v>
      </c>
    </row>
    <row r="14803">
      <c r="A14803" s="2" t="str">
        <f>IFERROR(__xludf.DUMMYFUNCTION("""COMPUTED_VALUE"""),"불혹에 딱 좋은 면인데♬")</f>
        <v>불혹에 딱 좋은 면인데♬</v>
      </c>
      <c r="B14803" s="2" t="str">
        <f>IFERROR(__xludf.DUMMYFUNCTION("""COMPUTED_VALUE"""),"참기름")</f>
        <v>참기름</v>
      </c>
    </row>
    <row r="14804">
      <c r="A14804" s="2" t="str">
        <f>IFERROR(__xludf.DUMMYFUNCTION("""COMPUTED_VALUE"""),"불혹에 딱 좋은 면인데♬")</f>
        <v>불혹에 딱 좋은 면인데♬</v>
      </c>
      <c r="B14804" s="2" t="str">
        <f>IFERROR(__xludf.DUMMYFUNCTION("""COMPUTED_VALUE"""),"버터")</f>
        <v>버터</v>
      </c>
    </row>
    <row r="14805">
      <c r="A14805" s="2" t="str">
        <f>IFERROR(__xludf.DUMMYFUNCTION("""COMPUTED_VALUE"""),"불혹에 딱 좋은 면인데♬")</f>
        <v>불혹에 딱 좋은 면인데♬</v>
      </c>
      <c r="B14805" s="2" t="str">
        <f>IFERROR(__xludf.DUMMYFUNCTION("""COMPUTED_VALUE"""),"밀가루")</f>
        <v>밀가루</v>
      </c>
    </row>
    <row r="14806">
      <c r="A14806" s="2" t="str">
        <f>IFERROR(__xludf.DUMMYFUNCTION("""COMPUTED_VALUE"""),"불혹에 딱 좋은 면인데♬")</f>
        <v>불혹에 딱 좋은 면인데♬</v>
      </c>
      <c r="B14806" s="2" t="str">
        <f>IFERROR(__xludf.DUMMYFUNCTION("""COMPUTED_VALUE"""),"고추장")</f>
        <v>고추장</v>
      </c>
    </row>
    <row r="14807">
      <c r="A14807" s="2" t="str">
        <f>IFERROR(__xludf.DUMMYFUNCTION("""COMPUTED_VALUE"""),"불혹에 딱 좋은 면인데♬")</f>
        <v>불혹에 딱 좋은 면인데♬</v>
      </c>
      <c r="B14807" s="2" t="str">
        <f>IFERROR(__xludf.DUMMYFUNCTION("""COMPUTED_VALUE"""),"식초")</f>
        <v>식초</v>
      </c>
    </row>
    <row r="14808">
      <c r="A14808" s="2" t="str">
        <f>IFERROR(__xludf.DUMMYFUNCTION("""COMPUTED_VALUE"""),"불혹에 딱 좋은 면인데♬")</f>
        <v>불혹에 딱 좋은 면인데♬</v>
      </c>
      <c r="B14808" s="2" t="str">
        <f>IFERROR(__xludf.DUMMYFUNCTION("""COMPUTED_VALUE"""),"설탕")</f>
        <v>설탕</v>
      </c>
    </row>
    <row r="14809">
      <c r="A14809" s="2" t="str">
        <f>IFERROR(__xludf.DUMMYFUNCTION("""COMPUTED_VALUE"""),"불혹에 딱 좋은 면인데♬")</f>
        <v>불혹에 딱 좋은 면인데♬</v>
      </c>
      <c r="B14809" s="2" t="str">
        <f>IFERROR(__xludf.DUMMYFUNCTION("""COMPUTED_VALUE"""),"올리브오일")</f>
        <v>올리브오일</v>
      </c>
    </row>
    <row r="14810">
      <c r="A14810" s="2" t="str">
        <f>IFERROR(__xludf.DUMMYFUNCTION("""COMPUTED_VALUE"""),"불혹에 딱 좋은 면인데♬")</f>
        <v>불혹에 딱 좋은 면인데♬</v>
      </c>
      <c r="B14810" s="2" t="str">
        <f>IFERROR(__xludf.DUMMYFUNCTION("""COMPUTED_VALUE"""),"후추")</f>
        <v>후추</v>
      </c>
    </row>
    <row r="14811">
      <c r="A14811" s="2" t="str">
        <f>IFERROR(__xludf.DUMMYFUNCTION("""COMPUTED_VALUE"""),"레이먼사우르스")</f>
        <v>레이먼사우르스</v>
      </c>
      <c r="B14811" s="2" t="str">
        <f>IFERROR(__xludf.DUMMYFUNCTION("""COMPUTED_VALUE"""),"시금치")</f>
        <v>시금치</v>
      </c>
    </row>
    <row r="14812">
      <c r="A14812" s="2" t="str">
        <f>IFERROR(__xludf.DUMMYFUNCTION("""COMPUTED_VALUE"""),"레이먼사우르스")</f>
        <v>레이먼사우르스</v>
      </c>
      <c r="B14812" s="2" t="str">
        <f>IFERROR(__xludf.DUMMYFUNCTION("""COMPUTED_VALUE"""),"양념 소불고기")</f>
        <v>양념 소불고기</v>
      </c>
    </row>
    <row r="14813">
      <c r="A14813" s="2" t="str">
        <f>IFERROR(__xludf.DUMMYFUNCTION("""COMPUTED_VALUE"""),"레이먼사우르스")</f>
        <v>레이먼사우르스</v>
      </c>
      <c r="B14813" s="2" t="str">
        <f>IFERROR(__xludf.DUMMYFUNCTION("""COMPUTED_VALUE"""),"스트링치즈")</f>
        <v>스트링치즈</v>
      </c>
    </row>
    <row r="14814">
      <c r="A14814" s="2" t="str">
        <f>IFERROR(__xludf.DUMMYFUNCTION("""COMPUTED_VALUE"""),"레이먼사우르스")</f>
        <v>레이먼사우르스</v>
      </c>
      <c r="B14814" s="2" t="str">
        <f>IFERROR(__xludf.DUMMYFUNCTION("""COMPUTED_VALUE"""),"모차렐라치즈")</f>
        <v>모차렐라치즈</v>
      </c>
    </row>
    <row r="14815">
      <c r="A14815" s="2" t="str">
        <f>IFERROR(__xludf.DUMMYFUNCTION("""COMPUTED_VALUE"""),"레이먼사우르스")</f>
        <v>레이먼사우르스</v>
      </c>
      <c r="B14815" s="2" t="str">
        <f>IFERROR(__xludf.DUMMYFUNCTION("""COMPUTED_VALUE"""),"우유")</f>
        <v>우유</v>
      </c>
    </row>
    <row r="14816">
      <c r="A14816" s="2" t="str">
        <f>IFERROR(__xludf.DUMMYFUNCTION("""COMPUTED_VALUE"""),"레이먼사우르스")</f>
        <v>레이먼사우르스</v>
      </c>
      <c r="B14816" s="2" t="str">
        <f>IFERROR(__xludf.DUMMYFUNCTION("""COMPUTED_VALUE"""),"빵가루")</f>
        <v>빵가루</v>
      </c>
    </row>
    <row r="14817">
      <c r="A14817" s="2" t="str">
        <f>IFERROR(__xludf.DUMMYFUNCTION("""COMPUTED_VALUE"""),"레이먼사우르스")</f>
        <v>레이먼사우르스</v>
      </c>
      <c r="B14817" s="2" t="str">
        <f>IFERROR(__xludf.DUMMYFUNCTION("""COMPUTED_VALUE"""),"달걀")</f>
        <v>달걀</v>
      </c>
    </row>
    <row r="14818">
      <c r="A14818" s="2" t="str">
        <f>IFERROR(__xludf.DUMMYFUNCTION("""COMPUTED_VALUE"""),"레이먼사우르스")</f>
        <v>레이먼사우르스</v>
      </c>
      <c r="B14818" s="2" t="str">
        <f>IFERROR(__xludf.DUMMYFUNCTION("""COMPUTED_VALUE"""),"당근")</f>
        <v>당근</v>
      </c>
    </row>
    <row r="14819">
      <c r="A14819" s="2" t="str">
        <f>IFERROR(__xludf.DUMMYFUNCTION("""COMPUTED_VALUE"""),"레이먼사우르스")</f>
        <v>레이먼사우르스</v>
      </c>
      <c r="B14819" s="2" t="str">
        <f>IFERROR(__xludf.DUMMYFUNCTION("""COMPUTED_VALUE"""),"설탕")</f>
        <v>설탕</v>
      </c>
    </row>
    <row r="14820">
      <c r="A14820" s="2" t="str">
        <f>IFERROR(__xludf.DUMMYFUNCTION("""COMPUTED_VALUE"""),"레이먼사우르스")</f>
        <v>레이먼사우르스</v>
      </c>
      <c r="B14820" s="2" t="str">
        <f>IFERROR(__xludf.DUMMYFUNCTION("""COMPUTED_VALUE"""),"소금")</f>
        <v>소금</v>
      </c>
    </row>
    <row r="14821">
      <c r="A14821" s="2" t="str">
        <f>IFERROR(__xludf.DUMMYFUNCTION("""COMPUTED_VALUE"""),"레이먼사우르스")</f>
        <v>레이먼사우르스</v>
      </c>
      <c r="B14821" s="2" t="str">
        <f>IFERROR(__xludf.DUMMYFUNCTION("""COMPUTED_VALUE"""),"밀가루")</f>
        <v>밀가루</v>
      </c>
    </row>
    <row r="14822">
      <c r="A14822" s="2" t="str">
        <f>IFERROR(__xludf.DUMMYFUNCTION("""COMPUTED_VALUE"""),"레이먼사우르스")</f>
        <v>레이먼사우르스</v>
      </c>
      <c r="B14822" s="2" t="str">
        <f>IFERROR(__xludf.DUMMYFUNCTION("""COMPUTED_VALUE"""),"버터")</f>
        <v>버터</v>
      </c>
    </row>
    <row r="14823">
      <c r="A14823" s="2" t="str">
        <f>IFERROR(__xludf.DUMMYFUNCTION("""COMPUTED_VALUE"""),"레이먼사우르스")</f>
        <v>레이먼사우르스</v>
      </c>
      <c r="B14823" s="2" t="str">
        <f>IFERROR(__xludf.DUMMYFUNCTION("""COMPUTED_VALUE"""),"튀김가루")</f>
        <v>튀김가루</v>
      </c>
    </row>
    <row r="14824">
      <c r="A14824" s="2" t="str">
        <f>IFERROR(__xludf.DUMMYFUNCTION("""COMPUTED_VALUE"""),"레이먼사우르스")</f>
        <v>레이먼사우르스</v>
      </c>
      <c r="B14824" s="2" t="str">
        <f>IFERROR(__xludf.DUMMYFUNCTION("""COMPUTED_VALUE"""),"케첩")</f>
        <v>케첩</v>
      </c>
    </row>
    <row r="14825">
      <c r="A14825" s="2" t="str">
        <f>IFERROR(__xludf.DUMMYFUNCTION("""COMPUTED_VALUE"""),"코알라 구할 준비됐나요♬")</f>
        <v>코알라 구할 준비됐나요♬</v>
      </c>
      <c r="B14825" s="2" t="str">
        <f>IFERROR(__xludf.DUMMYFUNCTION("""COMPUTED_VALUE"""),"시금치")</f>
        <v>시금치</v>
      </c>
    </row>
    <row r="14826">
      <c r="A14826" s="2" t="str">
        <f>IFERROR(__xludf.DUMMYFUNCTION("""COMPUTED_VALUE"""),"코알라 구할 준비됐나요♬")</f>
        <v>코알라 구할 준비됐나요♬</v>
      </c>
      <c r="B14826" s="2" t="str">
        <f>IFERROR(__xludf.DUMMYFUNCTION("""COMPUTED_VALUE"""),"불고기용 소고기")</f>
        <v>불고기용 소고기</v>
      </c>
    </row>
    <row r="14827">
      <c r="A14827" s="2" t="str">
        <f>IFERROR(__xludf.DUMMYFUNCTION("""COMPUTED_VALUE"""),"코알라 구할 준비됐나요♬")</f>
        <v>코알라 구할 준비됐나요♬</v>
      </c>
      <c r="B14827" s="2" t="str">
        <f>IFERROR(__xludf.DUMMYFUNCTION("""COMPUTED_VALUE"""),"애호박")</f>
        <v>애호박</v>
      </c>
    </row>
    <row r="14828">
      <c r="A14828" s="2" t="str">
        <f>IFERROR(__xludf.DUMMYFUNCTION("""COMPUTED_VALUE"""),"코알라 구할 준비됐나요♬")</f>
        <v>코알라 구할 준비됐나요♬</v>
      </c>
      <c r="B14828" s="2" t="str">
        <f>IFERROR(__xludf.DUMMYFUNCTION("""COMPUTED_VALUE"""),"브로콜리")</f>
        <v>브로콜리</v>
      </c>
    </row>
    <row r="14829">
      <c r="A14829" s="2" t="str">
        <f>IFERROR(__xludf.DUMMYFUNCTION("""COMPUTED_VALUE"""),"코알라 구할 준비됐나요♬")</f>
        <v>코알라 구할 준비됐나요♬</v>
      </c>
      <c r="B14829" s="2" t="str">
        <f>IFERROR(__xludf.DUMMYFUNCTION("""COMPUTED_VALUE"""),"케이퍼")</f>
        <v>케이퍼</v>
      </c>
    </row>
    <row r="14830">
      <c r="A14830" s="2" t="str">
        <f>IFERROR(__xludf.DUMMYFUNCTION("""COMPUTED_VALUE"""),"코알라 구할 준비됐나요♬")</f>
        <v>코알라 구할 준비됐나요♬</v>
      </c>
      <c r="B14830" s="2" t="str">
        <f>IFERROR(__xludf.DUMMYFUNCTION("""COMPUTED_VALUE"""),"블랙 올리브")</f>
        <v>블랙 올리브</v>
      </c>
    </row>
    <row r="14831">
      <c r="A14831" s="2" t="str">
        <f>IFERROR(__xludf.DUMMYFUNCTION("""COMPUTED_VALUE"""),"코알라 구할 준비됐나요♬")</f>
        <v>코알라 구할 준비됐나요♬</v>
      </c>
      <c r="B14831" s="2" t="str">
        <f>IFERROR(__xludf.DUMMYFUNCTION("""COMPUTED_VALUE"""),"우유")</f>
        <v>우유</v>
      </c>
    </row>
    <row r="14832">
      <c r="A14832" s="2" t="str">
        <f>IFERROR(__xludf.DUMMYFUNCTION("""COMPUTED_VALUE"""),"코알라 구할 준비됐나요♬")</f>
        <v>코알라 구할 준비됐나요♬</v>
      </c>
      <c r="B14832" s="2" t="str">
        <f>IFERROR(__xludf.DUMMYFUNCTION("""COMPUTED_VALUE"""),"고기 육수")</f>
        <v>고기 육수</v>
      </c>
    </row>
    <row r="14833">
      <c r="A14833" s="2" t="str">
        <f>IFERROR(__xludf.DUMMYFUNCTION("""COMPUTED_VALUE"""),"코알라 구할 준비됐나요♬")</f>
        <v>코알라 구할 준비됐나요♬</v>
      </c>
      <c r="B14833" s="2" t="str">
        <f>IFERROR(__xludf.DUMMYFUNCTION("""COMPUTED_VALUE"""),"굴소스")</f>
        <v>굴소스</v>
      </c>
    </row>
    <row r="14834">
      <c r="A14834" s="2" t="str">
        <f>IFERROR(__xludf.DUMMYFUNCTION("""COMPUTED_VALUE"""),"코알라 구할 준비됐나요♬")</f>
        <v>코알라 구할 준비됐나요♬</v>
      </c>
      <c r="B14834" s="2" t="str">
        <f>IFERROR(__xludf.DUMMYFUNCTION("""COMPUTED_VALUE"""),"라면")</f>
        <v>라면</v>
      </c>
    </row>
    <row r="14835">
      <c r="A14835" s="2" t="str">
        <f>IFERROR(__xludf.DUMMYFUNCTION("""COMPUTED_VALUE"""),"코알라 구할 준비됐나요♬")</f>
        <v>코알라 구할 준비됐나요♬</v>
      </c>
      <c r="B14835" s="2" t="str">
        <f>IFERROR(__xludf.DUMMYFUNCTION("""COMPUTED_VALUE"""),"빵가루")</f>
        <v>빵가루</v>
      </c>
    </row>
    <row r="14836">
      <c r="A14836" s="2" t="str">
        <f>IFERROR(__xludf.DUMMYFUNCTION("""COMPUTED_VALUE"""),"코알라 구할 준비됐나요♬")</f>
        <v>코알라 구할 준비됐나요♬</v>
      </c>
      <c r="B14836" s="2" t="str">
        <f>IFERROR(__xludf.DUMMYFUNCTION("""COMPUTED_VALUE"""),"튀김가루")</f>
        <v>튀김가루</v>
      </c>
    </row>
    <row r="14837">
      <c r="A14837" s="2" t="str">
        <f>IFERROR(__xludf.DUMMYFUNCTION("""COMPUTED_VALUE"""),"코알라 구할 준비됐나요♬")</f>
        <v>코알라 구할 준비됐나요♬</v>
      </c>
      <c r="B14837" s="2" t="str">
        <f>IFERROR(__xludf.DUMMYFUNCTION("""COMPUTED_VALUE"""),"버터")</f>
        <v>버터</v>
      </c>
    </row>
    <row r="14838">
      <c r="A14838" s="2" t="str">
        <f>IFERROR(__xludf.DUMMYFUNCTION("""COMPUTED_VALUE"""),"코알라 구할 준비됐나요♬")</f>
        <v>코알라 구할 준비됐나요♬</v>
      </c>
      <c r="B14838" s="2" t="str">
        <f>IFERROR(__xludf.DUMMYFUNCTION("""COMPUTED_VALUE"""),"밀가루")</f>
        <v>밀가루</v>
      </c>
    </row>
    <row r="14839">
      <c r="A14839" s="2" t="str">
        <f>IFERROR(__xludf.DUMMYFUNCTION("""COMPUTED_VALUE"""),"갱년기 날렸찜")</f>
        <v>갱년기 날렸찜</v>
      </c>
      <c r="B14839" s="2" t="str">
        <f>IFERROR(__xludf.DUMMYFUNCTION("""COMPUTED_VALUE"""),"돼지목살")</f>
        <v>돼지목살</v>
      </c>
    </row>
    <row r="14840">
      <c r="A14840" s="2" t="str">
        <f>IFERROR(__xludf.DUMMYFUNCTION("""COMPUTED_VALUE"""),"갱년기 날렸찜")</f>
        <v>갱년기 날렸찜</v>
      </c>
      <c r="B14840" s="2" t="str">
        <f>IFERROR(__xludf.DUMMYFUNCTION("""COMPUTED_VALUE"""),"삶은 문어")</f>
        <v>삶은 문어</v>
      </c>
    </row>
    <row r="14841">
      <c r="A14841" s="2" t="str">
        <f>IFERROR(__xludf.DUMMYFUNCTION("""COMPUTED_VALUE"""),"갱년기 날렸찜")</f>
        <v>갱년기 날렸찜</v>
      </c>
      <c r="B14841" s="2" t="str">
        <f>IFERROR(__xludf.DUMMYFUNCTION("""COMPUTED_VALUE"""),"전복")</f>
        <v>전복</v>
      </c>
    </row>
    <row r="14842">
      <c r="A14842" s="2" t="str">
        <f>IFERROR(__xludf.DUMMYFUNCTION("""COMPUTED_VALUE"""),"갱년기 날렸찜")</f>
        <v>갱년기 날렸찜</v>
      </c>
      <c r="B14842" s="2" t="str">
        <f>IFERROR(__xludf.DUMMYFUNCTION("""COMPUTED_VALUE"""),"삶은 메추리알")</f>
        <v>삶은 메추리알</v>
      </c>
    </row>
    <row r="14843">
      <c r="A14843" s="2" t="str">
        <f>IFERROR(__xludf.DUMMYFUNCTION("""COMPUTED_VALUE"""),"갱년기 날렸찜")</f>
        <v>갱년기 날렸찜</v>
      </c>
      <c r="B14843" s="2" t="str">
        <f>IFERROR(__xludf.DUMMYFUNCTION("""COMPUTED_VALUE"""),"브로콜리")</f>
        <v>브로콜리</v>
      </c>
    </row>
    <row r="14844">
      <c r="A14844" s="2" t="str">
        <f>IFERROR(__xludf.DUMMYFUNCTION("""COMPUTED_VALUE"""),"갱년기 날렸찜")</f>
        <v>갱년기 날렸찜</v>
      </c>
      <c r="B14844" s="2" t="str">
        <f>IFERROR(__xludf.DUMMYFUNCTION("""COMPUTED_VALUE"""),"오렌지")</f>
        <v>오렌지</v>
      </c>
    </row>
    <row r="14845">
      <c r="A14845" s="2" t="str">
        <f>IFERROR(__xludf.DUMMYFUNCTION("""COMPUTED_VALUE"""),"갱년기 날렸찜")</f>
        <v>갱년기 날렸찜</v>
      </c>
      <c r="B14845" s="2" t="str">
        <f>IFERROR(__xludf.DUMMYFUNCTION("""COMPUTED_VALUE"""),"취나물")</f>
        <v>취나물</v>
      </c>
    </row>
    <row r="14846">
      <c r="A14846" s="2" t="str">
        <f>IFERROR(__xludf.DUMMYFUNCTION("""COMPUTED_VALUE"""),"갱년기 날렸찜")</f>
        <v>갱년기 날렸찜</v>
      </c>
      <c r="B14846" s="2" t="str">
        <f>IFERROR(__xludf.DUMMYFUNCTION("""COMPUTED_VALUE"""),"화이트와인 식초")</f>
        <v>화이트와인 식초</v>
      </c>
    </row>
    <row r="14847">
      <c r="A14847" s="2" t="str">
        <f>IFERROR(__xludf.DUMMYFUNCTION("""COMPUTED_VALUE"""),"갱년기 날렸찜")</f>
        <v>갱년기 날렸찜</v>
      </c>
      <c r="B14847" s="2" t="str">
        <f>IFERROR(__xludf.DUMMYFUNCTION("""COMPUTED_VALUE"""),"호두기름")</f>
        <v>호두기름</v>
      </c>
    </row>
    <row r="14848">
      <c r="A14848" s="2" t="str">
        <f>IFERROR(__xludf.DUMMYFUNCTION("""COMPUTED_VALUE"""),"갱년기 날렸찜")</f>
        <v>갱년기 날렸찜</v>
      </c>
      <c r="B14848" s="2" t="str">
        <f>IFERROR(__xludf.DUMMYFUNCTION("""COMPUTED_VALUE"""),"발사믹 식초")</f>
        <v>발사믹 식초</v>
      </c>
    </row>
    <row r="14849">
      <c r="A14849" s="2" t="str">
        <f>IFERROR(__xludf.DUMMYFUNCTION("""COMPUTED_VALUE"""),"갱년기 날렸찜")</f>
        <v>갱년기 날렸찜</v>
      </c>
      <c r="B14849" s="2" t="str">
        <f>IFERROR(__xludf.DUMMYFUNCTION("""COMPUTED_VALUE"""),"토마토")</f>
        <v>토마토</v>
      </c>
    </row>
    <row r="14850">
      <c r="A14850" s="2" t="str">
        <f>IFERROR(__xludf.DUMMYFUNCTION("""COMPUTED_VALUE"""),"갱년기 날렸찜")</f>
        <v>갱년기 날렸찜</v>
      </c>
      <c r="B14850" s="2" t="str">
        <f>IFERROR(__xludf.DUMMYFUNCTION("""COMPUTED_VALUE"""),"셀러리")</f>
        <v>셀러리</v>
      </c>
    </row>
    <row r="14851">
      <c r="A14851" s="2" t="str">
        <f>IFERROR(__xludf.DUMMYFUNCTION("""COMPUTED_VALUE"""),"갱년기 날렸찜")</f>
        <v>갱년기 날렸찜</v>
      </c>
      <c r="B14851" s="2" t="str">
        <f>IFERROR(__xludf.DUMMYFUNCTION("""COMPUTED_VALUE"""),"샤부샤부용 육수")</f>
        <v>샤부샤부용 육수</v>
      </c>
    </row>
    <row r="14852">
      <c r="A14852" s="2" t="str">
        <f>IFERROR(__xludf.DUMMYFUNCTION("""COMPUTED_VALUE"""),"갱년기 날렸찜")</f>
        <v>갱년기 날렸찜</v>
      </c>
      <c r="B14852" s="2" t="str">
        <f>IFERROR(__xludf.DUMMYFUNCTION("""COMPUTED_VALUE"""),"파슬리")</f>
        <v>파슬리</v>
      </c>
    </row>
    <row r="14853">
      <c r="A14853" s="2" t="str">
        <f>IFERROR(__xludf.DUMMYFUNCTION("""COMPUTED_VALUE"""),"갱년기 날렸찜")</f>
        <v>갱년기 날렸찜</v>
      </c>
      <c r="B14853" s="2" t="str">
        <f>IFERROR(__xludf.DUMMYFUNCTION("""COMPUTED_VALUE"""),"표고버섯")</f>
        <v>표고버섯</v>
      </c>
    </row>
    <row r="14854">
      <c r="A14854" s="2" t="str">
        <f>IFERROR(__xludf.DUMMYFUNCTION("""COMPUTED_VALUE"""),"갱년기 날렸찜")</f>
        <v>갱년기 날렸찜</v>
      </c>
      <c r="B14854" s="2" t="str">
        <f>IFERROR(__xludf.DUMMYFUNCTION("""COMPUTED_VALUE"""),"고추")</f>
        <v>고추</v>
      </c>
    </row>
    <row r="14855">
      <c r="A14855" s="2" t="str">
        <f>IFERROR(__xludf.DUMMYFUNCTION("""COMPUTED_VALUE"""),"갱년기 날렸찜")</f>
        <v>갱년기 날렸찜</v>
      </c>
      <c r="B14855" s="2" t="str">
        <f>IFERROR(__xludf.DUMMYFUNCTION("""COMPUTED_VALUE"""),"마늘")</f>
        <v>마늘</v>
      </c>
    </row>
    <row r="14856">
      <c r="A14856" s="2" t="str">
        <f>IFERROR(__xludf.DUMMYFUNCTION("""COMPUTED_VALUE"""),"갱년기 날렸찜")</f>
        <v>갱년기 날렸찜</v>
      </c>
      <c r="B14856" s="2" t="str">
        <f>IFERROR(__xludf.DUMMYFUNCTION("""COMPUTED_VALUE"""),"올리브오일")</f>
        <v>올리브오일</v>
      </c>
    </row>
    <row r="14857">
      <c r="A14857" s="2" t="str">
        <f>IFERROR(__xludf.DUMMYFUNCTION("""COMPUTED_VALUE"""),"갱년기 날렸찜")</f>
        <v>갱년기 날렸찜</v>
      </c>
      <c r="B14857" s="2" t="str">
        <f>IFERROR(__xludf.DUMMYFUNCTION("""COMPUTED_VALUE"""),"케첩")</f>
        <v>케첩</v>
      </c>
    </row>
    <row r="14858">
      <c r="A14858" s="2" t="str">
        <f>IFERROR(__xludf.DUMMYFUNCTION("""COMPUTED_VALUE"""),"갱년기 날렸찜")</f>
        <v>갱년기 날렸찜</v>
      </c>
      <c r="B14858" s="2" t="str">
        <f>IFERROR(__xludf.DUMMYFUNCTION("""COMPUTED_VALUE"""),"맛술")</f>
        <v>맛술</v>
      </c>
    </row>
    <row r="14859">
      <c r="A14859" s="2" t="str">
        <f>IFERROR(__xludf.DUMMYFUNCTION("""COMPUTED_VALUE"""),"갱년기 날렸찜")</f>
        <v>갱년기 날렸찜</v>
      </c>
      <c r="B14859" s="2" t="str">
        <f>IFERROR(__xludf.DUMMYFUNCTION("""COMPUTED_VALUE"""),"후추")</f>
        <v>후추</v>
      </c>
    </row>
    <row r="14860">
      <c r="A14860" s="2" t="str">
        <f>IFERROR(__xludf.DUMMYFUNCTION("""COMPUTED_VALUE"""),"갱년기 날렸찜")</f>
        <v>갱년기 날렸찜</v>
      </c>
      <c r="B14860" s="2" t="str">
        <f>IFERROR(__xludf.DUMMYFUNCTION("""COMPUTED_VALUE"""),"소금")</f>
        <v>소금</v>
      </c>
    </row>
    <row r="14861">
      <c r="A14861" s="2" t="str">
        <f>IFERROR(__xludf.DUMMYFUNCTION("""COMPUTED_VALUE"""),"갱년기 날렸찜")</f>
        <v>갱년기 날렸찜</v>
      </c>
      <c r="B14861" s="2" t="str">
        <f>IFERROR(__xludf.DUMMYFUNCTION("""COMPUTED_VALUE"""),"양파")</f>
        <v>양파</v>
      </c>
    </row>
    <row r="14862">
      <c r="A14862" s="2" t="str">
        <f>IFERROR(__xludf.DUMMYFUNCTION("""COMPUTED_VALUE"""),"갱년기 날렸찜")</f>
        <v>갱년기 날렸찜</v>
      </c>
      <c r="B14862" s="2" t="str">
        <f>IFERROR(__xludf.DUMMYFUNCTION("""COMPUTED_VALUE"""),"라면")</f>
        <v>라면</v>
      </c>
    </row>
    <row r="14863">
      <c r="A14863" s="2" t="str">
        <f>IFERROR(__xludf.DUMMYFUNCTION("""COMPUTED_VALUE"""),"갱년기 날렸찜")</f>
        <v>갱년기 날렸찜</v>
      </c>
      <c r="B14863" s="2" t="str">
        <f>IFERROR(__xludf.DUMMYFUNCTION("""COMPUTED_VALUE"""),"설탕")</f>
        <v>설탕</v>
      </c>
    </row>
    <row r="14864">
      <c r="A14864" s="2" t="str">
        <f>IFERROR(__xludf.DUMMYFUNCTION("""COMPUTED_VALUE"""),"문어지지마")</f>
        <v>문어지지마</v>
      </c>
      <c r="B14864" s="2" t="str">
        <f>IFERROR(__xludf.DUMMYFUNCTION("""COMPUTED_VALUE"""),"돼지목살")</f>
        <v>돼지목살</v>
      </c>
    </row>
    <row r="14865">
      <c r="A14865" s="2" t="str">
        <f>IFERROR(__xludf.DUMMYFUNCTION("""COMPUTED_VALUE"""),"문어지지마")</f>
        <v>문어지지마</v>
      </c>
      <c r="B14865" s="2" t="str">
        <f>IFERROR(__xludf.DUMMYFUNCTION("""COMPUTED_VALUE"""),"삶은 문어")</f>
        <v>삶은 문어</v>
      </c>
    </row>
    <row r="14866">
      <c r="A14866" s="2" t="str">
        <f>IFERROR(__xludf.DUMMYFUNCTION("""COMPUTED_VALUE"""),"문어지지마")</f>
        <v>문어지지마</v>
      </c>
      <c r="B14866" s="2" t="str">
        <f>IFERROR(__xludf.DUMMYFUNCTION("""COMPUTED_VALUE"""),"꽃등심")</f>
        <v>꽃등심</v>
      </c>
    </row>
    <row r="14867">
      <c r="A14867" s="2" t="str">
        <f>IFERROR(__xludf.DUMMYFUNCTION("""COMPUTED_VALUE"""),"문어지지마")</f>
        <v>문어지지마</v>
      </c>
      <c r="B14867" s="2" t="str">
        <f>IFERROR(__xludf.DUMMYFUNCTION("""COMPUTED_VALUE"""),"감자")</f>
        <v>감자</v>
      </c>
    </row>
    <row r="14868">
      <c r="A14868" s="2" t="str">
        <f>IFERROR(__xludf.DUMMYFUNCTION("""COMPUTED_VALUE"""),"문어지지마")</f>
        <v>문어지지마</v>
      </c>
      <c r="B14868" s="2" t="str">
        <f>IFERROR(__xludf.DUMMYFUNCTION("""COMPUTED_VALUE"""),"토마토")</f>
        <v>토마토</v>
      </c>
    </row>
    <row r="14869">
      <c r="A14869" s="2" t="str">
        <f>IFERROR(__xludf.DUMMYFUNCTION("""COMPUTED_VALUE"""),"문어지지마")</f>
        <v>문어지지마</v>
      </c>
      <c r="B14869" s="2" t="str">
        <f>IFERROR(__xludf.DUMMYFUNCTION("""COMPUTED_VALUE"""),"파슬리")</f>
        <v>파슬리</v>
      </c>
    </row>
    <row r="14870">
      <c r="A14870" s="2" t="str">
        <f>IFERROR(__xludf.DUMMYFUNCTION("""COMPUTED_VALUE"""),"문어지지마")</f>
        <v>문어지지마</v>
      </c>
      <c r="B14870" s="2" t="str">
        <f>IFERROR(__xludf.DUMMYFUNCTION("""COMPUTED_VALUE"""),"취나물")</f>
        <v>취나물</v>
      </c>
    </row>
    <row r="14871">
      <c r="A14871" s="2" t="str">
        <f>IFERROR(__xludf.DUMMYFUNCTION("""COMPUTED_VALUE"""),"문어지지마")</f>
        <v>문어지지마</v>
      </c>
      <c r="B14871" s="2" t="str">
        <f>IFERROR(__xludf.DUMMYFUNCTION("""COMPUTED_VALUE"""),"표고버섯")</f>
        <v>표고버섯</v>
      </c>
    </row>
    <row r="14872">
      <c r="A14872" s="2" t="str">
        <f>IFERROR(__xludf.DUMMYFUNCTION("""COMPUTED_VALUE"""),"문어지지마")</f>
        <v>문어지지마</v>
      </c>
      <c r="B14872" s="2" t="str">
        <f>IFERROR(__xludf.DUMMYFUNCTION("""COMPUTED_VALUE"""),"새송이버섯")</f>
        <v>새송이버섯</v>
      </c>
    </row>
    <row r="14873">
      <c r="A14873" s="2" t="str">
        <f>IFERROR(__xludf.DUMMYFUNCTION("""COMPUTED_VALUE"""),"문어지지마")</f>
        <v>문어지지마</v>
      </c>
      <c r="B14873" s="2" t="str">
        <f>IFERROR(__xludf.DUMMYFUNCTION("""COMPUTED_VALUE"""),"플레인요거트")</f>
        <v>플레인요거트</v>
      </c>
    </row>
    <row r="14874">
      <c r="A14874" s="2" t="str">
        <f>IFERROR(__xludf.DUMMYFUNCTION("""COMPUTED_VALUE"""),"문어지지마")</f>
        <v>문어지지마</v>
      </c>
      <c r="B14874" s="2" t="str">
        <f>IFERROR(__xludf.DUMMYFUNCTION("""COMPUTED_VALUE"""),"파프리카")</f>
        <v>파프리카</v>
      </c>
    </row>
    <row r="14875">
      <c r="A14875" s="2" t="str">
        <f>IFERROR(__xludf.DUMMYFUNCTION("""COMPUTED_VALUE"""),"문어지지마")</f>
        <v>문어지지마</v>
      </c>
      <c r="B14875" s="2" t="str">
        <f>IFERROR(__xludf.DUMMYFUNCTION("""COMPUTED_VALUE"""),"화이트와인 식초")</f>
        <v>화이트와인 식초</v>
      </c>
    </row>
    <row r="14876">
      <c r="A14876" s="2" t="str">
        <f>IFERROR(__xludf.DUMMYFUNCTION("""COMPUTED_VALUE"""),"문어지지마")</f>
        <v>문어지지마</v>
      </c>
      <c r="B14876" s="2" t="str">
        <f>IFERROR(__xludf.DUMMYFUNCTION("""COMPUTED_VALUE"""),"발사믹 식초")</f>
        <v>발사믹 식초</v>
      </c>
    </row>
    <row r="14877">
      <c r="A14877" s="2" t="str">
        <f>IFERROR(__xludf.DUMMYFUNCTION("""COMPUTED_VALUE"""),"문어지지마")</f>
        <v>문어지지마</v>
      </c>
      <c r="B14877" s="2" t="str">
        <f>IFERROR(__xludf.DUMMYFUNCTION("""COMPUTED_VALUE"""),"오렌지")</f>
        <v>오렌지</v>
      </c>
    </row>
    <row r="14878">
      <c r="A14878" s="2" t="str">
        <f>IFERROR(__xludf.DUMMYFUNCTION("""COMPUTED_VALUE"""),"문어지지마")</f>
        <v>문어지지마</v>
      </c>
      <c r="B14878" s="2" t="str">
        <f>IFERROR(__xludf.DUMMYFUNCTION("""COMPUTED_VALUE"""),"달걀")</f>
        <v>달걀</v>
      </c>
    </row>
    <row r="14879">
      <c r="A14879" s="2" t="str">
        <f>IFERROR(__xludf.DUMMYFUNCTION("""COMPUTED_VALUE"""),"문어지지마")</f>
        <v>문어지지마</v>
      </c>
      <c r="B14879" s="2" t="str">
        <f>IFERROR(__xludf.DUMMYFUNCTION("""COMPUTED_VALUE"""),"설탕")</f>
        <v>설탕</v>
      </c>
    </row>
    <row r="14880">
      <c r="A14880" s="2" t="str">
        <f>IFERROR(__xludf.DUMMYFUNCTION("""COMPUTED_VALUE"""),"문어지지마")</f>
        <v>문어지지마</v>
      </c>
      <c r="B14880" s="2" t="str">
        <f>IFERROR(__xludf.DUMMYFUNCTION("""COMPUTED_VALUE"""),"레몬")</f>
        <v>레몬</v>
      </c>
    </row>
    <row r="14881">
      <c r="A14881" s="2" t="str">
        <f>IFERROR(__xludf.DUMMYFUNCTION("""COMPUTED_VALUE"""),"문어지지마")</f>
        <v>문어지지마</v>
      </c>
      <c r="B14881" s="2" t="str">
        <f>IFERROR(__xludf.DUMMYFUNCTION("""COMPUTED_VALUE"""),"올리브오일")</f>
        <v>올리브오일</v>
      </c>
    </row>
    <row r="14882">
      <c r="A14882" s="2" t="str">
        <f>IFERROR(__xludf.DUMMYFUNCTION("""COMPUTED_VALUE"""),"문어지지마")</f>
        <v>문어지지마</v>
      </c>
      <c r="B14882" s="2" t="str">
        <f>IFERROR(__xludf.DUMMYFUNCTION("""COMPUTED_VALUE"""),"후추")</f>
        <v>후추</v>
      </c>
    </row>
    <row r="14883">
      <c r="A14883" s="2" t="str">
        <f>IFERROR(__xludf.DUMMYFUNCTION("""COMPUTED_VALUE"""),"문어지지마")</f>
        <v>문어지지마</v>
      </c>
      <c r="B14883" s="2" t="str">
        <f>IFERROR(__xludf.DUMMYFUNCTION("""COMPUTED_VALUE"""),"소금")</f>
        <v>소금</v>
      </c>
    </row>
    <row r="14884">
      <c r="A14884" s="2" t="str">
        <f>IFERROR(__xludf.DUMMYFUNCTION("""COMPUTED_VALUE"""),"문어지지마")</f>
        <v>문어지지마</v>
      </c>
      <c r="B14884" s="2" t="str">
        <f>IFERROR(__xludf.DUMMYFUNCTION("""COMPUTED_VALUE"""),"다진생강")</f>
        <v>다진생강</v>
      </c>
    </row>
    <row r="14885">
      <c r="A14885" s="2" t="str">
        <f>IFERROR(__xludf.DUMMYFUNCTION("""COMPUTED_VALUE"""),"문어지지마")</f>
        <v>문어지지마</v>
      </c>
      <c r="B14885" s="2" t="str">
        <f>IFERROR(__xludf.DUMMYFUNCTION("""COMPUTED_VALUE"""),"다진마늘")</f>
        <v>다진마늘</v>
      </c>
    </row>
    <row r="14886">
      <c r="A14886" s="2" t="str">
        <f>IFERROR(__xludf.DUMMYFUNCTION("""COMPUTED_VALUE"""),"문어지지마")</f>
        <v>문어지지마</v>
      </c>
      <c r="B14886" s="2" t="str">
        <f>IFERROR(__xludf.DUMMYFUNCTION("""COMPUTED_VALUE"""),"마늘")</f>
        <v>마늘</v>
      </c>
    </row>
    <row r="14887">
      <c r="A14887" s="2" t="str">
        <f>IFERROR(__xludf.DUMMYFUNCTION("""COMPUTED_VALUE"""),"아피제닌맨")</f>
        <v>아피제닌맨</v>
      </c>
      <c r="B14887" s="2" t="str">
        <f>IFERROR(__xludf.DUMMYFUNCTION("""COMPUTED_VALUE"""),"브로콜리")</f>
        <v>브로콜리</v>
      </c>
    </row>
    <row r="14888">
      <c r="A14888" s="2" t="str">
        <f>IFERROR(__xludf.DUMMYFUNCTION("""COMPUTED_VALUE"""),"아피제닌맨")</f>
        <v>아피제닌맨</v>
      </c>
      <c r="B14888" s="2" t="str">
        <f>IFERROR(__xludf.DUMMYFUNCTION("""COMPUTED_VALUE"""),"셀러리")</f>
        <v>셀러리</v>
      </c>
    </row>
    <row r="14889">
      <c r="A14889" s="2" t="str">
        <f>IFERROR(__xludf.DUMMYFUNCTION("""COMPUTED_VALUE"""),"아피제닌맨")</f>
        <v>아피제닌맨</v>
      </c>
      <c r="B14889" s="2" t="str">
        <f>IFERROR(__xludf.DUMMYFUNCTION("""COMPUTED_VALUE"""),"파슬리")</f>
        <v>파슬리</v>
      </c>
    </row>
    <row r="14890">
      <c r="A14890" s="2" t="str">
        <f>IFERROR(__xludf.DUMMYFUNCTION("""COMPUTED_VALUE"""),"아피제닌맨")</f>
        <v>아피제닌맨</v>
      </c>
      <c r="B14890" s="2" t="str">
        <f>IFERROR(__xludf.DUMMYFUNCTION("""COMPUTED_VALUE"""),"두부")</f>
        <v>두부</v>
      </c>
    </row>
    <row r="14891">
      <c r="A14891" s="2" t="str">
        <f>IFERROR(__xludf.DUMMYFUNCTION("""COMPUTED_VALUE"""),"아피제닌맨")</f>
        <v>아피제닌맨</v>
      </c>
      <c r="B14891" s="2" t="str">
        <f>IFERROR(__xludf.DUMMYFUNCTION("""COMPUTED_VALUE"""),"호두기름")</f>
        <v>호두기름</v>
      </c>
    </row>
    <row r="14892">
      <c r="A14892" s="2" t="str">
        <f>IFERROR(__xludf.DUMMYFUNCTION("""COMPUTED_VALUE"""),"아피제닌맨")</f>
        <v>아피제닌맨</v>
      </c>
      <c r="B14892" s="2" t="str">
        <f>IFERROR(__xludf.DUMMYFUNCTION("""COMPUTED_VALUE"""),"애호박")</f>
        <v>애호박</v>
      </c>
    </row>
    <row r="14893">
      <c r="A14893" s="2" t="str">
        <f>IFERROR(__xludf.DUMMYFUNCTION("""COMPUTED_VALUE"""),"아피제닌맨")</f>
        <v>아피제닌맨</v>
      </c>
      <c r="B14893" s="2" t="str">
        <f>IFERROR(__xludf.DUMMYFUNCTION("""COMPUTED_VALUE"""),"보리된장")</f>
        <v>보리된장</v>
      </c>
    </row>
    <row r="14894">
      <c r="A14894" s="2" t="str">
        <f>IFERROR(__xludf.DUMMYFUNCTION("""COMPUTED_VALUE"""),"아피제닌맨")</f>
        <v>아피제닌맨</v>
      </c>
      <c r="B14894" s="2" t="str">
        <f>IFERROR(__xludf.DUMMYFUNCTION("""COMPUTED_VALUE"""),"전복")</f>
        <v>전복</v>
      </c>
    </row>
    <row r="14895">
      <c r="A14895" s="2" t="str">
        <f>IFERROR(__xludf.DUMMYFUNCTION("""COMPUTED_VALUE"""),"아피제닌맨")</f>
        <v>아피제닌맨</v>
      </c>
      <c r="B14895" s="2" t="str">
        <f>IFERROR(__xludf.DUMMYFUNCTION("""COMPUTED_VALUE"""),"오징어")</f>
        <v>오징어</v>
      </c>
    </row>
    <row r="14896">
      <c r="A14896" s="2" t="str">
        <f>IFERROR(__xludf.DUMMYFUNCTION("""COMPUTED_VALUE"""),"아피제닌맨")</f>
        <v>아피제닌맨</v>
      </c>
      <c r="B14896" s="2" t="str">
        <f>IFERROR(__xludf.DUMMYFUNCTION("""COMPUTED_VALUE"""),"우렁이")</f>
        <v>우렁이</v>
      </c>
    </row>
    <row r="14897">
      <c r="A14897" s="2" t="str">
        <f>IFERROR(__xludf.DUMMYFUNCTION("""COMPUTED_VALUE"""),"아피제닌맨")</f>
        <v>아피제닌맨</v>
      </c>
      <c r="B14897" s="2" t="str">
        <f>IFERROR(__xludf.DUMMYFUNCTION("""COMPUTED_VALUE"""),"오이무침")</f>
        <v>오이무침</v>
      </c>
    </row>
    <row r="14898">
      <c r="A14898" s="2" t="str">
        <f>IFERROR(__xludf.DUMMYFUNCTION("""COMPUTED_VALUE"""),"아피제닌맨")</f>
        <v>아피제닌맨</v>
      </c>
      <c r="B14898" s="2" t="str">
        <f>IFERROR(__xludf.DUMMYFUNCTION("""COMPUTED_VALUE"""),"깨")</f>
        <v>깨</v>
      </c>
    </row>
    <row r="14899">
      <c r="A14899" s="2" t="str">
        <f>IFERROR(__xludf.DUMMYFUNCTION("""COMPUTED_VALUE"""),"아피제닌맨")</f>
        <v>아피제닌맨</v>
      </c>
      <c r="B14899" s="2" t="str">
        <f>IFERROR(__xludf.DUMMYFUNCTION("""COMPUTED_VALUE"""),"전분")</f>
        <v>전분</v>
      </c>
    </row>
    <row r="14900">
      <c r="A14900" s="2" t="str">
        <f>IFERROR(__xludf.DUMMYFUNCTION("""COMPUTED_VALUE"""),"아피제닌맨")</f>
        <v>아피제닌맨</v>
      </c>
      <c r="B14900" s="2" t="str">
        <f>IFERROR(__xludf.DUMMYFUNCTION("""COMPUTED_VALUE"""),"소금")</f>
        <v>소금</v>
      </c>
    </row>
    <row r="14901">
      <c r="A14901" s="2" t="str">
        <f>IFERROR(__xludf.DUMMYFUNCTION("""COMPUTED_VALUE"""),"아피제닌맨")</f>
        <v>아피제닌맨</v>
      </c>
      <c r="B14901" s="2" t="str">
        <f>IFERROR(__xludf.DUMMYFUNCTION("""COMPUTED_VALUE"""),"식초")</f>
        <v>식초</v>
      </c>
    </row>
    <row r="14902">
      <c r="A14902" s="2" t="str">
        <f>IFERROR(__xludf.DUMMYFUNCTION("""COMPUTED_VALUE"""),"아피제닌맨")</f>
        <v>아피제닌맨</v>
      </c>
      <c r="B14902" s="2" t="str">
        <f>IFERROR(__xludf.DUMMYFUNCTION("""COMPUTED_VALUE"""),"홍고추")</f>
        <v>홍고추</v>
      </c>
    </row>
    <row r="14903">
      <c r="A14903" s="2" t="str">
        <f>IFERROR(__xludf.DUMMYFUNCTION("""COMPUTED_VALUE"""),"아피제닌맨")</f>
        <v>아피제닌맨</v>
      </c>
      <c r="B14903" s="2" t="str">
        <f>IFERROR(__xludf.DUMMYFUNCTION("""COMPUTED_VALUE"""),"마늘")</f>
        <v>마늘</v>
      </c>
    </row>
    <row r="14904">
      <c r="A14904" s="2" t="str">
        <f>IFERROR(__xludf.DUMMYFUNCTION("""COMPUTED_VALUE"""),"아피제닌맨")</f>
        <v>아피제닌맨</v>
      </c>
      <c r="B14904" s="2" t="str">
        <f>IFERROR(__xludf.DUMMYFUNCTION("""COMPUTED_VALUE"""),"설탕")</f>
        <v>설탕</v>
      </c>
    </row>
    <row r="14905">
      <c r="A14905" s="2" t="str">
        <f>IFERROR(__xludf.DUMMYFUNCTION("""COMPUTED_VALUE"""),"아피제닌맨")</f>
        <v>아피제닌맨</v>
      </c>
      <c r="B14905" s="2" t="str">
        <f>IFERROR(__xludf.DUMMYFUNCTION("""COMPUTED_VALUE"""),"양파")</f>
        <v>양파</v>
      </c>
    </row>
    <row r="14906">
      <c r="A14906" s="2" t="str">
        <f>IFERROR(__xludf.DUMMYFUNCTION("""COMPUTED_VALUE"""),"아피제닌맨")</f>
        <v>아피제닌맨</v>
      </c>
      <c r="B14906" s="2" t="str">
        <f>IFERROR(__xludf.DUMMYFUNCTION("""COMPUTED_VALUE"""),"고추")</f>
        <v>고추</v>
      </c>
    </row>
    <row r="14907">
      <c r="A14907" s="2" t="str">
        <f>IFERROR(__xludf.DUMMYFUNCTION("""COMPUTED_VALUE"""),"닥터 호영레인지")</f>
        <v>닥터 호영레인지</v>
      </c>
      <c r="B14907" s="2" t="str">
        <f>IFERROR(__xludf.DUMMYFUNCTION("""COMPUTED_VALUE"""),"브로콜리")</f>
        <v>브로콜리</v>
      </c>
    </row>
    <row r="14908">
      <c r="A14908" s="2" t="str">
        <f>IFERROR(__xludf.DUMMYFUNCTION("""COMPUTED_VALUE"""),"닥터 호영레인지")</f>
        <v>닥터 호영레인지</v>
      </c>
      <c r="B14908" s="2" t="str">
        <f>IFERROR(__xludf.DUMMYFUNCTION("""COMPUTED_VALUE"""),"셀러리")</f>
        <v>셀러리</v>
      </c>
    </row>
    <row r="14909">
      <c r="A14909" s="2" t="str">
        <f>IFERROR(__xludf.DUMMYFUNCTION("""COMPUTED_VALUE"""),"닥터 호영레인지")</f>
        <v>닥터 호영레인지</v>
      </c>
      <c r="B14909" s="2" t="str">
        <f>IFERROR(__xludf.DUMMYFUNCTION("""COMPUTED_VALUE"""),"파슬리")</f>
        <v>파슬리</v>
      </c>
    </row>
    <row r="14910">
      <c r="A14910" s="2" t="str">
        <f>IFERROR(__xludf.DUMMYFUNCTION("""COMPUTED_VALUE"""),"닥터 호영레인지")</f>
        <v>닥터 호영레인지</v>
      </c>
      <c r="B14910" s="2" t="str">
        <f>IFERROR(__xludf.DUMMYFUNCTION("""COMPUTED_VALUE"""),"두부")</f>
        <v>두부</v>
      </c>
    </row>
    <row r="14911">
      <c r="A14911" s="2" t="str">
        <f>IFERROR(__xludf.DUMMYFUNCTION("""COMPUTED_VALUE"""),"닥터 호영레인지")</f>
        <v>닥터 호영레인지</v>
      </c>
      <c r="B14911" s="2" t="str">
        <f>IFERROR(__xludf.DUMMYFUNCTION("""COMPUTED_VALUE"""),"오징어")</f>
        <v>오징어</v>
      </c>
    </row>
    <row r="14912">
      <c r="A14912" s="2" t="str">
        <f>IFERROR(__xludf.DUMMYFUNCTION("""COMPUTED_VALUE"""),"닥터 호영레인지")</f>
        <v>닥터 호영레인지</v>
      </c>
      <c r="B14912" s="2" t="str">
        <f>IFERROR(__xludf.DUMMYFUNCTION("""COMPUTED_VALUE"""),"새우")</f>
        <v>새우</v>
      </c>
    </row>
    <row r="14913">
      <c r="A14913" s="2" t="str">
        <f>IFERROR(__xludf.DUMMYFUNCTION("""COMPUTED_VALUE"""),"닥터 호영레인지")</f>
        <v>닥터 호영레인지</v>
      </c>
      <c r="B14913" s="2" t="str">
        <f>IFERROR(__xludf.DUMMYFUNCTION("""COMPUTED_VALUE"""),"칵테일새우")</f>
        <v>칵테일새우</v>
      </c>
    </row>
    <row r="14914">
      <c r="A14914" s="2" t="str">
        <f>IFERROR(__xludf.DUMMYFUNCTION("""COMPUTED_VALUE"""),"닥터 호영레인지")</f>
        <v>닥터 호영레인지</v>
      </c>
      <c r="B14914" s="2" t="str">
        <f>IFERROR(__xludf.DUMMYFUNCTION("""COMPUTED_VALUE"""),"전복")</f>
        <v>전복</v>
      </c>
    </row>
    <row r="14915">
      <c r="A14915" s="2" t="str">
        <f>IFERROR(__xludf.DUMMYFUNCTION("""COMPUTED_VALUE"""),"닥터 호영레인지")</f>
        <v>닥터 호영레인지</v>
      </c>
      <c r="B14915" s="2" t="str">
        <f>IFERROR(__xludf.DUMMYFUNCTION("""COMPUTED_VALUE"""),"표고버섯")</f>
        <v>표고버섯</v>
      </c>
    </row>
    <row r="14916">
      <c r="A14916" s="2" t="str">
        <f>IFERROR(__xludf.DUMMYFUNCTION("""COMPUTED_VALUE"""),"닥터 호영레인지")</f>
        <v>닥터 호영레인지</v>
      </c>
      <c r="B14916" s="2" t="str">
        <f>IFERROR(__xludf.DUMMYFUNCTION("""COMPUTED_VALUE"""),"새송이버섯")</f>
        <v>새송이버섯</v>
      </c>
    </row>
    <row r="14917">
      <c r="A14917" s="2" t="str">
        <f>IFERROR(__xludf.DUMMYFUNCTION("""COMPUTED_VALUE"""),"닥터 호영레인지")</f>
        <v>닥터 호영레인지</v>
      </c>
      <c r="B14917" s="2" t="str">
        <f>IFERROR(__xludf.DUMMYFUNCTION("""COMPUTED_VALUE"""),"조갯살")</f>
        <v>조갯살</v>
      </c>
    </row>
    <row r="14918">
      <c r="A14918" s="2" t="str">
        <f>IFERROR(__xludf.DUMMYFUNCTION("""COMPUTED_VALUE"""),"닥터 호영레인지")</f>
        <v>닥터 호영레인지</v>
      </c>
      <c r="B14918" s="2" t="str">
        <f>IFERROR(__xludf.DUMMYFUNCTION("""COMPUTED_VALUE"""),"인스턴트 백짬뽕")</f>
        <v>인스턴트 백짬뽕</v>
      </c>
    </row>
    <row r="14919">
      <c r="A14919" s="2" t="str">
        <f>IFERROR(__xludf.DUMMYFUNCTION("""COMPUTED_VALUE"""),"닥터 호영레인지")</f>
        <v>닥터 호영레인지</v>
      </c>
      <c r="B14919" s="2" t="str">
        <f>IFERROR(__xludf.DUMMYFUNCTION("""COMPUTED_VALUE"""),"콩나물")</f>
        <v>콩나물</v>
      </c>
    </row>
    <row r="14920">
      <c r="A14920" s="2" t="str">
        <f>IFERROR(__xludf.DUMMYFUNCTION("""COMPUTED_VALUE"""),"닥터 호영레인지")</f>
        <v>닥터 호영레인지</v>
      </c>
      <c r="B14920" s="2" t="str">
        <f>IFERROR(__xludf.DUMMYFUNCTION("""COMPUTED_VALUE"""),"통조림 참치")</f>
        <v>통조림 참치</v>
      </c>
    </row>
    <row r="14921">
      <c r="A14921" s="2" t="str">
        <f>IFERROR(__xludf.DUMMYFUNCTION("""COMPUTED_VALUE"""),"닥터 호영레인지")</f>
        <v>닥터 호영레인지</v>
      </c>
      <c r="B14921" s="2" t="str">
        <f>IFERROR(__xludf.DUMMYFUNCTION("""COMPUTED_VALUE"""),"잣")</f>
        <v>잣</v>
      </c>
    </row>
    <row r="14922">
      <c r="A14922" s="2" t="str">
        <f>IFERROR(__xludf.DUMMYFUNCTION("""COMPUTED_VALUE"""),"닥터 호영레인지")</f>
        <v>닥터 호영레인지</v>
      </c>
      <c r="B14922" s="2" t="str">
        <f>IFERROR(__xludf.DUMMYFUNCTION("""COMPUTED_VALUE"""),"단무지")</f>
        <v>단무지</v>
      </c>
    </row>
    <row r="14923">
      <c r="A14923" s="2" t="str">
        <f>IFERROR(__xludf.DUMMYFUNCTION("""COMPUTED_VALUE"""),"닥터 호영레인지")</f>
        <v>닥터 호영레인지</v>
      </c>
      <c r="B14923" s="2" t="str">
        <f>IFERROR(__xludf.DUMMYFUNCTION("""COMPUTED_VALUE"""),"멸치육수팩")</f>
        <v>멸치육수팩</v>
      </c>
    </row>
    <row r="14924">
      <c r="A14924" s="2" t="str">
        <f>IFERROR(__xludf.DUMMYFUNCTION("""COMPUTED_VALUE"""),"닥터 호영레인지")</f>
        <v>닥터 호영레인지</v>
      </c>
      <c r="B14924" s="2" t="str">
        <f>IFERROR(__xludf.DUMMYFUNCTION("""COMPUTED_VALUE"""),"맛간장")</f>
        <v>맛간장</v>
      </c>
    </row>
    <row r="14925">
      <c r="A14925" s="2" t="str">
        <f>IFERROR(__xludf.DUMMYFUNCTION("""COMPUTED_VALUE"""),"닥터 호영레인지")</f>
        <v>닥터 호영레인지</v>
      </c>
      <c r="B14925" s="2" t="str">
        <f>IFERROR(__xludf.DUMMYFUNCTION("""COMPUTED_VALUE"""),"밀가루")</f>
        <v>밀가루</v>
      </c>
    </row>
    <row r="14926">
      <c r="A14926" s="2" t="str">
        <f>IFERROR(__xludf.DUMMYFUNCTION("""COMPUTED_VALUE"""),"닥터 호영레인지")</f>
        <v>닥터 호영레인지</v>
      </c>
      <c r="B14926" s="2" t="str">
        <f>IFERROR(__xludf.DUMMYFUNCTION("""COMPUTED_VALUE"""),"대파")</f>
        <v>대파</v>
      </c>
    </row>
    <row r="14927">
      <c r="A14927" s="2" t="str">
        <f>IFERROR(__xludf.DUMMYFUNCTION("""COMPUTED_VALUE"""),"닥터 호영레인지")</f>
        <v>닥터 호영레인지</v>
      </c>
      <c r="B14927" s="2" t="str">
        <f>IFERROR(__xludf.DUMMYFUNCTION("""COMPUTED_VALUE"""),"양파")</f>
        <v>양파</v>
      </c>
    </row>
    <row r="14928">
      <c r="A14928" s="2" t="str">
        <f>IFERROR(__xludf.DUMMYFUNCTION("""COMPUTED_VALUE"""),"닥터 호영레인지")</f>
        <v>닥터 호영레인지</v>
      </c>
      <c r="B14928" s="2" t="str">
        <f>IFERROR(__xludf.DUMMYFUNCTION("""COMPUTED_VALUE"""),"다진마늘")</f>
        <v>다진마늘</v>
      </c>
    </row>
    <row r="14929">
      <c r="A14929" s="2" t="str">
        <f>IFERROR(__xludf.DUMMYFUNCTION("""COMPUTED_VALUE"""),"닥터 호영레인지")</f>
        <v>닥터 호영레인지</v>
      </c>
      <c r="B14929" s="2" t="str">
        <f>IFERROR(__xludf.DUMMYFUNCTION("""COMPUTED_VALUE"""),"고춧가루")</f>
        <v>고춧가루</v>
      </c>
    </row>
    <row r="14930">
      <c r="A14930" s="2" t="str">
        <f>IFERROR(__xludf.DUMMYFUNCTION("""COMPUTED_VALUE"""),"닥터 호영레인지")</f>
        <v>닥터 호영레인지</v>
      </c>
      <c r="B14930" s="2" t="str">
        <f>IFERROR(__xludf.DUMMYFUNCTION("""COMPUTED_VALUE"""),"고추")</f>
        <v>고추</v>
      </c>
    </row>
    <row r="14931">
      <c r="A14931" s="2" t="str">
        <f>IFERROR(__xludf.DUMMYFUNCTION("""COMPUTED_VALUE"""),"닥터 호영레인지")</f>
        <v>닥터 호영레인지</v>
      </c>
      <c r="B14931" s="2" t="str">
        <f>IFERROR(__xludf.DUMMYFUNCTION("""COMPUTED_VALUE"""),"달걀")</f>
        <v>달걀</v>
      </c>
    </row>
    <row r="14932">
      <c r="A14932" s="2" t="str">
        <f>IFERROR(__xludf.DUMMYFUNCTION("""COMPUTED_VALUE"""),"닥터 호영레인지")</f>
        <v>닥터 호영레인지</v>
      </c>
      <c r="B14932" s="2" t="str">
        <f>IFERROR(__xludf.DUMMYFUNCTION("""COMPUTED_VALUE"""),"설탕")</f>
        <v>설탕</v>
      </c>
    </row>
    <row r="14933">
      <c r="A14933" s="2" t="str">
        <f>IFERROR(__xludf.DUMMYFUNCTION("""COMPUTED_VALUE"""),"닥터 호영레인지")</f>
        <v>닥터 호영레인지</v>
      </c>
      <c r="B14933" s="2" t="str">
        <f>IFERROR(__xludf.DUMMYFUNCTION("""COMPUTED_VALUE"""),"깨")</f>
        <v>깨</v>
      </c>
    </row>
    <row r="14934">
      <c r="A14934" s="2" t="str">
        <f>IFERROR(__xludf.DUMMYFUNCTION("""COMPUTED_VALUE"""),"닥터 호영레인지")</f>
        <v>닥터 호영레인지</v>
      </c>
      <c r="B14934" s="2" t="str">
        <f>IFERROR(__xludf.DUMMYFUNCTION("""COMPUTED_VALUE"""),"참기름")</f>
        <v>참기름</v>
      </c>
    </row>
    <row r="14935">
      <c r="A14935" s="2" t="str">
        <f>IFERROR(__xludf.DUMMYFUNCTION("""COMPUTED_VALUE"""),"버거김")</f>
        <v>버거김</v>
      </c>
      <c r="B14935" s="2" t="str">
        <f>IFERROR(__xludf.DUMMYFUNCTION("""COMPUTED_VALUE"""),"햄버거번")</f>
        <v>햄버거번</v>
      </c>
    </row>
    <row r="14936">
      <c r="A14936" s="2" t="str">
        <f>IFERROR(__xludf.DUMMYFUNCTION("""COMPUTED_VALUE"""),"버거김")</f>
        <v>버거김</v>
      </c>
      <c r="B14936" s="2" t="str">
        <f>IFERROR(__xludf.DUMMYFUNCTION("""COMPUTED_VALUE"""),"조미김")</f>
        <v>조미김</v>
      </c>
    </row>
    <row r="14937">
      <c r="A14937" s="2" t="str">
        <f>IFERROR(__xludf.DUMMYFUNCTION("""COMPUTED_VALUE"""),"버거김")</f>
        <v>버거김</v>
      </c>
      <c r="B14937" s="2" t="str">
        <f>IFERROR(__xludf.DUMMYFUNCTION("""COMPUTED_VALUE"""),"슬라이스 체더치즈")</f>
        <v>슬라이스 체더치즈</v>
      </c>
    </row>
    <row r="14938">
      <c r="A14938" s="2" t="str">
        <f>IFERROR(__xludf.DUMMYFUNCTION("""COMPUTED_VALUE"""),"버거김")</f>
        <v>버거김</v>
      </c>
      <c r="B14938" s="2" t="str">
        <f>IFERROR(__xludf.DUMMYFUNCTION("""COMPUTED_VALUE"""),"모차렐라 치즈")</f>
        <v>모차렐라 치즈</v>
      </c>
    </row>
    <row r="14939">
      <c r="A14939" s="2" t="str">
        <f>IFERROR(__xludf.DUMMYFUNCTION("""COMPUTED_VALUE"""),"버거김")</f>
        <v>버거김</v>
      </c>
      <c r="B14939" s="2" t="str">
        <f>IFERROR(__xludf.DUMMYFUNCTION("""COMPUTED_VALUE"""),"새우")</f>
        <v>새우</v>
      </c>
    </row>
    <row r="14940">
      <c r="A14940" s="2" t="str">
        <f>IFERROR(__xludf.DUMMYFUNCTION("""COMPUTED_VALUE"""),"버거김")</f>
        <v>버거김</v>
      </c>
      <c r="B14940" s="2" t="str">
        <f>IFERROR(__xludf.DUMMYFUNCTION("""COMPUTED_VALUE"""),"렐리시")</f>
        <v>렐리시</v>
      </c>
    </row>
    <row r="14941">
      <c r="A14941" s="2" t="str">
        <f>IFERROR(__xludf.DUMMYFUNCTION("""COMPUTED_VALUE"""),"버거김")</f>
        <v>버거김</v>
      </c>
      <c r="B14941" s="2" t="str">
        <f>IFERROR(__xludf.DUMMYFUNCTION("""COMPUTED_VALUE"""),"크림파스타소스")</f>
        <v>크림파스타소스</v>
      </c>
    </row>
    <row r="14942">
      <c r="A14942" s="2" t="str">
        <f>IFERROR(__xludf.DUMMYFUNCTION("""COMPUTED_VALUE"""),"버거김")</f>
        <v>버거김</v>
      </c>
      <c r="B14942" s="2" t="str">
        <f>IFERROR(__xludf.DUMMYFUNCTION("""COMPUTED_VALUE"""),"통조림 햄")</f>
        <v>통조림 햄</v>
      </c>
    </row>
    <row r="14943">
      <c r="A14943" s="2" t="str">
        <f>IFERROR(__xludf.DUMMYFUNCTION("""COMPUTED_VALUE"""),"버거김")</f>
        <v>버거김</v>
      </c>
      <c r="B14943" s="2" t="str">
        <f>IFERROR(__xludf.DUMMYFUNCTION("""COMPUTED_VALUE"""),"대패삼겹살")</f>
        <v>대패삼겹살</v>
      </c>
    </row>
    <row r="14944">
      <c r="A14944" s="2" t="str">
        <f>IFERROR(__xludf.DUMMYFUNCTION("""COMPUTED_VALUE"""),"버거김")</f>
        <v>버거김</v>
      </c>
      <c r="B14944" s="2" t="str">
        <f>IFERROR(__xludf.DUMMYFUNCTION("""COMPUTED_VALUE"""),"베이컨")</f>
        <v>베이컨</v>
      </c>
    </row>
    <row r="14945">
      <c r="A14945" s="2" t="str">
        <f>IFERROR(__xludf.DUMMYFUNCTION("""COMPUTED_VALUE"""),"버거김")</f>
        <v>버거김</v>
      </c>
      <c r="B14945" s="2" t="str">
        <f>IFERROR(__xludf.DUMMYFUNCTION("""COMPUTED_VALUE"""),"배추김치")</f>
        <v>배추김치</v>
      </c>
    </row>
    <row r="14946">
      <c r="A14946" s="2" t="str">
        <f>IFERROR(__xludf.DUMMYFUNCTION("""COMPUTED_VALUE"""),"버거김")</f>
        <v>버거김</v>
      </c>
      <c r="B14946" s="2" t="str">
        <f>IFERROR(__xludf.DUMMYFUNCTION("""COMPUTED_VALUE"""),"단무지")</f>
        <v>단무지</v>
      </c>
    </row>
    <row r="14947">
      <c r="A14947" s="2" t="str">
        <f>IFERROR(__xludf.DUMMYFUNCTION("""COMPUTED_VALUE"""),"버거김")</f>
        <v>버거김</v>
      </c>
      <c r="B14947" s="2" t="str">
        <f>IFERROR(__xludf.DUMMYFUNCTION("""COMPUTED_VALUE"""),"가자미식해")</f>
        <v>가자미식해</v>
      </c>
    </row>
    <row r="14948">
      <c r="A14948" s="2" t="str">
        <f>IFERROR(__xludf.DUMMYFUNCTION("""COMPUTED_VALUE"""),"버거김")</f>
        <v>버거김</v>
      </c>
      <c r="B14948" s="2" t="str">
        <f>IFERROR(__xludf.DUMMYFUNCTION("""COMPUTED_VALUE"""),"매콤달콤맛 과자")</f>
        <v>매콤달콤맛 과자</v>
      </c>
    </row>
    <row r="14949">
      <c r="A14949" s="2" t="str">
        <f>IFERROR(__xludf.DUMMYFUNCTION("""COMPUTED_VALUE"""),"버거김")</f>
        <v>버거김</v>
      </c>
      <c r="B14949" s="2" t="str">
        <f>IFERROR(__xludf.DUMMYFUNCTION("""COMPUTED_VALUE"""),"전분")</f>
        <v>전분</v>
      </c>
    </row>
    <row r="14950">
      <c r="A14950" s="2" t="str">
        <f>IFERROR(__xludf.DUMMYFUNCTION("""COMPUTED_VALUE"""),"버거김")</f>
        <v>버거김</v>
      </c>
      <c r="B14950" s="2" t="str">
        <f>IFERROR(__xludf.DUMMYFUNCTION("""COMPUTED_VALUE"""),"다진마늘")</f>
        <v>다진마늘</v>
      </c>
    </row>
    <row r="14951">
      <c r="A14951" s="2" t="str">
        <f>IFERROR(__xludf.DUMMYFUNCTION("""COMPUTED_VALUE"""),"버거김")</f>
        <v>버거김</v>
      </c>
      <c r="B14951" s="2" t="str">
        <f>IFERROR(__xludf.DUMMYFUNCTION("""COMPUTED_VALUE"""),"설탕")</f>
        <v>설탕</v>
      </c>
    </row>
    <row r="14952">
      <c r="A14952" s="2" t="str">
        <f>IFERROR(__xludf.DUMMYFUNCTION("""COMPUTED_VALUE"""),"버거김")</f>
        <v>버거김</v>
      </c>
      <c r="B14952" s="2" t="str">
        <f>IFERROR(__xludf.DUMMYFUNCTION("""COMPUTED_VALUE"""),"튀김가루")</f>
        <v>튀김가루</v>
      </c>
    </row>
    <row r="14953">
      <c r="A14953" s="2" t="str">
        <f>IFERROR(__xludf.DUMMYFUNCTION("""COMPUTED_VALUE"""),"샘도날드")</f>
        <v>샘도날드</v>
      </c>
      <c r="B14953" s="2" t="str">
        <f>IFERROR(__xludf.DUMMYFUNCTION("""COMPUTED_VALUE"""),"햄버거번")</f>
        <v>햄버거번</v>
      </c>
    </row>
    <row r="14954">
      <c r="A14954" s="2" t="str">
        <f>IFERROR(__xludf.DUMMYFUNCTION("""COMPUTED_VALUE"""),"샘도날드")</f>
        <v>샘도날드</v>
      </c>
      <c r="B14954" s="2" t="str">
        <f>IFERROR(__xludf.DUMMYFUNCTION("""COMPUTED_VALUE"""),"삼겹살")</f>
        <v>삼겹살</v>
      </c>
    </row>
    <row r="14955">
      <c r="A14955" s="2" t="str">
        <f>IFERROR(__xludf.DUMMYFUNCTION("""COMPUTED_VALUE"""),"샘도날드")</f>
        <v>샘도날드</v>
      </c>
      <c r="B14955" s="2" t="str">
        <f>IFERROR(__xludf.DUMMYFUNCTION("""COMPUTED_VALUE"""),"베이컨")</f>
        <v>베이컨</v>
      </c>
    </row>
    <row r="14956">
      <c r="A14956" s="2" t="str">
        <f>IFERROR(__xludf.DUMMYFUNCTION("""COMPUTED_VALUE"""),"샘도날드")</f>
        <v>샘도날드</v>
      </c>
      <c r="B14956" s="2" t="str">
        <f>IFERROR(__xludf.DUMMYFUNCTION("""COMPUTED_VALUE"""),"훈제오리")</f>
        <v>훈제오리</v>
      </c>
    </row>
    <row r="14957">
      <c r="A14957" s="2" t="str">
        <f>IFERROR(__xludf.DUMMYFUNCTION("""COMPUTED_VALUE"""),"샘도날드")</f>
        <v>샘도날드</v>
      </c>
      <c r="B14957" s="2" t="str">
        <f>IFERROR(__xludf.DUMMYFUNCTION("""COMPUTED_VALUE"""),"슬라이스 체더치즈")</f>
        <v>슬라이스 체더치즈</v>
      </c>
    </row>
    <row r="14958">
      <c r="A14958" s="2" t="str">
        <f>IFERROR(__xludf.DUMMYFUNCTION("""COMPUTED_VALUE"""),"샘도날드")</f>
        <v>샘도날드</v>
      </c>
      <c r="B14958" s="2" t="str">
        <f>IFERROR(__xludf.DUMMYFUNCTION("""COMPUTED_VALUE"""),"모차렐라치즈")</f>
        <v>모차렐라치즈</v>
      </c>
    </row>
    <row r="14959">
      <c r="A14959" s="2" t="str">
        <f>IFERROR(__xludf.DUMMYFUNCTION("""COMPUTED_VALUE"""),"샘도날드")</f>
        <v>샘도날드</v>
      </c>
      <c r="B14959" s="2" t="str">
        <f>IFERROR(__xludf.DUMMYFUNCTION("""COMPUTED_VALUE"""),"크림치즈")</f>
        <v>크림치즈</v>
      </c>
    </row>
    <row r="14960">
      <c r="A14960" s="2" t="str">
        <f>IFERROR(__xludf.DUMMYFUNCTION("""COMPUTED_VALUE"""),"샘도날드")</f>
        <v>샘도날드</v>
      </c>
      <c r="B14960" s="2" t="str">
        <f>IFERROR(__xludf.DUMMYFUNCTION("""COMPUTED_VALUE"""),"블루베리")</f>
        <v>블루베리</v>
      </c>
    </row>
    <row r="14961">
      <c r="A14961" s="2" t="str">
        <f>IFERROR(__xludf.DUMMYFUNCTION("""COMPUTED_VALUE"""),"샘도날드")</f>
        <v>샘도날드</v>
      </c>
      <c r="B14961" s="2" t="str">
        <f>IFERROR(__xludf.DUMMYFUNCTION("""COMPUTED_VALUE"""),"휘핑크림")</f>
        <v>휘핑크림</v>
      </c>
    </row>
    <row r="14962">
      <c r="A14962" s="2" t="str">
        <f>IFERROR(__xludf.DUMMYFUNCTION("""COMPUTED_VALUE"""),"샘도날드")</f>
        <v>샘도날드</v>
      </c>
      <c r="B14962" s="2" t="str">
        <f>IFERROR(__xludf.DUMMYFUNCTION("""COMPUTED_VALUE"""),"렐리시")</f>
        <v>렐리시</v>
      </c>
    </row>
    <row r="14963">
      <c r="A14963" s="2" t="str">
        <f>IFERROR(__xludf.DUMMYFUNCTION("""COMPUTED_VALUE"""),"샘도날드")</f>
        <v>샘도날드</v>
      </c>
      <c r="B14963" s="2" t="str">
        <f>IFERROR(__xludf.DUMMYFUNCTION("""COMPUTED_VALUE"""),"우유")</f>
        <v>우유</v>
      </c>
    </row>
    <row r="14964">
      <c r="A14964" s="2" t="str">
        <f>IFERROR(__xludf.DUMMYFUNCTION("""COMPUTED_VALUE"""),"샘도날드")</f>
        <v>샘도날드</v>
      </c>
      <c r="B14964" s="2" t="str">
        <f>IFERROR(__xludf.DUMMYFUNCTION("""COMPUTED_VALUE"""),"감자")</f>
        <v>감자</v>
      </c>
    </row>
    <row r="14965">
      <c r="A14965" s="2" t="str">
        <f>IFERROR(__xludf.DUMMYFUNCTION("""COMPUTED_VALUE"""),"샘도날드")</f>
        <v>샘도날드</v>
      </c>
      <c r="B14965" s="2" t="str">
        <f>IFERROR(__xludf.DUMMYFUNCTION("""COMPUTED_VALUE"""),"매운맛 과자")</f>
        <v>매운맛 과자</v>
      </c>
    </row>
    <row r="14966">
      <c r="A14966" s="2" t="str">
        <f>IFERROR(__xludf.DUMMYFUNCTION("""COMPUTED_VALUE"""),"샘도날드")</f>
        <v>샘도날드</v>
      </c>
      <c r="B14966" s="2" t="str">
        <f>IFERROR(__xludf.DUMMYFUNCTION("""COMPUTED_VALUE"""),"소금")</f>
        <v>소금</v>
      </c>
    </row>
    <row r="14967">
      <c r="A14967" s="2" t="str">
        <f>IFERROR(__xludf.DUMMYFUNCTION("""COMPUTED_VALUE"""),"샘도날드")</f>
        <v>샘도날드</v>
      </c>
      <c r="B14967" s="2" t="str">
        <f>IFERROR(__xludf.DUMMYFUNCTION("""COMPUTED_VALUE"""),"양파")</f>
        <v>양파</v>
      </c>
    </row>
    <row r="14968">
      <c r="A14968" s="2" t="str">
        <f>IFERROR(__xludf.DUMMYFUNCTION("""COMPUTED_VALUE"""),"샘도날드")</f>
        <v>샘도날드</v>
      </c>
      <c r="B14968" s="2" t="str">
        <f>IFERROR(__xludf.DUMMYFUNCTION("""COMPUTED_VALUE"""),"달걀")</f>
        <v>달걀</v>
      </c>
    </row>
    <row r="14969">
      <c r="A14969" s="2" t="str">
        <f>IFERROR(__xludf.DUMMYFUNCTION("""COMPUTED_VALUE"""),"샘도날드")</f>
        <v>샘도날드</v>
      </c>
      <c r="B14969" s="2" t="str">
        <f>IFERROR(__xludf.DUMMYFUNCTION("""COMPUTED_VALUE"""),"밀가루")</f>
        <v>밀가루</v>
      </c>
    </row>
    <row r="14970">
      <c r="A14970" s="2" t="str">
        <f>IFERROR(__xludf.DUMMYFUNCTION("""COMPUTED_VALUE"""),"샘도날드")</f>
        <v>샘도날드</v>
      </c>
      <c r="B14970" s="2" t="str">
        <f>IFERROR(__xludf.DUMMYFUNCTION("""COMPUTED_VALUE"""),"버터")</f>
        <v>버터</v>
      </c>
    </row>
    <row r="14971">
      <c r="A14971" s="2" t="str">
        <f>IFERROR(__xludf.DUMMYFUNCTION("""COMPUTED_VALUE"""),"샘도날드")</f>
        <v>샘도날드</v>
      </c>
      <c r="B14971" s="2" t="str">
        <f>IFERROR(__xludf.DUMMYFUNCTION("""COMPUTED_VALUE"""),"설탕")</f>
        <v>설탕</v>
      </c>
    </row>
    <row r="14972">
      <c r="A14972" s="2" t="str">
        <f>IFERROR(__xludf.DUMMYFUNCTION("""COMPUTED_VALUE"""),"샘도날드")</f>
        <v>샘도날드</v>
      </c>
      <c r="B14972" s="2" t="str">
        <f>IFERROR(__xludf.DUMMYFUNCTION("""COMPUTED_VALUE"""),"레몬")</f>
        <v>레몬</v>
      </c>
    </row>
    <row r="14973">
      <c r="A14973" s="2" t="str">
        <f>IFERROR(__xludf.DUMMYFUNCTION("""COMPUTED_VALUE"""),"내가 이길고렝")</f>
        <v>내가 이길고렝</v>
      </c>
      <c r="B14973" s="2" t="str">
        <f>IFERROR(__xludf.DUMMYFUNCTION("""COMPUTED_VALUE"""),"꽃게")</f>
        <v>꽃게</v>
      </c>
    </row>
    <row r="14974">
      <c r="A14974" s="2" t="str">
        <f>IFERROR(__xludf.DUMMYFUNCTION("""COMPUTED_VALUE"""),"내가 이길고렝")</f>
        <v>내가 이길고렝</v>
      </c>
      <c r="B14974" s="2" t="str">
        <f>IFERROR(__xludf.DUMMYFUNCTION("""COMPUTED_VALUE"""),"피시소스")</f>
        <v>피시소스</v>
      </c>
    </row>
    <row r="14975">
      <c r="A14975" s="2" t="str">
        <f>IFERROR(__xludf.DUMMYFUNCTION("""COMPUTED_VALUE"""),"내가 이길고렝")</f>
        <v>내가 이길고렝</v>
      </c>
      <c r="B14975" s="2" t="str">
        <f>IFERROR(__xludf.DUMMYFUNCTION("""COMPUTED_VALUE"""),"고수")</f>
        <v>고수</v>
      </c>
    </row>
    <row r="14976">
      <c r="A14976" s="2" t="str">
        <f>IFERROR(__xludf.DUMMYFUNCTION("""COMPUTED_VALUE"""),"내가 이길고렝")</f>
        <v>내가 이길고렝</v>
      </c>
      <c r="B14976" s="2" t="str">
        <f>IFERROR(__xludf.DUMMYFUNCTION("""COMPUTED_VALUE"""),"소갈비양념")</f>
        <v>소갈비양념</v>
      </c>
    </row>
    <row r="14977">
      <c r="A14977" s="2" t="str">
        <f>IFERROR(__xludf.DUMMYFUNCTION("""COMPUTED_VALUE"""),"내가 이길고렝")</f>
        <v>내가 이길고렝</v>
      </c>
      <c r="B14977" s="2" t="str">
        <f>IFERROR(__xludf.DUMMYFUNCTION("""COMPUTED_VALUE"""),"우유")</f>
        <v>우유</v>
      </c>
    </row>
    <row r="14978">
      <c r="A14978" s="2" t="str">
        <f>IFERROR(__xludf.DUMMYFUNCTION("""COMPUTED_VALUE"""),"내가 이길고렝")</f>
        <v>내가 이길고렝</v>
      </c>
      <c r="B14978" s="2" t="str">
        <f>IFERROR(__xludf.DUMMYFUNCTION("""COMPUTED_VALUE"""),"건새우")</f>
        <v>건새우</v>
      </c>
    </row>
    <row r="14979">
      <c r="A14979" s="2" t="str">
        <f>IFERROR(__xludf.DUMMYFUNCTION("""COMPUTED_VALUE"""),"내가 이길고렝")</f>
        <v>내가 이길고렝</v>
      </c>
      <c r="B14979" s="2" t="str">
        <f>IFERROR(__xludf.DUMMYFUNCTION("""COMPUTED_VALUE"""),"오이")</f>
        <v>오이</v>
      </c>
    </row>
    <row r="14980">
      <c r="A14980" s="2" t="str">
        <f>IFERROR(__xludf.DUMMYFUNCTION("""COMPUTED_VALUE"""),"내가 이길고렝")</f>
        <v>내가 이길고렝</v>
      </c>
      <c r="B14980" s="2" t="str">
        <f>IFERROR(__xludf.DUMMYFUNCTION("""COMPUTED_VALUE"""),"새우")</f>
        <v>새우</v>
      </c>
    </row>
    <row r="14981">
      <c r="A14981" s="2" t="str">
        <f>IFERROR(__xludf.DUMMYFUNCTION("""COMPUTED_VALUE"""),"내가 이길고렝")</f>
        <v>내가 이길고렝</v>
      </c>
      <c r="B14981" s="2" t="str">
        <f>IFERROR(__xludf.DUMMYFUNCTION("""COMPUTED_VALUE"""),"파스타면")</f>
        <v>파스타면</v>
      </c>
    </row>
    <row r="14982">
      <c r="A14982" s="2" t="str">
        <f>IFERROR(__xludf.DUMMYFUNCTION("""COMPUTED_VALUE"""),"내가 이길고렝")</f>
        <v>내가 이길고렝</v>
      </c>
      <c r="B14982" s="2" t="str">
        <f>IFERROR(__xludf.DUMMYFUNCTION("""COMPUTED_VALUE"""),"고체 카레")</f>
        <v>고체 카레</v>
      </c>
    </row>
    <row r="14983">
      <c r="A14983" s="2" t="str">
        <f>IFERROR(__xludf.DUMMYFUNCTION("""COMPUTED_VALUE"""),"내가 이길고렝")</f>
        <v>내가 이길고렝</v>
      </c>
      <c r="B14983" s="2" t="str">
        <f>IFERROR(__xludf.DUMMYFUNCTION("""COMPUTED_VALUE"""),"베이컨")</f>
        <v>베이컨</v>
      </c>
    </row>
    <row r="14984">
      <c r="A14984" s="2" t="str">
        <f>IFERROR(__xludf.DUMMYFUNCTION("""COMPUTED_VALUE"""),"내가 이길고렝")</f>
        <v>내가 이길고렝</v>
      </c>
      <c r="B14984" s="2" t="str">
        <f>IFERROR(__xludf.DUMMYFUNCTION("""COMPUTED_VALUE"""),"맥주")</f>
        <v>맥주</v>
      </c>
    </row>
    <row r="14985">
      <c r="A14985" s="2" t="str">
        <f>IFERROR(__xludf.DUMMYFUNCTION("""COMPUTED_VALUE"""),"내가 이길고렝")</f>
        <v>내가 이길고렝</v>
      </c>
      <c r="B14985" s="2" t="str">
        <f>IFERROR(__xludf.DUMMYFUNCTION("""COMPUTED_VALUE"""),"대파")</f>
        <v>대파</v>
      </c>
    </row>
    <row r="14986">
      <c r="A14986" s="2" t="str">
        <f>IFERROR(__xludf.DUMMYFUNCTION("""COMPUTED_VALUE"""),"내가 이길고렝")</f>
        <v>내가 이길고렝</v>
      </c>
      <c r="B14986" s="2" t="str">
        <f>IFERROR(__xludf.DUMMYFUNCTION("""COMPUTED_VALUE"""),"고춧가루")</f>
        <v>고춧가루</v>
      </c>
    </row>
    <row r="14987">
      <c r="A14987" s="2" t="str">
        <f>IFERROR(__xludf.DUMMYFUNCTION("""COMPUTED_VALUE"""),"내가 이길고렝")</f>
        <v>내가 이길고렝</v>
      </c>
      <c r="B14987" s="2" t="str">
        <f>IFERROR(__xludf.DUMMYFUNCTION("""COMPUTED_VALUE"""),"양파")</f>
        <v>양파</v>
      </c>
    </row>
    <row r="14988">
      <c r="A14988" s="2" t="str">
        <f>IFERROR(__xludf.DUMMYFUNCTION("""COMPUTED_VALUE"""),"내가 이길고렝")</f>
        <v>내가 이길고렝</v>
      </c>
      <c r="B14988" s="2" t="str">
        <f>IFERROR(__xludf.DUMMYFUNCTION("""COMPUTED_VALUE"""),"청양고추")</f>
        <v>청양고추</v>
      </c>
    </row>
    <row r="14989">
      <c r="A14989" s="2" t="str">
        <f>IFERROR(__xludf.DUMMYFUNCTION("""COMPUTED_VALUE"""),"내가 이길고렝")</f>
        <v>내가 이길고렝</v>
      </c>
      <c r="B14989" s="2" t="str">
        <f>IFERROR(__xludf.DUMMYFUNCTION("""COMPUTED_VALUE"""),"홍고추")</f>
        <v>홍고추</v>
      </c>
    </row>
    <row r="14990">
      <c r="A14990" s="2" t="str">
        <f>IFERROR(__xludf.DUMMYFUNCTION("""COMPUTED_VALUE"""),"내가 이길고렝")</f>
        <v>내가 이길고렝</v>
      </c>
      <c r="B14990" s="2" t="str">
        <f>IFERROR(__xludf.DUMMYFUNCTION("""COMPUTED_VALUE"""),"마늘")</f>
        <v>마늘</v>
      </c>
    </row>
    <row r="14991">
      <c r="A14991" s="2" t="str">
        <f>IFERROR(__xludf.DUMMYFUNCTION("""COMPUTED_VALUE"""),"내가 이길고렝")</f>
        <v>내가 이길고렝</v>
      </c>
      <c r="B14991" s="2" t="str">
        <f>IFERROR(__xludf.DUMMYFUNCTION("""COMPUTED_VALUE"""),"즉석밥")</f>
        <v>즉석밥</v>
      </c>
    </row>
    <row r="14992">
      <c r="A14992" s="2" t="str">
        <f>IFERROR(__xludf.DUMMYFUNCTION("""COMPUTED_VALUE"""),"내가 이길고렝")</f>
        <v>내가 이길고렝</v>
      </c>
      <c r="B14992" s="2" t="str">
        <f>IFERROR(__xludf.DUMMYFUNCTION("""COMPUTED_VALUE"""),"설탕")</f>
        <v>설탕</v>
      </c>
    </row>
    <row r="14993">
      <c r="A14993" s="2" t="str">
        <f>IFERROR(__xludf.DUMMYFUNCTION("""COMPUTED_VALUE"""),"내가 이길고렝")</f>
        <v>내가 이길고렝</v>
      </c>
      <c r="B14993" s="2" t="str">
        <f>IFERROR(__xludf.DUMMYFUNCTION("""COMPUTED_VALUE"""),"밀가루")</f>
        <v>밀가루</v>
      </c>
    </row>
    <row r="14994">
      <c r="A14994" s="2" t="str">
        <f>IFERROR(__xludf.DUMMYFUNCTION("""COMPUTED_VALUE"""),"내가 이길고렝")</f>
        <v>내가 이길고렝</v>
      </c>
      <c r="B14994" s="2" t="str">
        <f>IFERROR(__xludf.DUMMYFUNCTION("""COMPUTED_VALUE"""),"달걀")</f>
        <v>달걀</v>
      </c>
    </row>
    <row r="14995">
      <c r="A14995" s="2" t="str">
        <f>IFERROR(__xludf.DUMMYFUNCTION("""COMPUTED_VALUE"""),"꿍푸팬더")</f>
        <v>꿍푸팬더</v>
      </c>
      <c r="B14995" s="2" t="str">
        <f>IFERROR(__xludf.DUMMYFUNCTION("""COMPUTED_VALUE"""),"꽃게")</f>
        <v>꽃게</v>
      </c>
    </row>
    <row r="14996">
      <c r="A14996" s="2" t="str">
        <f>IFERROR(__xludf.DUMMYFUNCTION("""COMPUTED_VALUE"""),"꿍푸팬더")</f>
        <v>꿍푸팬더</v>
      </c>
      <c r="B14996" s="2" t="str">
        <f>IFERROR(__xludf.DUMMYFUNCTION("""COMPUTED_VALUE"""),"똠얌 페이스트")</f>
        <v>똠얌 페이스트</v>
      </c>
    </row>
    <row r="14997">
      <c r="A14997" s="2" t="str">
        <f>IFERROR(__xludf.DUMMYFUNCTION("""COMPUTED_VALUE"""),"꿍푸팬더")</f>
        <v>꿍푸팬더</v>
      </c>
      <c r="B14997" s="2" t="str">
        <f>IFERROR(__xludf.DUMMYFUNCTION("""COMPUTED_VALUE"""),"피시소스")</f>
        <v>피시소스</v>
      </c>
    </row>
    <row r="14998">
      <c r="A14998" s="2" t="str">
        <f>IFERROR(__xludf.DUMMYFUNCTION("""COMPUTED_VALUE"""),"꿍푸팬더")</f>
        <v>꿍푸팬더</v>
      </c>
      <c r="B14998" s="2" t="str">
        <f>IFERROR(__xludf.DUMMYFUNCTION("""COMPUTED_VALUE"""),"고수")</f>
        <v>고수</v>
      </c>
    </row>
    <row r="14999">
      <c r="A14999" s="2" t="str">
        <f>IFERROR(__xludf.DUMMYFUNCTION("""COMPUTED_VALUE"""),"꿍푸팬더")</f>
        <v>꿍푸팬더</v>
      </c>
      <c r="B14999" s="2" t="str">
        <f>IFERROR(__xludf.DUMMYFUNCTION("""COMPUTED_VALUE"""),"건새우")</f>
        <v>건새우</v>
      </c>
    </row>
    <row r="15000">
      <c r="A15000" s="2" t="str">
        <f>IFERROR(__xludf.DUMMYFUNCTION("""COMPUTED_VALUE"""),"꿍푸팬더")</f>
        <v>꿍푸팬더</v>
      </c>
      <c r="B15000" s="2" t="str">
        <f>IFERROR(__xludf.DUMMYFUNCTION("""COMPUTED_VALUE"""),"깍두기")</f>
        <v>깍두기</v>
      </c>
    </row>
    <row r="15001">
      <c r="A15001" s="2" t="str">
        <f>IFERROR(__xludf.DUMMYFUNCTION("""COMPUTED_VALUE"""),"꿍푸팬더")</f>
        <v>꿍푸팬더</v>
      </c>
      <c r="B15001" s="2" t="str">
        <f>IFERROR(__xludf.DUMMYFUNCTION("""COMPUTED_VALUE"""),"대패 삼겹살")</f>
        <v>대패 삼겹살</v>
      </c>
    </row>
    <row r="15002">
      <c r="A15002" s="2" t="str">
        <f>IFERROR(__xludf.DUMMYFUNCTION("""COMPUTED_VALUE"""),"꿍푸팬더")</f>
        <v>꿍푸팬더</v>
      </c>
      <c r="B15002" s="2" t="str">
        <f>IFERROR(__xludf.DUMMYFUNCTION("""COMPUTED_VALUE"""),"삼겹살")</f>
        <v>삼겹살</v>
      </c>
    </row>
    <row r="15003">
      <c r="A15003" s="2" t="str">
        <f>IFERROR(__xludf.DUMMYFUNCTION("""COMPUTED_VALUE"""),"꿍푸팬더")</f>
        <v>꿍푸팬더</v>
      </c>
      <c r="B15003" s="2" t="str">
        <f>IFERROR(__xludf.DUMMYFUNCTION("""COMPUTED_VALUE"""),"새우")</f>
        <v>새우</v>
      </c>
    </row>
    <row r="15004">
      <c r="A15004" s="2" t="str">
        <f>IFERROR(__xludf.DUMMYFUNCTION("""COMPUTED_VALUE"""),"꿍푸팬더")</f>
        <v>꿍푸팬더</v>
      </c>
      <c r="B15004" s="2" t="str">
        <f>IFERROR(__xludf.DUMMYFUNCTION("""COMPUTED_VALUE"""),"방울토마토")</f>
        <v>방울토마토</v>
      </c>
    </row>
    <row r="15005">
      <c r="A15005" s="2" t="str">
        <f>IFERROR(__xludf.DUMMYFUNCTION("""COMPUTED_VALUE"""),"꿍푸팬더")</f>
        <v>꿍푸팬더</v>
      </c>
      <c r="B15005" s="2" t="str">
        <f>IFERROR(__xludf.DUMMYFUNCTION("""COMPUTED_VALUE"""),"진미채")</f>
        <v>진미채</v>
      </c>
    </row>
    <row r="15006">
      <c r="A15006" s="2" t="str">
        <f>IFERROR(__xludf.DUMMYFUNCTION("""COMPUTED_VALUE"""),"꿍푸팬더")</f>
        <v>꿍푸팬더</v>
      </c>
      <c r="B15006" s="2" t="str">
        <f>IFERROR(__xludf.DUMMYFUNCTION("""COMPUTED_VALUE"""),"라면 면")</f>
        <v>라면 면</v>
      </c>
    </row>
    <row r="15007">
      <c r="A15007" s="2" t="str">
        <f>IFERROR(__xludf.DUMMYFUNCTION("""COMPUTED_VALUE"""),"꿍푸팬더")</f>
        <v>꿍푸팬더</v>
      </c>
      <c r="B15007" s="2" t="str">
        <f>IFERROR(__xludf.DUMMYFUNCTION("""COMPUTED_VALUE"""),"레몬")</f>
        <v>레몬</v>
      </c>
    </row>
    <row r="15008">
      <c r="A15008" s="2" t="str">
        <f>IFERROR(__xludf.DUMMYFUNCTION("""COMPUTED_VALUE"""),"꿍푸팬더")</f>
        <v>꿍푸팬더</v>
      </c>
      <c r="B15008" s="2" t="str">
        <f>IFERROR(__xludf.DUMMYFUNCTION("""COMPUTED_VALUE"""),"마늘")</f>
        <v>마늘</v>
      </c>
    </row>
    <row r="15009">
      <c r="A15009" s="2" t="str">
        <f>IFERROR(__xludf.DUMMYFUNCTION("""COMPUTED_VALUE"""),"꿍푸팬더")</f>
        <v>꿍푸팬더</v>
      </c>
      <c r="B15009" s="2" t="str">
        <f>IFERROR(__xludf.DUMMYFUNCTION("""COMPUTED_VALUE"""),"홍고추")</f>
        <v>홍고추</v>
      </c>
    </row>
    <row r="15010">
      <c r="A15010" s="2" t="str">
        <f>IFERROR(__xludf.DUMMYFUNCTION("""COMPUTED_VALUE"""),"꿍푸팬더")</f>
        <v>꿍푸팬더</v>
      </c>
      <c r="B15010" s="2" t="str">
        <f>IFERROR(__xludf.DUMMYFUNCTION("""COMPUTED_VALUE"""),"설탕")</f>
        <v>설탕</v>
      </c>
    </row>
    <row r="15011">
      <c r="A15011" s="2" t="str">
        <f>IFERROR(__xludf.DUMMYFUNCTION("""COMPUTED_VALUE"""),"꿍푸팬더")</f>
        <v>꿍푸팬더</v>
      </c>
      <c r="B15011" s="2" t="str">
        <f>IFERROR(__xludf.DUMMYFUNCTION("""COMPUTED_VALUE"""),"청양고추")</f>
        <v>청양고추</v>
      </c>
    </row>
    <row r="15012">
      <c r="A15012" s="2" t="str">
        <f>IFERROR(__xludf.DUMMYFUNCTION("""COMPUTED_VALUE"""),"꿍푸팬더")</f>
        <v>꿍푸팬더</v>
      </c>
      <c r="B15012" s="2" t="str">
        <f>IFERROR(__xludf.DUMMYFUNCTION("""COMPUTED_VALUE"""),"간장")</f>
        <v>간장</v>
      </c>
    </row>
    <row r="15013">
      <c r="A15013" s="2" t="str">
        <f>IFERROR(__xludf.DUMMYFUNCTION("""COMPUTED_VALUE"""),"꿍푸팬더")</f>
        <v>꿍푸팬더</v>
      </c>
      <c r="B15013" s="2" t="str">
        <f>IFERROR(__xludf.DUMMYFUNCTION("""COMPUTED_VALUE"""),"식초")</f>
        <v>식초</v>
      </c>
    </row>
    <row r="15014">
      <c r="A15014" s="2" t="str">
        <f>IFERROR(__xludf.DUMMYFUNCTION("""COMPUTED_VALUE"""),"꿍푸팬더")</f>
        <v>꿍푸팬더</v>
      </c>
      <c r="B15014" s="2" t="str">
        <f>IFERROR(__xludf.DUMMYFUNCTION("""COMPUTED_VALUE"""),"전분")</f>
        <v>전분</v>
      </c>
    </row>
    <row r="15015">
      <c r="A15015" s="2" t="str">
        <f>IFERROR(__xludf.DUMMYFUNCTION("""COMPUTED_VALUE"""),"꿍푸팬더")</f>
        <v>꿍푸팬더</v>
      </c>
      <c r="B15015" s="2" t="str">
        <f>IFERROR(__xludf.DUMMYFUNCTION("""COMPUTED_VALUE"""),"대파")</f>
        <v>대파</v>
      </c>
    </row>
    <row r="15016">
      <c r="A15016" s="2" t="str">
        <f>IFERROR(__xludf.DUMMYFUNCTION("""COMPUTED_VALUE"""),"꿍푸팬더")</f>
        <v>꿍푸팬더</v>
      </c>
      <c r="B15016" s="2" t="str">
        <f>IFERROR(__xludf.DUMMYFUNCTION("""COMPUTED_VALUE"""),"달걀")</f>
        <v>달걀</v>
      </c>
    </row>
    <row r="15017">
      <c r="A15017" s="2" t="str">
        <f>IFERROR(__xludf.DUMMYFUNCTION("""COMPUTED_VALUE"""),"런닝램")</f>
        <v>런닝램</v>
      </c>
      <c r="B15017" s="2" t="str">
        <f>IFERROR(__xludf.DUMMYFUNCTION("""COMPUTED_VALUE"""),"양갈비")</f>
        <v>양갈비</v>
      </c>
    </row>
    <row r="15018">
      <c r="A15018" s="2" t="str">
        <f>IFERROR(__xludf.DUMMYFUNCTION("""COMPUTED_VALUE"""),"런닝램")</f>
        <v>런닝램</v>
      </c>
      <c r="B15018" s="2" t="str">
        <f>IFERROR(__xludf.DUMMYFUNCTION("""COMPUTED_VALUE"""),"토마토")</f>
        <v>토마토</v>
      </c>
    </row>
    <row r="15019">
      <c r="A15019" s="2" t="str">
        <f>IFERROR(__xludf.DUMMYFUNCTION("""COMPUTED_VALUE"""),"런닝램")</f>
        <v>런닝램</v>
      </c>
      <c r="B15019" s="2" t="str">
        <f>IFERROR(__xludf.DUMMYFUNCTION("""COMPUTED_VALUE"""),"스테비아토마토")</f>
        <v>스테비아토마토</v>
      </c>
    </row>
    <row r="15020">
      <c r="A15020" s="2" t="str">
        <f>IFERROR(__xludf.DUMMYFUNCTION("""COMPUTED_VALUE"""),"런닝램")</f>
        <v>런닝램</v>
      </c>
      <c r="B15020" s="2" t="str">
        <f>IFERROR(__xludf.DUMMYFUNCTION("""COMPUTED_VALUE"""),"토마토홀")</f>
        <v>토마토홀</v>
      </c>
    </row>
    <row r="15021">
      <c r="A15021" s="2" t="str">
        <f>IFERROR(__xludf.DUMMYFUNCTION("""COMPUTED_VALUE"""),"런닝램")</f>
        <v>런닝램</v>
      </c>
      <c r="B15021" s="2" t="str">
        <f>IFERROR(__xludf.DUMMYFUNCTION("""COMPUTED_VALUE"""),"치킨스톡")</f>
        <v>치킨스톡</v>
      </c>
    </row>
    <row r="15022">
      <c r="A15022" s="2" t="str">
        <f>IFERROR(__xludf.DUMMYFUNCTION("""COMPUTED_VALUE"""),"런닝램")</f>
        <v>런닝램</v>
      </c>
      <c r="B15022" s="2" t="str">
        <f>IFERROR(__xludf.DUMMYFUNCTION("""COMPUTED_VALUE"""),"고형카레")</f>
        <v>고형카레</v>
      </c>
    </row>
    <row r="15023">
      <c r="A15023" s="2" t="str">
        <f>IFERROR(__xludf.DUMMYFUNCTION("""COMPUTED_VALUE"""),"런닝램")</f>
        <v>런닝램</v>
      </c>
      <c r="B15023" s="2" t="str">
        <f>IFERROR(__xludf.DUMMYFUNCTION("""COMPUTED_VALUE"""),"무말랭이")</f>
        <v>무말랭이</v>
      </c>
    </row>
    <row r="15024">
      <c r="A15024" s="2" t="str">
        <f>IFERROR(__xludf.DUMMYFUNCTION("""COMPUTED_VALUE"""),"런닝램")</f>
        <v>런닝램</v>
      </c>
      <c r="B15024" s="2" t="str">
        <f>IFERROR(__xludf.DUMMYFUNCTION("""COMPUTED_VALUE"""),"야생화 꿀")</f>
        <v>야생화 꿀</v>
      </c>
    </row>
    <row r="15025">
      <c r="A15025" s="2" t="str">
        <f>IFERROR(__xludf.DUMMYFUNCTION("""COMPUTED_VALUE"""),"런닝램")</f>
        <v>런닝램</v>
      </c>
      <c r="B15025" s="2" t="str">
        <f>IFERROR(__xludf.DUMMYFUNCTION("""COMPUTED_VALUE"""),"페페론치노")</f>
        <v>페페론치노</v>
      </c>
    </row>
    <row r="15026">
      <c r="A15026" s="2" t="str">
        <f>IFERROR(__xludf.DUMMYFUNCTION("""COMPUTED_VALUE"""),"런닝램")</f>
        <v>런닝램</v>
      </c>
      <c r="B15026" s="2" t="str">
        <f>IFERROR(__xludf.DUMMYFUNCTION("""COMPUTED_VALUE"""),"파슬리")</f>
        <v>파슬리</v>
      </c>
    </row>
    <row r="15027">
      <c r="A15027" s="2" t="str">
        <f>IFERROR(__xludf.DUMMYFUNCTION("""COMPUTED_VALUE"""),"런닝램")</f>
        <v>런닝램</v>
      </c>
      <c r="B15027" s="2" t="str">
        <f>IFERROR(__xludf.DUMMYFUNCTION("""COMPUTED_VALUE"""),"양상추")</f>
        <v>양상추</v>
      </c>
    </row>
    <row r="15028">
      <c r="A15028" s="2" t="str">
        <f>IFERROR(__xludf.DUMMYFUNCTION("""COMPUTED_VALUE"""),"런닝램")</f>
        <v>런닝램</v>
      </c>
      <c r="B15028" s="2" t="str">
        <f>IFERROR(__xludf.DUMMYFUNCTION("""COMPUTED_VALUE"""),"관자")</f>
        <v>관자</v>
      </c>
    </row>
    <row r="15029">
      <c r="A15029" s="2" t="str">
        <f>IFERROR(__xludf.DUMMYFUNCTION("""COMPUTED_VALUE"""),"런닝램")</f>
        <v>런닝램</v>
      </c>
      <c r="B15029" s="2" t="str">
        <f>IFERROR(__xludf.DUMMYFUNCTION("""COMPUTED_VALUE"""),"올리브오일")</f>
        <v>올리브오일</v>
      </c>
    </row>
    <row r="15030">
      <c r="A15030" s="2" t="str">
        <f>IFERROR(__xludf.DUMMYFUNCTION("""COMPUTED_VALUE"""),"런닝램")</f>
        <v>런닝램</v>
      </c>
      <c r="B15030" s="2" t="str">
        <f>IFERROR(__xludf.DUMMYFUNCTION("""COMPUTED_VALUE"""),"양파")</f>
        <v>양파</v>
      </c>
    </row>
    <row r="15031">
      <c r="A15031" s="2" t="str">
        <f>IFERROR(__xludf.DUMMYFUNCTION("""COMPUTED_VALUE"""),"런닝램")</f>
        <v>런닝램</v>
      </c>
      <c r="B15031" s="2" t="str">
        <f>IFERROR(__xludf.DUMMYFUNCTION("""COMPUTED_VALUE"""),"청주")</f>
        <v>청주</v>
      </c>
    </row>
    <row r="15032">
      <c r="A15032" s="2" t="str">
        <f>IFERROR(__xludf.DUMMYFUNCTION("""COMPUTED_VALUE"""),"런닝램")</f>
        <v>런닝램</v>
      </c>
      <c r="B15032" s="2" t="str">
        <f>IFERROR(__xludf.DUMMYFUNCTION("""COMPUTED_VALUE"""),"다진마늘")</f>
        <v>다진마늘</v>
      </c>
    </row>
    <row r="15033">
      <c r="A15033" s="2" t="str">
        <f>IFERROR(__xludf.DUMMYFUNCTION("""COMPUTED_VALUE"""),"런닝램")</f>
        <v>런닝램</v>
      </c>
      <c r="B15033" s="2" t="str">
        <f>IFERROR(__xludf.DUMMYFUNCTION("""COMPUTED_VALUE"""),"다진생강")</f>
        <v>다진생강</v>
      </c>
    </row>
    <row r="15034">
      <c r="A15034" s="2" t="str">
        <f>IFERROR(__xludf.DUMMYFUNCTION("""COMPUTED_VALUE"""),"런닝램")</f>
        <v>런닝램</v>
      </c>
      <c r="B15034" s="2" t="str">
        <f>IFERROR(__xludf.DUMMYFUNCTION("""COMPUTED_VALUE"""),"버터")</f>
        <v>버터</v>
      </c>
    </row>
    <row r="15035">
      <c r="A15035" s="2" t="str">
        <f>IFERROR(__xludf.DUMMYFUNCTION("""COMPUTED_VALUE"""),"런닝램")</f>
        <v>런닝램</v>
      </c>
      <c r="B15035" s="2" t="str">
        <f>IFERROR(__xludf.DUMMYFUNCTION("""COMPUTED_VALUE"""),"소금")</f>
        <v>소금</v>
      </c>
    </row>
    <row r="15036">
      <c r="A15036" s="2" t="str">
        <f>IFERROR(__xludf.DUMMYFUNCTION("""COMPUTED_VALUE"""),"런닝램")</f>
        <v>런닝램</v>
      </c>
      <c r="B15036" s="2" t="str">
        <f>IFERROR(__xludf.DUMMYFUNCTION("""COMPUTED_VALUE"""),"후추")</f>
        <v>후추</v>
      </c>
    </row>
    <row r="15037">
      <c r="A15037" s="2" t="str">
        <f>IFERROR(__xludf.DUMMYFUNCTION("""COMPUTED_VALUE"""),"런닝램")</f>
        <v>런닝램</v>
      </c>
      <c r="B15037" s="2" t="str">
        <f>IFERROR(__xludf.DUMMYFUNCTION("""COMPUTED_VALUE"""),"밀가루")</f>
        <v>밀가루</v>
      </c>
    </row>
    <row r="15038">
      <c r="A15038" s="2" t="str">
        <f>IFERROR(__xludf.DUMMYFUNCTION("""COMPUTED_VALUE"""),"런닝램")</f>
        <v>런닝램</v>
      </c>
      <c r="B15038" s="2" t="str">
        <f>IFERROR(__xludf.DUMMYFUNCTION("""COMPUTED_VALUE"""),"레몬")</f>
        <v>레몬</v>
      </c>
    </row>
    <row r="15039">
      <c r="A15039" s="2" t="str">
        <f>IFERROR(__xludf.DUMMYFUNCTION("""COMPUTED_VALUE"""),"런닝램")</f>
        <v>런닝램</v>
      </c>
      <c r="B15039" s="2" t="str">
        <f>IFERROR(__xludf.DUMMYFUNCTION("""COMPUTED_VALUE"""),"설탕")</f>
        <v>설탕</v>
      </c>
    </row>
    <row r="15040">
      <c r="A15040" s="2" t="str">
        <f>IFERROR(__xludf.DUMMYFUNCTION("""COMPUTED_VALUE"""),"런닝램")</f>
        <v>런닝램</v>
      </c>
      <c r="B15040" s="2" t="str">
        <f>IFERROR(__xludf.DUMMYFUNCTION("""COMPUTED_VALUE"""),"즉석밥")</f>
        <v>즉석밥</v>
      </c>
    </row>
    <row r="15041">
      <c r="A15041" s="2" t="str">
        <f>IFERROR(__xludf.DUMMYFUNCTION("""COMPUTED_VALUE"""),"의기양양")</f>
        <v>의기양양</v>
      </c>
      <c r="B15041" s="2" t="str">
        <f>IFERROR(__xludf.DUMMYFUNCTION("""COMPUTED_VALUE"""),"양갈비")</f>
        <v>양갈비</v>
      </c>
    </row>
    <row r="15042">
      <c r="A15042" s="2" t="str">
        <f>IFERROR(__xludf.DUMMYFUNCTION("""COMPUTED_VALUE"""),"의기양양")</f>
        <v>의기양양</v>
      </c>
      <c r="B15042" s="2" t="str">
        <f>IFERROR(__xludf.DUMMYFUNCTION("""COMPUTED_VALUE"""),"새우")</f>
        <v>새우</v>
      </c>
    </row>
    <row r="15043">
      <c r="A15043" s="2" t="str">
        <f>IFERROR(__xludf.DUMMYFUNCTION("""COMPUTED_VALUE"""),"의기양양")</f>
        <v>의기양양</v>
      </c>
      <c r="B15043" s="2" t="str">
        <f>IFERROR(__xludf.DUMMYFUNCTION("""COMPUTED_VALUE"""),"굴소스")</f>
        <v>굴소스</v>
      </c>
    </row>
    <row r="15044">
      <c r="A15044" s="2" t="str">
        <f>IFERROR(__xludf.DUMMYFUNCTION("""COMPUTED_VALUE"""),"의기양양")</f>
        <v>의기양양</v>
      </c>
      <c r="B15044" s="2" t="str">
        <f>IFERROR(__xludf.DUMMYFUNCTION("""COMPUTED_VALUE"""),"치킨스톡")</f>
        <v>치킨스톡</v>
      </c>
    </row>
    <row r="15045">
      <c r="A15045" s="2" t="str">
        <f>IFERROR(__xludf.DUMMYFUNCTION("""COMPUTED_VALUE"""),"의기양양")</f>
        <v>의기양양</v>
      </c>
      <c r="B15045" s="2" t="str">
        <f>IFERROR(__xludf.DUMMYFUNCTION("""COMPUTED_VALUE"""),"스리라차소스")</f>
        <v>스리라차소스</v>
      </c>
    </row>
    <row r="15046">
      <c r="A15046" s="2" t="str">
        <f>IFERROR(__xludf.DUMMYFUNCTION("""COMPUTED_VALUE"""),"의기양양")</f>
        <v>의기양양</v>
      </c>
      <c r="B15046" s="2" t="str">
        <f>IFERROR(__xludf.DUMMYFUNCTION("""COMPUTED_VALUE"""),"관자")</f>
        <v>관자</v>
      </c>
    </row>
    <row r="15047">
      <c r="A15047" s="2" t="str">
        <f>IFERROR(__xludf.DUMMYFUNCTION("""COMPUTED_VALUE"""),"의기양양")</f>
        <v>의기양양</v>
      </c>
      <c r="B15047" s="2" t="str">
        <f>IFERROR(__xludf.DUMMYFUNCTION("""COMPUTED_VALUE"""),"양상추")</f>
        <v>양상추</v>
      </c>
    </row>
    <row r="15048">
      <c r="A15048" s="2" t="str">
        <f>IFERROR(__xludf.DUMMYFUNCTION("""COMPUTED_VALUE"""),"의기양양")</f>
        <v>의기양양</v>
      </c>
      <c r="B15048" s="2" t="str">
        <f>IFERROR(__xludf.DUMMYFUNCTION("""COMPUTED_VALUE"""),"양배추")</f>
        <v>양배추</v>
      </c>
    </row>
    <row r="15049">
      <c r="A15049" s="2" t="str">
        <f>IFERROR(__xludf.DUMMYFUNCTION("""COMPUTED_VALUE"""),"의기양양")</f>
        <v>의기양양</v>
      </c>
      <c r="B15049" s="2" t="str">
        <f>IFERROR(__xludf.DUMMYFUNCTION("""COMPUTED_VALUE"""),"분모자")</f>
        <v>분모자</v>
      </c>
    </row>
    <row r="15050">
      <c r="A15050" s="2" t="str">
        <f>IFERROR(__xludf.DUMMYFUNCTION("""COMPUTED_VALUE"""),"의기양양")</f>
        <v>의기양양</v>
      </c>
      <c r="B15050" s="2" t="str">
        <f>IFERROR(__xludf.DUMMYFUNCTION("""COMPUTED_VALUE"""),"고추마늘소스")</f>
        <v>고추마늘소스</v>
      </c>
    </row>
    <row r="15051">
      <c r="A15051" s="2" t="str">
        <f>IFERROR(__xludf.DUMMYFUNCTION("""COMPUTED_VALUE"""),"의기양양")</f>
        <v>의기양양</v>
      </c>
      <c r="B15051" s="2" t="str">
        <f>IFERROR(__xludf.DUMMYFUNCTION("""COMPUTED_VALUE"""),"XO칠리소스")</f>
        <v>XO칠리소스</v>
      </c>
    </row>
    <row r="15052">
      <c r="A15052" s="2" t="str">
        <f>IFERROR(__xludf.DUMMYFUNCTION("""COMPUTED_VALUE"""),"의기양양")</f>
        <v>의기양양</v>
      </c>
      <c r="B15052" s="2" t="str">
        <f>IFERROR(__xludf.DUMMYFUNCTION("""COMPUTED_VALUE"""),"느타리버섯")</f>
        <v>느타리버섯</v>
      </c>
    </row>
    <row r="15053">
      <c r="A15053" s="2" t="str">
        <f>IFERROR(__xludf.DUMMYFUNCTION("""COMPUTED_VALUE"""),"의기양양")</f>
        <v>의기양양</v>
      </c>
      <c r="B15053" s="2" t="str">
        <f>IFERROR(__xludf.DUMMYFUNCTION("""COMPUTED_VALUE"""),"피망")</f>
        <v>피망</v>
      </c>
    </row>
    <row r="15054">
      <c r="A15054" s="2" t="str">
        <f>IFERROR(__xludf.DUMMYFUNCTION("""COMPUTED_VALUE"""),"의기양양")</f>
        <v>의기양양</v>
      </c>
      <c r="B15054" s="2" t="str">
        <f>IFERROR(__xludf.DUMMYFUNCTION("""COMPUTED_VALUE"""),"고춧가루")</f>
        <v>고춧가루</v>
      </c>
    </row>
    <row r="15055">
      <c r="A15055" s="2" t="str">
        <f>IFERROR(__xludf.DUMMYFUNCTION("""COMPUTED_VALUE"""),"의기양양")</f>
        <v>의기양양</v>
      </c>
      <c r="B15055" s="2" t="str">
        <f>IFERROR(__xludf.DUMMYFUNCTION("""COMPUTED_VALUE"""),"대파")</f>
        <v>대파</v>
      </c>
    </row>
    <row r="15056">
      <c r="A15056" s="2" t="str">
        <f>IFERROR(__xludf.DUMMYFUNCTION("""COMPUTED_VALUE"""),"의기양양")</f>
        <v>의기양양</v>
      </c>
      <c r="B15056" s="2" t="str">
        <f>IFERROR(__xludf.DUMMYFUNCTION("""COMPUTED_VALUE"""),"후추")</f>
        <v>후추</v>
      </c>
    </row>
    <row r="15057">
      <c r="A15057" s="2" t="str">
        <f>IFERROR(__xludf.DUMMYFUNCTION("""COMPUTED_VALUE"""),"의기양양")</f>
        <v>의기양양</v>
      </c>
      <c r="B15057" s="2" t="str">
        <f>IFERROR(__xludf.DUMMYFUNCTION("""COMPUTED_VALUE"""),"간장")</f>
        <v>간장</v>
      </c>
    </row>
    <row r="15058">
      <c r="A15058" s="2" t="str">
        <f>IFERROR(__xludf.DUMMYFUNCTION("""COMPUTED_VALUE"""),"의기양양")</f>
        <v>의기양양</v>
      </c>
      <c r="B15058" s="2" t="str">
        <f>IFERROR(__xludf.DUMMYFUNCTION("""COMPUTED_VALUE"""),"맛술")</f>
        <v>맛술</v>
      </c>
    </row>
    <row r="15059">
      <c r="A15059" s="2" t="str">
        <f>IFERROR(__xludf.DUMMYFUNCTION("""COMPUTED_VALUE"""),"의기양양")</f>
        <v>의기양양</v>
      </c>
      <c r="B15059" s="2" t="str">
        <f>IFERROR(__xludf.DUMMYFUNCTION("""COMPUTED_VALUE"""),"전분")</f>
        <v>전분</v>
      </c>
    </row>
    <row r="15060">
      <c r="A15060" s="2" t="str">
        <f>IFERROR(__xludf.DUMMYFUNCTION("""COMPUTED_VALUE"""),"의기양양")</f>
        <v>의기양양</v>
      </c>
      <c r="B15060" s="2" t="str">
        <f>IFERROR(__xludf.DUMMYFUNCTION("""COMPUTED_VALUE"""),"달걀")</f>
        <v>달걀</v>
      </c>
    </row>
    <row r="15061">
      <c r="A15061" s="2" t="str">
        <f>IFERROR(__xludf.DUMMYFUNCTION("""COMPUTED_VALUE"""),"의기양양")</f>
        <v>의기양양</v>
      </c>
      <c r="B15061" s="2" t="str">
        <f>IFERROR(__xludf.DUMMYFUNCTION("""COMPUTED_VALUE"""),"쌀")</f>
        <v>쌀</v>
      </c>
    </row>
    <row r="15062">
      <c r="A15062" s="2" t="str">
        <f>IFERROR(__xludf.DUMMYFUNCTION("""COMPUTED_VALUE"""),"의기양양")</f>
        <v>의기양양</v>
      </c>
      <c r="B15062" s="2" t="str">
        <f>IFERROR(__xludf.DUMMYFUNCTION("""COMPUTED_VALUE"""),"소금")</f>
        <v>소금</v>
      </c>
    </row>
    <row r="15063">
      <c r="A15063" s="2" t="str">
        <f>IFERROR(__xludf.DUMMYFUNCTION("""COMPUTED_VALUE"""),"의기양양")</f>
        <v>의기양양</v>
      </c>
      <c r="B15063" s="2" t="str">
        <f>IFERROR(__xludf.DUMMYFUNCTION("""COMPUTED_VALUE"""),"마늘")</f>
        <v>마늘</v>
      </c>
    </row>
    <row r="15064">
      <c r="A15064" s="2" t="str">
        <f>IFERROR(__xludf.DUMMYFUNCTION("""COMPUTED_VALUE"""),"의기양양")</f>
        <v>의기양양</v>
      </c>
      <c r="B15064" s="2" t="str">
        <f>IFERROR(__xludf.DUMMYFUNCTION("""COMPUTED_VALUE"""),"생강")</f>
        <v>생강</v>
      </c>
    </row>
    <row r="15065">
      <c r="A15065" s="2" t="str">
        <f>IFERROR(__xludf.DUMMYFUNCTION("""COMPUTED_VALUE"""),"파리지엥케이크")</f>
        <v>파리지엥케이크</v>
      </c>
      <c r="B15065" s="2" t="str">
        <f>IFERROR(__xludf.DUMMYFUNCTION("""COMPUTED_VALUE"""),"마스카르포네 치즈")</f>
        <v>마스카르포네 치즈</v>
      </c>
    </row>
    <row r="15066">
      <c r="A15066" s="2" t="str">
        <f>IFERROR(__xludf.DUMMYFUNCTION("""COMPUTED_VALUE"""),"파리지엥케이크")</f>
        <v>파리지엥케이크</v>
      </c>
      <c r="B15066" s="2" t="str">
        <f>IFERROR(__xludf.DUMMYFUNCTION("""COMPUTED_VALUE"""),"크림치즈")</f>
        <v>크림치즈</v>
      </c>
    </row>
    <row r="15067">
      <c r="A15067" s="2" t="str">
        <f>IFERROR(__xludf.DUMMYFUNCTION("""COMPUTED_VALUE"""),"파리지엥케이크")</f>
        <v>파리지엥케이크</v>
      </c>
      <c r="B15067" s="2" t="str">
        <f>IFERROR(__xludf.DUMMYFUNCTION("""COMPUTED_VALUE"""),"딸기")</f>
        <v>딸기</v>
      </c>
    </row>
    <row r="15068">
      <c r="A15068" s="2" t="str">
        <f>IFERROR(__xludf.DUMMYFUNCTION("""COMPUTED_VALUE"""),"파리지엥케이크")</f>
        <v>파리지엥케이크</v>
      </c>
      <c r="B15068" s="2" t="str">
        <f>IFERROR(__xludf.DUMMYFUNCTION("""COMPUTED_VALUE"""),"스테비아토마토")</f>
        <v>스테비아토마토</v>
      </c>
    </row>
    <row r="15069">
      <c r="A15069" s="2" t="str">
        <f>IFERROR(__xludf.DUMMYFUNCTION("""COMPUTED_VALUE"""),"파리지엥케이크")</f>
        <v>파리지엥케이크</v>
      </c>
      <c r="B15069" s="2" t="str">
        <f>IFERROR(__xludf.DUMMYFUNCTION("""COMPUTED_VALUE"""),"오렌지")</f>
        <v>오렌지</v>
      </c>
    </row>
    <row r="15070">
      <c r="A15070" s="2" t="str">
        <f>IFERROR(__xludf.DUMMYFUNCTION("""COMPUTED_VALUE"""),"파리지엥케이크")</f>
        <v>파리지엥케이크</v>
      </c>
      <c r="B15070" s="2" t="str">
        <f>IFERROR(__xludf.DUMMYFUNCTION("""COMPUTED_VALUE"""),"핫도그")</f>
        <v>핫도그</v>
      </c>
    </row>
    <row r="15071">
      <c r="A15071" s="2" t="str">
        <f>IFERROR(__xludf.DUMMYFUNCTION("""COMPUTED_VALUE"""),"파리지엥케이크")</f>
        <v>파리지엥케이크</v>
      </c>
      <c r="B15071" s="2" t="str">
        <f>IFERROR(__xludf.DUMMYFUNCTION("""COMPUTED_VALUE"""),"초코시리얼")</f>
        <v>초코시리얼</v>
      </c>
    </row>
    <row r="15072">
      <c r="A15072" s="2" t="str">
        <f>IFERROR(__xludf.DUMMYFUNCTION("""COMPUTED_VALUE"""),"파리지엥케이크")</f>
        <v>파리지엥케이크</v>
      </c>
      <c r="B15072" s="2" t="str">
        <f>IFERROR(__xludf.DUMMYFUNCTION("""COMPUTED_VALUE"""),"마카롱")</f>
        <v>마카롱</v>
      </c>
    </row>
    <row r="15073">
      <c r="A15073" s="2" t="str">
        <f>IFERROR(__xludf.DUMMYFUNCTION("""COMPUTED_VALUE"""),"파리지엥케이크")</f>
        <v>파리지엥케이크</v>
      </c>
      <c r="B15073" s="2" t="str">
        <f>IFERROR(__xludf.DUMMYFUNCTION("""COMPUTED_VALUE"""),"초콜릿")</f>
        <v>초콜릿</v>
      </c>
    </row>
    <row r="15074">
      <c r="A15074" s="2" t="str">
        <f>IFERROR(__xludf.DUMMYFUNCTION("""COMPUTED_VALUE"""),"파리지엥케이크")</f>
        <v>파리지엥케이크</v>
      </c>
      <c r="B15074" s="2" t="str">
        <f>IFERROR(__xludf.DUMMYFUNCTION("""COMPUTED_VALUE"""),"레몬청")</f>
        <v>레몬청</v>
      </c>
    </row>
    <row r="15075">
      <c r="A15075" s="2" t="str">
        <f>IFERROR(__xludf.DUMMYFUNCTION("""COMPUTED_VALUE"""),"파리지엥케이크")</f>
        <v>파리지엥케이크</v>
      </c>
      <c r="B15075" s="2" t="str">
        <f>IFERROR(__xludf.DUMMYFUNCTION("""COMPUTED_VALUE"""),"설탕")</f>
        <v>설탕</v>
      </c>
    </row>
    <row r="15076">
      <c r="A15076" s="2" t="str">
        <f>IFERROR(__xludf.DUMMYFUNCTION("""COMPUTED_VALUE"""),"파리지엥케이크")</f>
        <v>파리지엥케이크</v>
      </c>
      <c r="B15076" s="2" t="str">
        <f>IFERROR(__xludf.DUMMYFUNCTION("""COMPUTED_VALUE"""),"달걀")</f>
        <v>달걀</v>
      </c>
    </row>
    <row r="15077">
      <c r="A15077" s="2" t="str">
        <f>IFERROR(__xludf.DUMMYFUNCTION("""COMPUTED_VALUE"""),"파리지엥케이크")</f>
        <v>파리지엥케이크</v>
      </c>
      <c r="B15077" s="2" t="str">
        <f>IFERROR(__xludf.DUMMYFUNCTION("""COMPUTED_VALUE"""),"소금")</f>
        <v>소금</v>
      </c>
    </row>
    <row r="15078">
      <c r="A15078" s="2" t="str">
        <f>IFERROR(__xludf.DUMMYFUNCTION("""COMPUTED_VALUE"""),"파리지엥케이크")</f>
        <v>파리지엥케이크</v>
      </c>
      <c r="B15078" s="2" t="str">
        <f>IFERROR(__xludf.DUMMYFUNCTION("""COMPUTED_VALUE"""),"밀가루")</f>
        <v>밀가루</v>
      </c>
    </row>
    <row r="15079">
      <c r="A15079" s="2" t="str">
        <f>IFERROR(__xludf.DUMMYFUNCTION("""COMPUTED_VALUE"""),"파리지엥케이크")</f>
        <v>파리지엥케이크</v>
      </c>
      <c r="B15079" s="2" t="str">
        <f>IFERROR(__xludf.DUMMYFUNCTION("""COMPUTED_VALUE"""),"물엿")</f>
        <v>물엿</v>
      </c>
    </row>
    <row r="15080">
      <c r="A15080" s="2" t="str">
        <f>IFERROR(__xludf.DUMMYFUNCTION("""COMPUTED_VALUE"""),"하와이안 풍딩")</f>
        <v>하와이안 풍딩</v>
      </c>
      <c r="B15080" s="2" t="str">
        <f>IFERROR(__xludf.DUMMYFUNCTION("""COMPUTED_VALUE"""),"코코넛밀크")</f>
        <v>코코넛밀크</v>
      </c>
    </row>
    <row r="15081">
      <c r="A15081" s="2" t="str">
        <f>IFERROR(__xludf.DUMMYFUNCTION("""COMPUTED_VALUE"""),"하와이안 풍딩")</f>
        <v>하와이안 풍딩</v>
      </c>
      <c r="B15081" s="2" t="str">
        <f>IFERROR(__xludf.DUMMYFUNCTION("""COMPUTED_VALUE"""),"우유")</f>
        <v>우유</v>
      </c>
    </row>
    <row r="15082">
      <c r="A15082" s="2" t="str">
        <f>IFERROR(__xludf.DUMMYFUNCTION("""COMPUTED_VALUE"""),"하와이안 풍딩")</f>
        <v>하와이안 풍딩</v>
      </c>
      <c r="B15082" s="2" t="str">
        <f>IFERROR(__xludf.DUMMYFUNCTION("""COMPUTED_VALUE"""),"깐호두")</f>
        <v>깐호두</v>
      </c>
    </row>
    <row r="15083">
      <c r="A15083" s="2" t="str">
        <f>IFERROR(__xludf.DUMMYFUNCTION("""COMPUTED_VALUE"""),"하와이안 풍딩")</f>
        <v>하와이안 풍딩</v>
      </c>
      <c r="B15083" s="2" t="str">
        <f>IFERROR(__xludf.DUMMYFUNCTION("""COMPUTED_VALUE"""),"잣")</f>
        <v>잣</v>
      </c>
    </row>
    <row r="15084">
      <c r="A15084" s="2" t="str">
        <f>IFERROR(__xludf.DUMMYFUNCTION("""COMPUTED_VALUE"""),"하와이안 풍딩")</f>
        <v>하와이안 풍딩</v>
      </c>
      <c r="B15084" s="2" t="str">
        <f>IFERROR(__xludf.DUMMYFUNCTION("""COMPUTED_VALUE"""),"팥배기")</f>
        <v>팥배기</v>
      </c>
    </row>
    <row r="15085">
      <c r="A15085" s="2" t="str">
        <f>IFERROR(__xludf.DUMMYFUNCTION("""COMPUTED_VALUE"""),"하와이안 풍딩")</f>
        <v>하와이안 풍딩</v>
      </c>
      <c r="B15085" s="2" t="str">
        <f>IFERROR(__xludf.DUMMYFUNCTION("""COMPUTED_VALUE"""),"딸기")</f>
        <v>딸기</v>
      </c>
    </row>
    <row r="15086">
      <c r="A15086" s="2" t="str">
        <f>IFERROR(__xludf.DUMMYFUNCTION("""COMPUTED_VALUE"""),"하와이안 풍딩")</f>
        <v>하와이안 풍딩</v>
      </c>
      <c r="B15086" s="2" t="str">
        <f>IFERROR(__xludf.DUMMYFUNCTION("""COMPUTED_VALUE"""),"파인애플")</f>
        <v>파인애플</v>
      </c>
    </row>
    <row r="15087">
      <c r="A15087" s="2" t="str">
        <f>IFERROR(__xludf.DUMMYFUNCTION("""COMPUTED_VALUE"""),"하와이안 풍딩")</f>
        <v>하와이안 풍딩</v>
      </c>
      <c r="B15087" s="2" t="str">
        <f>IFERROR(__xludf.DUMMYFUNCTION("""COMPUTED_VALUE"""),"오렌지")</f>
        <v>오렌지</v>
      </c>
    </row>
    <row r="15088">
      <c r="A15088" s="2" t="str">
        <f>IFERROR(__xludf.DUMMYFUNCTION("""COMPUTED_VALUE"""),"하와이안 풍딩")</f>
        <v>하와이안 풍딩</v>
      </c>
      <c r="B15088" s="2" t="str">
        <f>IFERROR(__xludf.DUMMYFUNCTION("""COMPUTED_VALUE"""),"블루베리잼")</f>
        <v>블루베리잼</v>
      </c>
    </row>
    <row r="15089">
      <c r="A15089" s="2" t="str">
        <f>IFERROR(__xludf.DUMMYFUNCTION("""COMPUTED_VALUE"""),"하와이안 풍딩")</f>
        <v>하와이안 풍딩</v>
      </c>
      <c r="B15089" s="2" t="str">
        <f>IFERROR(__xludf.DUMMYFUNCTION("""COMPUTED_VALUE"""),"비스킷믹스")</f>
        <v>비스킷믹스</v>
      </c>
    </row>
    <row r="15090">
      <c r="A15090" s="2" t="str">
        <f>IFERROR(__xludf.DUMMYFUNCTION("""COMPUTED_VALUE"""),"하와이안 풍딩")</f>
        <v>하와이안 풍딩</v>
      </c>
      <c r="B15090" s="2" t="str">
        <f>IFERROR(__xludf.DUMMYFUNCTION("""COMPUTED_VALUE"""),"마카다미아")</f>
        <v>마카다미아</v>
      </c>
    </row>
    <row r="15091">
      <c r="A15091" s="2" t="str">
        <f>IFERROR(__xludf.DUMMYFUNCTION("""COMPUTED_VALUE"""),"하와이안 풍딩")</f>
        <v>하와이안 풍딩</v>
      </c>
      <c r="B15091" s="2" t="str">
        <f>IFERROR(__xludf.DUMMYFUNCTION("""COMPUTED_VALUE"""),"녹차아이스크림")</f>
        <v>녹차아이스크림</v>
      </c>
    </row>
    <row r="15092">
      <c r="A15092" s="2" t="str">
        <f>IFERROR(__xludf.DUMMYFUNCTION("""COMPUTED_VALUE"""),"하와이안 풍딩")</f>
        <v>하와이안 풍딩</v>
      </c>
      <c r="B15092" s="2" t="str">
        <f>IFERROR(__xludf.DUMMYFUNCTION("""COMPUTED_VALUE"""),"시리얼")</f>
        <v>시리얼</v>
      </c>
    </row>
    <row r="15093">
      <c r="A15093" s="2" t="str">
        <f>IFERROR(__xludf.DUMMYFUNCTION("""COMPUTED_VALUE"""),"하와이안 풍딩")</f>
        <v>하와이안 풍딩</v>
      </c>
      <c r="B15093" s="2" t="str">
        <f>IFERROR(__xludf.DUMMYFUNCTION("""COMPUTED_VALUE"""),"표고버섯칩")</f>
        <v>표고버섯칩</v>
      </c>
    </row>
    <row r="15094">
      <c r="A15094" s="2" t="str">
        <f>IFERROR(__xludf.DUMMYFUNCTION("""COMPUTED_VALUE"""),"하와이안 풍딩")</f>
        <v>하와이안 풍딩</v>
      </c>
      <c r="B15094" s="2" t="str">
        <f>IFERROR(__xludf.DUMMYFUNCTION("""COMPUTED_VALUE"""),"전분")</f>
        <v>전분</v>
      </c>
    </row>
    <row r="15095">
      <c r="A15095" s="2" t="str">
        <f>IFERROR(__xludf.DUMMYFUNCTION("""COMPUTED_VALUE"""),"하와이안 풍딩")</f>
        <v>하와이안 풍딩</v>
      </c>
      <c r="B15095" s="2" t="str">
        <f>IFERROR(__xludf.DUMMYFUNCTION("""COMPUTED_VALUE"""),"설탕")</f>
        <v>설탕</v>
      </c>
    </row>
    <row r="15096">
      <c r="A15096" s="2" t="str">
        <f>IFERROR(__xludf.DUMMYFUNCTION("""COMPUTED_VALUE"""),"하와이안 풍딩")</f>
        <v>하와이안 풍딩</v>
      </c>
      <c r="B15096" s="2" t="str">
        <f>IFERROR(__xludf.DUMMYFUNCTION("""COMPUTED_VALUE"""),"물엿")</f>
        <v>물엿</v>
      </c>
    </row>
    <row r="15097">
      <c r="A15097" s="2" t="str">
        <f>IFERROR(__xludf.DUMMYFUNCTION("""COMPUTED_VALUE"""),"유자라면 다가와♬")</f>
        <v>유자라면 다가와♬</v>
      </c>
      <c r="B15097" s="2" t="str">
        <f>IFERROR(__xludf.DUMMYFUNCTION("""COMPUTED_VALUE"""),"대패삼겹살")</f>
        <v>대패삼겹살</v>
      </c>
    </row>
    <row r="15098">
      <c r="A15098" s="2" t="str">
        <f>IFERROR(__xludf.DUMMYFUNCTION("""COMPUTED_VALUE"""),"유자라면 다가와♬")</f>
        <v>유자라면 다가와♬</v>
      </c>
      <c r="B15098" s="2" t="str">
        <f>IFERROR(__xludf.DUMMYFUNCTION("""COMPUTED_VALUE"""),"유자청")</f>
        <v>유자청</v>
      </c>
    </row>
    <row r="15099">
      <c r="A15099" s="2" t="str">
        <f>IFERROR(__xludf.DUMMYFUNCTION("""COMPUTED_VALUE"""),"유자라면 다가와♬")</f>
        <v>유자라면 다가와♬</v>
      </c>
      <c r="B15099" s="2" t="str">
        <f>IFERROR(__xludf.DUMMYFUNCTION("""COMPUTED_VALUE"""),"무")</f>
        <v>무</v>
      </c>
    </row>
    <row r="15100">
      <c r="A15100" s="2" t="str">
        <f>IFERROR(__xludf.DUMMYFUNCTION("""COMPUTED_VALUE"""),"유자라면 다가와♬")</f>
        <v>유자라면 다가와♬</v>
      </c>
      <c r="B15100" s="2" t="str">
        <f>IFERROR(__xludf.DUMMYFUNCTION("""COMPUTED_VALUE"""),"오이")</f>
        <v>오이</v>
      </c>
    </row>
    <row r="15101">
      <c r="A15101" s="2" t="str">
        <f>IFERROR(__xludf.DUMMYFUNCTION("""COMPUTED_VALUE"""),"유자라면 다가와♬")</f>
        <v>유자라면 다가와♬</v>
      </c>
      <c r="B15101" s="2" t="str">
        <f>IFERROR(__xludf.DUMMYFUNCTION("""COMPUTED_VALUE"""),"참외")</f>
        <v>참외</v>
      </c>
    </row>
    <row r="15102">
      <c r="A15102" s="2" t="str">
        <f>IFERROR(__xludf.DUMMYFUNCTION("""COMPUTED_VALUE"""),"유자라면 다가와♬")</f>
        <v>유자라면 다가와♬</v>
      </c>
      <c r="B15102" s="2" t="str">
        <f>IFERROR(__xludf.DUMMYFUNCTION("""COMPUTED_VALUE"""),"콩나물")</f>
        <v>콩나물</v>
      </c>
    </row>
    <row r="15103">
      <c r="A15103" s="2" t="str">
        <f>IFERROR(__xludf.DUMMYFUNCTION("""COMPUTED_VALUE"""),"유자라면 다가와♬")</f>
        <v>유자라면 다가와♬</v>
      </c>
      <c r="B15103" s="2" t="str">
        <f>IFERROR(__xludf.DUMMYFUNCTION("""COMPUTED_VALUE"""),"두부")</f>
        <v>두부</v>
      </c>
    </row>
    <row r="15104">
      <c r="A15104" s="2" t="str">
        <f>IFERROR(__xludf.DUMMYFUNCTION("""COMPUTED_VALUE"""),"유자라면 다가와♬")</f>
        <v>유자라면 다가와♬</v>
      </c>
      <c r="B15104" s="2" t="str">
        <f>IFERROR(__xludf.DUMMYFUNCTION("""COMPUTED_VALUE"""),"라면")</f>
        <v>라면</v>
      </c>
    </row>
    <row r="15105">
      <c r="A15105" s="2" t="str">
        <f>IFERROR(__xludf.DUMMYFUNCTION("""COMPUTED_VALUE"""),"유자라면 다가와♬")</f>
        <v>유자라면 다가와♬</v>
      </c>
      <c r="B15105" s="2" t="str">
        <f>IFERROR(__xludf.DUMMYFUNCTION("""COMPUTED_VALUE"""),"고춧가루")</f>
        <v>고춧가루</v>
      </c>
    </row>
    <row r="15106">
      <c r="A15106" s="2" t="str">
        <f>IFERROR(__xludf.DUMMYFUNCTION("""COMPUTED_VALUE"""),"유자라면 다가와♬")</f>
        <v>유자라면 다가와♬</v>
      </c>
      <c r="B15106" s="2" t="str">
        <f>IFERROR(__xludf.DUMMYFUNCTION("""COMPUTED_VALUE"""),"소금")</f>
        <v>소금</v>
      </c>
    </row>
    <row r="15107">
      <c r="A15107" s="2" t="str">
        <f>IFERROR(__xludf.DUMMYFUNCTION("""COMPUTED_VALUE"""),"유자라면 다가와♬")</f>
        <v>유자라면 다가와♬</v>
      </c>
      <c r="B15107" s="2" t="str">
        <f>IFERROR(__xludf.DUMMYFUNCTION("""COMPUTED_VALUE"""),"다진 마늘")</f>
        <v>다진 마늘</v>
      </c>
    </row>
    <row r="15108">
      <c r="A15108" s="2" t="str">
        <f>IFERROR(__xludf.DUMMYFUNCTION("""COMPUTED_VALUE"""),"유자라면 다가와♬")</f>
        <v>유자라면 다가와♬</v>
      </c>
      <c r="B15108" s="2" t="str">
        <f>IFERROR(__xludf.DUMMYFUNCTION("""COMPUTED_VALUE"""),"식초")</f>
        <v>식초</v>
      </c>
    </row>
    <row r="15109">
      <c r="A15109" s="2" t="str">
        <f>IFERROR(__xludf.DUMMYFUNCTION("""COMPUTED_VALUE"""),"유자라면 다가와♬")</f>
        <v>유자라면 다가와♬</v>
      </c>
      <c r="B15109" s="2" t="str">
        <f>IFERROR(__xludf.DUMMYFUNCTION("""COMPUTED_VALUE"""),"레몬")</f>
        <v>레몬</v>
      </c>
    </row>
    <row r="15110">
      <c r="A15110" s="2" t="str">
        <f>IFERROR(__xludf.DUMMYFUNCTION("""COMPUTED_VALUE"""),"해결쌈")</f>
        <v>해결쌈</v>
      </c>
      <c r="B15110" s="2" t="str">
        <f>IFERROR(__xludf.DUMMYFUNCTION("""COMPUTED_VALUE"""),"대패삼겹살")</f>
        <v>대패삼겹살</v>
      </c>
    </row>
    <row r="15111">
      <c r="A15111" s="2" t="str">
        <f>IFERROR(__xludf.DUMMYFUNCTION("""COMPUTED_VALUE"""),"해결쌈")</f>
        <v>해결쌈</v>
      </c>
      <c r="B15111" s="2" t="str">
        <f>IFERROR(__xludf.DUMMYFUNCTION("""COMPUTED_VALUE"""),"유자청")</f>
        <v>유자청</v>
      </c>
    </row>
    <row r="15112">
      <c r="A15112" s="2" t="str">
        <f>IFERROR(__xludf.DUMMYFUNCTION("""COMPUTED_VALUE"""),"해결쌈")</f>
        <v>해결쌈</v>
      </c>
      <c r="B15112" s="2" t="str">
        <f>IFERROR(__xludf.DUMMYFUNCTION("""COMPUTED_VALUE"""),"시금치")</f>
        <v>시금치</v>
      </c>
    </row>
    <row r="15113">
      <c r="A15113" s="2" t="str">
        <f>IFERROR(__xludf.DUMMYFUNCTION("""COMPUTED_VALUE"""),"해결쌈")</f>
        <v>해결쌈</v>
      </c>
      <c r="B15113" s="2" t="str">
        <f>IFERROR(__xludf.DUMMYFUNCTION("""COMPUTED_VALUE"""),"총각김치")</f>
        <v>총각김치</v>
      </c>
    </row>
    <row r="15114">
      <c r="A15114" s="2" t="str">
        <f>IFERROR(__xludf.DUMMYFUNCTION("""COMPUTED_VALUE"""),"해결쌈")</f>
        <v>해결쌈</v>
      </c>
      <c r="B15114" s="2" t="str">
        <f>IFERROR(__xludf.DUMMYFUNCTION("""COMPUTED_VALUE"""),"파프리카")</f>
        <v>파프리카</v>
      </c>
    </row>
    <row r="15115">
      <c r="A15115" s="2" t="str">
        <f>IFERROR(__xludf.DUMMYFUNCTION("""COMPUTED_VALUE"""),"해결쌈")</f>
        <v>해결쌈</v>
      </c>
      <c r="B15115" s="2" t="str">
        <f>IFERROR(__xludf.DUMMYFUNCTION("""COMPUTED_VALUE"""),"두부")</f>
        <v>두부</v>
      </c>
    </row>
    <row r="15116">
      <c r="A15116" s="2" t="str">
        <f>IFERROR(__xludf.DUMMYFUNCTION("""COMPUTED_VALUE"""),"해결쌈")</f>
        <v>해결쌈</v>
      </c>
      <c r="B15116" s="2" t="str">
        <f>IFERROR(__xludf.DUMMYFUNCTION("""COMPUTED_VALUE"""),"쌈장")</f>
        <v>쌈장</v>
      </c>
    </row>
    <row r="15117">
      <c r="A15117" s="2" t="str">
        <f>IFERROR(__xludf.DUMMYFUNCTION("""COMPUTED_VALUE"""),"해결쌈")</f>
        <v>해결쌈</v>
      </c>
      <c r="B15117" s="2" t="str">
        <f>IFERROR(__xludf.DUMMYFUNCTION("""COMPUTED_VALUE"""),"사과")</f>
        <v>사과</v>
      </c>
    </row>
    <row r="15118">
      <c r="A15118" s="2" t="str">
        <f>IFERROR(__xludf.DUMMYFUNCTION("""COMPUTED_VALUE"""),"해결쌈")</f>
        <v>해결쌈</v>
      </c>
      <c r="B15118" s="2" t="str">
        <f>IFERROR(__xludf.DUMMYFUNCTION("""COMPUTED_VALUE"""),"유부초밥용 유부")</f>
        <v>유부초밥용 유부</v>
      </c>
    </row>
    <row r="15119">
      <c r="A15119" s="2" t="str">
        <f>IFERROR(__xludf.DUMMYFUNCTION("""COMPUTED_VALUE"""),"해결쌈")</f>
        <v>해결쌈</v>
      </c>
      <c r="B15119" s="2" t="str">
        <f>IFERROR(__xludf.DUMMYFUNCTION("""COMPUTED_VALUE"""),"무")</f>
        <v>무</v>
      </c>
    </row>
    <row r="15120">
      <c r="A15120" s="2" t="str">
        <f>IFERROR(__xludf.DUMMYFUNCTION("""COMPUTED_VALUE"""),"해결쌈")</f>
        <v>해결쌈</v>
      </c>
      <c r="B15120" s="2" t="str">
        <f>IFERROR(__xludf.DUMMYFUNCTION("""COMPUTED_VALUE"""),"오이")</f>
        <v>오이</v>
      </c>
    </row>
    <row r="15121">
      <c r="A15121" s="2" t="str">
        <f>IFERROR(__xludf.DUMMYFUNCTION("""COMPUTED_VALUE"""),"해결쌈")</f>
        <v>해결쌈</v>
      </c>
      <c r="B15121" s="2" t="str">
        <f>IFERROR(__xludf.DUMMYFUNCTION("""COMPUTED_VALUE"""),"굴소스")</f>
        <v>굴소스</v>
      </c>
    </row>
    <row r="15122">
      <c r="A15122" s="2" t="str">
        <f>IFERROR(__xludf.DUMMYFUNCTION("""COMPUTED_VALUE"""),"해결쌈")</f>
        <v>해결쌈</v>
      </c>
      <c r="B15122" s="2" t="str">
        <f>IFERROR(__xludf.DUMMYFUNCTION("""COMPUTED_VALUE"""),"멸치액젓")</f>
        <v>멸치액젓</v>
      </c>
    </row>
    <row r="15123">
      <c r="A15123" s="2" t="str">
        <f>IFERROR(__xludf.DUMMYFUNCTION("""COMPUTED_VALUE"""),"해결쌈")</f>
        <v>해결쌈</v>
      </c>
      <c r="B15123" s="2" t="str">
        <f>IFERROR(__xludf.DUMMYFUNCTION("""COMPUTED_VALUE"""),"소금")</f>
        <v>소금</v>
      </c>
    </row>
    <row r="15124">
      <c r="A15124" s="2" t="str">
        <f>IFERROR(__xludf.DUMMYFUNCTION("""COMPUTED_VALUE"""),"해결쌈")</f>
        <v>해결쌈</v>
      </c>
      <c r="B15124" s="2" t="str">
        <f>IFERROR(__xludf.DUMMYFUNCTION("""COMPUTED_VALUE"""),"대파")</f>
        <v>대파</v>
      </c>
    </row>
    <row r="15125">
      <c r="A15125" s="2" t="str">
        <f>IFERROR(__xludf.DUMMYFUNCTION("""COMPUTED_VALUE"""),"해결쌈")</f>
        <v>해결쌈</v>
      </c>
      <c r="B15125" s="2" t="str">
        <f>IFERROR(__xludf.DUMMYFUNCTION("""COMPUTED_VALUE"""),"양파")</f>
        <v>양파</v>
      </c>
    </row>
    <row r="15126">
      <c r="A15126" s="2" t="str">
        <f>IFERROR(__xludf.DUMMYFUNCTION("""COMPUTED_VALUE"""),"해결쌈")</f>
        <v>해결쌈</v>
      </c>
      <c r="B15126" s="2" t="str">
        <f>IFERROR(__xludf.DUMMYFUNCTION("""COMPUTED_VALUE"""),"마늘")</f>
        <v>마늘</v>
      </c>
    </row>
    <row r="15127">
      <c r="A15127" s="2" t="str">
        <f>IFERROR(__xludf.DUMMYFUNCTION("""COMPUTED_VALUE"""),"해결쌈")</f>
        <v>해결쌈</v>
      </c>
      <c r="B15127" s="2" t="str">
        <f>IFERROR(__xludf.DUMMYFUNCTION("""COMPUTED_VALUE"""),"즉석밥")</f>
        <v>즉석밥</v>
      </c>
    </row>
    <row r="15128">
      <c r="A15128" s="2" t="str">
        <f>IFERROR(__xludf.DUMMYFUNCTION("""COMPUTED_VALUE"""),"해결쌈")</f>
        <v>해결쌈</v>
      </c>
      <c r="B15128" s="2" t="str">
        <f>IFERROR(__xludf.DUMMYFUNCTION("""COMPUTED_VALUE"""),"청양고추")</f>
        <v>청양고추</v>
      </c>
    </row>
    <row r="15129">
      <c r="A15129" s="2" t="str">
        <f>IFERROR(__xludf.DUMMYFUNCTION("""COMPUTED_VALUE"""),"해결쌈")</f>
        <v>해결쌈</v>
      </c>
      <c r="B15129" s="2" t="str">
        <f>IFERROR(__xludf.DUMMYFUNCTION("""COMPUTED_VALUE"""),"식초")</f>
        <v>식초</v>
      </c>
    </row>
    <row r="15130">
      <c r="A15130" s="2" t="str">
        <f>IFERROR(__xludf.DUMMYFUNCTION("""COMPUTED_VALUE"""),"해결쌈")</f>
        <v>해결쌈</v>
      </c>
      <c r="B15130" s="2" t="str">
        <f>IFERROR(__xludf.DUMMYFUNCTION("""COMPUTED_VALUE"""),"물엿")</f>
        <v>물엿</v>
      </c>
    </row>
    <row r="15131">
      <c r="A15131" s="2" t="str">
        <f>IFERROR(__xludf.DUMMYFUNCTION("""COMPUTED_VALUE"""),"해결쌈")</f>
        <v>해결쌈</v>
      </c>
      <c r="B15131" s="2" t="str">
        <f>IFERROR(__xludf.DUMMYFUNCTION("""COMPUTED_VALUE"""),"맛술")</f>
        <v>맛술</v>
      </c>
    </row>
    <row r="15132">
      <c r="A15132" s="2" t="str">
        <f>IFERROR(__xludf.DUMMYFUNCTION("""COMPUTED_VALUE"""),"비지창조")</f>
        <v>비지창조</v>
      </c>
      <c r="B15132" s="2" t="str">
        <f>IFERROR(__xludf.DUMMYFUNCTION("""COMPUTED_VALUE"""),"두부")</f>
        <v>두부</v>
      </c>
    </row>
    <row r="15133">
      <c r="A15133" s="2" t="str">
        <f>IFERROR(__xludf.DUMMYFUNCTION("""COMPUTED_VALUE"""),"비지창조")</f>
        <v>비지창조</v>
      </c>
      <c r="B15133" s="2" t="str">
        <f>IFERROR(__xludf.DUMMYFUNCTION("""COMPUTED_VALUE"""),"순두부")</f>
        <v>순두부</v>
      </c>
    </row>
    <row r="15134">
      <c r="A15134" s="2" t="str">
        <f>IFERROR(__xludf.DUMMYFUNCTION("""COMPUTED_VALUE"""),"비지창조")</f>
        <v>비지창조</v>
      </c>
      <c r="B15134" s="2" t="str">
        <f>IFERROR(__xludf.DUMMYFUNCTION("""COMPUTED_VALUE"""),"대패삼겹살")</f>
        <v>대패삼겹살</v>
      </c>
    </row>
    <row r="15135">
      <c r="A15135" s="2" t="str">
        <f>IFERROR(__xludf.DUMMYFUNCTION("""COMPUTED_VALUE"""),"비지창조")</f>
        <v>비지창조</v>
      </c>
      <c r="B15135" s="2" t="str">
        <f>IFERROR(__xludf.DUMMYFUNCTION("""COMPUTED_VALUE"""),"고등어")</f>
        <v>고등어</v>
      </c>
    </row>
    <row r="15136">
      <c r="A15136" s="2" t="str">
        <f>IFERROR(__xludf.DUMMYFUNCTION("""COMPUTED_VALUE"""),"비지창조")</f>
        <v>비지창조</v>
      </c>
      <c r="B15136" s="2" t="str">
        <f>IFERROR(__xludf.DUMMYFUNCTION("""COMPUTED_VALUE"""),"총각김치")</f>
        <v>총각김치</v>
      </c>
    </row>
    <row r="15137">
      <c r="A15137" s="2" t="str">
        <f>IFERROR(__xludf.DUMMYFUNCTION("""COMPUTED_VALUE"""),"비지창조")</f>
        <v>비지창조</v>
      </c>
      <c r="B15137" s="2" t="str">
        <f>IFERROR(__xludf.DUMMYFUNCTION("""COMPUTED_VALUE"""),"감자")</f>
        <v>감자</v>
      </c>
    </row>
    <row r="15138">
      <c r="A15138" s="2" t="str">
        <f>IFERROR(__xludf.DUMMYFUNCTION("""COMPUTED_VALUE"""),"비지창조")</f>
        <v>비지창조</v>
      </c>
      <c r="B15138" s="2" t="str">
        <f>IFERROR(__xludf.DUMMYFUNCTION("""COMPUTED_VALUE"""),"시금치")</f>
        <v>시금치</v>
      </c>
    </row>
    <row r="15139">
      <c r="A15139" s="2" t="str">
        <f>IFERROR(__xludf.DUMMYFUNCTION("""COMPUTED_VALUE"""),"비지창조")</f>
        <v>비지창조</v>
      </c>
      <c r="B15139" s="2" t="str">
        <f>IFERROR(__xludf.DUMMYFUNCTION("""COMPUTED_VALUE"""),"애호박")</f>
        <v>애호박</v>
      </c>
    </row>
    <row r="15140">
      <c r="A15140" s="2" t="str">
        <f>IFERROR(__xludf.DUMMYFUNCTION("""COMPUTED_VALUE"""),"비지창조")</f>
        <v>비지창조</v>
      </c>
      <c r="B15140" s="2" t="str">
        <f>IFERROR(__xludf.DUMMYFUNCTION("""COMPUTED_VALUE"""),"무")</f>
        <v>무</v>
      </c>
    </row>
    <row r="15141">
      <c r="A15141" s="2" t="str">
        <f>IFERROR(__xludf.DUMMYFUNCTION("""COMPUTED_VALUE"""),"비지창조")</f>
        <v>비지창조</v>
      </c>
      <c r="B15141" s="2" t="str">
        <f>IFERROR(__xludf.DUMMYFUNCTION("""COMPUTED_VALUE"""),"된장")</f>
        <v>된장</v>
      </c>
    </row>
    <row r="15142">
      <c r="A15142" s="2" t="str">
        <f>IFERROR(__xludf.DUMMYFUNCTION("""COMPUTED_VALUE"""),"비지창조")</f>
        <v>비지창조</v>
      </c>
      <c r="B15142" s="2" t="str">
        <f>IFERROR(__xludf.DUMMYFUNCTION("""COMPUTED_VALUE"""),"마늘")</f>
        <v>마늘</v>
      </c>
    </row>
    <row r="15143">
      <c r="A15143" s="2" t="str">
        <f>IFERROR(__xludf.DUMMYFUNCTION("""COMPUTED_VALUE"""),"비지창조")</f>
        <v>비지창조</v>
      </c>
      <c r="B15143" s="2" t="str">
        <f>IFERROR(__xludf.DUMMYFUNCTION("""COMPUTED_VALUE"""),"양파")</f>
        <v>양파</v>
      </c>
    </row>
    <row r="15144">
      <c r="A15144" s="2" t="str">
        <f>IFERROR(__xludf.DUMMYFUNCTION("""COMPUTED_VALUE"""),"비지창조")</f>
        <v>비지창조</v>
      </c>
      <c r="B15144" s="2" t="str">
        <f>IFERROR(__xludf.DUMMYFUNCTION("""COMPUTED_VALUE"""),"청양고추")</f>
        <v>청양고추</v>
      </c>
    </row>
    <row r="15145">
      <c r="A15145" s="2" t="str">
        <f>IFERROR(__xludf.DUMMYFUNCTION("""COMPUTED_VALUE"""),"비지창조")</f>
        <v>비지창조</v>
      </c>
      <c r="B15145" s="2" t="str">
        <f>IFERROR(__xludf.DUMMYFUNCTION("""COMPUTED_VALUE"""),"홍고추")</f>
        <v>홍고추</v>
      </c>
    </row>
    <row r="15146">
      <c r="A15146" s="2" t="str">
        <f>IFERROR(__xludf.DUMMYFUNCTION("""COMPUTED_VALUE"""),"비지창조")</f>
        <v>비지창조</v>
      </c>
      <c r="B15146" s="2" t="str">
        <f>IFERROR(__xludf.DUMMYFUNCTION("""COMPUTED_VALUE"""),"대파")</f>
        <v>대파</v>
      </c>
    </row>
    <row r="15147">
      <c r="A15147" s="2" t="str">
        <f>IFERROR(__xludf.DUMMYFUNCTION("""COMPUTED_VALUE"""),"비지창조")</f>
        <v>비지창조</v>
      </c>
      <c r="B15147" s="2" t="str">
        <f>IFERROR(__xludf.DUMMYFUNCTION("""COMPUTED_VALUE"""),"간장")</f>
        <v>간장</v>
      </c>
    </row>
    <row r="15148">
      <c r="A15148" s="2" t="str">
        <f>IFERROR(__xludf.DUMMYFUNCTION("""COMPUTED_VALUE"""),"비지창조")</f>
        <v>비지창조</v>
      </c>
      <c r="B15148" s="2" t="str">
        <f>IFERROR(__xludf.DUMMYFUNCTION("""COMPUTED_VALUE"""),"깨")</f>
        <v>깨</v>
      </c>
    </row>
    <row r="15149">
      <c r="A15149" s="2" t="str">
        <f>IFERROR(__xludf.DUMMYFUNCTION("""COMPUTED_VALUE"""),"비지창조")</f>
        <v>비지창조</v>
      </c>
      <c r="B15149" s="2" t="str">
        <f>IFERROR(__xludf.DUMMYFUNCTION("""COMPUTED_VALUE"""),"참기름")</f>
        <v>참기름</v>
      </c>
    </row>
    <row r="15150">
      <c r="A15150" s="2" t="str">
        <f>IFERROR(__xludf.DUMMYFUNCTION("""COMPUTED_VALUE"""),"비지창조")</f>
        <v>비지창조</v>
      </c>
      <c r="B15150" s="2" t="str">
        <f>IFERROR(__xludf.DUMMYFUNCTION("""COMPUTED_VALUE"""),"설탕")</f>
        <v>설탕</v>
      </c>
    </row>
    <row r="15151">
      <c r="A15151" s="2" t="str">
        <f>IFERROR(__xludf.DUMMYFUNCTION("""COMPUTED_VALUE"""),"돼지 파국이다!")</f>
        <v>돼지 파국이다!</v>
      </c>
      <c r="B15151" s="2" t="str">
        <f>IFERROR(__xludf.DUMMYFUNCTION("""COMPUTED_VALUE"""),"대패삼겹살")</f>
        <v>대패삼겹살</v>
      </c>
    </row>
    <row r="15152">
      <c r="A15152" s="2" t="str">
        <f>IFERROR(__xludf.DUMMYFUNCTION("""COMPUTED_VALUE"""),"돼지 파국이다!")</f>
        <v>돼지 파국이다!</v>
      </c>
      <c r="B15152" s="2" t="str">
        <f>IFERROR(__xludf.DUMMYFUNCTION("""COMPUTED_VALUE"""),"가지")</f>
        <v>가지</v>
      </c>
    </row>
    <row r="15153">
      <c r="A15153" s="2" t="str">
        <f>IFERROR(__xludf.DUMMYFUNCTION("""COMPUTED_VALUE"""),"돼지 파국이다!")</f>
        <v>돼지 파국이다!</v>
      </c>
      <c r="B15153" s="2" t="str">
        <f>IFERROR(__xludf.DUMMYFUNCTION("""COMPUTED_VALUE"""),"무")</f>
        <v>무</v>
      </c>
    </row>
    <row r="15154">
      <c r="A15154" s="2" t="str">
        <f>IFERROR(__xludf.DUMMYFUNCTION("""COMPUTED_VALUE"""),"돼지 파국이다!")</f>
        <v>돼지 파국이다!</v>
      </c>
      <c r="B15154" s="2" t="str">
        <f>IFERROR(__xludf.DUMMYFUNCTION("""COMPUTED_VALUE"""),"황태채")</f>
        <v>황태채</v>
      </c>
    </row>
    <row r="15155">
      <c r="A15155" s="2" t="str">
        <f>IFERROR(__xludf.DUMMYFUNCTION("""COMPUTED_VALUE"""),"돼지 파국이다!")</f>
        <v>돼지 파국이다!</v>
      </c>
      <c r="B15155" s="2" t="str">
        <f>IFERROR(__xludf.DUMMYFUNCTION("""COMPUTED_VALUE"""),"마늘")</f>
        <v>마늘</v>
      </c>
    </row>
    <row r="15156">
      <c r="A15156" s="2" t="str">
        <f>IFERROR(__xludf.DUMMYFUNCTION("""COMPUTED_VALUE"""),"돼지 파국이다!")</f>
        <v>돼지 파국이다!</v>
      </c>
      <c r="B15156" s="2" t="str">
        <f>IFERROR(__xludf.DUMMYFUNCTION("""COMPUTED_VALUE"""),"설탕")</f>
        <v>설탕</v>
      </c>
    </row>
    <row r="15157">
      <c r="A15157" s="2" t="str">
        <f>IFERROR(__xludf.DUMMYFUNCTION("""COMPUTED_VALUE"""),"돼지 파국이다!")</f>
        <v>돼지 파국이다!</v>
      </c>
      <c r="B15157" s="2" t="str">
        <f>IFERROR(__xludf.DUMMYFUNCTION("""COMPUTED_VALUE"""),"간장")</f>
        <v>간장</v>
      </c>
    </row>
    <row r="15158">
      <c r="A15158" s="2" t="str">
        <f>IFERROR(__xludf.DUMMYFUNCTION("""COMPUTED_VALUE"""),"돼지 파국이다!")</f>
        <v>돼지 파국이다!</v>
      </c>
      <c r="B15158" s="2" t="str">
        <f>IFERROR(__xludf.DUMMYFUNCTION("""COMPUTED_VALUE"""),"대파")</f>
        <v>대파</v>
      </c>
    </row>
    <row r="15159">
      <c r="A15159" s="2" t="str">
        <f>IFERROR(__xludf.DUMMYFUNCTION("""COMPUTED_VALUE"""),"돼지 파국이다!")</f>
        <v>돼지 파국이다!</v>
      </c>
      <c r="B15159" s="2" t="str">
        <f>IFERROR(__xludf.DUMMYFUNCTION("""COMPUTED_VALUE"""),"청양고추")</f>
        <v>청양고추</v>
      </c>
    </row>
    <row r="15160">
      <c r="A15160" s="2" t="str">
        <f>IFERROR(__xludf.DUMMYFUNCTION("""COMPUTED_VALUE"""),"돼지 파국이다!")</f>
        <v>돼지 파국이다!</v>
      </c>
      <c r="B15160" s="2" t="str">
        <f>IFERROR(__xludf.DUMMYFUNCTION("""COMPUTED_VALUE"""),"식초")</f>
        <v>식초</v>
      </c>
    </row>
    <row r="15161">
      <c r="A15161" s="2" t="str">
        <f>IFERROR(__xludf.DUMMYFUNCTION("""COMPUTED_VALUE"""),"돼지 파국이다!")</f>
        <v>돼지 파국이다!</v>
      </c>
      <c r="B15161" s="2" t="str">
        <f>IFERROR(__xludf.DUMMYFUNCTION("""COMPUTED_VALUE"""),"맛술")</f>
        <v>맛술</v>
      </c>
    </row>
    <row r="15162">
      <c r="A15162" s="2" t="str">
        <f>IFERROR(__xludf.DUMMYFUNCTION("""COMPUTED_VALUE"""),"돼지 파국이다!")</f>
        <v>돼지 파국이다!</v>
      </c>
      <c r="B15162" s="2" t="str">
        <f>IFERROR(__xludf.DUMMYFUNCTION("""COMPUTED_VALUE"""),"간장")</f>
        <v>간장</v>
      </c>
    </row>
    <row r="15163">
      <c r="A15163" s="2" t="str">
        <f>IFERROR(__xludf.DUMMYFUNCTION("""COMPUTED_VALUE"""),"돼지 파국이다!")</f>
        <v>돼지 파국이다!</v>
      </c>
      <c r="B15163" s="2" t="str">
        <f>IFERROR(__xludf.DUMMYFUNCTION("""COMPUTED_VALUE"""),"설탕")</f>
        <v>설탕</v>
      </c>
    </row>
    <row r="15164">
      <c r="A15164" s="2" t="str">
        <f>IFERROR(__xludf.DUMMYFUNCTION("""COMPUTED_VALUE"""),"돼지 파국이다!")</f>
        <v>돼지 파국이다!</v>
      </c>
      <c r="B15164" s="2" t="str">
        <f>IFERROR(__xludf.DUMMYFUNCTION("""COMPUTED_VALUE"""),"홍고추")</f>
        <v>홍고추</v>
      </c>
    </row>
    <row r="15165">
      <c r="A15165" s="2" t="str">
        <f>IFERROR(__xludf.DUMMYFUNCTION("""COMPUTED_VALUE"""),"돼지 파국이다!")</f>
        <v>돼지 파국이다!</v>
      </c>
      <c r="B15165" s="2" t="str">
        <f>IFERROR(__xludf.DUMMYFUNCTION("""COMPUTED_VALUE"""),"다진 생강")</f>
        <v>다진 생강</v>
      </c>
    </row>
    <row r="15166">
      <c r="A15166" s="2" t="str">
        <f>IFERROR(__xludf.DUMMYFUNCTION("""COMPUTED_VALUE"""),"돼지 파국이다!")</f>
        <v>돼지 파국이다!</v>
      </c>
      <c r="B15166" s="2" t="str">
        <f>IFERROR(__xludf.DUMMYFUNCTION("""COMPUTED_VALUE"""),"후추")</f>
        <v>후추</v>
      </c>
    </row>
    <row r="15167">
      <c r="A15167" s="2" t="str">
        <f>IFERROR(__xludf.DUMMYFUNCTION("""COMPUTED_VALUE"""),"돼지 파국이다!")</f>
        <v>돼지 파국이다!</v>
      </c>
      <c r="B15167" s="2" t="str">
        <f>IFERROR(__xludf.DUMMYFUNCTION("""COMPUTED_VALUE"""),"즉석밥")</f>
        <v>즉석밥</v>
      </c>
    </row>
    <row r="15168">
      <c r="A15168" s="2" t="str">
        <f>IFERROR(__xludf.DUMMYFUNCTION("""COMPUTED_VALUE"""),"T.O.P 돔")</f>
        <v>T.O.P 돔</v>
      </c>
      <c r="B15168" s="2" t="str">
        <f>IFERROR(__xludf.DUMMYFUNCTION("""COMPUTED_VALUE"""),"참돔")</f>
        <v>참돔</v>
      </c>
    </row>
    <row r="15169">
      <c r="A15169" s="2" t="str">
        <f>IFERROR(__xludf.DUMMYFUNCTION("""COMPUTED_VALUE"""),"T.O.P 돔")</f>
        <v>T.O.P 돔</v>
      </c>
      <c r="B15169" s="2" t="str">
        <f>IFERROR(__xludf.DUMMYFUNCTION("""COMPUTED_VALUE"""),"새우")</f>
        <v>새우</v>
      </c>
    </row>
    <row r="15170">
      <c r="A15170" s="2" t="str">
        <f>IFERROR(__xludf.DUMMYFUNCTION("""COMPUTED_VALUE"""),"T.O.P 돔")</f>
        <v>T.O.P 돔</v>
      </c>
      <c r="B15170" s="2" t="str">
        <f>IFERROR(__xludf.DUMMYFUNCTION("""COMPUTED_VALUE"""),"블랙타이거 새우")</f>
        <v>블랙타이거 새우</v>
      </c>
    </row>
    <row r="15171">
      <c r="A15171" s="2" t="str">
        <f>IFERROR(__xludf.DUMMYFUNCTION("""COMPUTED_VALUE"""),"T.O.P 돔")</f>
        <v>T.O.P 돔</v>
      </c>
      <c r="B15171" s="2" t="str">
        <f>IFERROR(__xludf.DUMMYFUNCTION("""COMPUTED_VALUE"""),"굴소스")</f>
        <v>굴소스</v>
      </c>
    </row>
    <row r="15172">
      <c r="A15172" s="2" t="str">
        <f>IFERROR(__xludf.DUMMYFUNCTION("""COMPUTED_VALUE"""),"T.O.P 돔")</f>
        <v>T.O.P 돔</v>
      </c>
      <c r="B15172" s="2" t="str">
        <f>IFERROR(__xludf.DUMMYFUNCTION("""COMPUTED_VALUE"""),"미역")</f>
        <v>미역</v>
      </c>
    </row>
    <row r="15173">
      <c r="A15173" s="2" t="str">
        <f>IFERROR(__xludf.DUMMYFUNCTION("""COMPUTED_VALUE"""),"T.O.P 돔")</f>
        <v>T.O.P 돔</v>
      </c>
      <c r="B15173" s="2" t="str">
        <f>IFERROR(__xludf.DUMMYFUNCTION("""COMPUTED_VALUE"""),"바지락")</f>
        <v>바지락</v>
      </c>
    </row>
    <row r="15174">
      <c r="A15174" s="2" t="str">
        <f>IFERROR(__xludf.DUMMYFUNCTION("""COMPUTED_VALUE"""),"T.O.P 돔")</f>
        <v>T.O.P 돔</v>
      </c>
      <c r="B15174" s="2" t="str">
        <f>IFERROR(__xludf.DUMMYFUNCTION("""COMPUTED_VALUE"""),"표고버섯")</f>
        <v>표고버섯</v>
      </c>
    </row>
    <row r="15175">
      <c r="A15175" s="2" t="str">
        <f>IFERROR(__xludf.DUMMYFUNCTION("""COMPUTED_VALUE"""),"T.O.P 돔")</f>
        <v>T.O.P 돔</v>
      </c>
      <c r="B15175" s="2" t="str">
        <f>IFERROR(__xludf.DUMMYFUNCTION("""COMPUTED_VALUE"""),"게맛살")</f>
        <v>게맛살</v>
      </c>
    </row>
    <row r="15176">
      <c r="A15176" s="2" t="str">
        <f>IFERROR(__xludf.DUMMYFUNCTION("""COMPUTED_VALUE"""),"T.O.P 돔")</f>
        <v>T.O.P 돔</v>
      </c>
      <c r="B15176" s="2" t="str">
        <f>IFERROR(__xludf.DUMMYFUNCTION("""COMPUTED_VALUE"""),"갑오징어")</f>
        <v>갑오징어</v>
      </c>
    </row>
    <row r="15177">
      <c r="A15177" s="2" t="str">
        <f>IFERROR(__xludf.DUMMYFUNCTION("""COMPUTED_VALUE"""),"T.O.P 돔")</f>
        <v>T.O.P 돔</v>
      </c>
      <c r="B15177" s="2" t="str">
        <f>IFERROR(__xludf.DUMMYFUNCTION("""COMPUTED_VALUE"""),"창난젓")</f>
        <v>창난젓</v>
      </c>
    </row>
    <row r="15178">
      <c r="A15178" s="2" t="str">
        <f>IFERROR(__xludf.DUMMYFUNCTION("""COMPUTED_VALUE"""),"T.O.P 돔")</f>
        <v>T.O.P 돔</v>
      </c>
      <c r="B15178" s="2" t="str">
        <f>IFERROR(__xludf.DUMMYFUNCTION("""COMPUTED_VALUE"""),"스리라차소스")</f>
        <v>스리라차소스</v>
      </c>
    </row>
    <row r="15179">
      <c r="A15179" s="2" t="str">
        <f>IFERROR(__xludf.DUMMYFUNCTION("""COMPUTED_VALUE"""),"T.O.P 돔")</f>
        <v>T.O.P 돔</v>
      </c>
      <c r="B15179" s="2" t="str">
        <f>IFERROR(__xludf.DUMMYFUNCTION("""COMPUTED_VALUE"""),"양파")</f>
        <v>양파</v>
      </c>
    </row>
    <row r="15180">
      <c r="A15180" s="2" t="str">
        <f>IFERROR(__xludf.DUMMYFUNCTION("""COMPUTED_VALUE"""),"T.O.P 돔")</f>
        <v>T.O.P 돔</v>
      </c>
      <c r="B15180" s="2" t="str">
        <f>IFERROR(__xludf.DUMMYFUNCTION("""COMPUTED_VALUE"""),"홍고추")</f>
        <v>홍고추</v>
      </c>
    </row>
    <row r="15181">
      <c r="A15181" s="2" t="str">
        <f>IFERROR(__xludf.DUMMYFUNCTION("""COMPUTED_VALUE"""),"T.O.P 돔")</f>
        <v>T.O.P 돔</v>
      </c>
      <c r="B15181" s="2" t="str">
        <f>IFERROR(__xludf.DUMMYFUNCTION("""COMPUTED_VALUE"""),"고추")</f>
        <v>고추</v>
      </c>
    </row>
    <row r="15182">
      <c r="A15182" s="2" t="str">
        <f>IFERROR(__xludf.DUMMYFUNCTION("""COMPUTED_VALUE"""),"T.O.P 돔")</f>
        <v>T.O.P 돔</v>
      </c>
      <c r="B15182" s="2" t="str">
        <f>IFERROR(__xludf.DUMMYFUNCTION("""COMPUTED_VALUE"""),"후추")</f>
        <v>후추</v>
      </c>
    </row>
    <row r="15183">
      <c r="A15183" s="2" t="str">
        <f>IFERROR(__xludf.DUMMYFUNCTION("""COMPUTED_VALUE"""),"T.O.P 돔")</f>
        <v>T.O.P 돔</v>
      </c>
      <c r="B15183" s="2" t="str">
        <f>IFERROR(__xludf.DUMMYFUNCTION("""COMPUTED_VALUE"""),"밀가루")</f>
        <v>밀가루</v>
      </c>
    </row>
    <row r="15184">
      <c r="A15184" s="2" t="str">
        <f>IFERROR(__xludf.DUMMYFUNCTION("""COMPUTED_VALUE"""),"T.O.P 돔")</f>
        <v>T.O.P 돔</v>
      </c>
      <c r="B15184" s="2" t="str">
        <f>IFERROR(__xludf.DUMMYFUNCTION("""COMPUTED_VALUE"""),"올리브오일")</f>
        <v>올리브오일</v>
      </c>
    </row>
    <row r="15185">
      <c r="A15185" s="2" t="str">
        <f>IFERROR(__xludf.DUMMYFUNCTION("""COMPUTED_VALUE"""),"T.O.P 돔")</f>
        <v>T.O.P 돔</v>
      </c>
      <c r="B15185" s="2" t="str">
        <f>IFERROR(__xludf.DUMMYFUNCTION("""COMPUTED_VALUE"""),"대파")</f>
        <v>대파</v>
      </c>
    </row>
    <row r="15186">
      <c r="A15186" s="2" t="str">
        <f>IFERROR(__xludf.DUMMYFUNCTION("""COMPUTED_VALUE"""),"T.O.P 돔")</f>
        <v>T.O.P 돔</v>
      </c>
      <c r="B15186" s="2" t="str">
        <f>IFERROR(__xludf.DUMMYFUNCTION("""COMPUTED_VALUE"""),"고춧가루")</f>
        <v>고춧가루</v>
      </c>
    </row>
    <row r="15187">
      <c r="A15187" s="2" t="str">
        <f>IFERROR(__xludf.DUMMYFUNCTION("""COMPUTED_VALUE"""),"T.O.P 돔")</f>
        <v>T.O.P 돔</v>
      </c>
      <c r="B15187" s="2" t="str">
        <f>IFERROR(__xludf.DUMMYFUNCTION("""COMPUTED_VALUE"""),"케첩")</f>
        <v>케첩</v>
      </c>
    </row>
    <row r="15188">
      <c r="A15188" s="2" t="str">
        <f>IFERROR(__xludf.DUMMYFUNCTION("""COMPUTED_VALUE"""),"T.O.P 돔")</f>
        <v>T.O.P 돔</v>
      </c>
      <c r="B15188" s="2" t="str">
        <f>IFERROR(__xludf.DUMMYFUNCTION("""COMPUTED_VALUE"""),"마요네즈")</f>
        <v>마요네즈</v>
      </c>
    </row>
    <row r="15189">
      <c r="A15189" s="2" t="str">
        <f>IFERROR(__xludf.DUMMYFUNCTION("""COMPUTED_VALUE"""),"T.O.P 돔")</f>
        <v>T.O.P 돔</v>
      </c>
      <c r="B15189" s="2" t="str">
        <f>IFERROR(__xludf.DUMMYFUNCTION("""COMPUTED_VALUE"""),"맛술")</f>
        <v>맛술</v>
      </c>
    </row>
    <row r="15190">
      <c r="A15190" s="2" t="str">
        <f>IFERROR(__xludf.DUMMYFUNCTION("""COMPUTED_VALUE"""),"T.O.P 돔")</f>
        <v>T.O.P 돔</v>
      </c>
      <c r="B15190" s="2" t="str">
        <f>IFERROR(__xludf.DUMMYFUNCTION("""COMPUTED_VALUE"""),"식초")</f>
        <v>식초</v>
      </c>
    </row>
    <row r="15191">
      <c r="A15191" s="2" t="str">
        <f>IFERROR(__xludf.DUMMYFUNCTION("""COMPUTED_VALUE"""),"T.O.P 돔")</f>
        <v>T.O.P 돔</v>
      </c>
      <c r="B15191" s="2" t="str">
        <f>IFERROR(__xludf.DUMMYFUNCTION("""COMPUTED_VALUE"""),"전분")</f>
        <v>전분</v>
      </c>
    </row>
    <row r="15192">
      <c r="A15192" s="2" t="str">
        <f>IFERROR(__xludf.DUMMYFUNCTION("""COMPUTED_VALUE"""),"퍼펙트 돔")</f>
        <v>퍼펙트 돔</v>
      </c>
      <c r="B15192" s="2" t="str">
        <f>IFERROR(__xludf.DUMMYFUNCTION("""COMPUTED_VALUE"""),"참돔")</f>
        <v>참돔</v>
      </c>
    </row>
    <row r="15193">
      <c r="A15193" s="2" t="str">
        <f>IFERROR(__xludf.DUMMYFUNCTION("""COMPUTED_VALUE"""),"퍼펙트 돔")</f>
        <v>퍼펙트 돔</v>
      </c>
      <c r="B15193" s="2" t="str">
        <f>IFERROR(__xludf.DUMMYFUNCTION("""COMPUTED_VALUE"""),"고추장")</f>
        <v>고추장</v>
      </c>
    </row>
    <row r="15194">
      <c r="A15194" s="2" t="str">
        <f>IFERROR(__xludf.DUMMYFUNCTION("""COMPUTED_VALUE"""),"퍼펙트 돔")</f>
        <v>퍼펙트 돔</v>
      </c>
      <c r="B15194" s="2" t="str">
        <f>IFERROR(__xludf.DUMMYFUNCTION("""COMPUTED_VALUE"""),"된장")</f>
        <v>된장</v>
      </c>
    </row>
    <row r="15195">
      <c r="A15195" s="2" t="str">
        <f>IFERROR(__xludf.DUMMYFUNCTION("""COMPUTED_VALUE"""),"퍼펙트 돔")</f>
        <v>퍼펙트 돔</v>
      </c>
      <c r="B15195" s="2" t="str">
        <f>IFERROR(__xludf.DUMMYFUNCTION("""COMPUTED_VALUE"""),"막장")</f>
        <v>막장</v>
      </c>
    </row>
    <row r="15196">
      <c r="A15196" s="2" t="str">
        <f>IFERROR(__xludf.DUMMYFUNCTION("""COMPUTED_VALUE"""),"퍼펙트 돔")</f>
        <v>퍼펙트 돔</v>
      </c>
      <c r="B15196" s="2" t="str">
        <f>IFERROR(__xludf.DUMMYFUNCTION("""COMPUTED_VALUE"""),"커피가루")</f>
        <v>커피가루</v>
      </c>
    </row>
    <row r="15197">
      <c r="A15197" s="2" t="str">
        <f>IFERROR(__xludf.DUMMYFUNCTION("""COMPUTED_VALUE"""),"퍼펙트 돔")</f>
        <v>퍼펙트 돔</v>
      </c>
      <c r="B15197" s="2" t="str">
        <f>IFERROR(__xludf.DUMMYFUNCTION("""COMPUTED_VALUE"""),"쪽파")</f>
        <v>쪽파</v>
      </c>
    </row>
    <row r="15198">
      <c r="A15198" s="2" t="str">
        <f>IFERROR(__xludf.DUMMYFUNCTION("""COMPUTED_VALUE"""),"퍼펙트 돔")</f>
        <v>퍼펙트 돔</v>
      </c>
      <c r="B15198" s="2" t="str">
        <f>IFERROR(__xludf.DUMMYFUNCTION("""COMPUTED_VALUE"""),"무")</f>
        <v>무</v>
      </c>
    </row>
    <row r="15199">
      <c r="A15199" s="2" t="str">
        <f>IFERROR(__xludf.DUMMYFUNCTION("""COMPUTED_VALUE"""),"퍼펙트 돔")</f>
        <v>퍼펙트 돔</v>
      </c>
      <c r="B15199" s="2" t="str">
        <f>IFERROR(__xludf.DUMMYFUNCTION("""COMPUTED_VALUE"""),"블랙타이거 새우")</f>
        <v>블랙타이거 새우</v>
      </c>
    </row>
    <row r="15200">
      <c r="A15200" s="2" t="str">
        <f>IFERROR(__xludf.DUMMYFUNCTION("""COMPUTED_VALUE"""),"퍼펙트 돔")</f>
        <v>퍼펙트 돔</v>
      </c>
      <c r="B15200" s="2" t="str">
        <f>IFERROR(__xludf.DUMMYFUNCTION("""COMPUTED_VALUE"""),"모시조개")</f>
        <v>모시조개</v>
      </c>
    </row>
    <row r="15201">
      <c r="A15201" s="2" t="str">
        <f>IFERROR(__xludf.DUMMYFUNCTION("""COMPUTED_VALUE"""),"퍼펙트 돔")</f>
        <v>퍼펙트 돔</v>
      </c>
      <c r="B15201" s="2" t="str">
        <f>IFERROR(__xludf.DUMMYFUNCTION("""COMPUTED_VALUE"""),"창난젓")</f>
        <v>창난젓</v>
      </c>
    </row>
    <row r="15202">
      <c r="A15202" s="2" t="str">
        <f>IFERROR(__xludf.DUMMYFUNCTION("""COMPUTED_VALUE"""),"퍼펙트 돔")</f>
        <v>퍼펙트 돔</v>
      </c>
      <c r="B15202" s="2" t="str">
        <f>IFERROR(__xludf.DUMMYFUNCTION("""COMPUTED_VALUE"""),"낙지")</f>
        <v>낙지</v>
      </c>
    </row>
    <row r="15203">
      <c r="A15203" s="2" t="str">
        <f>IFERROR(__xludf.DUMMYFUNCTION("""COMPUTED_VALUE"""),"퍼펙트 돔")</f>
        <v>퍼펙트 돔</v>
      </c>
      <c r="B15203" s="2" t="str">
        <f>IFERROR(__xludf.DUMMYFUNCTION("""COMPUTED_VALUE"""),"국물용 멸치")</f>
        <v>국물용 멸치</v>
      </c>
    </row>
    <row r="15204">
      <c r="A15204" s="2" t="str">
        <f>IFERROR(__xludf.DUMMYFUNCTION("""COMPUTED_VALUE"""),"퍼펙트 돔")</f>
        <v>퍼펙트 돔</v>
      </c>
      <c r="B15204" s="2" t="str">
        <f>IFERROR(__xludf.DUMMYFUNCTION("""COMPUTED_VALUE"""),"양파")</f>
        <v>양파</v>
      </c>
    </row>
    <row r="15205">
      <c r="A15205" s="2" t="str">
        <f>IFERROR(__xludf.DUMMYFUNCTION("""COMPUTED_VALUE"""),"퍼펙트 돔")</f>
        <v>퍼펙트 돔</v>
      </c>
      <c r="B15205" s="2" t="str">
        <f>IFERROR(__xludf.DUMMYFUNCTION("""COMPUTED_VALUE"""),"대파")</f>
        <v>대파</v>
      </c>
    </row>
    <row r="15206">
      <c r="A15206" s="2" t="str">
        <f>IFERROR(__xludf.DUMMYFUNCTION("""COMPUTED_VALUE"""),"퍼펙트 돔")</f>
        <v>퍼펙트 돔</v>
      </c>
      <c r="B15206" s="2" t="str">
        <f>IFERROR(__xludf.DUMMYFUNCTION("""COMPUTED_VALUE"""),"소금")</f>
        <v>소금</v>
      </c>
    </row>
    <row r="15207">
      <c r="A15207" s="2" t="str">
        <f>IFERROR(__xludf.DUMMYFUNCTION("""COMPUTED_VALUE"""),"퍼펙트 돔")</f>
        <v>퍼펙트 돔</v>
      </c>
      <c r="B15207" s="2" t="str">
        <f>IFERROR(__xludf.DUMMYFUNCTION("""COMPUTED_VALUE"""),"후추")</f>
        <v>후추</v>
      </c>
    </row>
    <row r="15208">
      <c r="A15208" s="2" t="str">
        <f>IFERROR(__xludf.DUMMYFUNCTION("""COMPUTED_VALUE"""),"퍼펙트 돔")</f>
        <v>퍼펙트 돔</v>
      </c>
      <c r="B15208" s="2" t="str">
        <f>IFERROR(__xludf.DUMMYFUNCTION("""COMPUTED_VALUE"""),"버터")</f>
        <v>버터</v>
      </c>
    </row>
    <row r="15209">
      <c r="A15209" s="2" t="str">
        <f>IFERROR(__xludf.DUMMYFUNCTION("""COMPUTED_VALUE"""),"퍼펙트 돔")</f>
        <v>퍼펙트 돔</v>
      </c>
      <c r="B15209" s="2" t="str">
        <f>IFERROR(__xludf.DUMMYFUNCTION("""COMPUTED_VALUE"""),"올리브오일")</f>
        <v>올리브오일</v>
      </c>
    </row>
    <row r="15210">
      <c r="A15210" s="2" t="str">
        <f>IFERROR(__xludf.DUMMYFUNCTION("""COMPUTED_VALUE"""),"퍼펙트 돔")</f>
        <v>퍼펙트 돔</v>
      </c>
      <c r="B15210" s="2" t="str">
        <f>IFERROR(__xludf.DUMMYFUNCTION("""COMPUTED_VALUE"""),"즉석밥")</f>
        <v>즉석밥</v>
      </c>
    </row>
    <row r="15211">
      <c r="A15211" s="2" t="str">
        <f>IFERROR(__xludf.DUMMYFUNCTION("""COMPUTED_VALUE"""),"퍼펙트 돔")</f>
        <v>퍼펙트 돔</v>
      </c>
      <c r="B15211" s="2" t="str">
        <f>IFERROR(__xludf.DUMMYFUNCTION("""COMPUTED_VALUE"""),"마늘")</f>
        <v>마늘</v>
      </c>
    </row>
    <row r="15212">
      <c r="A15212" s="2" t="str">
        <f>IFERROR(__xludf.DUMMYFUNCTION("""COMPUTED_VALUE"""),"퍼펙트 돔")</f>
        <v>퍼펙트 돔</v>
      </c>
      <c r="B15212" s="2" t="str">
        <f>IFERROR(__xludf.DUMMYFUNCTION("""COMPUTED_VALUE"""),"고추")</f>
        <v>고추</v>
      </c>
    </row>
    <row r="15213">
      <c r="A15213" s="2" t="str">
        <f>IFERROR(__xludf.DUMMYFUNCTION("""COMPUTED_VALUE"""),"와일드 아이즈면")</f>
        <v>와일드 아이즈면</v>
      </c>
      <c r="B15213" s="2" t="str">
        <f>IFERROR(__xludf.DUMMYFUNCTION("""COMPUTED_VALUE"""),"생닭")</f>
        <v>생닭</v>
      </c>
    </row>
    <row r="15214">
      <c r="A15214" s="2" t="str">
        <f>IFERROR(__xludf.DUMMYFUNCTION("""COMPUTED_VALUE"""),"와일드 아이즈면")</f>
        <v>와일드 아이즈면</v>
      </c>
      <c r="B15214" s="2" t="str">
        <f>IFERROR(__xludf.DUMMYFUNCTION("""COMPUTED_VALUE"""),"돼지목살")</f>
        <v>돼지목살</v>
      </c>
    </row>
    <row r="15215">
      <c r="A15215" s="2" t="str">
        <f>IFERROR(__xludf.DUMMYFUNCTION("""COMPUTED_VALUE"""),"와일드 아이즈면")</f>
        <v>와일드 아이즈면</v>
      </c>
      <c r="B15215" s="2" t="str">
        <f>IFERROR(__xludf.DUMMYFUNCTION("""COMPUTED_VALUE"""),"국물용 멸치")</f>
        <v>국물용 멸치</v>
      </c>
    </row>
    <row r="15216">
      <c r="A15216" s="2" t="str">
        <f>IFERROR(__xludf.DUMMYFUNCTION("""COMPUTED_VALUE"""),"와일드 아이즈면")</f>
        <v>와일드 아이즈면</v>
      </c>
      <c r="B15216" s="2" t="str">
        <f>IFERROR(__xludf.DUMMYFUNCTION("""COMPUTED_VALUE"""),"된장")</f>
        <v>된장</v>
      </c>
    </row>
    <row r="15217">
      <c r="A15217" s="2" t="str">
        <f>IFERROR(__xludf.DUMMYFUNCTION("""COMPUTED_VALUE"""),"와일드 아이즈면")</f>
        <v>와일드 아이즈면</v>
      </c>
      <c r="B15217" s="2" t="str">
        <f>IFERROR(__xludf.DUMMYFUNCTION("""COMPUTED_VALUE"""),"문어")</f>
        <v>문어</v>
      </c>
    </row>
    <row r="15218">
      <c r="A15218" s="2" t="str">
        <f>IFERROR(__xludf.DUMMYFUNCTION("""COMPUTED_VALUE"""),"와일드 아이즈면")</f>
        <v>와일드 아이즈면</v>
      </c>
      <c r="B15218" s="2" t="str">
        <f>IFERROR(__xludf.DUMMYFUNCTION("""COMPUTED_VALUE"""),"전복")</f>
        <v>전복</v>
      </c>
    </row>
    <row r="15219">
      <c r="A15219" s="2" t="str">
        <f>IFERROR(__xludf.DUMMYFUNCTION("""COMPUTED_VALUE"""),"와일드 아이즈면")</f>
        <v>와일드 아이즈면</v>
      </c>
      <c r="B15219" s="2" t="str">
        <f>IFERROR(__xludf.DUMMYFUNCTION("""COMPUTED_VALUE"""),"갑오징어")</f>
        <v>갑오징어</v>
      </c>
    </row>
    <row r="15220">
      <c r="A15220" s="2" t="str">
        <f>IFERROR(__xludf.DUMMYFUNCTION("""COMPUTED_VALUE"""),"와일드 아이즈면")</f>
        <v>와일드 아이즈면</v>
      </c>
      <c r="B15220" s="2" t="str">
        <f>IFERROR(__xludf.DUMMYFUNCTION("""COMPUTED_VALUE"""),"인스턴트 라멘")</f>
        <v>인스턴트 라멘</v>
      </c>
    </row>
    <row r="15221">
      <c r="A15221" s="2" t="str">
        <f>IFERROR(__xludf.DUMMYFUNCTION("""COMPUTED_VALUE"""),"와일드 아이즈면")</f>
        <v>와일드 아이즈면</v>
      </c>
      <c r="B15221" s="2" t="str">
        <f>IFERROR(__xludf.DUMMYFUNCTION("""COMPUTED_VALUE"""),"해삼내장")</f>
        <v>해삼내장</v>
      </c>
    </row>
    <row r="15222">
      <c r="A15222" s="2" t="str">
        <f>IFERROR(__xludf.DUMMYFUNCTION("""COMPUTED_VALUE"""),"와일드 아이즈면")</f>
        <v>와일드 아이즈면</v>
      </c>
      <c r="B15222" s="2" t="str">
        <f>IFERROR(__xludf.DUMMYFUNCTION("""COMPUTED_VALUE"""),"막장")</f>
        <v>막장</v>
      </c>
    </row>
    <row r="15223">
      <c r="A15223" s="2" t="str">
        <f>IFERROR(__xludf.DUMMYFUNCTION("""COMPUTED_VALUE"""),"와일드 아이즈면")</f>
        <v>와일드 아이즈면</v>
      </c>
      <c r="B15223" s="2" t="str">
        <f>IFERROR(__xludf.DUMMYFUNCTION("""COMPUTED_VALUE"""),"블랙타이거 새우")</f>
        <v>블랙타이거 새우</v>
      </c>
    </row>
    <row r="15224">
      <c r="A15224" s="2" t="str">
        <f>IFERROR(__xludf.DUMMYFUNCTION("""COMPUTED_VALUE"""),"와일드 아이즈면")</f>
        <v>와일드 아이즈면</v>
      </c>
      <c r="B15224" s="2" t="str">
        <f>IFERROR(__xludf.DUMMYFUNCTION("""COMPUTED_VALUE"""),"건새우")</f>
        <v>건새우</v>
      </c>
    </row>
    <row r="15225">
      <c r="A15225" s="2" t="str">
        <f>IFERROR(__xludf.DUMMYFUNCTION("""COMPUTED_VALUE"""),"와일드 아이즈면")</f>
        <v>와일드 아이즈면</v>
      </c>
      <c r="B15225" s="2" t="str">
        <f>IFERROR(__xludf.DUMMYFUNCTION("""COMPUTED_VALUE"""),"조미김")</f>
        <v>조미김</v>
      </c>
    </row>
    <row r="15226">
      <c r="A15226" s="2" t="str">
        <f>IFERROR(__xludf.DUMMYFUNCTION("""COMPUTED_VALUE"""),"와일드 아이즈면")</f>
        <v>와일드 아이즈면</v>
      </c>
      <c r="B15226" s="2" t="str">
        <f>IFERROR(__xludf.DUMMYFUNCTION("""COMPUTED_VALUE"""),"쪽파")</f>
        <v>쪽파</v>
      </c>
    </row>
    <row r="15227">
      <c r="A15227" s="2" t="str">
        <f>IFERROR(__xludf.DUMMYFUNCTION("""COMPUTED_VALUE"""),"와일드 아이즈면")</f>
        <v>와일드 아이즈면</v>
      </c>
      <c r="B15227" s="2" t="str">
        <f>IFERROR(__xludf.DUMMYFUNCTION("""COMPUTED_VALUE"""),"대파")</f>
        <v>대파</v>
      </c>
    </row>
    <row r="15228">
      <c r="A15228" s="2" t="str">
        <f>IFERROR(__xludf.DUMMYFUNCTION("""COMPUTED_VALUE"""),"와일드 아이즈면")</f>
        <v>와일드 아이즈면</v>
      </c>
      <c r="B15228" s="2" t="str">
        <f>IFERROR(__xludf.DUMMYFUNCTION("""COMPUTED_VALUE"""),"고춧가루")</f>
        <v>고춧가루</v>
      </c>
    </row>
    <row r="15229">
      <c r="A15229" s="2" t="str">
        <f>IFERROR(__xludf.DUMMYFUNCTION("""COMPUTED_VALUE"""),"와일드 아이즈면")</f>
        <v>와일드 아이즈면</v>
      </c>
      <c r="B15229" s="2" t="str">
        <f>IFERROR(__xludf.DUMMYFUNCTION("""COMPUTED_VALUE"""),"다진마늘")</f>
        <v>다진마늘</v>
      </c>
    </row>
    <row r="15230">
      <c r="A15230" s="2" t="str">
        <f>IFERROR(__xludf.DUMMYFUNCTION("""COMPUTED_VALUE"""),"와일드 아이즈면")</f>
        <v>와일드 아이즈면</v>
      </c>
      <c r="B15230" s="2" t="str">
        <f>IFERROR(__xludf.DUMMYFUNCTION("""COMPUTED_VALUE"""),"당근")</f>
        <v>당근</v>
      </c>
    </row>
    <row r="15231">
      <c r="A15231" s="2" t="str">
        <f>IFERROR(__xludf.DUMMYFUNCTION("""COMPUTED_VALUE"""),"와일드 아이즈면")</f>
        <v>와일드 아이즈면</v>
      </c>
      <c r="B15231" s="2" t="str">
        <f>IFERROR(__xludf.DUMMYFUNCTION("""COMPUTED_VALUE"""),"양파")</f>
        <v>양파</v>
      </c>
    </row>
    <row r="15232">
      <c r="A15232" s="2" t="str">
        <f>IFERROR(__xludf.DUMMYFUNCTION("""COMPUTED_VALUE"""),"와일드 아이즈면")</f>
        <v>와일드 아이즈면</v>
      </c>
      <c r="B15232" s="2" t="str">
        <f>IFERROR(__xludf.DUMMYFUNCTION("""COMPUTED_VALUE"""),"달걀")</f>
        <v>달걀</v>
      </c>
    </row>
    <row r="15233">
      <c r="A15233" s="2" t="str">
        <f>IFERROR(__xludf.DUMMYFUNCTION("""COMPUTED_VALUE"""),"와일드 아이즈면")</f>
        <v>와일드 아이즈면</v>
      </c>
      <c r="B15233" s="2" t="str">
        <f>IFERROR(__xludf.DUMMYFUNCTION("""COMPUTED_VALUE"""),"밀가루")</f>
        <v>밀가루</v>
      </c>
    </row>
    <row r="15234">
      <c r="A15234" s="2" t="str">
        <f>IFERROR(__xludf.DUMMYFUNCTION("""COMPUTED_VALUE"""),"와일드 아이즈면")</f>
        <v>와일드 아이즈면</v>
      </c>
      <c r="B15234" s="2" t="str">
        <f>IFERROR(__xludf.DUMMYFUNCTION("""COMPUTED_VALUE"""),"참기름")</f>
        <v>참기름</v>
      </c>
    </row>
    <row r="15235">
      <c r="A15235" s="2" t="str">
        <f>IFERROR(__xludf.DUMMYFUNCTION("""COMPUTED_VALUE"""),"와일드 아이즈면")</f>
        <v>와일드 아이즈면</v>
      </c>
      <c r="B15235" s="2" t="str">
        <f>IFERROR(__xludf.DUMMYFUNCTION("""COMPUTED_VALUE"""),"마늘")</f>
        <v>마늘</v>
      </c>
    </row>
    <row r="15236">
      <c r="A15236" s="2" t="str">
        <f>IFERROR(__xludf.DUMMYFUNCTION("""COMPUTED_VALUE"""),"Hey, Come 면!")</f>
        <v>Hey, Come 면!</v>
      </c>
      <c r="B15236" s="2" t="str">
        <f>IFERROR(__xludf.DUMMYFUNCTION("""COMPUTED_VALUE"""),"갑오징어")</f>
        <v>갑오징어</v>
      </c>
    </row>
    <row r="15237">
      <c r="A15237" s="2" t="str">
        <f>IFERROR(__xludf.DUMMYFUNCTION("""COMPUTED_VALUE"""),"Hey, Come 면!")</f>
        <v>Hey, Come 면!</v>
      </c>
      <c r="B15237" s="2" t="str">
        <f>IFERROR(__xludf.DUMMYFUNCTION("""COMPUTED_VALUE"""),"차돌박이")</f>
        <v>차돌박이</v>
      </c>
    </row>
    <row r="15238">
      <c r="A15238" s="2" t="str">
        <f>IFERROR(__xludf.DUMMYFUNCTION("""COMPUTED_VALUE"""),"Hey, Come 면!")</f>
        <v>Hey, Come 면!</v>
      </c>
      <c r="B15238" s="2" t="str">
        <f>IFERROR(__xludf.DUMMYFUNCTION("""COMPUTED_VALUE"""),"굴소스")</f>
        <v>굴소스</v>
      </c>
    </row>
    <row r="15239">
      <c r="A15239" s="2" t="str">
        <f>IFERROR(__xludf.DUMMYFUNCTION("""COMPUTED_VALUE"""),"Hey, Come 면!")</f>
        <v>Hey, Come 면!</v>
      </c>
      <c r="B15239" s="2" t="str">
        <f>IFERROR(__xludf.DUMMYFUNCTION("""COMPUTED_VALUE"""),"팟타이소스")</f>
        <v>팟타이소스</v>
      </c>
    </row>
    <row r="15240">
      <c r="A15240" s="2" t="str">
        <f>IFERROR(__xludf.DUMMYFUNCTION("""COMPUTED_VALUE"""),"Hey, Come 면!")</f>
        <v>Hey, Come 면!</v>
      </c>
      <c r="B15240" s="2" t="str">
        <f>IFERROR(__xludf.DUMMYFUNCTION("""COMPUTED_VALUE"""),"한라봉")</f>
        <v>한라봉</v>
      </c>
    </row>
    <row r="15241">
      <c r="A15241" s="2" t="str">
        <f>IFERROR(__xludf.DUMMYFUNCTION("""COMPUTED_VALUE"""),"Hey, Come 면!")</f>
        <v>Hey, Come 면!</v>
      </c>
      <c r="B15241" s="2" t="str">
        <f>IFERROR(__xludf.DUMMYFUNCTION("""COMPUTED_VALUE"""),"전복")</f>
        <v>전복</v>
      </c>
    </row>
    <row r="15242">
      <c r="A15242" s="2" t="str">
        <f>IFERROR(__xludf.DUMMYFUNCTION("""COMPUTED_VALUE"""),"Hey, Come 면!")</f>
        <v>Hey, Come 면!</v>
      </c>
      <c r="B15242" s="2" t="str">
        <f>IFERROR(__xludf.DUMMYFUNCTION("""COMPUTED_VALUE"""),"쪽파")</f>
        <v>쪽파</v>
      </c>
    </row>
    <row r="15243">
      <c r="A15243" s="2" t="str">
        <f>IFERROR(__xludf.DUMMYFUNCTION("""COMPUTED_VALUE"""),"Hey, Come 면!")</f>
        <v>Hey, Come 면!</v>
      </c>
      <c r="B15243" s="2" t="str">
        <f>IFERROR(__xludf.DUMMYFUNCTION("""COMPUTED_VALUE"""),"멸치가리비소스")</f>
        <v>멸치가리비소스</v>
      </c>
    </row>
    <row r="15244">
      <c r="A15244" s="2" t="str">
        <f>IFERROR(__xludf.DUMMYFUNCTION("""COMPUTED_VALUE"""),"Hey, Come 면!")</f>
        <v>Hey, Come 면!</v>
      </c>
      <c r="B15244" s="2" t="str">
        <f>IFERROR(__xludf.DUMMYFUNCTION("""COMPUTED_VALUE"""),"알배추")</f>
        <v>알배추</v>
      </c>
    </row>
    <row r="15245">
      <c r="A15245" s="2" t="str">
        <f>IFERROR(__xludf.DUMMYFUNCTION("""COMPUTED_VALUE"""),"Hey, Come 면!")</f>
        <v>Hey, Come 면!</v>
      </c>
      <c r="B15245" s="2" t="str">
        <f>IFERROR(__xludf.DUMMYFUNCTION("""COMPUTED_VALUE"""),"파스타면")</f>
        <v>파스타면</v>
      </c>
    </row>
    <row r="15246">
      <c r="A15246" s="2" t="str">
        <f>IFERROR(__xludf.DUMMYFUNCTION("""COMPUTED_VALUE"""),"Hey, Come 면!")</f>
        <v>Hey, Come 면!</v>
      </c>
      <c r="B15246" s="2" t="str">
        <f>IFERROR(__xludf.DUMMYFUNCTION("""COMPUTED_VALUE"""),"밀가루")</f>
        <v>밀가루</v>
      </c>
    </row>
    <row r="15247">
      <c r="A15247" s="2" t="str">
        <f>IFERROR(__xludf.DUMMYFUNCTION("""COMPUTED_VALUE"""),"Hey, Come 면!")</f>
        <v>Hey, Come 면!</v>
      </c>
      <c r="B15247" s="2" t="str">
        <f>IFERROR(__xludf.DUMMYFUNCTION("""COMPUTED_VALUE"""),"달걀")</f>
        <v>달걀</v>
      </c>
    </row>
    <row r="15248">
      <c r="A15248" s="2" t="str">
        <f>IFERROR(__xludf.DUMMYFUNCTION("""COMPUTED_VALUE"""),"Hey, Come 면!")</f>
        <v>Hey, Come 면!</v>
      </c>
      <c r="B15248" s="2" t="str">
        <f>IFERROR(__xludf.DUMMYFUNCTION("""COMPUTED_VALUE"""),"소금")</f>
        <v>소금</v>
      </c>
    </row>
    <row r="15249">
      <c r="A15249" s="2" t="str">
        <f>IFERROR(__xludf.DUMMYFUNCTION("""COMPUTED_VALUE"""),"Hey, Come 면!")</f>
        <v>Hey, Come 면!</v>
      </c>
      <c r="B15249" s="2" t="str">
        <f>IFERROR(__xludf.DUMMYFUNCTION("""COMPUTED_VALUE"""),"다진마늘")</f>
        <v>다진마늘</v>
      </c>
    </row>
    <row r="15250">
      <c r="A15250" s="2" t="str">
        <f>IFERROR(__xludf.DUMMYFUNCTION("""COMPUTED_VALUE"""),"Hey, Come 면!")</f>
        <v>Hey, Come 면!</v>
      </c>
      <c r="B15250" s="2" t="str">
        <f>IFERROR(__xludf.DUMMYFUNCTION("""COMPUTED_VALUE"""),"올리브오일")</f>
        <v>올리브오일</v>
      </c>
    </row>
    <row r="15251">
      <c r="A15251" s="2" t="str">
        <f>IFERROR(__xludf.DUMMYFUNCTION("""COMPUTED_VALUE"""),"Hey, Come 면!")</f>
        <v>Hey, Come 면!</v>
      </c>
      <c r="B15251" s="2" t="str">
        <f>IFERROR(__xludf.DUMMYFUNCTION("""COMPUTED_VALUE"""),"후추")</f>
        <v>후추</v>
      </c>
    </row>
    <row r="15252">
      <c r="A15252" s="2" t="str">
        <f>IFERROR(__xludf.DUMMYFUNCTION("""COMPUTED_VALUE"""),"Hey, Come 면!")</f>
        <v>Hey, Come 면!</v>
      </c>
      <c r="B15252" s="2" t="str">
        <f>IFERROR(__xludf.DUMMYFUNCTION("""COMPUTED_VALUE"""),"마늘")</f>
        <v>마늘</v>
      </c>
    </row>
    <row r="15253">
      <c r="A15253" s="2" t="str">
        <f>IFERROR(__xludf.DUMMYFUNCTION("""COMPUTED_VALUE"""),"Hey, Come 면!")</f>
        <v>Hey, Come 면!</v>
      </c>
      <c r="B15253" s="2" t="str">
        <f>IFERROR(__xludf.DUMMYFUNCTION("""COMPUTED_VALUE"""),"다진생강")</f>
        <v>다진생강</v>
      </c>
    </row>
    <row r="15254">
      <c r="A15254" s="2" t="str">
        <f>IFERROR(__xludf.DUMMYFUNCTION("""COMPUTED_VALUE"""),"Hey, Come 면!")</f>
        <v>Hey, Come 면!</v>
      </c>
      <c r="B15254" s="2" t="str">
        <f>IFERROR(__xludf.DUMMYFUNCTION("""COMPUTED_VALUE"""),"간장")</f>
        <v>간장</v>
      </c>
    </row>
    <row r="15255">
      <c r="A15255" s="2" t="str">
        <f>IFERROR(__xludf.DUMMYFUNCTION("""COMPUTED_VALUE"""),"Hey, Come 면!")</f>
        <v>Hey, Come 면!</v>
      </c>
      <c r="B15255" s="2" t="str">
        <f>IFERROR(__xludf.DUMMYFUNCTION("""COMPUTED_VALUE"""),"레몬")</f>
        <v>레몬</v>
      </c>
    </row>
    <row r="15256">
      <c r="A15256" s="2" t="str">
        <f>IFERROR(__xludf.DUMMYFUNCTION("""COMPUTED_VALUE"""),"Hey, Come 면!")</f>
        <v>Hey, Come 면!</v>
      </c>
      <c r="B15256" s="2" t="str">
        <f>IFERROR(__xludf.DUMMYFUNCTION("""COMPUTED_VALUE"""),"설탕")</f>
        <v>설탕</v>
      </c>
    </row>
    <row r="15257">
      <c r="A15257" s="2" t="str">
        <f>IFERROR(__xludf.DUMMYFUNCTION("""COMPUTED_VALUE"""),"Hey, Come 면!")</f>
        <v>Hey, Come 면!</v>
      </c>
      <c r="B15257" s="2" t="str">
        <f>IFERROR(__xludf.DUMMYFUNCTION("""COMPUTED_VALUE"""),"참기름")</f>
        <v>참기름</v>
      </c>
    </row>
    <row r="15258">
      <c r="A15258" s="2" t="str">
        <f>IFERROR(__xludf.DUMMYFUNCTION("""COMPUTED_VALUE"""),"Hey, Come 면!")</f>
        <v>Hey, Come 면!</v>
      </c>
      <c r="B15258" s="2" t="str">
        <f>IFERROR(__xludf.DUMMYFUNCTION("""COMPUTED_VALUE"""),"전분")</f>
        <v>전분</v>
      </c>
    </row>
    <row r="15259">
      <c r="A15259" s="2" t="str">
        <f>IFERROR(__xludf.DUMMYFUNCTION("""COMPUTED_VALUE"""),"Hey, Come 면!")</f>
        <v>Hey, Come 면!</v>
      </c>
      <c r="B15259" s="2" t="str">
        <f>IFERROR(__xludf.DUMMYFUNCTION("""COMPUTED_VALUE"""),"양파")</f>
        <v>양파</v>
      </c>
    </row>
    <row r="15260">
      <c r="A15260" s="2" t="str">
        <f>IFERROR(__xludf.DUMMYFUNCTION("""COMPUTED_VALUE"""),"Hey, Come 면!")</f>
        <v>Hey, Come 면!</v>
      </c>
      <c r="B15260" s="2" t="str">
        <f>IFERROR(__xludf.DUMMYFUNCTION("""COMPUTED_VALUE"""),"대파")</f>
        <v>대파</v>
      </c>
    </row>
    <row r="15261">
      <c r="A15261" s="2" t="str">
        <f>IFERROR(__xludf.DUMMYFUNCTION("""COMPUTED_VALUE"""),"뉴욕 버터 치킨")</f>
        <v>뉴욕 버터 치킨</v>
      </c>
      <c r="B15261" s="2" t="str">
        <f>IFERROR(__xludf.DUMMYFUNCTION("""COMPUTED_VALUE"""),"토종닭")</f>
        <v>토종닭</v>
      </c>
    </row>
    <row r="15262">
      <c r="A15262" s="2" t="str">
        <f>IFERROR(__xludf.DUMMYFUNCTION("""COMPUTED_VALUE"""),"뉴욕 버터 치킨")</f>
        <v>뉴욕 버터 치킨</v>
      </c>
      <c r="B15262" s="2" t="str">
        <f>IFERROR(__xludf.DUMMYFUNCTION("""COMPUTED_VALUE"""),"맛간장")</f>
        <v>맛간장</v>
      </c>
    </row>
    <row r="15263">
      <c r="A15263" s="2" t="str">
        <f>IFERROR(__xludf.DUMMYFUNCTION("""COMPUTED_VALUE"""),"뉴욕 버터 치킨")</f>
        <v>뉴욕 버터 치킨</v>
      </c>
      <c r="B15263" s="2" t="str">
        <f>IFERROR(__xludf.DUMMYFUNCTION("""COMPUTED_VALUE"""),"오디")</f>
        <v>오디</v>
      </c>
    </row>
    <row r="15264">
      <c r="A15264" s="2" t="str">
        <f>IFERROR(__xludf.DUMMYFUNCTION("""COMPUTED_VALUE"""),"뉴욕 버터 치킨")</f>
        <v>뉴욕 버터 치킨</v>
      </c>
      <c r="B15264" s="2" t="str">
        <f>IFERROR(__xludf.DUMMYFUNCTION("""COMPUTED_VALUE"""),"쑥갓")</f>
        <v>쑥갓</v>
      </c>
    </row>
    <row r="15265">
      <c r="A15265" s="2" t="str">
        <f>IFERROR(__xludf.DUMMYFUNCTION("""COMPUTED_VALUE"""),"뉴욕 버터 치킨")</f>
        <v>뉴욕 버터 치킨</v>
      </c>
      <c r="B15265" s="2" t="str">
        <f>IFERROR(__xludf.DUMMYFUNCTION("""COMPUTED_VALUE"""),"애호박")</f>
        <v>애호박</v>
      </c>
    </row>
    <row r="15266">
      <c r="A15266" s="2" t="str">
        <f>IFERROR(__xludf.DUMMYFUNCTION("""COMPUTED_VALUE"""),"뉴욕 버터 치킨")</f>
        <v>뉴욕 버터 치킨</v>
      </c>
      <c r="B15266" s="2" t="str">
        <f>IFERROR(__xludf.DUMMYFUNCTION("""COMPUTED_VALUE"""),"가지")</f>
        <v>가지</v>
      </c>
    </row>
    <row r="15267">
      <c r="A15267" s="2" t="str">
        <f>IFERROR(__xludf.DUMMYFUNCTION("""COMPUTED_VALUE"""),"뉴욕 버터 치킨")</f>
        <v>뉴욕 버터 치킨</v>
      </c>
      <c r="B15267" s="2" t="str">
        <f>IFERROR(__xludf.DUMMYFUNCTION("""COMPUTED_VALUE"""),"사골육수")</f>
        <v>사골육수</v>
      </c>
    </row>
    <row r="15268">
      <c r="A15268" s="2" t="str">
        <f>IFERROR(__xludf.DUMMYFUNCTION("""COMPUTED_VALUE"""),"뉴욕 버터 치킨")</f>
        <v>뉴욕 버터 치킨</v>
      </c>
      <c r="B15268" s="2" t="str">
        <f>IFERROR(__xludf.DUMMYFUNCTION("""COMPUTED_VALUE"""),"새우살")</f>
        <v>새우살</v>
      </c>
    </row>
    <row r="15269">
      <c r="A15269" s="2" t="str">
        <f>IFERROR(__xludf.DUMMYFUNCTION("""COMPUTED_VALUE"""),"뉴욕 버터 치킨")</f>
        <v>뉴욕 버터 치킨</v>
      </c>
      <c r="B15269" s="2" t="str">
        <f>IFERROR(__xludf.DUMMYFUNCTION("""COMPUTED_VALUE"""),"탄산수")</f>
        <v>탄산수</v>
      </c>
    </row>
    <row r="15270">
      <c r="A15270" s="2" t="str">
        <f>IFERROR(__xludf.DUMMYFUNCTION("""COMPUTED_VALUE"""),"뉴욕 버터 치킨")</f>
        <v>뉴욕 버터 치킨</v>
      </c>
      <c r="B15270" s="2" t="str">
        <f>IFERROR(__xludf.DUMMYFUNCTION("""COMPUTED_VALUE"""),"표고버섯")</f>
        <v>표고버섯</v>
      </c>
    </row>
    <row r="15271">
      <c r="A15271" s="2" t="str">
        <f>IFERROR(__xludf.DUMMYFUNCTION("""COMPUTED_VALUE"""),"뉴욕 버터 치킨")</f>
        <v>뉴욕 버터 치킨</v>
      </c>
      <c r="B15271" s="2" t="str">
        <f>IFERROR(__xludf.DUMMYFUNCTION("""COMPUTED_VALUE"""),"김치만두")</f>
        <v>김치만두</v>
      </c>
    </row>
    <row r="15272">
      <c r="A15272" s="2" t="str">
        <f>IFERROR(__xludf.DUMMYFUNCTION("""COMPUTED_VALUE"""),"뉴욕 버터 치킨")</f>
        <v>뉴욕 버터 치킨</v>
      </c>
      <c r="B15272" s="2" t="str">
        <f>IFERROR(__xludf.DUMMYFUNCTION("""COMPUTED_VALUE"""),"발사믹 식초")</f>
        <v>발사믹 식초</v>
      </c>
    </row>
    <row r="15273">
      <c r="A15273" s="2" t="str">
        <f>IFERROR(__xludf.DUMMYFUNCTION("""COMPUTED_VALUE"""),"뉴욕 버터 치킨")</f>
        <v>뉴욕 버터 치킨</v>
      </c>
      <c r="B15273" s="2" t="str">
        <f>IFERROR(__xludf.DUMMYFUNCTION("""COMPUTED_VALUE"""),"대파")</f>
        <v>대파</v>
      </c>
    </row>
    <row r="15274">
      <c r="A15274" s="2" t="str">
        <f>IFERROR(__xludf.DUMMYFUNCTION("""COMPUTED_VALUE"""),"뉴욕 버터 치킨")</f>
        <v>뉴욕 버터 치킨</v>
      </c>
      <c r="B15274" s="2" t="str">
        <f>IFERROR(__xludf.DUMMYFUNCTION("""COMPUTED_VALUE"""),"버터")</f>
        <v>버터</v>
      </c>
    </row>
    <row r="15275">
      <c r="A15275" s="2" t="str">
        <f>IFERROR(__xludf.DUMMYFUNCTION("""COMPUTED_VALUE"""),"뉴욕 버터 치킨")</f>
        <v>뉴욕 버터 치킨</v>
      </c>
      <c r="B15275" s="2" t="str">
        <f>IFERROR(__xludf.DUMMYFUNCTION("""COMPUTED_VALUE"""),"후추")</f>
        <v>후추</v>
      </c>
    </row>
    <row r="15276">
      <c r="A15276" s="2" t="str">
        <f>IFERROR(__xludf.DUMMYFUNCTION("""COMPUTED_VALUE"""),"뉴욕 버터 치킨")</f>
        <v>뉴욕 버터 치킨</v>
      </c>
      <c r="B15276" s="2" t="str">
        <f>IFERROR(__xludf.DUMMYFUNCTION("""COMPUTED_VALUE"""),"밀가루")</f>
        <v>밀가루</v>
      </c>
    </row>
    <row r="15277">
      <c r="A15277" s="2" t="str">
        <f>IFERROR(__xludf.DUMMYFUNCTION("""COMPUTED_VALUE"""),"뉴욕 버터 치킨")</f>
        <v>뉴욕 버터 치킨</v>
      </c>
      <c r="B15277" s="2" t="str">
        <f>IFERROR(__xludf.DUMMYFUNCTION("""COMPUTED_VALUE"""),"전분")</f>
        <v>전분</v>
      </c>
    </row>
    <row r="15278">
      <c r="A15278" s="2" t="str">
        <f>IFERROR(__xludf.DUMMYFUNCTION("""COMPUTED_VALUE"""),"뉴욕 버터 치킨")</f>
        <v>뉴욕 버터 치킨</v>
      </c>
      <c r="B15278" s="2" t="str">
        <f>IFERROR(__xludf.DUMMYFUNCTION("""COMPUTED_VALUE"""),"맛술")</f>
        <v>맛술</v>
      </c>
    </row>
    <row r="15279">
      <c r="A15279" s="2" t="str">
        <f>IFERROR(__xludf.DUMMYFUNCTION("""COMPUTED_VALUE"""),"뉴욕 버터 치킨")</f>
        <v>뉴욕 버터 치킨</v>
      </c>
      <c r="B15279" s="2" t="str">
        <f>IFERROR(__xludf.DUMMYFUNCTION("""COMPUTED_VALUE"""),"양파")</f>
        <v>양파</v>
      </c>
    </row>
    <row r="15280">
      <c r="A15280" s="2" t="str">
        <f>IFERROR(__xludf.DUMMYFUNCTION("""COMPUTED_VALUE"""),"뉴욕 버터 치킨")</f>
        <v>뉴욕 버터 치킨</v>
      </c>
      <c r="B15280" s="2" t="str">
        <f>IFERROR(__xludf.DUMMYFUNCTION("""COMPUTED_VALUE"""),"소금")</f>
        <v>소금</v>
      </c>
    </row>
    <row r="15281">
      <c r="A15281" s="2" t="str">
        <f>IFERROR(__xludf.DUMMYFUNCTION("""COMPUTED_VALUE"""),"뉴욕 버터 치킨")</f>
        <v>뉴욕 버터 치킨</v>
      </c>
      <c r="B15281" s="2" t="str">
        <f>IFERROR(__xludf.DUMMYFUNCTION("""COMPUTED_VALUE"""),"올리브 오일")</f>
        <v>올리브 오일</v>
      </c>
    </row>
    <row r="15282">
      <c r="A15282" s="2" t="str">
        <f>IFERROR(__xludf.DUMMYFUNCTION("""COMPUTED_VALUE"""),"베이징닭 말고 뭣이 중헌디!")</f>
        <v>베이징닭 말고 뭣이 중헌디!</v>
      </c>
      <c r="B15282" s="2" t="str">
        <f>IFERROR(__xludf.DUMMYFUNCTION("""COMPUTED_VALUE"""),"토종닭")</f>
        <v>토종닭</v>
      </c>
    </row>
    <row r="15283">
      <c r="A15283" s="2" t="str">
        <f>IFERROR(__xludf.DUMMYFUNCTION("""COMPUTED_VALUE"""),"베이징닭 말고 뭣이 중헌디!")</f>
        <v>베이징닭 말고 뭣이 중헌디!</v>
      </c>
      <c r="B15283" s="2" t="str">
        <f>IFERROR(__xludf.DUMMYFUNCTION("""COMPUTED_VALUE"""),"된장")</f>
        <v>된장</v>
      </c>
    </row>
    <row r="15284">
      <c r="A15284" s="2" t="str">
        <f>IFERROR(__xludf.DUMMYFUNCTION("""COMPUTED_VALUE"""),"베이징닭 말고 뭣이 중헌디!")</f>
        <v>베이징닭 말고 뭣이 중헌디!</v>
      </c>
      <c r="B15284" s="2" t="str">
        <f>IFERROR(__xludf.DUMMYFUNCTION("""COMPUTED_VALUE"""),"오이")</f>
        <v>오이</v>
      </c>
    </row>
    <row r="15285">
      <c r="A15285" s="2" t="str">
        <f>IFERROR(__xludf.DUMMYFUNCTION("""COMPUTED_VALUE"""),"베이징닭 말고 뭣이 중헌디!")</f>
        <v>베이징닭 말고 뭣이 중헌디!</v>
      </c>
      <c r="B15285" s="2" t="str">
        <f>IFERROR(__xludf.DUMMYFUNCTION("""COMPUTED_VALUE"""),"가지")</f>
        <v>가지</v>
      </c>
    </row>
    <row r="15286">
      <c r="A15286" s="2" t="str">
        <f>IFERROR(__xludf.DUMMYFUNCTION("""COMPUTED_VALUE"""),"베이징닭 말고 뭣이 중헌디!")</f>
        <v>베이징닭 말고 뭣이 중헌디!</v>
      </c>
      <c r="B15286" s="2" t="str">
        <f>IFERROR(__xludf.DUMMYFUNCTION("""COMPUTED_VALUE"""),"알배추")</f>
        <v>알배추</v>
      </c>
    </row>
    <row r="15287">
      <c r="A15287" s="2" t="str">
        <f>IFERROR(__xludf.DUMMYFUNCTION("""COMPUTED_VALUE"""),"베이징닭 말고 뭣이 중헌디!")</f>
        <v>베이징닭 말고 뭣이 중헌디!</v>
      </c>
      <c r="B15287" s="2" t="str">
        <f>IFERROR(__xludf.DUMMYFUNCTION("""COMPUTED_VALUE"""),"쑥갓")</f>
        <v>쑥갓</v>
      </c>
    </row>
    <row r="15288">
      <c r="A15288" s="2" t="str">
        <f>IFERROR(__xludf.DUMMYFUNCTION("""COMPUTED_VALUE"""),"베이징닭 말고 뭣이 중헌디!")</f>
        <v>베이징닭 말고 뭣이 중헌디!</v>
      </c>
      <c r="B15288" s="2" t="str">
        <f>IFERROR(__xludf.DUMMYFUNCTION("""COMPUTED_VALUE"""),"쑥청")</f>
        <v>쑥청</v>
      </c>
    </row>
    <row r="15289">
      <c r="A15289" s="2" t="str">
        <f>IFERROR(__xludf.DUMMYFUNCTION("""COMPUTED_VALUE"""),"베이징닭 말고 뭣이 중헌디!")</f>
        <v>베이징닭 말고 뭣이 중헌디!</v>
      </c>
      <c r="B15289" s="2" t="str">
        <f>IFERROR(__xludf.DUMMYFUNCTION("""COMPUTED_VALUE"""),"대파")</f>
        <v>대파</v>
      </c>
    </row>
    <row r="15290">
      <c r="A15290" s="2" t="str">
        <f>IFERROR(__xludf.DUMMYFUNCTION("""COMPUTED_VALUE"""),"베이징닭 말고 뭣이 중헌디!")</f>
        <v>베이징닭 말고 뭣이 중헌디!</v>
      </c>
      <c r="B15290" s="2" t="str">
        <f>IFERROR(__xludf.DUMMYFUNCTION("""COMPUTED_VALUE"""),"전복")</f>
        <v>전복</v>
      </c>
    </row>
    <row r="15291">
      <c r="A15291" s="2" t="str">
        <f>IFERROR(__xludf.DUMMYFUNCTION("""COMPUTED_VALUE"""),"베이징닭 말고 뭣이 중헌디!")</f>
        <v>베이징닭 말고 뭣이 중헌디!</v>
      </c>
      <c r="B15291" s="2" t="str">
        <f>IFERROR(__xludf.DUMMYFUNCTION("""COMPUTED_VALUE"""),"파프리카")</f>
        <v>파프리카</v>
      </c>
    </row>
    <row r="15292">
      <c r="A15292" s="2" t="str">
        <f>IFERROR(__xludf.DUMMYFUNCTION("""COMPUTED_VALUE"""),"베이징닭 말고 뭣이 중헌디!")</f>
        <v>베이징닭 말고 뭣이 중헌디!</v>
      </c>
      <c r="B15292" s="2" t="str">
        <f>IFERROR(__xludf.DUMMYFUNCTION("""COMPUTED_VALUE"""),"해선장")</f>
        <v>해선장</v>
      </c>
    </row>
    <row r="15293">
      <c r="A15293" s="2" t="str">
        <f>IFERROR(__xludf.DUMMYFUNCTION("""COMPUTED_VALUE"""),"베이징닭 말고 뭣이 중헌디!")</f>
        <v>베이징닭 말고 뭣이 중헌디!</v>
      </c>
      <c r="B15293" s="2" t="str">
        <f>IFERROR(__xludf.DUMMYFUNCTION("""COMPUTED_VALUE"""),"들기름")</f>
        <v>들기름</v>
      </c>
    </row>
    <row r="15294">
      <c r="A15294" s="2" t="str">
        <f>IFERROR(__xludf.DUMMYFUNCTION("""COMPUTED_VALUE"""),"베이징닭 말고 뭣이 중헌디!")</f>
        <v>베이징닭 말고 뭣이 중헌디!</v>
      </c>
      <c r="B15294" s="2" t="str">
        <f>IFERROR(__xludf.DUMMYFUNCTION("""COMPUTED_VALUE"""),"두부")</f>
        <v>두부</v>
      </c>
    </row>
    <row r="15295">
      <c r="A15295" s="2" t="str">
        <f>IFERROR(__xludf.DUMMYFUNCTION("""COMPUTED_VALUE"""),"베이징닭 말고 뭣이 중헌디!")</f>
        <v>베이징닭 말고 뭣이 중헌디!</v>
      </c>
      <c r="B15295" s="2" t="str">
        <f>IFERROR(__xludf.DUMMYFUNCTION("""COMPUTED_VALUE"""),"설탕")</f>
        <v>설탕</v>
      </c>
    </row>
    <row r="15296">
      <c r="A15296" s="2" t="str">
        <f>IFERROR(__xludf.DUMMYFUNCTION("""COMPUTED_VALUE"""),"베이징닭 말고 뭣이 중헌디!")</f>
        <v>베이징닭 말고 뭣이 중헌디!</v>
      </c>
      <c r="B15296" s="2" t="str">
        <f>IFERROR(__xludf.DUMMYFUNCTION("""COMPUTED_VALUE"""),"간장")</f>
        <v>간장</v>
      </c>
    </row>
    <row r="15297">
      <c r="A15297" s="2" t="str">
        <f>IFERROR(__xludf.DUMMYFUNCTION("""COMPUTED_VALUE"""),"베이징닭 말고 뭣이 중헌디!")</f>
        <v>베이징닭 말고 뭣이 중헌디!</v>
      </c>
      <c r="B15297" s="2" t="str">
        <f>IFERROR(__xludf.DUMMYFUNCTION("""COMPUTED_VALUE"""),"대파")</f>
        <v>대파</v>
      </c>
    </row>
    <row r="15298">
      <c r="A15298" s="2" t="str">
        <f>IFERROR(__xludf.DUMMYFUNCTION("""COMPUTED_VALUE"""),"베이징닭 말고 뭣이 중헌디!")</f>
        <v>베이징닭 말고 뭣이 중헌디!</v>
      </c>
      <c r="B15298" s="2" t="str">
        <f>IFERROR(__xludf.DUMMYFUNCTION("""COMPUTED_VALUE"""),"생강")</f>
        <v>생강</v>
      </c>
    </row>
    <row r="15299">
      <c r="A15299" s="2" t="str">
        <f>IFERROR(__xludf.DUMMYFUNCTION("""COMPUTED_VALUE"""),"베이징닭 말고 뭣이 중헌디!")</f>
        <v>베이징닭 말고 뭣이 중헌디!</v>
      </c>
      <c r="B15299" s="2" t="str">
        <f>IFERROR(__xludf.DUMMYFUNCTION("""COMPUTED_VALUE"""),"밀가루")</f>
        <v>밀가루</v>
      </c>
    </row>
    <row r="15300">
      <c r="A15300" s="2" t="str">
        <f>IFERROR(__xludf.DUMMYFUNCTION("""COMPUTED_VALUE"""),"베이징닭 말고 뭣이 중헌디!")</f>
        <v>베이징닭 말고 뭣이 중헌디!</v>
      </c>
      <c r="B15300" s="2" t="str">
        <f>IFERROR(__xludf.DUMMYFUNCTION("""COMPUTED_VALUE"""),"소금")</f>
        <v>소금</v>
      </c>
    </row>
    <row r="15301">
      <c r="A15301" s="2" t="str">
        <f>IFERROR(__xludf.DUMMYFUNCTION("""COMPUTED_VALUE"""),"맛있으면 돼지?")</f>
        <v>맛있으면 돼지?</v>
      </c>
      <c r="B15301" s="2" t="str">
        <f>IFERROR(__xludf.DUMMYFUNCTION("""COMPUTED_VALUE"""),"돼지 갈비살")</f>
        <v>돼지 갈비살</v>
      </c>
    </row>
    <row r="15302">
      <c r="A15302" s="2" t="str">
        <f>IFERROR(__xludf.DUMMYFUNCTION("""COMPUTED_VALUE"""),"맛있으면 돼지?")</f>
        <v>맛있으면 돼지?</v>
      </c>
      <c r="B15302" s="2" t="str">
        <f>IFERROR(__xludf.DUMMYFUNCTION("""COMPUTED_VALUE"""),"간장게장")</f>
        <v>간장게장</v>
      </c>
    </row>
    <row r="15303">
      <c r="A15303" s="2" t="str">
        <f>IFERROR(__xludf.DUMMYFUNCTION("""COMPUTED_VALUE"""),"맛있으면 돼지?")</f>
        <v>맛있으면 돼지?</v>
      </c>
      <c r="B15303" s="2" t="str">
        <f>IFERROR(__xludf.DUMMYFUNCTION("""COMPUTED_VALUE"""),"애호박")</f>
        <v>애호박</v>
      </c>
    </row>
    <row r="15304">
      <c r="A15304" s="2" t="str">
        <f>IFERROR(__xludf.DUMMYFUNCTION("""COMPUTED_VALUE"""),"맛있으면 돼지?")</f>
        <v>맛있으면 돼지?</v>
      </c>
      <c r="B15304" s="2" t="str">
        <f>IFERROR(__xludf.DUMMYFUNCTION("""COMPUTED_VALUE"""),"참나물")</f>
        <v>참나물</v>
      </c>
    </row>
    <row r="15305">
      <c r="A15305" s="2" t="str">
        <f>IFERROR(__xludf.DUMMYFUNCTION("""COMPUTED_VALUE"""),"맛있으면 돼지?")</f>
        <v>맛있으면 돼지?</v>
      </c>
      <c r="B15305" s="2" t="str">
        <f>IFERROR(__xludf.DUMMYFUNCTION("""COMPUTED_VALUE"""),"시래기")</f>
        <v>시래기</v>
      </c>
    </row>
    <row r="15306">
      <c r="A15306" s="2" t="str">
        <f>IFERROR(__xludf.DUMMYFUNCTION("""COMPUTED_VALUE"""),"맛있으면 돼지?")</f>
        <v>맛있으면 돼지?</v>
      </c>
      <c r="B15306" s="2" t="str">
        <f>IFERROR(__xludf.DUMMYFUNCTION("""COMPUTED_VALUE"""),"된장")</f>
        <v>된장</v>
      </c>
    </row>
    <row r="15307">
      <c r="A15307" s="2" t="str">
        <f>IFERROR(__xludf.DUMMYFUNCTION("""COMPUTED_VALUE"""),"맛있으면 돼지?")</f>
        <v>맛있으면 돼지?</v>
      </c>
      <c r="B15307" s="2" t="str">
        <f>IFERROR(__xludf.DUMMYFUNCTION("""COMPUTED_VALUE"""),"고추장")</f>
        <v>고추장</v>
      </c>
    </row>
    <row r="15308">
      <c r="A15308" s="2" t="str">
        <f>IFERROR(__xludf.DUMMYFUNCTION("""COMPUTED_VALUE"""),"맛있으면 돼지?")</f>
        <v>맛있으면 돼지?</v>
      </c>
      <c r="B15308" s="2" t="str">
        <f>IFERROR(__xludf.DUMMYFUNCTION("""COMPUTED_VALUE"""),"매실효소")</f>
        <v>매실효소</v>
      </c>
    </row>
    <row r="15309">
      <c r="A15309" s="2" t="str">
        <f>IFERROR(__xludf.DUMMYFUNCTION("""COMPUTED_VALUE"""),"맛있으면 돼지?")</f>
        <v>맛있으면 돼지?</v>
      </c>
      <c r="B15309" s="2" t="str">
        <f>IFERROR(__xludf.DUMMYFUNCTION("""COMPUTED_VALUE"""),"맛간장")</f>
        <v>맛간장</v>
      </c>
    </row>
    <row r="15310">
      <c r="A15310" s="2" t="str">
        <f>IFERROR(__xludf.DUMMYFUNCTION("""COMPUTED_VALUE"""),"맛있으면 돼지?")</f>
        <v>맛있으면 돼지?</v>
      </c>
      <c r="B15310" s="2" t="str">
        <f>IFERROR(__xludf.DUMMYFUNCTION("""COMPUTED_VALUE"""),"들기름")</f>
        <v>들기름</v>
      </c>
    </row>
    <row r="15311">
      <c r="A15311" s="2" t="str">
        <f>IFERROR(__xludf.DUMMYFUNCTION("""COMPUTED_VALUE"""),"맛있으면 돼지?")</f>
        <v>맛있으면 돼지?</v>
      </c>
      <c r="B15311" s="2" t="str">
        <f>IFERROR(__xludf.DUMMYFUNCTION("""COMPUTED_VALUE"""),"해물 육수팩")</f>
        <v>해물 육수팩</v>
      </c>
    </row>
    <row r="15312">
      <c r="A15312" s="2" t="str">
        <f>IFERROR(__xludf.DUMMYFUNCTION("""COMPUTED_VALUE"""),"맛있으면 돼지?")</f>
        <v>맛있으면 돼지?</v>
      </c>
      <c r="B15312" s="2" t="str">
        <f>IFERROR(__xludf.DUMMYFUNCTION("""COMPUTED_VALUE"""),"쌀")</f>
        <v>쌀</v>
      </c>
    </row>
    <row r="15313">
      <c r="A15313" s="2" t="str">
        <f>IFERROR(__xludf.DUMMYFUNCTION("""COMPUTED_VALUE"""),"맛있으면 돼지?")</f>
        <v>맛있으면 돼지?</v>
      </c>
      <c r="B15313" s="2" t="str">
        <f>IFERROR(__xludf.DUMMYFUNCTION("""COMPUTED_VALUE"""),"사골육수")</f>
        <v>사골육수</v>
      </c>
    </row>
    <row r="15314">
      <c r="A15314" s="2" t="str">
        <f>IFERROR(__xludf.DUMMYFUNCTION("""COMPUTED_VALUE"""),"맛있으면 돼지?")</f>
        <v>맛있으면 돼지?</v>
      </c>
      <c r="B15314" s="2" t="str">
        <f>IFERROR(__xludf.DUMMYFUNCTION("""COMPUTED_VALUE"""),"즉석밥")</f>
        <v>즉석밥</v>
      </c>
    </row>
    <row r="15315">
      <c r="A15315" s="2" t="str">
        <f>IFERROR(__xludf.DUMMYFUNCTION("""COMPUTED_VALUE"""),"맛있으면 돼지?")</f>
        <v>맛있으면 돼지?</v>
      </c>
      <c r="B15315" s="2" t="str">
        <f>IFERROR(__xludf.DUMMYFUNCTION("""COMPUTED_VALUE"""),"연겨자")</f>
        <v>연겨자</v>
      </c>
    </row>
    <row r="15316">
      <c r="A15316" s="2" t="str">
        <f>IFERROR(__xludf.DUMMYFUNCTION("""COMPUTED_VALUE"""),"맛있으면 돼지?")</f>
        <v>맛있으면 돼지?</v>
      </c>
      <c r="B15316" s="2" t="str">
        <f>IFERROR(__xludf.DUMMYFUNCTION("""COMPUTED_VALUE"""),"다진 마늘")</f>
        <v>다진 마늘</v>
      </c>
    </row>
    <row r="15317">
      <c r="A15317" s="2" t="str">
        <f>IFERROR(__xludf.DUMMYFUNCTION("""COMPUTED_VALUE"""),"맛있으면 돼지?")</f>
        <v>맛있으면 돼지?</v>
      </c>
      <c r="B15317" s="2" t="str">
        <f>IFERROR(__xludf.DUMMYFUNCTION("""COMPUTED_VALUE"""),"설탕")</f>
        <v>설탕</v>
      </c>
    </row>
    <row r="15318">
      <c r="A15318" s="2" t="str">
        <f>IFERROR(__xludf.DUMMYFUNCTION("""COMPUTED_VALUE"""),"맛있으면 돼지?")</f>
        <v>맛있으면 돼지?</v>
      </c>
      <c r="B15318" s="2" t="str">
        <f>IFERROR(__xludf.DUMMYFUNCTION("""COMPUTED_VALUE"""),"양파")</f>
        <v>양파</v>
      </c>
    </row>
    <row r="15319">
      <c r="A15319" s="2" t="str">
        <f>IFERROR(__xludf.DUMMYFUNCTION("""COMPUTED_VALUE"""),"맛있으면 돼지?")</f>
        <v>맛있으면 돼지?</v>
      </c>
      <c r="B15319" s="2" t="str">
        <f>IFERROR(__xludf.DUMMYFUNCTION("""COMPUTED_VALUE"""),"대파")</f>
        <v>대파</v>
      </c>
    </row>
    <row r="15320">
      <c r="A15320" s="2" t="str">
        <f>IFERROR(__xludf.DUMMYFUNCTION("""COMPUTED_VALUE"""),"강정으로 이기면 돼지?")</f>
        <v>강정으로 이기면 돼지?</v>
      </c>
      <c r="B15320" s="2" t="str">
        <f>IFERROR(__xludf.DUMMYFUNCTION("""COMPUTED_VALUE"""),"돼지 갈비살")</f>
        <v>돼지 갈비살</v>
      </c>
    </row>
    <row r="15321">
      <c r="A15321" s="2" t="str">
        <f>IFERROR(__xludf.DUMMYFUNCTION("""COMPUTED_VALUE"""),"강정으로 이기면 돼지?")</f>
        <v>강정으로 이기면 돼지?</v>
      </c>
      <c r="B15321" s="2" t="str">
        <f>IFERROR(__xludf.DUMMYFUNCTION("""COMPUTED_VALUE"""),"돼지 등심")</f>
        <v>돼지 등심</v>
      </c>
    </row>
    <row r="15322">
      <c r="A15322" s="2" t="str">
        <f>IFERROR(__xludf.DUMMYFUNCTION("""COMPUTED_VALUE"""),"강정으로 이기면 돼지?")</f>
        <v>강정으로 이기면 돼지?</v>
      </c>
      <c r="B15322" s="2" t="str">
        <f>IFERROR(__xludf.DUMMYFUNCTION("""COMPUTED_VALUE"""),"파프리카")</f>
        <v>파프리카</v>
      </c>
    </row>
    <row r="15323">
      <c r="A15323" s="2" t="str">
        <f>IFERROR(__xludf.DUMMYFUNCTION("""COMPUTED_VALUE"""),"강정으로 이기면 돼지?")</f>
        <v>강정으로 이기면 돼지?</v>
      </c>
      <c r="B15323" s="2" t="str">
        <f>IFERROR(__xludf.DUMMYFUNCTION("""COMPUTED_VALUE"""),"알배추")</f>
        <v>알배추</v>
      </c>
    </row>
    <row r="15324">
      <c r="A15324" s="2" t="str">
        <f>IFERROR(__xludf.DUMMYFUNCTION("""COMPUTED_VALUE"""),"강정으로 이기면 돼지?")</f>
        <v>강정으로 이기면 돼지?</v>
      </c>
      <c r="B15324" s="2" t="str">
        <f>IFERROR(__xludf.DUMMYFUNCTION("""COMPUTED_VALUE"""),"참깨소스")</f>
        <v>참깨소스</v>
      </c>
    </row>
    <row r="15325">
      <c r="A15325" s="2" t="str">
        <f>IFERROR(__xludf.DUMMYFUNCTION("""COMPUTED_VALUE"""),"강정으로 이기면 돼지?")</f>
        <v>강정으로 이기면 돼지?</v>
      </c>
      <c r="B15325" s="2" t="str">
        <f>IFERROR(__xludf.DUMMYFUNCTION("""COMPUTED_VALUE"""),"표고버섯")</f>
        <v>표고버섯</v>
      </c>
    </row>
    <row r="15326">
      <c r="A15326" s="2" t="str">
        <f>IFERROR(__xludf.DUMMYFUNCTION("""COMPUTED_VALUE"""),"강정으로 이기면 돼지?")</f>
        <v>강정으로 이기면 돼지?</v>
      </c>
      <c r="B15326" s="2" t="str">
        <f>IFERROR(__xludf.DUMMYFUNCTION("""COMPUTED_VALUE"""),"상추")</f>
        <v>상추</v>
      </c>
    </row>
    <row r="15327">
      <c r="A15327" s="2" t="str">
        <f>IFERROR(__xludf.DUMMYFUNCTION("""COMPUTED_VALUE"""),"강정으로 이기면 돼지?")</f>
        <v>강정으로 이기면 돼지?</v>
      </c>
      <c r="B15327" s="2" t="str">
        <f>IFERROR(__xludf.DUMMYFUNCTION("""COMPUTED_VALUE"""),"새우살")</f>
        <v>새우살</v>
      </c>
    </row>
    <row r="15328">
      <c r="A15328" s="2" t="str">
        <f>IFERROR(__xludf.DUMMYFUNCTION("""COMPUTED_VALUE"""),"강정으로 이기면 돼지?")</f>
        <v>강정으로 이기면 돼지?</v>
      </c>
      <c r="B15328" s="2" t="str">
        <f>IFERROR(__xludf.DUMMYFUNCTION("""COMPUTED_VALUE"""),"마늘장아찌")</f>
        <v>마늘장아찌</v>
      </c>
    </row>
    <row r="15329">
      <c r="A15329" s="2" t="str">
        <f>IFERROR(__xludf.DUMMYFUNCTION("""COMPUTED_VALUE"""),"강정으로 이기면 돼지?")</f>
        <v>강정으로 이기면 돼지?</v>
      </c>
      <c r="B15329" s="2" t="str">
        <f>IFERROR(__xludf.DUMMYFUNCTION("""COMPUTED_VALUE"""),"맛간장")</f>
        <v>맛간장</v>
      </c>
    </row>
    <row r="15330">
      <c r="A15330" s="2" t="str">
        <f>IFERROR(__xludf.DUMMYFUNCTION("""COMPUTED_VALUE"""),"강정으로 이기면 돼지?")</f>
        <v>강정으로 이기면 돼지?</v>
      </c>
      <c r="B15330" s="2" t="str">
        <f>IFERROR(__xludf.DUMMYFUNCTION("""COMPUTED_VALUE"""),"고추장")</f>
        <v>고추장</v>
      </c>
    </row>
    <row r="15331">
      <c r="A15331" s="2" t="str">
        <f>IFERROR(__xludf.DUMMYFUNCTION("""COMPUTED_VALUE"""),"강정으로 이기면 돼지?")</f>
        <v>강정으로 이기면 돼지?</v>
      </c>
      <c r="B15331" s="2" t="str">
        <f>IFERROR(__xludf.DUMMYFUNCTION("""COMPUTED_VALUE"""),"방울양배추")</f>
        <v>방울양배추</v>
      </c>
    </row>
    <row r="15332">
      <c r="A15332" s="2" t="str">
        <f>IFERROR(__xludf.DUMMYFUNCTION("""COMPUTED_VALUE"""),"강정으로 이기면 돼지?")</f>
        <v>강정으로 이기면 돼지?</v>
      </c>
      <c r="B15332" s="2" t="str">
        <f>IFERROR(__xludf.DUMMYFUNCTION("""COMPUTED_VALUE"""),"청란")</f>
        <v>청란</v>
      </c>
    </row>
    <row r="15333">
      <c r="A15333" s="2" t="str">
        <f>IFERROR(__xludf.DUMMYFUNCTION("""COMPUTED_VALUE"""),"강정으로 이기면 돼지?")</f>
        <v>강정으로 이기면 돼지?</v>
      </c>
      <c r="B15333" s="2" t="str">
        <f>IFERROR(__xludf.DUMMYFUNCTION("""COMPUTED_VALUE"""),"전분")</f>
        <v>전분</v>
      </c>
    </row>
    <row r="15334">
      <c r="A15334" s="2" t="str">
        <f>IFERROR(__xludf.DUMMYFUNCTION("""COMPUTED_VALUE"""),"강정으로 이기면 돼지?")</f>
        <v>강정으로 이기면 돼지?</v>
      </c>
      <c r="B15334" s="2" t="str">
        <f>IFERROR(__xludf.DUMMYFUNCTION("""COMPUTED_VALUE"""),"소금")</f>
        <v>소금</v>
      </c>
    </row>
    <row r="15335">
      <c r="A15335" s="2" t="str">
        <f>IFERROR(__xludf.DUMMYFUNCTION("""COMPUTED_VALUE"""),"강정으로 이기면 돼지?")</f>
        <v>강정으로 이기면 돼지?</v>
      </c>
      <c r="B15335" s="2" t="str">
        <f>IFERROR(__xludf.DUMMYFUNCTION("""COMPUTED_VALUE"""),"튀김가루")</f>
        <v>튀김가루</v>
      </c>
    </row>
    <row r="15336">
      <c r="A15336" s="2" t="str">
        <f>IFERROR(__xludf.DUMMYFUNCTION("""COMPUTED_VALUE"""),"강정으로 이기면 돼지?")</f>
        <v>강정으로 이기면 돼지?</v>
      </c>
      <c r="B15336" s="2" t="str">
        <f>IFERROR(__xludf.DUMMYFUNCTION("""COMPUTED_VALUE"""),"양파")</f>
        <v>양파</v>
      </c>
    </row>
    <row r="15337">
      <c r="A15337" s="2" t="str">
        <f>IFERROR(__xludf.DUMMYFUNCTION("""COMPUTED_VALUE"""),"강정으로 이기면 돼지?")</f>
        <v>강정으로 이기면 돼지?</v>
      </c>
      <c r="B15337" s="2" t="str">
        <f>IFERROR(__xludf.DUMMYFUNCTION("""COMPUTED_VALUE"""),"물엿")</f>
        <v>물엿</v>
      </c>
    </row>
    <row r="15338">
      <c r="A15338" s="2" t="str">
        <f>IFERROR(__xludf.DUMMYFUNCTION("""COMPUTED_VALUE"""),"강정으로 이기면 돼지?")</f>
        <v>강정으로 이기면 돼지?</v>
      </c>
      <c r="B15338" s="2" t="str">
        <f>IFERROR(__xludf.DUMMYFUNCTION("""COMPUTED_VALUE"""),"청양고추")</f>
        <v>청양고추</v>
      </c>
    </row>
    <row r="15339">
      <c r="A15339" s="2" t="str">
        <f>IFERROR(__xludf.DUMMYFUNCTION("""COMPUTED_VALUE"""),"강정으로 이기면 돼지?")</f>
        <v>강정으로 이기면 돼지?</v>
      </c>
      <c r="B15339" s="2" t="str">
        <f>IFERROR(__xludf.DUMMYFUNCTION("""COMPUTED_VALUE"""),"홍고추")</f>
        <v>홍고추</v>
      </c>
    </row>
    <row r="15340">
      <c r="A15340" s="2" t="str">
        <f>IFERROR(__xludf.DUMMYFUNCTION("""COMPUTED_VALUE"""),"강정으로 이기면 돼지?")</f>
        <v>강정으로 이기면 돼지?</v>
      </c>
      <c r="B15340" s="2" t="str">
        <f>IFERROR(__xludf.DUMMYFUNCTION("""COMPUTED_VALUE"""),"대파")</f>
        <v>대파</v>
      </c>
    </row>
    <row r="15341">
      <c r="A15341" s="2" t="str">
        <f>IFERROR(__xludf.DUMMYFUNCTION("""COMPUTED_VALUE"""),"강정으로 이기면 돼지?")</f>
        <v>강정으로 이기면 돼지?</v>
      </c>
      <c r="B15341" s="2" t="str">
        <f>IFERROR(__xludf.DUMMYFUNCTION("""COMPUTED_VALUE"""),"설탕")</f>
        <v>설탕</v>
      </c>
    </row>
    <row r="15342">
      <c r="A15342" s="2" t="str">
        <f>IFERROR(__xludf.DUMMYFUNCTION("""COMPUTED_VALUE"""),"강정으로 이기면 돼지?")</f>
        <v>강정으로 이기면 돼지?</v>
      </c>
      <c r="B15342" s="2" t="str">
        <f>IFERROR(__xludf.DUMMYFUNCTION("""COMPUTED_VALUE"""),"다진 생강")</f>
        <v>다진 생강</v>
      </c>
    </row>
    <row r="15343">
      <c r="A15343" s="2" t="str">
        <f>IFERROR(__xludf.DUMMYFUNCTION("""COMPUTED_VALUE"""),"짜장왕")</f>
        <v>짜장왕</v>
      </c>
      <c r="B15343" s="2" t="str">
        <f>IFERROR(__xludf.DUMMYFUNCTION("""COMPUTED_VALUE"""),"소등심")</f>
        <v>소등심</v>
      </c>
    </row>
    <row r="15344">
      <c r="A15344" s="2" t="str">
        <f>IFERROR(__xludf.DUMMYFUNCTION("""COMPUTED_VALUE"""),"짜장왕")</f>
        <v>짜장왕</v>
      </c>
      <c r="B15344" s="2" t="str">
        <f>IFERROR(__xludf.DUMMYFUNCTION("""COMPUTED_VALUE"""),"갈빗살")</f>
        <v>갈빗살</v>
      </c>
    </row>
    <row r="15345">
      <c r="A15345" s="2" t="str">
        <f>IFERROR(__xludf.DUMMYFUNCTION("""COMPUTED_VALUE"""),"짜장왕")</f>
        <v>짜장왕</v>
      </c>
      <c r="B15345" s="2" t="str">
        <f>IFERROR(__xludf.DUMMYFUNCTION("""COMPUTED_VALUE"""),"미소")</f>
        <v>미소</v>
      </c>
    </row>
    <row r="15346">
      <c r="A15346" s="2" t="str">
        <f>IFERROR(__xludf.DUMMYFUNCTION("""COMPUTED_VALUE"""),"짜장왕")</f>
        <v>짜장왕</v>
      </c>
      <c r="B15346" s="2" t="str">
        <f>IFERROR(__xludf.DUMMYFUNCTION("""COMPUTED_VALUE"""),"굴소스")</f>
        <v>굴소스</v>
      </c>
    </row>
    <row r="15347">
      <c r="A15347" s="2" t="str">
        <f>IFERROR(__xludf.DUMMYFUNCTION("""COMPUTED_VALUE"""),"짜장왕")</f>
        <v>짜장왕</v>
      </c>
      <c r="B15347" s="2" t="str">
        <f>IFERROR(__xludf.DUMMYFUNCTION("""COMPUTED_VALUE"""),"치킨스톡")</f>
        <v>치킨스톡</v>
      </c>
    </row>
    <row r="15348">
      <c r="A15348" s="2" t="str">
        <f>IFERROR(__xludf.DUMMYFUNCTION("""COMPUTED_VALUE"""),"짜장왕")</f>
        <v>짜장왕</v>
      </c>
      <c r="B15348" s="2" t="str">
        <f>IFERROR(__xludf.DUMMYFUNCTION("""COMPUTED_VALUE"""),"자숙새우")</f>
        <v>자숙새우</v>
      </c>
    </row>
    <row r="15349">
      <c r="A15349" s="2" t="str">
        <f>IFERROR(__xludf.DUMMYFUNCTION("""COMPUTED_VALUE"""),"짜장왕")</f>
        <v>짜장왕</v>
      </c>
      <c r="B15349" s="2" t="str">
        <f>IFERROR(__xludf.DUMMYFUNCTION("""COMPUTED_VALUE"""),"오징어")</f>
        <v>오징어</v>
      </c>
    </row>
    <row r="15350">
      <c r="A15350" s="2" t="str">
        <f>IFERROR(__xludf.DUMMYFUNCTION("""COMPUTED_VALUE"""),"짜장왕")</f>
        <v>짜장왕</v>
      </c>
      <c r="B15350" s="2" t="str">
        <f>IFERROR(__xludf.DUMMYFUNCTION("""COMPUTED_VALUE"""),"마")</f>
        <v>마</v>
      </c>
    </row>
    <row r="15351">
      <c r="A15351" s="2" t="str">
        <f>IFERROR(__xludf.DUMMYFUNCTION("""COMPUTED_VALUE"""),"짜장왕")</f>
        <v>짜장왕</v>
      </c>
      <c r="B15351" s="2" t="str">
        <f>IFERROR(__xludf.DUMMYFUNCTION("""COMPUTED_VALUE"""),"양배추")</f>
        <v>양배추</v>
      </c>
    </row>
    <row r="15352">
      <c r="A15352" s="2" t="str">
        <f>IFERROR(__xludf.DUMMYFUNCTION("""COMPUTED_VALUE"""),"짜장왕")</f>
        <v>짜장왕</v>
      </c>
      <c r="B15352" s="2" t="str">
        <f>IFERROR(__xludf.DUMMYFUNCTION("""COMPUTED_VALUE"""),"불고기 소스")</f>
        <v>불고기 소스</v>
      </c>
    </row>
    <row r="15353">
      <c r="A15353" s="2" t="str">
        <f>IFERROR(__xludf.DUMMYFUNCTION("""COMPUTED_VALUE"""),"짜장왕")</f>
        <v>짜장왕</v>
      </c>
      <c r="B15353" s="2" t="str">
        <f>IFERROR(__xludf.DUMMYFUNCTION("""COMPUTED_VALUE"""),"콜라")</f>
        <v>콜라</v>
      </c>
    </row>
    <row r="15354">
      <c r="A15354" s="2" t="str">
        <f>IFERROR(__xludf.DUMMYFUNCTION("""COMPUTED_VALUE"""),"짜장왕")</f>
        <v>짜장왕</v>
      </c>
      <c r="B15354" s="2" t="str">
        <f>IFERROR(__xludf.DUMMYFUNCTION("""COMPUTED_VALUE"""),"양파")</f>
        <v>양파</v>
      </c>
    </row>
    <row r="15355">
      <c r="A15355" s="2" t="str">
        <f>IFERROR(__xludf.DUMMYFUNCTION("""COMPUTED_VALUE"""),"짜장왕")</f>
        <v>짜장왕</v>
      </c>
      <c r="B15355" s="2" t="str">
        <f>IFERROR(__xludf.DUMMYFUNCTION("""COMPUTED_VALUE"""),"대파")</f>
        <v>대파</v>
      </c>
    </row>
    <row r="15356">
      <c r="A15356" s="2" t="str">
        <f>IFERROR(__xludf.DUMMYFUNCTION("""COMPUTED_VALUE"""),"짜장왕")</f>
        <v>짜장왕</v>
      </c>
      <c r="B15356" s="2" t="str">
        <f>IFERROR(__xludf.DUMMYFUNCTION("""COMPUTED_VALUE"""),"간장")</f>
        <v>간장</v>
      </c>
    </row>
    <row r="15357">
      <c r="A15357" s="2" t="str">
        <f>IFERROR(__xludf.DUMMYFUNCTION("""COMPUTED_VALUE"""),"짜장왕")</f>
        <v>짜장왕</v>
      </c>
      <c r="B15357" s="2" t="str">
        <f>IFERROR(__xludf.DUMMYFUNCTION("""COMPUTED_VALUE"""),"후추")</f>
        <v>후추</v>
      </c>
    </row>
    <row r="15358">
      <c r="A15358" s="2" t="str">
        <f>IFERROR(__xludf.DUMMYFUNCTION("""COMPUTED_VALUE"""),"짜장왕")</f>
        <v>짜장왕</v>
      </c>
      <c r="B15358" s="2" t="str">
        <f>IFERROR(__xludf.DUMMYFUNCTION("""COMPUTED_VALUE"""),"소금")</f>
        <v>소금</v>
      </c>
    </row>
    <row r="15359">
      <c r="A15359" s="2" t="str">
        <f>IFERROR(__xludf.DUMMYFUNCTION("""COMPUTED_VALUE"""),"짜장왕")</f>
        <v>짜장왕</v>
      </c>
      <c r="B15359" s="2" t="str">
        <f>IFERROR(__xludf.DUMMYFUNCTION("""COMPUTED_VALUE"""),"달걀")</f>
        <v>달걀</v>
      </c>
    </row>
    <row r="15360">
      <c r="A15360" s="2" t="str">
        <f>IFERROR(__xludf.DUMMYFUNCTION("""COMPUTED_VALUE"""),"짜장왕")</f>
        <v>짜장왕</v>
      </c>
      <c r="B15360" s="2" t="str">
        <f>IFERROR(__xludf.DUMMYFUNCTION("""COMPUTED_VALUE"""),"밀가루")</f>
        <v>밀가루</v>
      </c>
    </row>
    <row r="15361">
      <c r="A15361" s="2" t="str">
        <f>IFERROR(__xludf.DUMMYFUNCTION("""COMPUTED_VALUE"""),"짜장왕")</f>
        <v>짜장왕</v>
      </c>
      <c r="B15361" s="2" t="str">
        <f>IFERROR(__xludf.DUMMYFUNCTION("""COMPUTED_VALUE"""),"전분")</f>
        <v>전분</v>
      </c>
    </row>
    <row r="15362">
      <c r="A15362" s="2" t="str">
        <f>IFERROR(__xludf.DUMMYFUNCTION("""COMPUTED_VALUE"""),"짜장왕")</f>
        <v>짜장왕</v>
      </c>
      <c r="B15362" s="2" t="str">
        <f>IFERROR(__xludf.DUMMYFUNCTION("""COMPUTED_VALUE"""),"참기름")</f>
        <v>참기름</v>
      </c>
    </row>
    <row r="15363">
      <c r="A15363" s="2" t="str">
        <f>IFERROR(__xludf.DUMMYFUNCTION("""COMPUTED_VALUE"""),"짜장왕")</f>
        <v>짜장왕</v>
      </c>
      <c r="B15363" s="2" t="str">
        <f>IFERROR(__xludf.DUMMYFUNCTION("""COMPUTED_VALUE"""),"다진마늘")</f>
        <v>다진마늘</v>
      </c>
    </row>
    <row r="15364">
      <c r="A15364" s="2" t="str">
        <f>IFERROR(__xludf.DUMMYFUNCTION("""COMPUTED_VALUE"""),"만두가 캐비지")</f>
        <v>만두가 캐비지</v>
      </c>
      <c r="B15364" s="2" t="str">
        <f>IFERROR(__xludf.DUMMYFUNCTION("""COMPUTED_VALUE"""),"돼지목살")</f>
        <v>돼지목살</v>
      </c>
    </row>
    <row r="15365">
      <c r="A15365" s="2" t="str">
        <f>IFERROR(__xludf.DUMMYFUNCTION("""COMPUTED_VALUE"""),"만두가 캐비지")</f>
        <v>만두가 캐비지</v>
      </c>
      <c r="B15365" s="2" t="str">
        <f>IFERROR(__xludf.DUMMYFUNCTION("""COMPUTED_VALUE"""),"양배추")</f>
        <v>양배추</v>
      </c>
    </row>
    <row r="15366">
      <c r="A15366" s="2" t="str">
        <f>IFERROR(__xludf.DUMMYFUNCTION("""COMPUTED_VALUE"""),"만두가 캐비지")</f>
        <v>만두가 캐비지</v>
      </c>
      <c r="B15366" s="2" t="str">
        <f>IFERROR(__xludf.DUMMYFUNCTION("""COMPUTED_VALUE"""),"굴소스")</f>
        <v>굴소스</v>
      </c>
    </row>
    <row r="15367">
      <c r="A15367" s="2" t="str">
        <f>IFERROR(__xludf.DUMMYFUNCTION("""COMPUTED_VALUE"""),"만두가 캐비지")</f>
        <v>만두가 캐비지</v>
      </c>
      <c r="B15367" s="2" t="str">
        <f>IFERROR(__xludf.DUMMYFUNCTION("""COMPUTED_VALUE"""),"콜라")</f>
        <v>콜라</v>
      </c>
    </row>
    <row r="15368">
      <c r="A15368" s="2" t="str">
        <f>IFERROR(__xludf.DUMMYFUNCTION("""COMPUTED_VALUE"""),"만두가 캐비지")</f>
        <v>만두가 캐비지</v>
      </c>
      <c r="B15368" s="2" t="str">
        <f>IFERROR(__xludf.DUMMYFUNCTION("""COMPUTED_VALUE"""),"고추냉이 마요네즈")</f>
        <v>고추냉이 마요네즈</v>
      </c>
    </row>
    <row r="15369">
      <c r="A15369" s="2" t="str">
        <f>IFERROR(__xludf.DUMMYFUNCTION("""COMPUTED_VALUE"""),"만두가 캐비지")</f>
        <v>만두가 캐비지</v>
      </c>
      <c r="B15369" s="2" t="str">
        <f>IFERROR(__xludf.DUMMYFUNCTION("""COMPUTED_VALUE"""),"고추냉이")</f>
        <v>고추냉이</v>
      </c>
    </row>
    <row r="15370">
      <c r="A15370" s="2" t="str">
        <f>IFERROR(__xludf.DUMMYFUNCTION("""COMPUTED_VALUE"""),"만두가 캐비지")</f>
        <v>만두가 캐비지</v>
      </c>
      <c r="B15370" s="2" t="str">
        <f>IFERROR(__xludf.DUMMYFUNCTION("""COMPUTED_VALUE"""),"대파")</f>
        <v>대파</v>
      </c>
    </row>
    <row r="15371">
      <c r="A15371" s="2" t="str">
        <f>IFERROR(__xludf.DUMMYFUNCTION("""COMPUTED_VALUE"""),"만두가 캐비지")</f>
        <v>만두가 캐비지</v>
      </c>
      <c r="B15371" s="2" t="str">
        <f>IFERROR(__xludf.DUMMYFUNCTION("""COMPUTED_VALUE"""),"마늘")</f>
        <v>마늘</v>
      </c>
    </row>
    <row r="15372">
      <c r="A15372" s="2" t="str">
        <f>IFERROR(__xludf.DUMMYFUNCTION("""COMPUTED_VALUE"""),"만두가 캐비지")</f>
        <v>만두가 캐비지</v>
      </c>
      <c r="B15372" s="2" t="str">
        <f>IFERROR(__xludf.DUMMYFUNCTION("""COMPUTED_VALUE"""),"고춧가루")</f>
        <v>고춧가루</v>
      </c>
    </row>
    <row r="15373">
      <c r="A15373" s="2" t="str">
        <f>IFERROR(__xludf.DUMMYFUNCTION("""COMPUTED_VALUE"""),"만두가 캐비지")</f>
        <v>만두가 캐비지</v>
      </c>
      <c r="B15373" s="2" t="str">
        <f>IFERROR(__xludf.DUMMYFUNCTION("""COMPUTED_VALUE"""),"다진마늘")</f>
        <v>다진마늘</v>
      </c>
    </row>
    <row r="15374">
      <c r="A15374" s="2" t="str">
        <f>IFERROR(__xludf.DUMMYFUNCTION("""COMPUTED_VALUE"""),"만두가 캐비지")</f>
        <v>만두가 캐비지</v>
      </c>
      <c r="B15374" s="2" t="str">
        <f>IFERROR(__xludf.DUMMYFUNCTION("""COMPUTED_VALUE"""),"후추")</f>
        <v>후추</v>
      </c>
    </row>
    <row r="15375">
      <c r="A15375" s="2" t="str">
        <f>IFERROR(__xludf.DUMMYFUNCTION("""COMPUTED_VALUE"""),"만두가 캐비지")</f>
        <v>만두가 캐비지</v>
      </c>
      <c r="B15375" s="2" t="str">
        <f>IFERROR(__xludf.DUMMYFUNCTION("""COMPUTED_VALUE"""),"맛술")</f>
        <v>맛술</v>
      </c>
    </row>
    <row r="15376">
      <c r="A15376" s="2" t="str">
        <f>IFERROR(__xludf.DUMMYFUNCTION("""COMPUTED_VALUE"""),"만두가 캐비지")</f>
        <v>만두가 캐비지</v>
      </c>
      <c r="B15376" s="2" t="str">
        <f>IFERROR(__xludf.DUMMYFUNCTION("""COMPUTED_VALUE"""),"전분")</f>
        <v>전분</v>
      </c>
    </row>
    <row r="15377">
      <c r="A15377" s="2" t="str">
        <f>IFERROR(__xludf.DUMMYFUNCTION("""COMPUTED_VALUE"""),"만두가 캐비지")</f>
        <v>만두가 캐비지</v>
      </c>
      <c r="B15377" s="2" t="str">
        <f>IFERROR(__xludf.DUMMYFUNCTION("""COMPUTED_VALUE"""),"간장")</f>
        <v>간장</v>
      </c>
    </row>
    <row r="15378">
      <c r="A15378" s="2" t="str">
        <f>IFERROR(__xludf.DUMMYFUNCTION("""COMPUTED_VALUE"""),"만두가 캐비지")</f>
        <v>만두가 캐비지</v>
      </c>
      <c r="B15378" s="2" t="str">
        <f>IFERROR(__xludf.DUMMYFUNCTION("""COMPUTED_VALUE"""),"레몬")</f>
        <v>레몬</v>
      </c>
    </row>
    <row r="15379">
      <c r="A15379" s="2" t="str">
        <f>IFERROR(__xludf.DUMMYFUNCTION("""COMPUTED_VALUE"""),"응답하라 바스크")</f>
        <v>응답하라 바스크</v>
      </c>
      <c r="B15379" s="2" t="str">
        <f>IFERROR(__xludf.DUMMYFUNCTION("""COMPUTED_VALUE"""),"소등심")</f>
        <v>소등심</v>
      </c>
    </row>
    <row r="15380">
      <c r="A15380" s="2" t="str">
        <f>IFERROR(__xludf.DUMMYFUNCTION("""COMPUTED_VALUE"""),"응답하라 바스크")</f>
        <v>응답하라 바스크</v>
      </c>
      <c r="B15380" s="2" t="str">
        <f>IFERROR(__xludf.DUMMYFUNCTION("""COMPUTED_VALUE"""),"하몽")</f>
        <v>하몽</v>
      </c>
    </row>
    <row r="15381">
      <c r="A15381" s="2" t="str">
        <f>IFERROR(__xludf.DUMMYFUNCTION("""COMPUTED_VALUE"""),"응답하라 바스크")</f>
        <v>응답하라 바스크</v>
      </c>
      <c r="B15381" s="2" t="str">
        <f>IFERROR(__xludf.DUMMYFUNCTION("""COMPUTED_VALUE"""),"카카오 초콜릿")</f>
        <v>카카오 초콜릿</v>
      </c>
    </row>
    <row r="15382">
      <c r="A15382" s="2" t="str">
        <f>IFERROR(__xludf.DUMMYFUNCTION("""COMPUTED_VALUE"""),"응답하라 바스크")</f>
        <v>응답하라 바스크</v>
      </c>
      <c r="B15382" s="2" t="str">
        <f>IFERROR(__xludf.DUMMYFUNCTION("""COMPUTED_VALUE"""),"치킨스톡")</f>
        <v>치킨스톡</v>
      </c>
    </row>
    <row r="15383">
      <c r="A15383" s="2" t="str">
        <f>IFERROR(__xludf.DUMMYFUNCTION("""COMPUTED_VALUE"""),"응답하라 바스크")</f>
        <v>응답하라 바스크</v>
      </c>
      <c r="B15383" s="2" t="str">
        <f>IFERROR(__xludf.DUMMYFUNCTION("""COMPUTED_VALUE"""),"파르메산 치즈가루")</f>
        <v>파르메산 치즈가루</v>
      </c>
    </row>
    <row r="15384">
      <c r="A15384" s="2" t="str">
        <f>IFERROR(__xludf.DUMMYFUNCTION("""COMPUTED_VALUE"""),"응답하라 바스크")</f>
        <v>응답하라 바스크</v>
      </c>
      <c r="B15384" s="2" t="str">
        <f>IFERROR(__xludf.DUMMYFUNCTION("""COMPUTED_VALUE"""),"방울토마토")</f>
        <v>방울토마토</v>
      </c>
    </row>
    <row r="15385">
      <c r="A15385" s="2" t="str">
        <f>IFERROR(__xludf.DUMMYFUNCTION("""COMPUTED_VALUE"""),"응답하라 바스크")</f>
        <v>응답하라 바스크</v>
      </c>
      <c r="B15385" s="2" t="str">
        <f>IFERROR(__xludf.DUMMYFUNCTION("""COMPUTED_VALUE"""),"두유")</f>
        <v>두유</v>
      </c>
    </row>
    <row r="15386">
      <c r="A15386" s="2" t="str">
        <f>IFERROR(__xludf.DUMMYFUNCTION("""COMPUTED_VALUE"""),"응답하라 바스크")</f>
        <v>응답하라 바스크</v>
      </c>
      <c r="B15386" s="2" t="str">
        <f>IFERROR(__xludf.DUMMYFUNCTION("""COMPUTED_VALUE"""),"아몬드")</f>
        <v>아몬드</v>
      </c>
    </row>
    <row r="15387">
      <c r="A15387" s="2" t="str">
        <f>IFERROR(__xludf.DUMMYFUNCTION("""COMPUTED_VALUE"""),"응답하라 바스크")</f>
        <v>응답하라 바스크</v>
      </c>
      <c r="B15387" s="2" t="str">
        <f>IFERROR(__xludf.DUMMYFUNCTION("""COMPUTED_VALUE"""),"파스타면")</f>
        <v>파스타면</v>
      </c>
    </row>
    <row r="15388">
      <c r="A15388" s="2" t="str">
        <f>IFERROR(__xludf.DUMMYFUNCTION("""COMPUTED_VALUE"""),"응답하라 바스크")</f>
        <v>응답하라 바스크</v>
      </c>
      <c r="B15388" s="2" t="str">
        <f>IFERROR(__xludf.DUMMYFUNCTION("""COMPUTED_VALUE"""),"파슬리 가루")</f>
        <v>파슬리 가루</v>
      </c>
    </row>
    <row r="15389">
      <c r="A15389" s="2" t="str">
        <f>IFERROR(__xludf.DUMMYFUNCTION("""COMPUTED_VALUE"""),"응답하라 바스크")</f>
        <v>응답하라 바스크</v>
      </c>
      <c r="B15389" s="2" t="str">
        <f>IFERROR(__xludf.DUMMYFUNCTION("""COMPUTED_VALUE"""),"마늘")</f>
        <v>마늘</v>
      </c>
    </row>
    <row r="15390">
      <c r="A15390" s="2" t="str">
        <f>IFERROR(__xludf.DUMMYFUNCTION("""COMPUTED_VALUE"""),"응답하라 바스크")</f>
        <v>응답하라 바스크</v>
      </c>
      <c r="B15390" s="2" t="str">
        <f>IFERROR(__xludf.DUMMYFUNCTION("""COMPUTED_VALUE"""),"당근")</f>
        <v>당근</v>
      </c>
    </row>
    <row r="15391">
      <c r="A15391" s="2" t="str">
        <f>IFERROR(__xludf.DUMMYFUNCTION("""COMPUTED_VALUE"""),"응답하라 바스크")</f>
        <v>응답하라 바스크</v>
      </c>
      <c r="B15391" s="2" t="str">
        <f>IFERROR(__xludf.DUMMYFUNCTION("""COMPUTED_VALUE"""),"양파")</f>
        <v>양파</v>
      </c>
    </row>
    <row r="15392">
      <c r="A15392" s="2" t="str">
        <f>IFERROR(__xludf.DUMMYFUNCTION("""COMPUTED_VALUE"""),"응답하라 바스크")</f>
        <v>응답하라 바스크</v>
      </c>
      <c r="B15392" s="2" t="str">
        <f>IFERROR(__xludf.DUMMYFUNCTION("""COMPUTED_VALUE"""),"대파")</f>
        <v>대파</v>
      </c>
    </row>
    <row r="15393">
      <c r="A15393" s="2" t="str">
        <f>IFERROR(__xludf.DUMMYFUNCTION("""COMPUTED_VALUE"""),"응답하라 바스크")</f>
        <v>응답하라 바스크</v>
      </c>
      <c r="B15393" s="2" t="str">
        <f>IFERROR(__xludf.DUMMYFUNCTION("""COMPUTED_VALUE"""),"소금")</f>
        <v>소금</v>
      </c>
    </row>
    <row r="15394">
      <c r="A15394" s="2" t="str">
        <f>IFERROR(__xludf.DUMMYFUNCTION("""COMPUTED_VALUE"""),"응답하라 바스크")</f>
        <v>응답하라 바스크</v>
      </c>
      <c r="B15394" s="2" t="str">
        <f>IFERROR(__xludf.DUMMYFUNCTION("""COMPUTED_VALUE"""),"후추")</f>
        <v>후추</v>
      </c>
    </row>
    <row r="15395">
      <c r="A15395" s="2" t="str">
        <f>IFERROR(__xludf.DUMMYFUNCTION("""COMPUTED_VALUE"""),"응답하라 바스크")</f>
        <v>응답하라 바스크</v>
      </c>
      <c r="B15395" s="2" t="str">
        <f>IFERROR(__xludf.DUMMYFUNCTION("""COMPUTED_VALUE"""),"밀가루")</f>
        <v>밀가루</v>
      </c>
    </row>
    <row r="15396">
      <c r="A15396" s="2" t="str">
        <f>IFERROR(__xludf.DUMMYFUNCTION("""COMPUTED_VALUE"""),"응답하라 바스크")</f>
        <v>응답하라 바스크</v>
      </c>
      <c r="B15396" s="2" t="str">
        <f>IFERROR(__xludf.DUMMYFUNCTION("""COMPUTED_VALUE"""),"버터")</f>
        <v>버터</v>
      </c>
    </row>
    <row r="15397">
      <c r="A15397" s="2" t="str">
        <f>IFERROR(__xludf.DUMMYFUNCTION("""COMPUTED_VALUE"""),"응답하라 바스크")</f>
        <v>응답하라 바스크</v>
      </c>
      <c r="B15397" s="2" t="str">
        <f>IFERROR(__xludf.DUMMYFUNCTION("""COMPUTED_VALUE"""),"레드와인")</f>
        <v>레드와인</v>
      </c>
    </row>
    <row r="15398">
      <c r="A15398" s="2" t="str">
        <f>IFERROR(__xludf.DUMMYFUNCTION("""COMPUTED_VALUE"""),"응답하라 바스크")</f>
        <v>응답하라 바스크</v>
      </c>
      <c r="B15398" s="2" t="str">
        <f>IFERROR(__xludf.DUMMYFUNCTION("""COMPUTED_VALUE"""),"청양고추")</f>
        <v>청양고추</v>
      </c>
    </row>
    <row r="15399">
      <c r="A15399" s="2" t="str">
        <f>IFERROR(__xludf.DUMMYFUNCTION("""COMPUTED_VALUE"""),"응답하라 바스크")</f>
        <v>응답하라 바스크</v>
      </c>
      <c r="B15399" s="2" t="str">
        <f>IFERROR(__xludf.DUMMYFUNCTION("""COMPUTED_VALUE"""),"올리브오일")</f>
        <v>올리브오일</v>
      </c>
    </row>
    <row r="15400">
      <c r="A15400" s="2" t="str">
        <f>IFERROR(__xludf.DUMMYFUNCTION("""COMPUTED_VALUE"""),"응답하라 이탈리아")</f>
        <v>응답하라 이탈리아</v>
      </c>
      <c r="B15400" s="2" t="str">
        <f>IFERROR(__xludf.DUMMYFUNCTION("""COMPUTED_VALUE"""),"페투치네 파스타면")</f>
        <v>페투치네 파스타면</v>
      </c>
    </row>
    <row r="15401">
      <c r="A15401" s="2" t="str">
        <f>IFERROR(__xludf.DUMMYFUNCTION("""COMPUTED_VALUE"""),"응답하라 이탈리아")</f>
        <v>응답하라 이탈리아</v>
      </c>
      <c r="B15401" s="2" t="str">
        <f>IFERROR(__xludf.DUMMYFUNCTION("""COMPUTED_VALUE"""),"하몽")</f>
        <v>하몽</v>
      </c>
    </row>
    <row r="15402">
      <c r="A15402" s="2" t="str">
        <f>IFERROR(__xludf.DUMMYFUNCTION("""COMPUTED_VALUE"""),"응답하라 이탈리아")</f>
        <v>응답하라 이탈리아</v>
      </c>
      <c r="B15402" s="2" t="str">
        <f>IFERROR(__xludf.DUMMYFUNCTION("""COMPUTED_VALUE"""),"돼지목살")</f>
        <v>돼지목살</v>
      </c>
    </row>
    <row r="15403">
      <c r="A15403" s="2" t="str">
        <f>IFERROR(__xludf.DUMMYFUNCTION("""COMPUTED_VALUE"""),"응답하라 이탈리아")</f>
        <v>응답하라 이탈리아</v>
      </c>
      <c r="B15403" s="2" t="str">
        <f>IFERROR(__xludf.DUMMYFUNCTION("""COMPUTED_VALUE"""),"자숙새우")</f>
        <v>자숙새우</v>
      </c>
    </row>
    <row r="15404">
      <c r="A15404" s="2" t="str">
        <f>IFERROR(__xludf.DUMMYFUNCTION("""COMPUTED_VALUE"""),"응답하라 이탈리아")</f>
        <v>응답하라 이탈리아</v>
      </c>
      <c r="B15404" s="2" t="str">
        <f>IFERROR(__xludf.DUMMYFUNCTION("""COMPUTED_VALUE"""),"방울토마토")</f>
        <v>방울토마토</v>
      </c>
    </row>
    <row r="15405">
      <c r="A15405" s="2" t="str">
        <f>IFERROR(__xludf.DUMMYFUNCTION("""COMPUTED_VALUE"""),"응답하라 이탈리아")</f>
        <v>응답하라 이탈리아</v>
      </c>
      <c r="B15405" s="2" t="str">
        <f>IFERROR(__xludf.DUMMYFUNCTION("""COMPUTED_VALUE"""),"브로콜리")</f>
        <v>브로콜리</v>
      </c>
    </row>
    <row r="15406">
      <c r="A15406" s="2" t="str">
        <f>IFERROR(__xludf.DUMMYFUNCTION("""COMPUTED_VALUE"""),"응답하라 이탈리아")</f>
        <v>응답하라 이탈리아</v>
      </c>
      <c r="B15406" s="2" t="str">
        <f>IFERROR(__xludf.DUMMYFUNCTION("""COMPUTED_VALUE"""),"아몬드")</f>
        <v>아몬드</v>
      </c>
    </row>
    <row r="15407">
      <c r="A15407" s="2" t="str">
        <f>IFERROR(__xludf.DUMMYFUNCTION("""COMPUTED_VALUE"""),"응답하라 이탈리아")</f>
        <v>응답하라 이탈리아</v>
      </c>
      <c r="B15407" s="2" t="str">
        <f>IFERROR(__xludf.DUMMYFUNCTION("""COMPUTED_VALUE"""),"파르메산 치즈가루")</f>
        <v>파르메산 치즈가루</v>
      </c>
    </row>
    <row r="15408">
      <c r="A15408" s="2" t="str">
        <f>IFERROR(__xludf.DUMMYFUNCTION("""COMPUTED_VALUE"""),"응답하라 이탈리아")</f>
        <v>응답하라 이탈리아</v>
      </c>
      <c r="B15408" s="2" t="str">
        <f>IFERROR(__xludf.DUMMYFUNCTION("""COMPUTED_VALUE"""),"발사믹 드레싱")</f>
        <v>발사믹 드레싱</v>
      </c>
    </row>
    <row r="15409">
      <c r="A15409" s="2" t="str">
        <f>IFERROR(__xludf.DUMMYFUNCTION("""COMPUTED_VALUE"""),"응답하라 이탈리아")</f>
        <v>응답하라 이탈리아</v>
      </c>
      <c r="B15409" s="2" t="str">
        <f>IFERROR(__xludf.DUMMYFUNCTION("""COMPUTED_VALUE"""),"셀러리")</f>
        <v>셀러리</v>
      </c>
    </row>
    <row r="15410">
      <c r="A15410" s="2" t="str">
        <f>IFERROR(__xludf.DUMMYFUNCTION("""COMPUTED_VALUE"""),"응답하라 이탈리아")</f>
        <v>응답하라 이탈리아</v>
      </c>
      <c r="B15410" s="2" t="str">
        <f>IFERROR(__xludf.DUMMYFUNCTION("""COMPUTED_VALUE"""),"파슬리 가루")</f>
        <v>파슬리 가루</v>
      </c>
    </row>
    <row r="15411">
      <c r="A15411" s="2" t="str">
        <f>IFERROR(__xludf.DUMMYFUNCTION("""COMPUTED_VALUE"""),"응답하라 이탈리아")</f>
        <v>응답하라 이탈리아</v>
      </c>
      <c r="B15411" s="2" t="str">
        <f>IFERROR(__xludf.DUMMYFUNCTION("""COMPUTED_VALUE"""),"설탕")</f>
        <v>설탕</v>
      </c>
    </row>
    <row r="15412">
      <c r="A15412" s="2" t="str">
        <f>IFERROR(__xludf.DUMMYFUNCTION("""COMPUTED_VALUE"""),"응답하라 이탈리아")</f>
        <v>응답하라 이탈리아</v>
      </c>
      <c r="B15412" s="2" t="str">
        <f>IFERROR(__xludf.DUMMYFUNCTION("""COMPUTED_VALUE"""),"올리브오일")</f>
        <v>올리브오일</v>
      </c>
    </row>
    <row r="15413">
      <c r="A15413" s="2" t="str">
        <f>IFERROR(__xludf.DUMMYFUNCTION("""COMPUTED_VALUE"""),"응답하라 이탈리아")</f>
        <v>응답하라 이탈리아</v>
      </c>
      <c r="B15413" s="2" t="str">
        <f>IFERROR(__xludf.DUMMYFUNCTION("""COMPUTED_VALUE"""),"양파")</f>
        <v>양파</v>
      </c>
    </row>
    <row r="15414">
      <c r="A15414" s="2" t="str">
        <f>IFERROR(__xludf.DUMMYFUNCTION("""COMPUTED_VALUE"""),"응답하라 이탈리아")</f>
        <v>응답하라 이탈리아</v>
      </c>
      <c r="B15414" s="2" t="str">
        <f>IFERROR(__xludf.DUMMYFUNCTION("""COMPUTED_VALUE"""),"소금")</f>
        <v>소금</v>
      </c>
    </row>
    <row r="15415">
      <c r="A15415" s="2" t="str">
        <f>IFERROR(__xludf.DUMMYFUNCTION("""COMPUTED_VALUE"""),"응답하라 이탈리아")</f>
        <v>응답하라 이탈리아</v>
      </c>
      <c r="B15415" s="2" t="str">
        <f>IFERROR(__xludf.DUMMYFUNCTION("""COMPUTED_VALUE"""),"레몬")</f>
        <v>레몬</v>
      </c>
    </row>
    <row r="15416">
      <c r="A15416" s="2" t="str">
        <f>IFERROR(__xludf.DUMMYFUNCTION("""COMPUTED_VALUE"""),"응답하라 이탈리아")</f>
        <v>응답하라 이탈리아</v>
      </c>
      <c r="B15416" s="2" t="str">
        <f>IFERROR(__xludf.DUMMYFUNCTION("""COMPUTED_VALUE"""),"마요네즈")</f>
        <v>마요네즈</v>
      </c>
    </row>
    <row r="15417">
      <c r="A15417" s="2" t="str">
        <f>IFERROR(__xludf.DUMMYFUNCTION("""COMPUTED_VALUE"""),"응답하라 이탈리아")</f>
        <v>응답하라 이탈리아</v>
      </c>
      <c r="B15417" s="2" t="str">
        <f>IFERROR(__xludf.DUMMYFUNCTION("""COMPUTED_VALUE"""),"대파")</f>
        <v>대파</v>
      </c>
    </row>
    <row r="15418">
      <c r="A15418" s="2" t="str">
        <f>IFERROR(__xludf.DUMMYFUNCTION("""COMPUTED_VALUE"""),"응답하라 이탈리아")</f>
        <v>응답하라 이탈리아</v>
      </c>
      <c r="B15418" s="2" t="str">
        <f>IFERROR(__xludf.DUMMYFUNCTION("""COMPUTED_VALUE"""),"마늘")</f>
        <v>마늘</v>
      </c>
    </row>
    <row r="15419">
      <c r="A15419" s="2" t="str">
        <f>IFERROR(__xludf.DUMMYFUNCTION("""COMPUTED_VALUE"""),"응답하라 이탈리아")</f>
        <v>응답하라 이탈리아</v>
      </c>
      <c r="B15419" s="2" t="str">
        <f>IFERROR(__xludf.DUMMYFUNCTION("""COMPUTED_VALUE"""),"후추")</f>
        <v>후추</v>
      </c>
    </row>
    <row r="15420">
      <c r="A15420" s="2" t="str">
        <f>IFERROR(__xludf.DUMMYFUNCTION("""COMPUTED_VALUE"""),"응답하라 이탈리아")</f>
        <v>응답하라 이탈리아</v>
      </c>
      <c r="B15420" s="2" t="str">
        <f>IFERROR(__xludf.DUMMYFUNCTION("""COMPUTED_VALUE"""),"당근")</f>
        <v>당근</v>
      </c>
    </row>
    <row r="15421">
      <c r="A15421" s="2" t="str">
        <f>IFERROR(__xludf.DUMMYFUNCTION("""COMPUTED_VALUE"""),"국밥정상회담")</f>
        <v>국밥정상회담</v>
      </c>
      <c r="B15421" s="2" t="str">
        <f>IFERROR(__xludf.DUMMYFUNCTION("""COMPUTED_VALUE"""),"생닭")</f>
        <v>생닭</v>
      </c>
    </row>
    <row r="15422">
      <c r="A15422" s="2" t="str">
        <f>IFERROR(__xludf.DUMMYFUNCTION("""COMPUTED_VALUE"""),"국밥정상회담")</f>
        <v>국밥정상회담</v>
      </c>
      <c r="B15422" s="2" t="str">
        <f>IFERROR(__xludf.DUMMYFUNCTION("""COMPUTED_VALUE"""),"묵은지")</f>
        <v>묵은지</v>
      </c>
    </row>
    <row r="15423">
      <c r="A15423" s="2" t="str">
        <f>IFERROR(__xludf.DUMMYFUNCTION("""COMPUTED_VALUE"""),"국밥정상회담")</f>
        <v>국밥정상회담</v>
      </c>
      <c r="B15423" s="2" t="str">
        <f>IFERROR(__xludf.DUMMYFUNCTION("""COMPUTED_VALUE"""),"사골육수")</f>
        <v>사골육수</v>
      </c>
    </row>
    <row r="15424">
      <c r="A15424" s="2" t="str">
        <f>IFERROR(__xludf.DUMMYFUNCTION("""COMPUTED_VALUE"""),"국밥정상회담")</f>
        <v>국밥정상회담</v>
      </c>
      <c r="B15424" s="2" t="str">
        <f>IFERROR(__xludf.DUMMYFUNCTION("""COMPUTED_VALUE"""),"쌈배추")</f>
        <v>쌈배추</v>
      </c>
    </row>
    <row r="15425">
      <c r="A15425" s="2" t="str">
        <f>IFERROR(__xludf.DUMMYFUNCTION("""COMPUTED_VALUE"""),"국밥정상회담")</f>
        <v>국밥정상회담</v>
      </c>
      <c r="B15425" s="2" t="str">
        <f>IFERROR(__xludf.DUMMYFUNCTION("""COMPUTED_VALUE"""),"삼겹살")</f>
        <v>삼겹살</v>
      </c>
    </row>
    <row r="15426">
      <c r="A15426" s="2" t="str">
        <f>IFERROR(__xludf.DUMMYFUNCTION("""COMPUTED_VALUE"""),"국밥정상회담")</f>
        <v>국밥정상회담</v>
      </c>
      <c r="B15426" s="2" t="str">
        <f>IFERROR(__xludf.DUMMYFUNCTION("""COMPUTED_VALUE"""),"불린 완두콩")</f>
        <v>불린 완두콩</v>
      </c>
    </row>
    <row r="15427">
      <c r="A15427" s="2" t="str">
        <f>IFERROR(__xludf.DUMMYFUNCTION("""COMPUTED_VALUE"""),"국밥정상회담")</f>
        <v>국밥정상회담</v>
      </c>
      <c r="B15427" s="2" t="str">
        <f>IFERROR(__xludf.DUMMYFUNCTION("""COMPUTED_VALUE"""),"고사리")</f>
        <v>고사리</v>
      </c>
    </row>
    <row r="15428">
      <c r="A15428" s="2" t="str">
        <f>IFERROR(__xludf.DUMMYFUNCTION("""COMPUTED_VALUE"""),"국밥정상회담")</f>
        <v>국밥정상회담</v>
      </c>
      <c r="B15428" s="2" t="str">
        <f>IFERROR(__xludf.DUMMYFUNCTION("""COMPUTED_VALUE"""),"불린 표고버섯")</f>
        <v>불린 표고버섯</v>
      </c>
    </row>
    <row r="15429">
      <c r="A15429" s="2" t="str">
        <f>IFERROR(__xludf.DUMMYFUNCTION("""COMPUTED_VALUE"""),"국밥정상회담")</f>
        <v>국밥정상회담</v>
      </c>
      <c r="B15429" s="2" t="str">
        <f>IFERROR(__xludf.DUMMYFUNCTION("""COMPUTED_VALUE"""),"불린 녹두")</f>
        <v>불린 녹두</v>
      </c>
    </row>
    <row r="15430">
      <c r="A15430" s="2" t="str">
        <f>IFERROR(__xludf.DUMMYFUNCTION("""COMPUTED_VALUE"""),"국밥정상회담")</f>
        <v>국밥정상회담</v>
      </c>
      <c r="B15430" s="2" t="str">
        <f>IFERROR(__xludf.DUMMYFUNCTION("""COMPUTED_VALUE"""),"대파")</f>
        <v>대파</v>
      </c>
    </row>
    <row r="15431">
      <c r="A15431" s="2" t="str">
        <f>IFERROR(__xludf.DUMMYFUNCTION("""COMPUTED_VALUE"""),"국밥정상회담")</f>
        <v>국밥정상회담</v>
      </c>
      <c r="B15431" s="2" t="str">
        <f>IFERROR(__xludf.DUMMYFUNCTION("""COMPUTED_VALUE"""),"양파")</f>
        <v>양파</v>
      </c>
    </row>
    <row r="15432">
      <c r="A15432" s="2" t="str">
        <f>IFERROR(__xludf.DUMMYFUNCTION("""COMPUTED_VALUE"""),"국밥정상회담")</f>
        <v>국밥정상회담</v>
      </c>
      <c r="B15432" s="2" t="str">
        <f>IFERROR(__xludf.DUMMYFUNCTION("""COMPUTED_VALUE"""),"맛술")</f>
        <v>맛술</v>
      </c>
    </row>
    <row r="15433">
      <c r="A15433" s="2" t="str">
        <f>IFERROR(__xludf.DUMMYFUNCTION("""COMPUTED_VALUE"""),"국밥정상회담")</f>
        <v>국밥정상회담</v>
      </c>
      <c r="B15433" s="2" t="str">
        <f>IFERROR(__xludf.DUMMYFUNCTION("""COMPUTED_VALUE"""),"밀가루")</f>
        <v>밀가루</v>
      </c>
    </row>
    <row r="15434">
      <c r="A15434" s="2" t="str">
        <f>IFERROR(__xludf.DUMMYFUNCTION("""COMPUTED_VALUE"""),"국밥정상회담")</f>
        <v>국밥정상회담</v>
      </c>
      <c r="B15434" s="2" t="str">
        <f>IFERROR(__xludf.DUMMYFUNCTION("""COMPUTED_VALUE"""),"즉석밥")</f>
        <v>즉석밥</v>
      </c>
    </row>
    <row r="15435">
      <c r="A15435" s="2" t="str">
        <f>IFERROR(__xludf.DUMMYFUNCTION("""COMPUTED_VALUE"""),"국밥정상회담")</f>
        <v>국밥정상회담</v>
      </c>
      <c r="B15435" s="2" t="str">
        <f>IFERROR(__xludf.DUMMYFUNCTION("""COMPUTED_VALUE"""),"소금")</f>
        <v>소금</v>
      </c>
    </row>
    <row r="15436">
      <c r="A15436" s="2" t="str">
        <f>IFERROR(__xludf.DUMMYFUNCTION("""COMPUTED_VALUE"""),"국밥정상회담")</f>
        <v>국밥정상회담</v>
      </c>
      <c r="B15436" s="2" t="str">
        <f>IFERROR(__xludf.DUMMYFUNCTION("""COMPUTED_VALUE"""),"간장")</f>
        <v>간장</v>
      </c>
    </row>
    <row r="15437">
      <c r="A15437" s="2" t="str">
        <f>IFERROR(__xludf.DUMMYFUNCTION("""COMPUTED_VALUE"""),"국밥정상회담")</f>
        <v>국밥정상회담</v>
      </c>
      <c r="B15437" s="2" t="str">
        <f>IFERROR(__xludf.DUMMYFUNCTION("""COMPUTED_VALUE"""),"청양고추")</f>
        <v>청양고추</v>
      </c>
    </row>
    <row r="15438">
      <c r="A15438" s="2" t="str">
        <f>IFERROR(__xludf.DUMMYFUNCTION("""COMPUTED_VALUE"""),"국밥정상회담")</f>
        <v>국밥정상회담</v>
      </c>
      <c r="B15438" s="2" t="str">
        <f>IFERROR(__xludf.DUMMYFUNCTION("""COMPUTED_VALUE"""),"후추")</f>
        <v>후추</v>
      </c>
    </row>
    <row r="15439">
      <c r="A15439" s="2" t="str">
        <f>IFERROR(__xludf.DUMMYFUNCTION("""COMPUTED_VALUE"""),"국밥정상회담")</f>
        <v>국밥정상회담</v>
      </c>
      <c r="B15439" s="2" t="str">
        <f>IFERROR(__xludf.DUMMYFUNCTION("""COMPUTED_VALUE"""),"다진 마늘")</f>
        <v>다진 마늘</v>
      </c>
    </row>
    <row r="15440">
      <c r="A15440" s="2" t="str">
        <f>IFERROR(__xludf.DUMMYFUNCTION("""COMPUTED_VALUE"""),"국밥정상회담")</f>
        <v>국밥정상회담</v>
      </c>
      <c r="B15440" s="2" t="str">
        <f>IFERROR(__xludf.DUMMYFUNCTION("""COMPUTED_VALUE"""),"참기름")</f>
        <v>참기름</v>
      </c>
    </row>
    <row r="15441">
      <c r="A15441" s="2" t="str">
        <f>IFERROR(__xludf.DUMMYFUNCTION("""COMPUTED_VALUE"""),"국밥정상회담")</f>
        <v>국밥정상회담</v>
      </c>
      <c r="B15441" s="2" t="str">
        <f>IFERROR(__xludf.DUMMYFUNCTION("""COMPUTED_VALUE"""),"깨")</f>
        <v>깨</v>
      </c>
    </row>
    <row r="15442">
      <c r="A15442" s="2" t="str">
        <f>IFERROR(__xludf.DUMMYFUNCTION("""COMPUTED_VALUE"""),"국밥정상회담")</f>
        <v>국밥정상회담</v>
      </c>
      <c r="B15442" s="2" t="str">
        <f>IFERROR(__xludf.DUMMYFUNCTION("""COMPUTED_VALUE"""),"달걀")</f>
        <v>달걀</v>
      </c>
    </row>
    <row r="15443">
      <c r="A15443" s="2" t="str">
        <f>IFERROR(__xludf.DUMMYFUNCTION("""COMPUTED_VALUE"""),"국밥정상회담")</f>
        <v>국밥정상회담</v>
      </c>
      <c r="B15443" s="2" t="str">
        <f>IFERROR(__xludf.DUMMYFUNCTION("""COMPUTED_VALUE"""),"고추")</f>
        <v>고추</v>
      </c>
    </row>
    <row r="15444">
      <c r="A15444" s="2" t="str">
        <f>IFERROR(__xludf.DUMMYFUNCTION("""COMPUTED_VALUE"""),"국밥정상회담")</f>
        <v>국밥정상회담</v>
      </c>
      <c r="B15444" s="2" t="str">
        <f>IFERROR(__xludf.DUMMYFUNCTION("""COMPUTED_VALUE"""),"홍고추")</f>
        <v>홍고추</v>
      </c>
    </row>
    <row r="15445">
      <c r="A15445" s="2" t="str">
        <f>IFERROR(__xludf.DUMMYFUNCTION("""COMPUTED_VALUE"""),"공동만두구역")</f>
        <v>공동만두구역</v>
      </c>
      <c r="B15445" s="2" t="str">
        <f>IFERROR(__xludf.DUMMYFUNCTION("""COMPUTED_VALUE"""),"민어")</f>
        <v>민어</v>
      </c>
    </row>
    <row r="15446">
      <c r="A15446" s="2" t="str">
        <f>IFERROR(__xludf.DUMMYFUNCTION("""COMPUTED_VALUE"""),"공동만두구역")</f>
        <v>공동만두구역</v>
      </c>
      <c r="B15446" s="2" t="str">
        <f>IFERROR(__xludf.DUMMYFUNCTION("""COMPUTED_VALUE"""),"삼겹살")</f>
        <v>삼겹살</v>
      </c>
    </row>
    <row r="15447">
      <c r="A15447" s="2" t="str">
        <f>IFERROR(__xludf.DUMMYFUNCTION("""COMPUTED_VALUE"""),"공동만두구역")</f>
        <v>공동만두구역</v>
      </c>
      <c r="B15447" s="2" t="str">
        <f>IFERROR(__xludf.DUMMYFUNCTION("""COMPUTED_VALUE"""),"고사리")</f>
        <v>고사리</v>
      </c>
    </row>
    <row r="15448">
      <c r="A15448" s="2" t="str">
        <f>IFERROR(__xludf.DUMMYFUNCTION("""COMPUTED_VALUE"""),"공동만두구역")</f>
        <v>공동만두구역</v>
      </c>
      <c r="B15448" s="2" t="str">
        <f>IFERROR(__xludf.DUMMYFUNCTION("""COMPUTED_VALUE"""),"묵은지")</f>
        <v>묵은지</v>
      </c>
    </row>
    <row r="15449">
      <c r="A15449" s="2" t="str">
        <f>IFERROR(__xludf.DUMMYFUNCTION("""COMPUTED_VALUE"""),"공동만두구역")</f>
        <v>공동만두구역</v>
      </c>
      <c r="B15449" s="2" t="str">
        <f>IFERROR(__xludf.DUMMYFUNCTION("""COMPUTED_VALUE"""),"꼬리곰탕")</f>
        <v>꼬리곰탕</v>
      </c>
    </row>
    <row r="15450">
      <c r="A15450" s="2" t="str">
        <f>IFERROR(__xludf.DUMMYFUNCTION("""COMPUTED_VALUE"""),"공동만두구역")</f>
        <v>공동만두구역</v>
      </c>
      <c r="B15450" s="2" t="str">
        <f>IFERROR(__xludf.DUMMYFUNCTION("""COMPUTED_VALUE"""),"사골육수")</f>
        <v>사골육수</v>
      </c>
    </row>
    <row r="15451">
      <c r="A15451" s="2" t="str">
        <f>IFERROR(__xludf.DUMMYFUNCTION("""COMPUTED_VALUE"""),"공동만두구역")</f>
        <v>공동만두구역</v>
      </c>
      <c r="B15451" s="2" t="str">
        <f>IFERROR(__xludf.DUMMYFUNCTION("""COMPUTED_VALUE"""),"닭발")</f>
        <v>닭발</v>
      </c>
    </row>
    <row r="15452">
      <c r="A15452" s="2" t="str">
        <f>IFERROR(__xludf.DUMMYFUNCTION("""COMPUTED_VALUE"""),"공동만두구역")</f>
        <v>공동만두구역</v>
      </c>
      <c r="B15452" s="2" t="str">
        <f>IFERROR(__xludf.DUMMYFUNCTION("""COMPUTED_VALUE"""),"불린 노가리")</f>
        <v>불린 노가리</v>
      </c>
    </row>
    <row r="15453">
      <c r="A15453" s="2" t="str">
        <f>IFERROR(__xludf.DUMMYFUNCTION("""COMPUTED_VALUE"""),"공동만두구역")</f>
        <v>공동만두구역</v>
      </c>
      <c r="B15453" s="2" t="str">
        <f>IFERROR(__xludf.DUMMYFUNCTION("""COMPUTED_VALUE"""),"고추장굴비")</f>
        <v>고추장굴비</v>
      </c>
    </row>
    <row r="15454">
      <c r="A15454" s="2" t="str">
        <f>IFERROR(__xludf.DUMMYFUNCTION("""COMPUTED_VALUE"""),"공동만두구역")</f>
        <v>공동만두구역</v>
      </c>
      <c r="B15454" s="2" t="str">
        <f>IFERROR(__xludf.DUMMYFUNCTION("""COMPUTED_VALUE"""),"총각김치")</f>
        <v>총각김치</v>
      </c>
    </row>
    <row r="15455">
      <c r="A15455" s="2" t="str">
        <f>IFERROR(__xludf.DUMMYFUNCTION("""COMPUTED_VALUE"""),"공동만두구역")</f>
        <v>공동만두구역</v>
      </c>
      <c r="B15455" s="2" t="str">
        <f>IFERROR(__xludf.DUMMYFUNCTION("""COMPUTED_VALUE"""),"불린 현미")</f>
        <v>불린 현미</v>
      </c>
    </row>
    <row r="15456">
      <c r="A15456" s="2" t="str">
        <f>IFERROR(__xludf.DUMMYFUNCTION("""COMPUTED_VALUE"""),"공동만두구역")</f>
        <v>공동만두구역</v>
      </c>
      <c r="B15456" s="2" t="str">
        <f>IFERROR(__xludf.DUMMYFUNCTION("""COMPUTED_VALUE"""),"김")</f>
        <v>김</v>
      </c>
    </row>
    <row r="15457">
      <c r="A15457" s="2" t="str">
        <f>IFERROR(__xludf.DUMMYFUNCTION("""COMPUTED_VALUE"""),"공동만두구역")</f>
        <v>공동만두구역</v>
      </c>
      <c r="B15457" s="2" t="str">
        <f>IFERROR(__xludf.DUMMYFUNCTION("""COMPUTED_VALUE"""),"달걀말이")</f>
        <v>달걀말이</v>
      </c>
    </row>
    <row r="15458">
      <c r="A15458" s="2" t="str">
        <f>IFERROR(__xludf.DUMMYFUNCTION("""COMPUTED_VALUE"""),"공동만두구역")</f>
        <v>공동만두구역</v>
      </c>
      <c r="B15458" s="2" t="str">
        <f>IFERROR(__xludf.DUMMYFUNCTION("""COMPUTED_VALUE"""),"시금치")</f>
        <v>시금치</v>
      </c>
    </row>
    <row r="15459">
      <c r="A15459" s="2" t="str">
        <f>IFERROR(__xludf.DUMMYFUNCTION("""COMPUTED_VALUE"""),"공동만두구역")</f>
        <v>공동만두구역</v>
      </c>
      <c r="B15459" s="2" t="str">
        <f>IFERROR(__xludf.DUMMYFUNCTION("""COMPUTED_VALUE"""),"강력분")</f>
        <v>강력분</v>
      </c>
    </row>
    <row r="15460">
      <c r="A15460" s="2" t="str">
        <f>IFERROR(__xludf.DUMMYFUNCTION("""COMPUTED_VALUE"""),"공동만두구역")</f>
        <v>공동만두구역</v>
      </c>
      <c r="B15460" s="2" t="str">
        <f>IFERROR(__xludf.DUMMYFUNCTION("""COMPUTED_VALUE"""),"중력분")</f>
        <v>중력분</v>
      </c>
    </row>
    <row r="15461">
      <c r="A15461" s="2" t="str">
        <f>IFERROR(__xludf.DUMMYFUNCTION("""COMPUTED_VALUE"""),"공동만두구역")</f>
        <v>공동만두구역</v>
      </c>
      <c r="B15461" s="2" t="str">
        <f>IFERROR(__xludf.DUMMYFUNCTION("""COMPUTED_VALUE"""),"소금")</f>
        <v>소금</v>
      </c>
    </row>
    <row r="15462">
      <c r="A15462" s="2" t="str">
        <f>IFERROR(__xludf.DUMMYFUNCTION("""COMPUTED_VALUE"""),"공동만두구역")</f>
        <v>공동만두구역</v>
      </c>
      <c r="B15462" s="2" t="str">
        <f>IFERROR(__xludf.DUMMYFUNCTION("""COMPUTED_VALUE"""),"식용유")</f>
        <v>식용유</v>
      </c>
    </row>
    <row r="15463">
      <c r="A15463" s="2" t="str">
        <f>IFERROR(__xludf.DUMMYFUNCTION("""COMPUTED_VALUE"""),"공동만두구역")</f>
        <v>공동만두구역</v>
      </c>
      <c r="B15463" s="2" t="str">
        <f>IFERROR(__xludf.DUMMYFUNCTION("""COMPUTED_VALUE"""),"다진 생강")</f>
        <v>다진 생강</v>
      </c>
    </row>
    <row r="15464">
      <c r="A15464" s="2" t="str">
        <f>IFERROR(__xludf.DUMMYFUNCTION("""COMPUTED_VALUE"""),"공동만두구역")</f>
        <v>공동만두구역</v>
      </c>
      <c r="B15464" s="2" t="str">
        <f>IFERROR(__xludf.DUMMYFUNCTION("""COMPUTED_VALUE"""),"다진 마늘")</f>
        <v>다진 마늘</v>
      </c>
    </row>
    <row r="15465">
      <c r="A15465" s="2" t="str">
        <f>IFERROR(__xludf.DUMMYFUNCTION("""COMPUTED_VALUE"""),"공동만두구역")</f>
        <v>공동만두구역</v>
      </c>
      <c r="B15465" s="2" t="str">
        <f>IFERROR(__xludf.DUMMYFUNCTION("""COMPUTED_VALUE"""),"참기름")</f>
        <v>참기름</v>
      </c>
    </row>
    <row r="15466">
      <c r="A15466" s="2" t="str">
        <f>IFERROR(__xludf.DUMMYFUNCTION("""COMPUTED_VALUE"""),"공동만두구역")</f>
        <v>공동만두구역</v>
      </c>
      <c r="B15466" s="2" t="str">
        <f>IFERROR(__xludf.DUMMYFUNCTION("""COMPUTED_VALUE"""),"고춧가루")</f>
        <v>고춧가루</v>
      </c>
    </row>
    <row r="15467">
      <c r="A15467" s="2" t="str">
        <f>IFERROR(__xludf.DUMMYFUNCTION("""COMPUTED_VALUE"""),"공동만두구역")</f>
        <v>공동만두구역</v>
      </c>
      <c r="B15467" s="2" t="str">
        <f>IFERROR(__xludf.DUMMYFUNCTION("""COMPUTED_VALUE"""),"대파")</f>
        <v>대파</v>
      </c>
    </row>
    <row r="15468">
      <c r="A15468" s="2" t="str">
        <f>IFERROR(__xludf.DUMMYFUNCTION("""COMPUTED_VALUE"""),"공동만두구역")</f>
        <v>공동만두구역</v>
      </c>
      <c r="B15468" s="2" t="str">
        <f>IFERROR(__xludf.DUMMYFUNCTION("""COMPUTED_VALUE"""),"청양고추")</f>
        <v>청양고추</v>
      </c>
    </row>
    <row r="15469">
      <c r="A15469" s="2" t="str">
        <f>IFERROR(__xludf.DUMMYFUNCTION("""COMPUTED_VALUE"""),"공동만두구역")</f>
        <v>공동만두구역</v>
      </c>
      <c r="B15469" s="2" t="str">
        <f>IFERROR(__xludf.DUMMYFUNCTION("""COMPUTED_VALUE"""),"간장")</f>
        <v>간장</v>
      </c>
    </row>
    <row r="15470">
      <c r="A15470" s="2" t="str">
        <f>IFERROR(__xludf.DUMMYFUNCTION("""COMPUTED_VALUE"""),"이게 불낙이야")</f>
        <v>이게 불낙이야</v>
      </c>
      <c r="B15470" s="2" t="str">
        <f>IFERROR(__xludf.DUMMYFUNCTION("""COMPUTED_VALUE"""),"소등심")</f>
        <v>소등심</v>
      </c>
    </row>
    <row r="15471">
      <c r="A15471" s="2" t="str">
        <f>IFERROR(__xludf.DUMMYFUNCTION("""COMPUTED_VALUE"""),"이게 불낙이야")</f>
        <v>이게 불낙이야</v>
      </c>
      <c r="B15471" s="2" t="str">
        <f>IFERROR(__xludf.DUMMYFUNCTION("""COMPUTED_VALUE"""),"낙지")</f>
        <v>낙지</v>
      </c>
    </row>
    <row r="15472">
      <c r="A15472" s="2" t="str">
        <f>IFERROR(__xludf.DUMMYFUNCTION("""COMPUTED_VALUE"""),"이게 불낙이야")</f>
        <v>이게 불낙이야</v>
      </c>
      <c r="B15472" s="2" t="str">
        <f>IFERROR(__xludf.DUMMYFUNCTION("""COMPUTED_VALUE"""),"민어 뼈")</f>
        <v>민어 뼈</v>
      </c>
    </row>
    <row r="15473">
      <c r="A15473" s="2" t="str">
        <f>IFERROR(__xludf.DUMMYFUNCTION("""COMPUTED_VALUE"""),"이게 불낙이야")</f>
        <v>이게 불낙이야</v>
      </c>
      <c r="B15473" s="2" t="str">
        <f>IFERROR(__xludf.DUMMYFUNCTION("""COMPUTED_VALUE"""),"다슬기")</f>
        <v>다슬기</v>
      </c>
    </row>
    <row r="15474">
      <c r="A15474" s="2" t="str">
        <f>IFERROR(__xludf.DUMMYFUNCTION("""COMPUTED_VALUE"""),"이게 불낙이야")</f>
        <v>이게 불낙이야</v>
      </c>
      <c r="B15474" s="2" t="str">
        <f>IFERROR(__xludf.DUMMYFUNCTION("""COMPUTED_VALUE"""),"전복")</f>
        <v>전복</v>
      </c>
    </row>
    <row r="15475">
      <c r="A15475" s="2" t="str">
        <f>IFERROR(__xludf.DUMMYFUNCTION("""COMPUTED_VALUE"""),"이게 불낙이야")</f>
        <v>이게 불낙이야</v>
      </c>
      <c r="B15475" s="2" t="str">
        <f>IFERROR(__xludf.DUMMYFUNCTION("""COMPUTED_VALUE"""),"새우")</f>
        <v>새우</v>
      </c>
    </row>
    <row r="15476">
      <c r="A15476" s="2" t="str">
        <f>IFERROR(__xludf.DUMMYFUNCTION("""COMPUTED_VALUE"""),"이게 불낙이야")</f>
        <v>이게 불낙이야</v>
      </c>
      <c r="B15476" s="2" t="str">
        <f>IFERROR(__xludf.DUMMYFUNCTION("""COMPUTED_VALUE"""),"매생이")</f>
        <v>매생이</v>
      </c>
    </row>
    <row r="15477">
      <c r="A15477" s="2" t="str">
        <f>IFERROR(__xludf.DUMMYFUNCTION("""COMPUTED_VALUE"""),"이게 불낙이야")</f>
        <v>이게 불낙이야</v>
      </c>
      <c r="B15477" s="2" t="str">
        <f>IFERROR(__xludf.DUMMYFUNCTION("""COMPUTED_VALUE"""),"미더덕")</f>
        <v>미더덕</v>
      </c>
    </row>
    <row r="15478">
      <c r="A15478" s="2" t="str">
        <f>IFERROR(__xludf.DUMMYFUNCTION("""COMPUTED_VALUE"""),"이게 불낙이야")</f>
        <v>이게 불낙이야</v>
      </c>
      <c r="B15478" s="2" t="str">
        <f>IFERROR(__xludf.DUMMYFUNCTION("""COMPUTED_VALUE"""),"꽈리고추")</f>
        <v>꽈리고추</v>
      </c>
    </row>
    <row r="15479">
      <c r="A15479" s="2" t="str">
        <f>IFERROR(__xludf.DUMMYFUNCTION("""COMPUTED_VALUE"""),"이게 불낙이야")</f>
        <v>이게 불낙이야</v>
      </c>
      <c r="B15479" s="2" t="str">
        <f>IFERROR(__xludf.DUMMYFUNCTION("""COMPUTED_VALUE"""),"베트남고추피클")</f>
        <v>베트남고추피클</v>
      </c>
    </row>
    <row r="15480">
      <c r="A15480" s="2" t="str">
        <f>IFERROR(__xludf.DUMMYFUNCTION("""COMPUTED_VALUE"""),"이게 불낙이야")</f>
        <v>이게 불낙이야</v>
      </c>
      <c r="B15480" s="2" t="str">
        <f>IFERROR(__xludf.DUMMYFUNCTION("""COMPUTED_VALUE"""),"브로콜리")</f>
        <v>브로콜리</v>
      </c>
    </row>
    <row r="15481">
      <c r="A15481" s="2" t="str">
        <f>IFERROR(__xludf.DUMMYFUNCTION("""COMPUTED_VALUE"""),"이게 불낙이야")</f>
        <v>이게 불낙이야</v>
      </c>
      <c r="B15481" s="2" t="str">
        <f>IFERROR(__xludf.DUMMYFUNCTION("""COMPUTED_VALUE"""),"닭발")</f>
        <v>닭발</v>
      </c>
    </row>
    <row r="15482">
      <c r="A15482" s="2" t="str">
        <f>IFERROR(__xludf.DUMMYFUNCTION("""COMPUTED_VALUE"""),"이게 불낙이야")</f>
        <v>이게 불낙이야</v>
      </c>
      <c r="B15482" s="2" t="str">
        <f>IFERROR(__xludf.DUMMYFUNCTION("""COMPUTED_VALUE"""),"굴")</f>
        <v>굴</v>
      </c>
    </row>
    <row r="15483">
      <c r="A15483" s="2" t="str">
        <f>IFERROR(__xludf.DUMMYFUNCTION("""COMPUTED_VALUE"""),"이게 불낙이야")</f>
        <v>이게 불낙이야</v>
      </c>
      <c r="B15483" s="2" t="str">
        <f>IFERROR(__xludf.DUMMYFUNCTION("""COMPUTED_VALUE"""),"장어")</f>
        <v>장어</v>
      </c>
    </row>
    <row r="15484">
      <c r="A15484" s="2" t="str">
        <f>IFERROR(__xludf.DUMMYFUNCTION("""COMPUTED_VALUE"""),"이게 불낙이야")</f>
        <v>이게 불낙이야</v>
      </c>
      <c r="B15484" s="2" t="str">
        <f>IFERROR(__xludf.DUMMYFUNCTION("""COMPUTED_VALUE"""),"인삼음료")</f>
        <v>인삼음료</v>
      </c>
    </row>
    <row r="15485">
      <c r="A15485" s="2" t="str">
        <f>IFERROR(__xludf.DUMMYFUNCTION("""COMPUTED_VALUE"""),"이게 불낙이야")</f>
        <v>이게 불낙이야</v>
      </c>
      <c r="B15485" s="2" t="str">
        <f>IFERROR(__xludf.DUMMYFUNCTION("""COMPUTED_VALUE"""),"불린 표고버섯")</f>
        <v>불린 표고버섯</v>
      </c>
    </row>
    <row r="15486">
      <c r="A15486" s="2" t="str">
        <f>IFERROR(__xludf.DUMMYFUNCTION("""COMPUTED_VALUE"""),"이게 불낙이야")</f>
        <v>이게 불낙이야</v>
      </c>
      <c r="B15486" s="2" t="str">
        <f>IFERROR(__xludf.DUMMYFUNCTION("""COMPUTED_VALUE"""),"아내표 물")</f>
        <v>아내표 물</v>
      </c>
    </row>
    <row r="15487">
      <c r="A15487" s="2" t="str">
        <f>IFERROR(__xludf.DUMMYFUNCTION("""COMPUTED_VALUE"""),"이게 불낙이야")</f>
        <v>이게 불낙이야</v>
      </c>
      <c r="B15487" s="2" t="str">
        <f>IFERROR(__xludf.DUMMYFUNCTION("""COMPUTED_VALUE"""),"마늘")</f>
        <v>마늘</v>
      </c>
    </row>
    <row r="15488">
      <c r="A15488" s="2" t="str">
        <f>IFERROR(__xludf.DUMMYFUNCTION("""COMPUTED_VALUE"""),"이게 불낙이야")</f>
        <v>이게 불낙이야</v>
      </c>
      <c r="B15488" s="2" t="str">
        <f>IFERROR(__xludf.DUMMYFUNCTION("""COMPUTED_VALUE"""),"대파")</f>
        <v>대파</v>
      </c>
    </row>
    <row r="15489">
      <c r="A15489" s="2" t="str">
        <f>IFERROR(__xludf.DUMMYFUNCTION("""COMPUTED_VALUE"""),"이게 불낙이야")</f>
        <v>이게 불낙이야</v>
      </c>
      <c r="B15489" s="2" t="str">
        <f>IFERROR(__xludf.DUMMYFUNCTION("""COMPUTED_VALUE"""),"소금")</f>
        <v>소금</v>
      </c>
    </row>
    <row r="15490">
      <c r="A15490" s="2" t="str">
        <f>IFERROR(__xludf.DUMMYFUNCTION("""COMPUTED_VALUE"""),"이게 불낙이야")</f>
        <v>이게 불낙이야</v>
      </c>
      <c r="B15490" s="2" t="str">
        <f>IFERROR(__xludf.DUMMYFUNCTION("""COMPUTED_VALUE"""),"청주")</f>
        <v>청주</v>
      </c>
    </row>
    <row r="15491">
      <c r="A15491" s="2" t="str">
        <f>IFERROR(__xludf.DUMMYFUNCTION("""COMPUTED_VALUE"""),"이게 불낙이야")</f>
        <v>이게 불낙이야</v>
      </c>
      <c r="B15491" s="2" t="str">
        <f>IFERROR(__xludf.DUMMYFUNCTION("""COMPUTED_VALUE"""),"다진 생강")</f>
        <v>다진 생강</v>
      </c>
    </row>
    <row r="15492">
      <c r="A15492" s="2" t="str">
        <f>IFERROR(__xludf.DUMMYFUNCTION("""COMPUTED_VALUE"""),"이게 불낙이야")</f>
        <v>이게 불낙이야</v>
      </c>
      <c r="B15492" s="2" t="str">
        <f>IFERROR(__xludf.DUMMYFUNCTION("""COMPUTED_VALUE"""),"밀가루")</f>
        <v>밀가루</v>
      </c>
    </row>
    <row r="15493">
      <c r="A15493" s="2" t="str">
        <f>IFERROR(__xludf.DUMMYFUNCTION("""COMPUTED_VALUE"""),"이게 불낙이야")</f>
        <v>이게 불낙이야</v>
      </c>
      <c r="B15493" s="2" t="str">
        <f>IFERROR(__xludf.DUMMYFUNCTION("""COMPUTED_VALUE"""),"청양고추")</f>
        <v>청양고추</v>
      </c>
    </row>
    <row r="15494">
      <c r="A15494" s="2" t="str">
        <f>IFERROR(__xludf.DUMMYFUNCTION("""COMPUTED_VALUE"""),"이게 불낙이야")</f>
        <v>이게 불낙이야</v>
      </c>
      <c r="B15494" s="2" t="str">
        <f>IFERROR(__xludf.DUMMYFUNCTION("""COMPUTED_VALUE"""),"양파")</f>
        <v>양파</v>
      </c>
    </row>
    <row r="15495">
      <c r="A15495" s="2" t="str">
        <f>IFERROR(__xludf.DUMMYFUNCTION("""COMPUTED_VALUE"""),"이게 불낙이야")</f>
        <v>이게 불낙이야</v>
      </c>
      <c r="B15495" s="2" t="str">
        <f>IFERROR(__xludf.DUMMYFUNCTION("""COMPUTED_VALUE"""),"간장")</f>
        <v>간장</v>
      </c>
    </row>
    <row r="15496">
      <c r="A15496" s="2" t="str">
        <f>IFERROR(__xludf.DUMMYFUNCTION("""COMPUTED_VALUE"""),"이게 불낙이야")</f>
        <v>이게 불낙이야</v>
      </c>
      <c r="B15496" s="2" t="str">
        <f>IFERROR(__xludf.DUMMYFUNCTION("""COMPUTED_VALUE"""),"후추")</f>
        <v>후추</v>
      </c>
    </row>
    <row r="15497">
      <c r="A15497" s="2" t="str">
        <f>IFERROR(__xludf.DUMMYFUNCTION("""COMPUTED_VALUE"""),"이게 불낙이야")</f>
        <v>이게 불낙이야</v>
      </c>
      <c r="B15497" s="2" t="str">
        <f>IFERROR(__xludf.DUMMYFUNCTION("""COMPUTED_VALUE"""),"다진 마늘")</f>
        <v>다진 마늘</v>
      </c>
    </row>
    <row r="15498">
      <c r="A15498" s="2" t="str">
        <f>IFERROR(__xludf.DUMMYFUNCTION("""COMPUTED_VALUE"""),"이게 불낙이야")</f>
        <v>이게 불낙이야</v>
      </c>
      <c r="B15498" s="2" t="str">
        <f>IFERROR(__xludf.DUMMYFUNCTION("""COMPUTED_VALUE"""),"고춧가루")</f>
        <v>고춧가루</v>
      </c>
    </row>
    <row r="15499">
      <c r="A15499" s="2" t="str">
        <f>IFERROR(__xludf.DUMMYFUNCTION("""COMPUTED_VALUE"""),"이게 불낙이야")</f>
        <v>이게 불낙이야</v>
      </c>
      <c r="B15499" s="2" t="str">
        <f>IFERROR(__xludf.DUMMYFUNCTION("""COMPUTED_VALUE"""),"물엿")</f>
        <v>물엿</v>
      </c>
    </row>
    <row r="15500">
      <c r="A15500" s="2" t="str">
        <f>IFERROR(__xludf.DUMMYFUNCTION("""COMPUTED_VALUE"""),"이게 불낙이야")</f>
        <v>이게 불낙이야</v>
      </c>
      <c r="B15500" s="2" t="str">
        <f>IFERROR(__xludf.DUMMYFUNCTION("""COMPUTED_VALUE"""),"참기름")</f>
        <v>참기름</v>
      </c>
    </row>
    <row r="15501">
      <c r="A15501" s="2" t="str">
        <f>IFERROR(__xludf.DUMMYFUNCTION("""COMPUTED_VALUE"""),"이게 불낙이야")</f>
        <v>이게 불낙이야</v>
      </c>
      <c r="B15501" s="2" t="str">
        <f>IFERROR(__xludf.DUMMYFUNCTION("""COMPUTED_VALUE"""),"맛술")</f>
        <v>맛술</v>
      </c>
    </row>
    <row r="15502">
      <c r="A15502" s="2" t="str">
        <f>IFERROR(__xludf.DUMMYFUNCTION("""COMPUTED_VALUE"""),"장어 뺀 보양식, 그거슨 아니지~")</f>
        <v>장어 뺀 보양식, 그거슨 아니지~</v>
      </c>
      <c r="B15502" s="2" t="str">
        <f>IFERROR(__xludf.DUMMYFUNCTION("""COMPUTED_VALUE"""),"장어")</f>
        <v>장어</v>
      </c>
    </row>
    <row r="15503">
      <c r="A15503" s="2" t="str">
        <f>IFERROR(__xludf.DUMMYFUNCTION("""COMPUTED_VALUE"""),"장어 뺀 보양식, 그거슨 아니지~")</f>
        <v>장어 뺀 보양식, 그거슨 아니지~</v>
      </c>
      <c r="B15503" s="2" t="str">
        <f>IFERROR(__xludf.DUMMYFUNCTION("""COMPUTED_VALUE"""),"참돔")</f>
        <v>참돔</v>
      </c>
    </row>
    <row r="15504">
      <c r="A15504" s="2" t="str">
        <f>IFERROR(__xludf.DUMMYFUNCTION("""COMPUTED_VALUE"""),"장어 뺀 보양식, 그거슨 아니지~")</f>
        <v>장어 뺀 보양식, 그거슨 아니지~</v>
      </c>
      <c r="B15504" s="2" t="str">
        <f>IFERROR(__xludf.DUMMYFUNCTION("""COMPUTED_VALUE"""),"가지")</f>
        <v>가지</v>
      </c>
    </row>
    <row r="15505">
      <c r="A15505" s="2" t="str">
        <f>IFERROR(__xludf.DUMMYFUNCTION("""COMPUTED_VALUE"""),"장어 뺀 보양식, 그거슨 아니지~")</f>
        <v>장어 뺀 보양식, 그거슨 아니지~</v>
      </c>
      <c r="B15505" s="2" t="str">
        <f>IFERROR(__xludf.DUMMYFUNCTION("""COMPUTED_VALUE"""),"채끝등심")</f>
        <v>채끝등심</v>
      </c>
    </row>
    <row r="15506">
      <c r="A15506" s="2" t="str">
        <f>IFERROR(__xludf.DUMMYFUNCTION("""COMPUTED_VALUE"""),"장어 뺀 보양식, 그거슨 아니지~")</f>
        <v>장어 뺀 보양식, 그거슨 아니지~</v>
      </c>
      <c r="B15506" s="2" t="str">
        <f>IFERROR(__xludf.DUMMYFUNCTION("""COMPUTED_VALUE"""),"새우머리")</f>
        <v>새우머리</v>
      </c>
    </row>
    <row r="15507">
      <c r="A15507" s="2" t="str">
        <f>IFERROR(__xludf.DUMMYFUNCTION("""COMPUTED_VALUE"""),"장어 뺀 보양식, 그거슨 아니지~")</f>
        <v>장어 뺀 보양식, 그거슨 아니지~</v>
      </c>
      <c r="B15507" s="2" t="str">
        <f>IFERROR(__xludf.DUMMYFUNCTION("""COMPUTED_VALUE"""),"낙지")</f>
        <v>낙지</v>
      </c>
    </row>
    <row r="15508">
      <c r="A15508" s="2" t="str">
        <f>IFERROR(__xludf.DUMMYFUNCTION("""COMPUTED_VALUE"""),"장어 뺀 보양식, 그거슨 아니지~")</f>
        <v>장어 뺀 보양식, 그거슨 아니지~</v>
      </c>
      <c r="B15508" s="2" t="str">
        <f>IFERROR(__xludf.DUMMYFUNCTION("""COMPUTED_VALUE"""),"홍합")</f>
        <v>홍합</v>
      </c>
    </row>
    <row r="15509">
      <c r="A15509" s="2" t="str">
        <f>IFERROR(__xludf.DUMMYFUNCTION("""COMPUTED_VALUE"""),"장어 뺀 보양식, 그거슨 아니지~")</f>
        <v>장어 뺀 보양식, 그거슨 아니지~</v>
      </c>
      <c r="B15509" s="2" t="str">
        <f>IFERROR(__xludf.DUMMYFUNCTION("""COMPUTED_VALUE"""),"새우")</f>
        <v>새우</v>
      </c>
    </row>
    <row r="15510">
      <c r="A15510" s="2" t="str">
        <f>IFERROR(__xludf.DUMMYFUNCTION("""COMPUTED_VALUE"""),"장어 뺀 보양식, 그거슨 아니지~")</f>
        <v>장어 뺀 보양식, 그거슨 아니지~</v>
      </c>
      <c r="B15510" s="2" t="str">
        <f>IFERROR(__xludf.DUMMYFUNCTION("""COMPUTED_VALUE"""),"전복")</f>
        <v>전복</v>
      </c>
    </row>
    <row r="15511">
      <c r="A15511" s="2" t="str">
        <f>IFERROR(__xludf.DUMMYFUNCTION("""COMPUTED_VALUE"""),"장어 뺀 보양식, 그거슨 아니지~")</f>
        <v>장어 뺀 보양식, 그거슨 아니지~</v>
      </c>
      <c r="B15511" s="2" t="str">
        <f>IFERROR(__xludf.DUMMYFUNCTION("""COMPUTED_VALUE"""),"불린 표고버섯")</f>
        <v>불린 표고버섯</v>
      </c>
    </row>
    <row r="15512">
      <c r="A15512" s="2" t="str">
        <f>IFERROR(__xludf.DUMMYFUNCTION("""COMPUTED_VALUE"""),"장어 뺀 보양식, 그거슨 아니지~")</f>
        <v>장어 뺀 보양식, 그거슨 아니지~</v>
      </c>
      <c r="B15512" s="2" t="str">
        <f>IFERROR(__xludf.DUMMYFUNCTION("""COMPUTED_VALUE"""),"꽈리고추")</f>
        <v>꽈리고추</v>
      </c>
    </row>
    <row r="15513">
      <c r="A15513" s="2" t="str">
        <f>IFERROR(__xludf.DUMMYFUNCTION("""COMPUTED_VALUE"""),"장어 뺀 보양식, 그거슨 아니지~")</f>
        <v>장어 뺀 보양식, 그거슨 아니지~</v>
      </c>
      <c r="B15513" s="2" t="str">
        <f>IFERROR(__xludf.DUMMYFUNCTION("""COMPUTED_VALUE"""),"고추기름")</f>
        <v>고추기름</v>
      </c>
    </row>
    <row r="15514">
      <c r="A15514" s="2" t="str">
        <f>IFERROR(__xludf.DUMMYFUNCTION("""COMPUTED_VALUE"""),"장어 뺀 보양식, 그거슨 아니지~")</f>
        <v>장어 뺀 보양식, 그거슨 아니지~</v>
      </c>
      <c r="B15514" s="2" t="str">
        <f>IFERROR(__xludf.DUMMYFUNCTION("""COMPUTED_VALUE"""),"샤부샤부소스")</f>
        <v>샤부샤부소스</v>
      </c>
    </row>
    <row r="15515">
      <c r="A15515" s="2" t="str">
        <f>IFERROR(__xludf.DUMMYFUNCTION("""COMPUTED_VALUE"""),"장어 뺀 보양식, 그거슨 아니지~")</f>
        <v>장어 뺀 보양식, 그거슨 아니지~</v>
      </c>
      <c r="B15515" s="2" t="str">
        <f>IFERROR(__xludf.DUMMYFUNCTION("""COMPUTED_VALUE"""),"삼겹살")</f>
        <v>삼겹살</v>
      </c>
    </row>
    <row r="15516">
      <c r="A15516" s="2" t="str">
        <f>IFERROR(__xludf.DUMMYFUNCTION("""COMPUTED_VALUE"""),"장어 뺀 보양식, 그거슨 아니지~")</f>
        <v>장어 뺀 보양식, 그거슨 아니지~</v>
      </c>
      <c r="B15516" s="2" t="str">
        <f>IFERROR(__xludf.DUMMYFUNCTION("""COMPUTED_VALUE"""),"맛술")</f>
        <v>맛술</v>
      </c>
    </row>
    <row r="15517">
      <c r="A15517" s="2" t="str">
        <f>IFERROR(__xludf.DUMMYFUNCTION("""COMPUTED_VALUE"""),"장어 뺀 보양식, 그거슨 아니지~")</f>
        <v>장어 뺀 보양식, 그거슨 아니지~</v>
      </c>
      <c r="B15517" s="2" t="str">
        <f>IFERROR(__xludf.DUMMYFUNCTION("""COMPUTED_VALUE"""),"다진 생강")</f>
        <v>다진 생강</v>
      </c>
    </row>
    <row r="15518">
      <c r="A15518" s="2" t="str">
        <f>IFERROR(__xludf.DUMMYFUNCTION("""COMPUTED_VALUE"""),"장어 뺀 보양식, 그거슨 아니지~")</f>
        <v>장어 뺀 보양식, 그거슨 아니지~</v>
      </c>
      <c r="B15518" s="2" t="str">
        <f>IFERROR(__xludf.DUMMYFUNCTION("""COMPUTED_VALUE"""),"대파")</f>
        <v>대파</v>
      </c>
    </row>
    <row r="15519">
      <c r="A15519" s="2" t="str">
        <f>IFERROR(__xludf.DUMMYFUNCTION("""COMPUTED_VALUE"""),"장어 뺀 보양식, 그거슨 아니지~")</f>
        <v>장어 뺀 보양식, 그거슨 아니지~</v>
      </c>
      <c r="B15519" s="2" t="str">
        <f>IFERROR(__xludf.DUMMYFUNCTION("""COMPUTED_VALUE"""),"마늘")</f>
        <v>마늘</v>
      </c>
    </row>
    <row r="15520">
      <c r="A15520" s="2" t="str">
        <f>IFERROR(__xludf.DUMMYFUNCTION("""COMPUTED_VALUE"""),"장어 뺀 보양식, 그거슨 아니지~")</f>
        <v>장어 뺀 보양식, 그거슨 아니지~</v>
      </c>
      <c r="B15520" s="2" t="str">
        <f>IFERROR(__xludf.DUMMYFUNCTION("""COMPUTED_VALUE"""),"전분")</f>
        <v>전분</v>
      </c>
    </row>
    <row r="15521">
      <c r="A15521" s="2" t="str">
        <f>IFERROR(__xludf.DUMMYFUNCTION("""COMPUTED_VALUE"""),"장어 뺀 보양식, 그거슨 아니지~")</f>
        <v>장어 뺀 보양식, 그거슨 아니지~</v>
      </c>
      <c r="B15521" s="2" t="str">
        <f>IFERROR(__xludf.DUMMYFUNCTION("""COMPUTED_VALUE"""),"밀가루")</f>
        <v>밀가루</v>
      </c>
    </row>
    <row r="15522">
      <c r="A15522" s="2" t="str">
        <f>IFERROR(__xludf.DUMMYFUNCTION("""COMPUTED_VALUE"""),"장어 뺀 보양식, 그거슨 아니지~")</f>
        <v>장어 뺀 보양식, 그거슨 아니지~</v>
      </c>
      <c r="B15522" s="2" t="str">
        <f>IFERROR(__xludf.DUMMYFUNCTION("""COMPUTED_VALUE"""),"튀김가루")</f>
        <v>튀김가루</v>
      </c>
    </row>
    <row r="15523">
      <c r="A15523" s="2" t="str">
        <f>IFERROR(__xludf.DUMMYFUNCTION("""COMPUTED_VALUE"""),"장어 뺀 보양식, 그거슨 아니지~")</f>
        <v>장어 뺀 보양식, 그거슨 아니지~</v>
      </c>
      <c r="B15523" s="2" t="str">
        <f>IFERROR(__xludf.DUMMYFUNCTION("""COMPUTED_VALUE"""),"청양고추")</f>
        <v>청양고추</v>
      </c>
    </row>
    <row r="15524">
      <c r="A15524" s="2" t="str">
        <f>IFERROR(__xludf.DUMMYFUNCTION("""COMPUTED_VALUE"""),"장어 뺀 보양식, 그거슨 아니지~")</f>
        <v>장어 뺀 보양식, 그거슨 아니지~</v>
      </c>
      <c r="B15524" s="2" t="str">
        <f>IFERROR(__xludf.DUMMYFUNCTION("""COMPUTED_VALUE"""),"고추장")</f>
        <v>고추장</v>
      </c>
    </row>
    <row r="15525">
      <c r="A15525" s="2" t="str">
        <f>IFERROR(__xludf.DUMMYFUNCTION("""COMPUTED_VALUE"""),"장어 뺀 보양식, 그거슨 아니지~")</f>
        <v>장어 뺀 보양식, 그거슨 아니지~</v>
      </c>
      <c r="B15525" s="2" t="str">
        <f>IFERROR(__xludf.DUMMYFUNCTION("""COMPUTED_VALUE"""),"전분")</f>
        <v>전분</v>
      </c>
    </row>
    <row r="15526">
      <c r="A15526" s="2" t="str">
        <f>IFERROR(__xludf.DUMMYFUNCTION("""COMPUTED_VALUE"""),"순대거탑")</f>
        <v>순대거탑</v>
      </c>
      <c r="B15526" s="2" t="str">
        <f>IFERROR(__xludf.DUMMYFUNCTION("""COMPUTED_VALUE"""),"순대")</f>
        <v>순대</v>
      </c>
    </row>
    <row r="15527">
      <c r="A15527" s="2" t="str">
        <f>IFERROR(__xludf.DUMMYFUNCTION("""COMPUTED_VALUE"""),"순대거탑")</f>
        <v>순대거탑</v>
      </c>
      <c r="B15527" s="2" t="str">
        <f>IFERROR(__xludf.DUMMYFUNCTION("""COMPUTED_VALUE"""),"항정살")</f>
        <v>항정살</v>
      </c>
    </row>
    <row r="15528">
      <c r="A15528" s="2" t="str">
        <f>IFERROR(__xludf.DUMMYFUNCTION("""COMPUTED_VALUE"""),"순대거탑")</f>
        <v>순대거탑</v>
      </c>
      <c r="B15528" s="2" t="str">
        <f>IFERROR(__xludf.DUMMYFUNCTION("""COMPUTED_VALUE"""),"소등심")</f>
        <v>소등심</v>
      </c>
    </row>
    <row r="15529">
      <c r="A15529" s="2" t="str">
        <f>IFERROR(__xludf.DUMMYFUNCTION("""COMPUTED_VALUE"""),"순대거탑")</f>
        <v>순대거탑</v>
      </c>
      <c r="B15529" s="2" t="str">
        <f>IFERROR(__xludf.DUMMYFUNCTION("""COMPUTED_VALUE"""),"명태회젓")</f>
        <v>명태회젓</v>
      </c>
    </row>
    <row r="15530">
      <c r="A15530" s="2" t="str">
        <f>IFERROR(__xludf.DUMMYFUNCTION("""COMPUTED_VALUE"""),"순대거탑")</f>
        <v>순대거탑</v>
      </c>
      <c r="B15530" s="2" t="str">
        <f>IFERROR(__xludf.DUMMYFUNCTION("""COMPUTED_VALUE"""),"배추김치")</f>
        <v>배추김치</v>
      </c>
    </row>
    <row r="15531">
      <c r="A15531" s="2" t="str">
        <f>IFERROR(__xludf.DUMMYFUNCTION("""COMPUTED_VALUE"""),"순대거탑")</f>
        <v>순대거탑</v>
      </c>
      <c r="B15531" s="2" t="str">
        <f>IFERROR(__xludf.DUMMYFUNCTION("""COMPUTED_VALUE"""),"깍두기")</f>
        <v>깍두기</v>
      </c>
    </row>
    <row r="15532">
      <c r="A15532" s="2" t="str">
        <f>IFERROR(__xludf.DUMMYFUNCTION("""COMPUTED_VALUE"""),"순대거탑")</f>
        <v>순대거탑</v>
      </c>
      <c r="B15532" s="2" t="str">
        <f>IFERROR(__xludf.DUMMYFUNCTION("""COMPUTED_VALUE"""),"귀리")</f>
        <v>귀리</v>
      </c>
    </row>
    <row r="15533">
      <c r="A15533" s="2" t="str">
        <f>IFERROR(__xludf.DUMMYFUNCTION("""COMPUTED_VALUE"""),"순대거탑")</f>
        <v>순대거탑</v>
      </c>
      <c r="B15533" s="2" t="str">
        <f>IFERROR(__xludf.DUMMYFUNCTION("""COMPUTED_VALUE"""),"즉석밥")</f>
        <v>즉석밥</v>
      </c>
    </row>
    <row r="15534">
      <c r="A15534" s="2" t="str">
        <f>IFERROR(__xludf.DUMMYFUNCTION("""COMPUTED_VALUE"""),"순대거탑")</f>
        <v>순대거탑</v>
      </c>
      <c r="B15534" s="2" t="str">
        <f>IFERROR(__xludf.DUMMYFUNCTION("""COMPUTED_VALUE"""),"마늘")</f>
        <v>마늘</v>
      </c>
    </row>
    <row r="15535">
      <c r="A15535" s="2" t="str">
        <f>IFERROR(__xludf.DUMMYFUNCTION("""COMPUTED_VALUE"""),"순대거탑")</f>
        <v>순대거탑</v>
      </c>
      <c r="B15535" s="2" t="str">
        <f>IFERROR(__xludf.DUMMYFUNCTION("""COMPUTED_VALUE"""),"다진 생강")</f>
        <v>다진 생강</v>
      </c>
    </row>
    <row r="15536">
      <c r="A15536" s="2" t="str">
        <f>IFERROR(__xludf.DUMMYFUNCTION("""COMPUTED_VALUE"""),"순대거탑")</f>
        <v>순대거탑</v>
      </c>
      <c r="B15536" s="2" t="str">
        <f>IFERROR(__xludf.DUMMYFUNCTION("""COMPUTED_VALUE"""),"다진 마늘")</f>
        <v>다진 마늘</v>
      </c>
    </row>
    <row r="15537">
      <c r="A15537" s="2" t="str">
        <f>IFERROR(__xludf.DUMMYFUNCTION("""COMPUTED_VALUE"""),"순대거탑")</f>
        <v>순대거탑</v>
      </c>
      <c r="B15537" s="2" t="str">
        <f>IFERROR(__xludf.DUMMYFUNCTION("""COMPUTED_VALUE"""),"양파")</f>
        <v>양파</v>
      </c>
    </row>
    <row r="15538">
      <c r="A15538" s="2" t="str">
        <f>IFERROR(__xludf.DUMMYFUNCTION("""COMPUTED_VALUE"""),"순대거탑")</f>
        <v>순대거탑</v>
      </c>
      <c r="B15538" s="2" t="str">
        <f>IFERROR(__xludf.DUMMYFUNCTION("""COMPUTED_VALUE"""),"대파")</f>
        <v>대파</v>
      </c>
    </row>
    <row r="15539">
      <c r="A15539" s="2" t="str">
        <f>IFERROR(__xludf.DUMMYFUNCTION("""COMPUTED_VALUE"""),"순대거탑")</f>
        <v>순대거탑</v>
      </c>
      <c r="B15539" s="2" t="str">
        <f>IFERROR(__xludf.DUMMYFUNCTION("""COMPUTED_VALUE"""),"후추")</f>
        <v>후추</v>
      </c>
    </row>
    <row r="15540">
      <c r="A15540" s="2" t="str">
        <f>IFERROR(__xludf.DUMMYFUNCTION("""COMPUTED_VALUE"""),"순대거탑")</f>
        <v>순대거탑</v>
      </c>
      <c r="B15540" s="2" t="str">
        <f>IFERROR(__xludf.DUMMYFUNCTION("""COMPUTED_VALUE"""),"된장")</f>
        <v>된장</v>
      </c>
    </row>
    <row r="15541">
      <c r="A15541" s="2" t="str">
        <f>IFERROR(__xludf.DUMMYFUNCTION("""COMPUTED_VALUE"""),"순대거탑")</f>
        <v>순대거탑</v>
      </c>
      <c r="B15541" s="2" t="str">
        <f>IFERROR(__xludf.DUMMYFUNCTION("""COMPUTED_VALUE"""),"고추장")</f>
        <v>고추장</v>
      </c>
    </row>
    <row r="15542">
      <c r="A15542" s="2" t="str">
        <f>IFERROR(__xludf.DUMMYFUNCTION("""COMPUTED_VALUE"""),"순대거탑")</f>
        <v>순대거탑</v>
      </c>
      <c r="B15542" s="2" t="str">
        <f>IFERROR(__xludf.DUMMYFUNCTION("""COMPUTED_VALUE"""),"청주")</f>
        <v>청주</v>
      </c>
    </row>
    <row r="15543">
      <c r="A15543" s="2" t="str">
        <f>IFERROR(__xludf.DUMMYFUNCTION("""COMPUTED_VALUE"""),"순대거탑")</f>
        <v>순대거탑</v>
      </c>
      <c r="B15543" s="2" t="str">
        <f>IFERROR(__xludf.DUMMYFUNCTION("""COMPUTED_VALUE"""),"맛술")</f>
        <v>맛술</v>
      </c>
    </row>
    <row r="15544">
      <c r="A15544" s="2" t="str">
        <f>IFERROR(__xludf.DUMMYFUNCTION("""COMPUTED_VALUE"""),"순대거탑")</f>
        <v>순대거탑</v>
      </c>
      <c r="B15544" s="2" t="str">
        <f>IFERROR(__xludf.DUMMYFUNCTION("""COMPUTED_VALUE"""),"간장")</f>
        <v>간장</v>
      </c>
    </row>
    <row r="15545">
      <c r="A15545" s="2" t="str">
        <f>IFERROR(__xludf.DUMMYFUNCTION("""COMPUTED_VALUE"""),"순대거탑")</f>
        <v>순대거탑</v>
      </c>
      <c r="B15545" s="2" t="str">
        <f>IFERROR(__xludf.DUMMYFUNCTION("""COMPUTED_VALUE"""),"고춧가루")</f>
        <v>고춧가루</v>
      </c>
    </row>
    <row r="15546">
      <c r="A15546" s="2" t="str">
        <f>IFERROR(__xludf.DUMMYFUNCTION("""COMPUTED_VALUE"""),"순대거탑")</f>
        <v>순대거탑</v>
      </c>
      <c r="B15546" s="2" t="str">
        <f>IFERROR(__xludf.DUMMYFUNCTION("""COMPUTED_VALUE"""),"물엿")</f>
        <v>물엿</v>
      </c>
    </row>
    <row r="15547">
      <c r="A15547" s="2" t="str">
        <f>IFERROR(__xludf.DUMMYFUNCTION("""COMPUTED_VALUE"""),"순대거탑")</f>
        <v>순대거탑</v>
      </c>
      <c r="B15547" s="2" t="str">
        <f>IFERROR(__xludf.DUMMYFUNCTION("""COMPUTED_VALUE"""),"참기름")</f>
        <v>참기름</v>
      </c>
    </row>
    <row r="15548">
      <c r="A15548" s="2" t="str">
        <f>IFERROR(__xludf.DUMMYFUNCTION("""COMPUTED_VALUE"""),"순대거탑")</f>
        <v>순대거탑</v>
      </c>
      <c r="B15548" s="2" t="str">
        <f>IFERROR(__xludf.DUMMYFUNCTION("""COMPUTED_VALUE"""),"참깨")</f>
        <v>참깨</v>
      </c>
    </row>
    <row r="15549">
      <c r="A15549" s="2" t="str">
        <f>IFERROR(__xludf.DUMMYFUNCTION("""COMPUTED_VALUE"""),"순대거탑")</f>
        <v>순대거탑</v>
      </c>
      <c r="B15549" s="2" t="str">
        <f>IFERROR(__xludf.DUMMYFUNCTION("""COMPUTED_VALUE"""),"홍고추")</f>
        <v>홍고추</v>
      </c>
    </row>
    <row r="15550">
      <c r="A15550" s="2" t="str">
        <f>IFERROR(__xludf.DUMMYFUNCTION("""COMPUTED_VALUE"""),"흐린 기억 속의 고추장찌개♬")</f>
        <v>흐린 기억 속의 고추장찌개♬</v>
      </c>
      <c r="B15550" s="2" t="str">
        <f>IFERROR(__xludf.DUMMYFUNCTION("""COMPUTED_VALUE"""),"항정살")</f>
        <v>항정살</v>
      </c>
    </row>
    <row r="15551">
      <c r="A15551" s="2" t="str">
        <f>IFERROR(__xludf.DUMMYFUNCTION("""COMPUTED_VALUE"""),"흐린 기억 속의 고추장찌개♬")</f>
        <v>흐린 기억 속의 고추장찌개♬</v>
      </c>
      <c r="B15551" s="2" t="str">
        <f>IFERROR(__xludf.DUMMYFUNCTION("""COMPUTED_VALUE"""),"돼지 내장")</f>
        <v>돼지 내장</v>
      </c>
    </row>
    <row r="15552">
      <c r="A15552" s="2" t="str">
        <f>IFERROR(__xludf.DUMMYFUNCTION("""COMPUTED_VALUE"""),"흐린 기억 속의 고추장찌개♬")</f>
        <v>흐린 기억 속의 고추장찌개♬</v>
      </c>
      <c r="B15552" s="2" t="str">
        <f>IFERROR(__xludf.DUMMYFUNCTION("""COMPUTED_VALUE"""),"배추김치")</f>
        <v>배추김치</v>
      </c>
    </row>
    <row r="15553">
      <c r="A15553" s="2" t="str">
        <f>IFERROR(__xludf.DUMMYFUNCTION("""COMPUTED_VALUE"""),"흐린 기억 속의 고추장찌개♬")</f>
        <v>흐린 기억 속의 고추장찌개♬</v>
      </c>
      <c r="B15553" s="2" t="str">
        <f>IFERROR(__xludf.DUMMYFUNCTION("""COMPUTED_VALUE"""),"통조림 참치")</f>
        <v>통조림 참치</v>
      </c>
    </row>
    <row r="15554">
      <c r="A15554" s="2" t="str">
        <f>IFERROR(__xludf.DUMMYFUNCTION("""COMPUTED_VALUE"""),"흐린 기억 속의 고추장찌개♬")</f>
        <v>흐린 기억 속의 고추장찌개♬</v>
      </c>
      <c r="B15554" s="2" t="str">
        <f>IFERROR(__xludf.DUMMYFUNCTION("""COMPUTED_VALUE"""),"통조림 햄")</f>
        <v>통조림 햄</v>
      </c>
    </row>
    <row r="15555">
      <c r="A15555" s="2" t="str">
        <f>IFERROR(__xludf.DUMMYFUNCTION("""COMPUTED_VALUE"""),"흐린 기억 속의 고추장찌개♬")</f>
        <v>흐린 기억 속의 고추장찌개♬</v>
      </c>
      <c r="B15555" s="2" t="str">
        <f>IFERROR(__xludf.DUMMYFUNCTION("""COMPUTED_VALUE"""),"굴소스")</f>
        <v>굴소스</v>
      </c>
    </row>
    <row r="15556">
      <c r="A15556" s="2" t="str">
        <f>IFERROR(__xludf.DUMMYFUNCTION("""COMPUTED_VALUE"""),"흐린 기억 속의 고추장찌개♬")</f>
        <v>흐린 기억 속의 고추장찌개♬</v>
      </c>
      <c r="B15556" s="2" t="str">
        <f>IFERROR(__xludf.DUMMYFUNCTION("""COMPUTED_VALUE"""),"국물용 멸치")</f>
        <v>국물용 멸치</v>
      </c>
    </row>
    <row r="15557">
      <c r="A15557" s="2" t="str">
        <f>IFERROR(__xludf.DUMMYFUNCTION("""COMPUTED_VALUE"""),"흐린 기억 속의 고추장찌개♬")</f>
        <v>흐린 기억 속의 고추장찌개♬</v>
      </c>
      <c r="B15557" s="2" t="str">
        <f>IFERROR(__xludf.DUMMYFUNCTION("""COMPUTED_VALUE"""),"쥐포")</f>
        <v>쥐포</v>
      </c>
    </row>
    <row r="15558">
      <c r="A15558" s="2" t="str">
        <f>IFERROR(__xludf.DUMMYFUNCTION("""COMPUTED_VALUE"""),"흐린 기억 속의 고추장찌개♬")</f>
        <v>흐린 기억 속의 고추장찌개♬</v>
      </c>
      <c r="B15558" s="2" t="str">
        <f>IFERROR(__xludf.DUMMYFUNCTION("""COMPUTED_VALUE"""),"조미료")</f>
        <v>조미료</v>
      </c>
    </row>
    <row r="15559">
      <c r="A15559" s="2" t="str">
        <f>IFERROR(__xludf.DUMMYFUNCTION("""COMPUTED_VALUE"""),"흐린 기억 속의 고추장찌개♬")</f>
        <v>흐린 기억 속의 고추장찌개♬</v>
      </c>
      <c r="B15559" s="2" t="str">
        <f>IFERROR(__xludf.DUMMYFUNCTION("""COMPUTED_VALUE"""),"당근")</f>
        <v>당근</v>
      </c>
    </row>
    <row r="15560">
      <c r="A15560" s="2" t="str">
        <f>IFERROR(__xludf.DUMMYFUNCTION("""COMPUTED_VALUE"""),"흐린 기억 속의 고추장찌개♬")</f>
        <v>흐린 기억 속의 고추장찌개♬</v>
      </c>
      <c r="B15560" s="2" t="str">
        <f>IFERROR(__xludf.DUMMYFUNCTION("""COMPUTED_VALUE"""),"양파")</f>
        <v>양파</v>
      </c>
    </row>
    <row r="15561">
      <c r="A15561" s="2" t="str">
        <f>IFERROR(__xludf.DUMMYFUNCTION("""COMPUTED_VALUE"""),"흐린 기억 속의 고추장찌개♬")</f>
        <v>흐린 기억 속의 고추장찌개♬</v>
      </c>
      <c r="B15561" s="2" t="str">
        <f>IFERROR(__xludf.DUMMYFUNCTION("""COMPUTED_VALUE"""),"대파")</f>
        <v>대파</v>
      </c>
    </row>
    <row r="15562">
      <c r="A15562" s="2" t="str">
        <f>IFERROR(__xludf.DUMMYFUNCTION("""COMPUTED_VALUE"""),"흐린 기억 속의 고추장찌개♬")</f>
        <v>흐린 기억 속의 고추장찌개♬</v>
      </c>
      <c r="B15562" s="2" t="str">
        <f>IFERROR(__xludf.DUMMYFUNCTION("""COMPUTED_VALUE"""),"고추장")</f>
        <v>고추장</v>
      </c>
    </row>
    <row r="15563">
      <c r="A15563" s="2" t="str">
        <f>IFERROR(__xludf.DUMMYFUNCTION("""COMPUTED_VALUE"""),"흐린 기억 속의 고추장찌개♬")</f>
        <v>흐린 기억 속의 고추장찌개♬</v>
      </c>
      <c r="B15563" s="2" t="str">
        <f>IFERROR(__xludf.DUMMYFUNCTION("""COMPUTED_VALUE"""),"식초")</f>
        <v>식초</v>
      </c>
    </row>
    <row r="15564">
      <c r="A15564" s="2" t="str">
        <f>IFERROR(__xludf.DUMMYFUNCTION("""COMPUTED_VALUE"""),"흐린 기억 속의 고추장찌개♬")</f>
        <v>흐린 기억 속의 고추장찌개♬</v>
      </c>
      <c r="B15564" s="2" t="str">
        <f>IFERROR(__xludf.DUMMYFUNCTION("""COMPUTED_VALUE"""),"설탕")</f>
        <v>설탕</v>
      </c>
    </row>
    <row r="15565">
      <c r="A15565" s="2" t="str">
        <f>IFERROR(__xludf.DUMMYFUNCTION("""COMPUTED_VALUE"""),"흐린 기억 속의 고추장찌개♬")</f>
        <v>흐린 기억 속의 고추장찌개♬</v>
      </c>
      <c r="B15565" s="2" t="str">
        <f>IFERROR(__xludf.DUMMYFUNCTION("""COMPUTED_VALUE"""),"맛술")</f>
        <v>맛술</v>
      </c>
    </row>
    <row r="15566">
      <c r="A15566" s="2" t="str">
        <f>IFERROR(__xludf.DUMMYFUNCTION("""COMPUTED_VALUE"""),"흐린 기억 속의 고추장찌개♬")</f>
        <v>흐린 기억 속의 고추장찌개♬</v>
      </c>
      <c r="B15566" s="2" t="str">
        <f>IFERROR(__xludf.DUMMYFUNCTION("""COMPUTED_VALUE"""),"간장")</f>
        <v>간장</v>
      </c>
    </row>
    <row r="15567">
      <c r="A15567" s="2" t="str">
        <f>IFERROR(__xludf.DUMMYFUNCTION("""COMPUTED_VALUE"""),"흐린 기억 속의 고추장찌개♬")</f>
        <v>흐린 기억 속의 고추장찌개♬</v>
      </c>
      <c r="B15567" s="2" t="str">
        <f>IFERROR(__xludf.DUMMYFUNCTION("""COMPUTED_VALUE"""),"참기름")</f>
        <v>참기름</v>
      </c>
    </row>
    <row r="15568">
      <c r="A15568" s="2" t="str">
        <f>IFERROR(__xludf.DUMMYFUNCTION("""COMPUTED_VALUE"""),"흐린 기억 속의 고추장찌개♬")</f>
        <v>흐린 기억 속의 고추장찌개♬</v>
      </c>
      <c r="B15568" s="2" t="str">
        <f>IFERROR(__xludf.DUMMYFUNCTION("""COMPUTED_VALUE"""),"다진 마늘")</f>
        <v>다진 마늘</v>
      </c>
    </row>
    <row r="15569">
      <c r="A15569" s="2" t="str">
        <f>IFERROR(__xludf.DUMMYFUNCTION("""COMPUTED_VALUE"""),"흐린 기억 속의 고추장찌개♬")</f>
        <v>흐린 기억 속의 고추장찌개♬</v>
      </c>
      <c r="B15569" s="2" t="str">
        <f>IFERROR(__xludf.DUMMYFUNCTION("""COMPUTED_VALUE"""),"참깨")</f>
        <v>참깨</v>
      </c>
    </row>
    <row r="15570">
      <c r="A15570" s="2" t="str">
        <f>IFERROR(__xludf.DUMMYFUNCTION("""COMPUTED_VALUE"""),"흐린 기억 속의 고추장찌개♬")</f>
        <v>흐린 기억 속의 고추장찌개♬</v>
      </c>
      <c r="B15570" s="2" t="str">
        <f>IFERROR(__xludf.DUMMYFUNCTION("""COMPUTED_VALUE"""),"된장")</f>
        <v>된장</v>
      </c>
    </row>
    <row r="15571">
      <c r="A15571" s="2" t="str">
        <f>IFERROR(__xludf.DUMMYFUNCTION("""COMPUTED_VALUE"""),"흐린 기억 속의 고추장찌개♬")</f>
        <v>흐린 기억 속의 고추장찌개♬</v>
      </c>
      <c r="B15571" s="2" t="str">
        <f>IFERROR(__xludf.DUMMYFUNCTION("""COMPUTED_VALUE"""),"밀가루")</f>
        <v>밀가루</v>
      </c>
    </row>
    <row r="15572">
      <c r="A15572" s="2" t="str">
        <f>IFERROR(__xludf.DUMMYFUNCTION("""COMPUTED_VALUE"""),"흐린 기억 속의 고추장찌개♬")</f>
        <v>흐린 기억 속의 고추장찌개♬</v>
      </c>
      <c r="B15572" s="2" t="str">
        <f>IFERROR(__xludf.DUMMYFUNCTION("""COMPUTED_VALUE"""),"달걀")</f>
        <v>달걀</v>
      </c>
    </row>
    <row r="15573">
      <c r="A15573" s="2" t="str">
        <f>IFERROR(__xludf.DUMMYFUNCTION("""COMPUTED_VALUE"""),"흐린 기억 속의 고추장찌개♬")</f>
        <v>흐린 기억 속의 고추장찌개♬</v>
      </c>
      <c r="B15573" s="2" t="str">
        <f>IFERROR(__xludf.DUMMYFUNCTION("""COMPUTED_VALUE"""),"고춧가루")</f>
        <v>고춧가루</v>
      </c>
    </row>
    <row r="15574">
      <c r="A15574" s="2" t="str">
        <f>IFERROR(__xludf.DUMMYFUNCTION("""COMPUTED_VALUE"""),"흐린 기억 속의 고추장찌개♬")</f>
        <v>흐린 기억 속의 고추장찌개♬</v>
      </c>
      <c r="B15574" s="2" t="str">
        <f>IFERROR(__xludf.DUMMYFUNCTION("""COMPUTED_VALUE"""),"홍고추")</f>
        <v>홍고추</v>
      </c>
    </row>
    <row r="15575">
      <c r="A15575" s="2" t="str">
        <f>IFERROR(__xludf.DUMMYFUNCTION("""COMPUTED_VALUE"""),"풍장금")</f>
        <v>풍장금</v>
      </c>
      <c r="B15575" s="2" t="str">
        <f>IFERROR(__xludf.DUMMYFUNCTION("""COMPUTED_VALUE"""),"소등심")</f>
        <v>소등심</v>
      </c>
    </row>
    <row r="15576">
      <c r="A15576" s="2" t="str">
        <f>IFERROR(__xludf.DUMMYFUNCTION("""COMPUTED_VALUE"""),"풍장금")</f>
        <v>풍장금</v>
      </c>
      <c r="B15576" s="2" t="str">
        <f>IFERROR(__xludf.DUMMYFUNCTION("""COMPUTED_VALUE"""),"항정살")</f>
        <v>항정살</v>
      </c>
    </row>
    <row r="15577">
      <c r="A15577" s="2" t="str">
        <f>IFERROR(__xludf.DUMMYFUNCTION("""COMPUTED_VALUE"""),"풍장금")</f>
        <v>풍장금</v>
      </c>
      <c r="B15577" s="2" t="str">
        <f>IFERROR(__xludf.DUMMYFUNCTION("""COMPUTED_VALUE"""),"미역")</f>
        <v>미역</v>
      </c>
    </row>
    <row r="15578">
      <c r="A15578" s="2" t="str">
        <f>IFERROR(__xludf.DUMMYFUNCTION("""COMPUTED_VALUE"""),"풍장금")</f>
        <v>풍장금</v>
      </c>
      <c r="B15578" s="2" t="str">
        <f>IFERROR(__xludf.DUMMYFUNCTION("""COMPUTED_VALUE"""),"쥐포")</f>
        <v>쥐포</v>
      </c>
    </row>
    <row r="15579">
      <c r="A15579" s="2" t="str">
        <f>IFERROR(__xludf.DUMMYFUNCTION("""COMPUTED_VALUE"""),"풍장금")</f>
        <v>풍장금</v>
      </c>
      <c r="B15579" s="2" t="str">
        <f>IFERROR(__xludf.DUMMYFUNCTION("""COMPUTED_VALUE"""),"배추김치")</f>
        <v>배추김치</v>
      </c>
    </row>
    <row r="15580">
      <c r="A15580" s="2" t="str">
        <f>IFERROR(__xludf.DUMMYFUNCTION("""COMPUTED_VALUE"""),"풍장금")</f>
        <v>풍장금</v>
      </c>
      <c r="B15580" s="2" t="str">
        <f>IFERROR(__xludf.DUMMYFUNCTION("""COMPUTED_VALUE"""),"명태회젓")</f>
        <v>명태회젓</v>
      </c>
    </row>
    <row r="15581">
      <c r="A15581" s="2" t="str">
        <f>IFERROR(__xludf.DUMMYFUNCTION("""COMPUTED_VALUE"""),"풍장금")</f>
        <v>풍장금</v>
      </c>
      <c r="B15581" s="2" t="str">
        <f>IFERROR(__xludf.DUMMYFUNCTION("""COMPUTED_VALUE"""),"유자청")</f>
        <v>유자청</v>
      </c>
    </row>
    <row r="15582">
      <c r="A15582" s="2" t="str">
        <f>IFERROR(__xludf.DUMMYFUNCTION("""COMPUTED_VALUE"""),"풍장금")</f>
        <v>풍장금</v>
      </c>
      <c r="B15582" s="2" t="str">
        <f>IFERROR(__xludf.DUMMYFUNCTION("""COMPUTED_VALUE"""),"포도즙")</f>
        <v>포도즙</v>
      </c>
    </row>
    <row r="15583">
      <c r="A15583" s="2" t="str">
        <f>IFERROR(__xludf.DUMMYFUNCTION("""COMPUTED_VALUE"""),"풍장금")</f>
        <v>풍장금</v>
      </c>
      <c r="B15583" s="2" t="str">
        <f>IFERROR(__xludf.DUMMYFUNCTION("""COMPUTED_VALUE"""),"소면")</f>
        <v>소면</v>
      </c>
    </row>
    <row r="15584">
      <c r="A15584" s="2" t="str">
        <f>IFERROR(__xludf.DUMMYFUNCTION("""COMPUTED_VALUE"""),"풍장금")</f>
        <v>풍장금</v>
      </c>
      <c r="B15584" s="2" t="str">
        <f>IFERROR(__xludf.DUMMYFUNCTION("""COMPUTED_VALUE"""),"조미료")</f>
        <v>조미료</v>
      </c>
    </row>
    <row r="15585">
      <c r="A15585" s="2" t="str">
        <f>IFERROR(__xludf.DUMMYFUNCTION("""COMPUTED_VALUE"""),"풍장금")</f>
        <v>풍장금</v>
      </c>
      <c r="B15585" s="2" t="str">
        <f>IFERROR(__xludf.DUMMYFUNCTION("""COMPUTED_VALUE"""),"양파")</f>
        <v>양파</v>
      </c>
    </row>
    <row r="15586">
      <c r="A15586" s="2" t="str">
        <f>IFERROR(__xludf.DUMMYFUNCTION("""COMPUTED_VALUE"""),"풍장금")</f>
        <v>풍장금</v>
      </c>
      <c r="B15586" s="2" t="str">
        <f>IFERROR(__xludf.DUMMYFUNCTION("""COMPUTED_VALUE"""),"다진 마늘")</f>
        <v>다진 마늘</v>
      </c>
    </row>
    <row r="15587">
      <c r="A15587" s="2" t="str">
        <f>IFERROR(__xludf.DUMMYFUNCTION("""COMPUTED_VALUE"""),"풍장금")</f>
        <v>풍장금</v>
      </c>
      <c r="B15587" s="2" t="str">
        <f>IFERROR(__xludf.DUMMYFUNCTION("""COMPUTED_VALUE"""),"대파")</f>
        <v>대파</v>
      </c>
    </row>
    <row r="15588">
      <c r="A15588" s="2" t="str">
        <f>IFERROR(__xludf.DUMMYFUNCTION("""COMPUTED_VALUE"""),"풍장금")</f>
        <v>풍장금</v>
      </c>
      <c r="B15588" s="2" t="str">
        <f>IFERROR(__xludf.DUMMYFUNCTION("""COMPUTED_VALUE"""),"청양고추")</f>
        <v>청양고추</v>
      </c>
    </row>
    <row r="15589">
      <c r="A15589" s="2" t="str">
        <f>IFERROR(__xludf.DUMMYFUNCTION("""COMPUTED_VALUE"""),"풍장금")</f>
        <v>풍장금</v>
      </c>
      <c r="B15589" s="2" t="str">
        <f>IFERROR(__xludf.DUMMYFUNCTION("""COMPUTED_VALUE"""),"후추")</f>
        <v>후추</v>
      </c>
    </row>
    <row r="15590">
      <c r="A15590" s="2" t="str">
        <f>IFERROR(__xludf.DUMMYFUNCTION("""COMPUTED_VALUE"""),"풍장금")</f>
        <v>풍장금</v>
      </c>
      <c r="B15590" s="2" t="str">
        <f>IFERROR(__xludf.DUMMYFUNCTION("""COMPUTED_VALUE"""),"전분")</f>
        <v>전분</v>
      </c>
    </row>
    <row r="15591">
      <c r="A15591" s="2" t="str">
        <f>IFERROR(__xludf.DUMMYFUNCTION("""COMPUTED_VALUE"""),"풍장금")</f>
        <v>풍장금</v>
      </c>
      <c r="B15591" s="2" t="str">
        <f>IFERROR(__xludf.DUMMYFUNCTION("""COMPUTED_VALUE"""),"소금")</f>
        <v>소금</v>
      </c>
    </row>
    <row r="15592">
      <c r="A15592" s="2" t="str">
        <f>IFERROR(__xludf.DUMMYFUNCTION("""COMPUTED_VALUE"""),"풍장금")</f>
        <v>풍장금</v>
      </c>
      <c r="B15592" s="2" t="str">
        <f>IFERROR(__xludf.DUMMYFUNCTION("""COMPUTED_VALUE"""),"참기름")</f>
        <v>참기름</v>
      </c>
    </row>
    <row r="15593">
      <c r="A15593" s="2" t="str">
        <f>IFERROR(__xludf.DUMMYFUNCTION("""COMPUTED_VALUE"""),"풍장금")</f>
        <v>풍장금</v>
      </c>
      <c r="B15593" s="2" t="str">
        <f>IFERROR(__xludf.DUMMYFUNCTION("""COMPUTED_VALUE"""),"간장")</f>
        <v>간장</v>
      </c>
    </row>
    <row r="15594">
      <c r="A15594" s="2" t="str">
        <f>IFERROR(__xludf.DUMMYFUNCTION("""COMPUTED_VALUE"""),"풍장금")</f>
        <v>풍장금</v>
      </c>
      <c r="B15594" s="2" t="str">
        <f>IFERROR(__xludf.DUMMYFUNCTION("""COMPUTED_VALUE"""),"식초")</f>
        <v>식초</v>
      </c>
    </row>
    <row r="15595">
      <c r="A15595" s="2" t="str">
        <f>IFERROR(__xludf.DUMMYFUNCTION("""COMPUTED_VALUE"""),"풍장금")</f>
        <v>풍장금</v>
      </c>
      <c r="B15595" s="2" t="str">
        <f>IFERROR(__xludf.DUMMYFUNCTION("""COMPUTED_VALUE"""),"레몬")</f>
        <v>레몬</v>
      </c>
    </row>
    <row r="15596">
      <c r="A15596" s="2" t="str">
        <f>IFERROR(__xludf.DUMMYFUNCTION("""COMPUTED_VALUE"""),"내가 왕이 될 밥상인가?")</f>
        <v>내가 왕이 될 밥상인가?</v>
      </c>
      <c r="B15596" s="2" t="str">
        <f>IFERROR(__xludf.DUMMYFUNCTION("""COMPUTED_VALUE"""),"소등심")</f>
        <v>소등심</v>
      </c>
    </row>
    <row r="15597">
      <c r="A15597" s="2" t="str">
        <f>IFERROR(__xludf.DUMMYFUNCTION("""COMPUTED_VALUE"""),"내가 왕이 될 밥상인가?")</f>
        <v>내가 왕이 될 밥상인가?</v>
      </c>
      <c r="B15597" s="2" t="str">
        <f>IFERROR(__xludf.DUMMYFUNCTION("""COMPUTED_VALUE"""),"항정살")</f>
        <v>항정살</v>
      </c>
    </row>
    <row r="15598">
      <c r="A15598" s="2" t="str">
        <f>IFERROR(__xludf.DUMMYFUNCTION("""COMPUTED_VALUE"""),"내가 왕이 될 밥상인가?")</f>
        <v>내가 왕이 될 밥상인가?</v>
      </c>
      <c r="B15598" s="2" t="str">
        <f>IFERROR(__xludf.DUMMYFUNCTION("""COMPUTED_VALUE"""),"잡곡")</f>
        <v>잡곡</v>
      </c>
    </row>
    <row r="15599">
      <c r="A15599" s="2" t="str">
        <f>IFERROR(__xludf.DUMMYFUNCTION("""COMPUTED_VALUE"""),"내가 왕이 될 밥상인가?")</f>
        <v>내가 왕이 될 밥상인가?</v>
      </c>
      <c r="B15599" s="2" t="str">
        <f>IFERROR(__xludf.DUMMYFUNCTION("""COMPUTED_VALUE"""),"우유")</f>
        <v>우유</v>
      </c>
    </row>
    <row r="15600">
      <c r="A15600" s="2" t="str">
        <f>IFERROR(__xludf.DUMMYFUNCTION("""COMPUTED_VALUE"""),"내가 왕이 될 밥상인가?")</f>
        <v>내가 왕이 될 밥상인가?</v>
      </c>
      <c r="B15600" s="2" t="str">
        <f>IFERROR(__xludf.DUMMYFUNCTION("""COMPUTED_VALUE"""),"크림치즈")</f>
        <v>크림치즈</v>
      </c>
    </row>
    <row r="15601">
      <c r="A15601" s="2" t="str">
        <f>IFERROR(__xludf.DUMMYFUNCTION("""COMPUTED_VALUE"""),"내가 왕이 될 밥상인가?")</f>
        <v>내가 왕이 될 밥상인가?</v>
      </c>
      <c r="B15601" s="2" t="str">
        <f>IFERROR(__xludf.DUMMYFUNCTION("""COMPUTED_VALUE"""),"마카다미아 초콜릿")</f>
        <v>마카다미아 초콜릿</v>
      </c>
    </row>
    <row r="15602">
      <c r="A15602" s="2" t="str">
        <f>IFERROR(__xludf.DUMMYFUNCTION("""COMPUTED_VALUE"""),"내가 왕이 될 밥상인가?")</f>
        <v>내가 왕이 될 밥상인가?</v>
      </c>
      <c r="B15602" s="2" t="str">
        <f>IFERROR(__xludf.DUMMYFUNCTION("""COMPUTED_VALUE"""),"배추김치")</f>
        <v>배추김치</v>
      </c>
    </row>
    <row r="15603">
      <c r="A15603" s="2" t="str">
        <f>IFERROR(__xludf.DUMMYFUNCTION("""COMPUTED_VALUE"""),"내가 왕이 될 밥상인가?")</f>
        <v>내가 왕이 될 밥상인가?</v>
      </c>
      <c r="B15603" s="2" t="str">
        <f>IFERROR(__xludf.DUMMYFUNCTION("""COMPUTED_VALUE"""),"쌀")</f>
        <v>쌀</v>
      </c>
    </row>
    <row r="15604">
      <c r="A15604" s="2" t="str">
        <f>IFERROR(__xludf.DUMMYFUNCTION("""COMPUTED_VALUE"""),"내가 왕이 될 밥상인가?")</f>
        <v>내가 왕이 될 밥상인가?</v>
      </c>
      <c r="B15604" s="2" t="str">
        <f>IFERROR(__xludf.DUMMYFUNCTION("""COMPUTED_VALUE"""),"참기름")</f>
        <v>참기름</v>
      </c>
    </row>
    <row r="15605">
      <c r="A15605" s="2" t="str">
        <f>IFERROR(__xludf.DUMMYFUNCTION("""COMPUTED_VALUE"""),"내가 왕이 될 밥상인가?")</f>
        <v>내가 왕이 될 밥상인가?</v>
      </c>
      <c r="B15605" s="2" t="str">
        <f>IFERROR(__xludf.DUMMYFUNCTION("""COMPUTED_VALUE"""),"마늘")</f>
        <v>마늘</v>
      </c>
    </row>
    <row r="15606">
      <c r="A15606" s="2" t="str">
        <f>IFERROR(__xludf.DUMMYFUNCTION("""COMPUTED_VALUE"""),"내가 왕이 될 밥상인가?")</f>
        <v>내가 왕이 될 밥상인가?</v>
      </c>
      <c r="B15606" s="2" t="str">
        <f>IFERROR(__xludf.DUMMYFUNCTION("""COMPUTED_VALUE"""),"대파")</f>
        <v>대파</v>
      </c>
    </row>
    <row r="15607">
      <c r="A15607" s="2" t="str">
        <f>IFERROR(__xludf.DUMMYFUNCTION("""COMPUTED_VALUE"""),"내가 왕이 될 밥상인가?")</f>
        <v>내가 왕이 될 밥상인가?</v>
      </c>
      <c r="B15607" s="2" t="str">
        <f>IFERROR(__xludf.DUMMYFUNCTION("""COMPUTED_VALUE"""),"참깨")</f>
        <v>참깨</v>
      </c>
    </row>
    <row r="15608">
      <c r="A15608" s="2" t="str">
        <f>IFERROR(__xludf.DUMMYFUNCTION("""COMPUTED_VALUE"""),"내가 왕이 될 밥상인가?")</f>
        <v>내가 왕이 될 밥상인가?</v>
      </c>
      <c r="B15608" s="2" t="str">
        <f>IFERROR(__xludf.DUMMYFUNCTION("""COMPUTED_VALUE"""),"후추")</f>
        <v>후추</v>
      </c>
    </row>
    <row r="15609">
      <c r="A15609" s="2" t="str">
        <f>IFERROR(__xludf.DUMMYFUNCTION("""COMPUTED_VALUE"""),"내가 왕이 될 밥상인가?")</f>
        <v>내가 왕이 될 밥상인가?</v>
      </c>
      <c r="B15609" s="2" t="str">
        <f>IFERROR(__xludf.DUMMYFUNCTION("""COMPUTED_VALUE"""),"설탕")</f>
        <v>설탕</v>
      </c>
    </row>
    <row r="15610">
      <c r="A15610" s="2" t="str">
        <f>IFERROR(__xludf.DUMMYFUNCTION("""COMPUTED_VALUE"""),"내가 왕이 될 밥상인가?")</f>
        <v>내가 왕이 될 밥상인가?</v>
      </c>
      <c r="B15610" s="2" t="str">
        <f>IFERROR(__xludf.DUMMYFUNCTION("""COMPUTED_VALUE"""),"양파")</f>
        <v>양파</v>
      </c>
    </row>
    <row r="15611">
      <c r="A15611" s="2" t="str">
        <f>IFERROR(__xludf.DUMMYFUNCTION("""COMPUTED_VALUE"""),"내가 왕이 될 밥상인가?")</f>
        <v>내가 왕이 될 밥상인가?</v>
      </c>
      <c r="B15611" s="2" t="str">
        <f>IFERROR(__xludf.DUMMYFUNCTION("""COMPUTED_VALUE"""),"올리브오일")</f>
        <v>올리브오일</v>
      </c>
    </row>
    <row r="15612">
      <c r="A15612" s="2" t="str">
        <f>IFERROR(__xludf.DUMMYFUNCTION("""COMPUTED_VALUE"""),"내가 왕이 될 밥상인가?")</f>
        <v>내가 왕이 될 밥상인가?</v>
      </c>
      <c r="B15612" s="2" t="str">
        <f>IFERROR(__xludf.DUMMYFUNCTION("""COMPUTED_VALUE"""),"소금")</f>
        <v>소금</v>
      </c>
    </row>
    <row r="15613">
      <c r="A15613" s="2" t="str">
        <f>IFERROR(__xludf.DUMMYFUNCTION("""COMPUTED_VALUE"""),"내가 왕이 될 밥상인가?")</f>
        <v>내가 왕이 될 밥상인가?</v>
      </c>
      <c r="B15613" s="2" t="str">
        <f>IFERROR(__xludf.DUMMYFUNCTION("""COMPUTED_VALUE"""),"달걀")</f>
        <v>달걀</v>
      </c>
    </row>
    <row r="15614">
      <c r="A15614" s="2" t="str">
        <f>IFERROR(__xludf.DUMMYFUNCTION("""COMPUTED_VALUE"""),"내가 왕이 될 밥상인가?")</f>
        <v>내가 왕이 될 밥상인가?</v>
      </c>
      <c r="B15614" s="2" t="str">
        <f>IFERROR(__xludf.DUMMYFUNCTION("""COMPUTED_VALUE"""),"홍고추")</f>
        <v>홍고추</v>
      </c>
    </row>
    <row r="15615">
      <c r="A15615" s="2" t="str">
        <f>IFERROR(__xludf.DUMMYFUNCTION("""COMPUTED_VALUE"""),"내가 왕이 될 밥상인가?")</f>
        <v>내가 왕이 될 밥상인가?</v>
      </c>
      <c r="B15615" s="2" t="str">
        <f>IFERROR(__xludf.DUMMYFUNCTION("""COMPUTED_VALUE"""),"밀가루")</f>
        <v>밀가루</v>
      </c>
    </row>
    <row r="15616">
      <c r="A15616" s="2" t="str">
        <f>IFERROR(__xludf.DUMMYFUNCTION("""COMPUTED_VALUE"""),"내가 왕이 될 밥상인가?")</f>
        <v>내가 왕이 될 밥상인가?</v>
      </c>
      <c r="B15616" s="2" t="str">
        <f>IFERROR(__xludf.DUMMYFUNCTION("""COMPUTED_VALUE"""),"버터")</f>
        <v>버터</v>
      </c>
    </row>
    <row r="15617">
      <c r="A15617" s="2" t="str">
        <f>IFERROR(__xludf.DUMMYFUNCTION("""COMPUTED_VALUE"""),"송훈각")</f>
        <v>송훈각</v>
      </c>
      <c r="B15617" s="2" t="str">
        <f>IFERROR(__xludf.DUMMYFUNCTION("""COMPUTED_VALUE"""),"돼지 앞다릿살")</f>
        <v>돼지 앞다릿살</v>
      </c>
    </row>
    <row r="15618">
      <c r="A15618" s="2" t="str">
        <f>IFERROR(__xludf.DUMMYFUNCTION("""COMPUTED_VALUE"""),"송훈각")</f>
        <v>송훈각</v>
      </c>
      <c r="B15618" s="2" t="str">
        <f>IFERROR(__xludf.DUMMYFUNCTION("""COMPUTED_VALUE"""),"오징어")</f>
        <v>오징어</v>
      </c>
    </row>
    <row r="15619">
      <c r="A15619" s="2" t="str">
        <f>IFERROR(__xludf.DUMMYFUNCTION("""COMPUTED_VALUE"""),"송훈각")</f>
        <v>송훈각</v>
      </c>
      <c r="B15619" s="2" t="str">
        <f>IFERROR(__xludf.DUMMYFUNCTION("""COMPUTED_VALUE"""),"가지")</f>
        <v>가지</v>
      </c>
    </row>
    <row r="15620">
      <c r="A15620" s="2" t="str">
        <f>IFERROR(__xludf.DUMMYFUNCTION("""COMPUTED_VALUE"""),"송훈각")</f>
        <v>송훈각</v>
      </c>
      <c r="B15620" s="2" t="str">
        <f>IFERROR(__xludf.DUMMYFUNCTION("""COMPUTED_VALUE"""),"애호박")</f>
        <v>애호박</v>
      </c>
    </row>
    <row r="15621">
      <c r="A15621" s="2" t="str">
        <f>IFERROR(__xludf.DUMMYFUNCTION("""COMPUTED_VALUE"""),"송훈각")</f>
        <v>송훈각</v>
      </c>
      <c r="B15621" s="2" t="str">
        <f>IFERROR(__xludf.DUMMYFUNCTION("""COMPUTED_VALUE"""),"양파")</f>
        <v>양파</v>
      </c>
    </row>
    <row r="15622">
      <c r="A15622" s="2" t="str">
        <f>IFERROR(__xludf.DUMMYFUNCTION("""COMPUTED_VALUE"""),"송훈각")</f>
        <v>송훈각</v>
      </c>
      <c r="B15622" s="2" t="str">
        <f>IFERROR(__xludf.DUMMYFUNCTION("""COMPUTED_VALUE"""),"새송이버섯")</f>
        <v>새송이버섯</v>
      </c>
    </row>
    <row r="15623">
      <c r="A15623" s="2" t="str">
        <f>IFERROR(__xludf.DUMMYFUNCTION("""COMPUTED_VALUE"""),"송훈각")</f>
        <v>송훈각</v>
      </c>
      <c r="B15623" s="2" t="str">
        <f>IFERROR(__xludf.DUMMYFUNCTION("""COMPUTED_VALUE"""),"오이지무침")</f>
        <v>오이지무침</v>
      </c>
    </row>
    <row r="15624">
      <c r="A15624" s="2" t="str">
        <f>IFERROR(__xludf.DUMMYFUNCTION("""COMPUTED_VALUE"""),"송훈각")</f>
        <v>송훈각</v>
      </c>
      <c r="B15624" s="2" t="str">
        <f>IFERROR(__xludf.DUMMYFUNCTION("""COMPUTED_VALUE"""),"조개젓무침")</f>
        <v>조개젓무침</v>
      </c>
    </row>
    <row r="15625">
      <c r="A15625" s="2" t="str">
        <f>IFERROR(__xludf.DUMMYFUNCTION("""COMPUTED_VALUE"""),"송훈각")</f>
        <v>송훈각</v>
      </c>
      <c r="B15625" s="2" t="str">
        <f>IFERROR(__xludf.DUMMYFUNCTION("""COMPUTED_VALUE"""),"국물용 조미료")</f>
        <v>국물용 조미료</v>
      </c>
    </row>
    <row r="15626">
      <c r="A15626" s="2" t="str">
        <f>IFERROR(__xludf.DUMMYFUNCTION("""COMPUTED_VALUE"""),"송훈각")</f>
        <v>송훈각</v>
      </c>
      <c r="B15626" s="2" t="str">
        <f>IFERROR(__xludf.DUMMYFUNCTION("""COMPUTED_VALUE"""),"통조림 햄")</f>
        <v>통조림 햄</v>
      </c>
    </row>
    <row r="15627">
      <c r="A15627" s="2" t="str">
        <f>IFERROR(__xludf.DUMMYFUNCTION("""COMPUTED_VALUE"""),"송훈각")</f>
        <v>송훈각</v>
      </c>
      <c r="B15627" s="2" t="str">
        <f>IFERROR(__xludf.DUMMYFUNCTION("""COMPUTED_VALUE"""),"인스턴트 북엇국")</f>
        <v>인스턴트 북엇국</v>
      </c>
    </row>
    <row r="15628">
      <c r="A15628" s="2" t="str">
        <f>IFERROR(__xludf.DUMMYFUNCTION("""COMPUTED_VALUE"""),"송훈각")</f>
        <v>송훈각</v>
      </c>
      <c r="B15628" s="2" t="str">
        <f>IFERROR(__xludf.DUMMYFUNCTION("""COMPUTED_VALUE"""),"대파")</f>
        <v>대파</v>
      </c>
    </row>
    <row r="15629">
      <c r="A15629" s="2" t="str">
        <f>IFERROR(__xludf.DUMMYFUNCTION("""COMPUTED_VALUE"""),"송훈각")</f>
        <v>송훈각</v>
      </c>
      <c r="B15629" s="2" t="str">
        <f>IFERROR(__xludf.DUMMYFUNCTION("""COMPUTED_VALUE"""),"청양고추")</f>
        <v>청양고추</v>
      </c>
    </row>
    <row r="15630">
      <c r="A15630" s="2" t="str">
        <f>IFERROR(__xludf.DUMMYFUNCTION("""COMPUTED_VALUE"""),"송훈각")</f>
        <v>송훈각</v>
      </c>
      <c r="B15630" s="2" t="str">
        <f>IFERROR(__xludf.DUMMYFUNCTION("""COMPUTED_VALUE"""),"고춧가루")</f>
        <v>고춧가루</v>
      </c>
    </row>
    <row r="15631">
      <c r="A15631" s="2" t="str">
        <f>IFERROR(__xludf.DUMMYFUNCTION("""COMPUTED_VALUE"""),"송훈각")</f>
        <v>송훈각</v>
      </c>
      <c r="B15631" s="2" t="str">
        <f>IFERROR(__xludf.DUMMYFUNCTION("""COMPUTED_VALUE"""),"식용유")</f>
        <v>식용유</v>
      </c>
    </row>
    <row r="15632">
      <c r="A15632" s="2" t="str">
        <f>IFERROR(__xludf.DUMMYFUNCTION("""COMPUTED_VALUE"""),"송훈각")</f>
        <v>송훈각</v>
      </c>
      <c r="B15632" s="2" t="str">
        <f>IFERROR(__xludf.DUMMYFUNCTION("""COMPUTED_VALUE"""),"식초")</f>
        <v>식초</v>
      </c>
    </row>
    <row r="15633">
      <c r="A15633" s="2" t="str">
        <f>IFERROR(__xludf.DUMMYFUNCTION("""COMPUTED_VALUE"""),"송훈각")</f>
        <v>송훈각</v>
      </c>
      <c r="B15633" s="2" t="str">
        <f>IFERROR(__xludf.DUMMYFUNCTION("""COMPUTED_VALUE"""),"간장")</f>
        <v>간장</v>
      </c>
    </row>
    <row r="15634">
      <c r="A15634" s="2" t="str">
        <f>IFERROR(__xludf.DUMMYFUNCTION("""COMPUTED_VALUE"""),"송훈각")</f>
        <v>송훈각</v>
      </c>
      <c r="B15634" s="2" t="str">
        <f>IFERROR(__xludf.DUMMYFUNCTION("""COMPUTED_VALUE"""),"맛술")</f>
        <v>맛술</v>
      </c>
    </row>
    <row r="15635">
      <c r="A15635" s="2" t="str">
        <f>IFERROR(__xludf.DUMMYFUNCTION("""COMPUTED_VALUE"""),"송훈각")</f>
        <v>송훈각</v>
      </c>
      <c r="B15635" s="2" t="str">
        <f>IFERROR(__xludf.DUMMYFUNCTION("""COMPUTED_VALUE"""),"후추")</f>
        <v>후추</v>
      </c>
    </row>
    <row r="15636">
      <c r="A15636" s="2" t="str">
        <f>IFERROR(__xludf.DUMMYFUNCTION("""COMPUTED_VALUE"""),"송훈각")</f>
        <v>송훈각</v>
      </c>
      <c r="B15636" s="2" t="str">
        <f>IFERROR(__xludf.DUMMYFUNCTION("""COMPUTED_VALUE"""),"밀가루")</f>
        <v>밀가루</v>
      </c>
    </row>
    <row r="15637">
      <c r="A15637" s="2" t="str">
        <f>IFERROR(__xludf.DUMMYFUNCTION("""COMPUTED_VALUE"""),"송훈각")</f>
        <v>송훈각</v>
      </c>
      <c r="B15637" s="2" t="str">
        <f>IFERROR(__xludf.DUMMYFUNCTION("""COMPUTED_VALUE"""),"전분")</f>
        <v>전분</v>
      </c>
    </row>
    <row r="15638">
      <c r="A15638" s="2" t="str">
        <f>IFERROR(__xludf.DUMMYFUNCTION("""COMPUTED_VALUE"""),"송훈각")</f>
        <v>송훈각</v>
      </c>
      <c r="B15638" s="2" t="str">
        <f>IFERROR(__xludf.DUMMYFUNCTION("""COMPUTED_VALUE"""),"홍고추")</f>
        <v>홍고추</v>
      </c>
    </row>
    <row r="15639">
      <c r="A15639" s="2" t="str">
        <f>IFERROR(__xludf.DUMMYFUNCTION("""COMPUTED_VALUE"""),"송훈각")</f>
        <v>송훈각</v>
      </c>
      <c r="B15639" s="2" t="str">
        <f>IFERROR(__xludf.DUMMYFUNCTION("""COMPUTED_VALUE"""),"양파")</f>
        <v>양파</v>
      </c>
    </row>
    <row r="15640">
      <c r="A15640" s="2" t="str">
        <f>IFERROR(__xludf.DUMMYFUNCTION("""COMPUTED_VALUE"""),"풍화반점")</f>
        <v>풍화반점</v>
      </c>
      <c r="B15640" s="2" t="str">
        <f>IFERROR(__xludf.DUMMYFUNCTION("""COMPUTED_VALUE"""),"돼지 앞다릿살")</f>
        <v>돼지 앞다릿살</v>
      </c>
    </row>
    <row r="15641">
      <c r="A15641" s="2" t="str">
        <f>IFERROR(__xludf.DUMMYFUNCTION("""COMPUTED_VALUE"""),"풍화반점")</f>
        <v>풍화반점</v>
      </c>
      <c r="B15641" s="2" t="str">
        <f>IFERROR(__xludf.DUMMYFUNCTION("""COMPUTED_VALUE"""),"상추")</f>
        <v>상추</v>
      </c>
    </row>
    <row r="15642">
      <c r="A15642" s="2" t="str">
        <f>IFERROR(__xludf.DUMMYFUNCTION("""COMPUTED_VALUE"""),"풍화반점")</f>
        <v>풍화반점</v>
      </c>
      <c r="B15642" s="2" t="str">
        <f>IFERROR(__xludf.DUMMYFUNCTION("""COMPUTED_VALUE"""),"오이지무침")</f>
        <v>오이지무침</v>
      </c>
    </row>
    <row r="15643">
      <c r="A15643" s="2" t="str">
        <f>IFERROR(__xludf.DUMMYFUNCTION("""COMPUTED_VALUE"""),"풍화반점")</f>
        <v>풍화반점</v>
      </c>
      <c r="B15643" s="2" t="str">
        <f>IFERROR(__xludf.DUMMYFUNCTION("""COMPUTED_VALUE"""),"감자")</f>
        <v>감자</v>
      </c>
    </row>
    <row r="15644">
      <c r="A15644" s="2" t="str">
        <f>IFERROR(__xludf.DUMMYFUNCTION("""COMPUTED_VALUE"""),"풍화반점")</f>
        <v>풍화반점</v>
      </c>
      <c r="B15644" s="2" t="str">
        <f>IFERROR(__xludf.DUMMYFUNCTION("""COMPUTED_VALUE"""),"가지")</f>
        <v>가지</v>
      </c>
    </row>
    <row r="15645">
      <c r="A15645" s="2" t="str">
        <f>IFERROR(__xludf.DUMMYFUNCTION("""COMPUTED_VALUE"""),"풍화반점")</f>
        <v>풍화반점</v>
      </c>
      <c r="B15645" s="2" t="str">
        <f>IFERROR(__xludf.DUMMYFUNCTION("""COMPUTED_VALUE"""),"칼국수라면")</f>
        <v>칼국수라면</v>
      </c>
    </row>
    <row r="15646">
      <c r="A15646" s="2" t="str">
        <f>IFERROR(__xludf.DUMMYFUNCTION("""COMPUTED_VALUE"""),"풍화반점")</f>
        <v>풍화반점</v>
      </c>
      <c r="B15646" s="2" t="str">
        <f>IFERROR(__xludf.DUMMYFUNCTION("""COMPUTED_VALUE"""),"새우맛라면")</f>
        <v>새우맛라면</v>
      </c>
    </row>
    <row r="15647">
      <c r="A15647" s="2" t="str">
        <f>IFERROR(__xludf.DUMMYFUNCTION("""COMPUTED_VALUE"""),"풍화반점")</f>
        <v>풍화반점</v>
      </c>
      <c r="B15647" s="2" t="str">
        <f>IFERROR(__xludf.DUMMYFUNCTION("""COMPUTED_VALUE"""),"통조림 햄")</f>
        <v>통조림 햄</v>
      </c>
    </row>
    <row r="15648">
      <c r="A15648" s="2" t="str">
        <f>IFERROR(__xludf.DUMMYFUNCTION("""COMPUTED_VALUE"""),"풍화반점")</f>
        <v>풍화반점</v>
      </c>
      <c r="B15648" s="2" t="str">
        <f>IFERROR(__xludf.DUMMYFUNCTION("""COMPUTED_VALUE"""),"인스턴트 미역국")</f>
        <v>인스턴트 미역국</v>
      </c>
    </row>
    <row r="15649">
      <c r="A15649" s="2" t="str">
        <f>IFERROR(__xludf.DUMMYFUNCTION("""COMPUTED_VALUE"""),"풍화반점")</f>
        <v>풍화반점</v>
      </c>
      <c r="B15649" s="2" t="str">
        <f>IFERROR(__xludf.DUMMYFUNCTION("""COMPUTED_VALUE"""),"달걀")</f>
        <v>달걀</v>
      </c>
    </row>
    <row r="15650">
      <c r="A15650" s="2" t="str">
        <f>IFERROR(__xludf.DUMMYFUNCTION("""COMPUTED_VALUE"""),"풍화반점")</f>
        <v>풍화반점</v>
      </c>
      <c r="B15650" s="2" t="str">
        <f>IFERROR(__xludf.DUMMYFUNCTION("""COMPUTED_VALUE"""),"다진 마늘")</f>
        <v>다진 마늘</v>
      </c>
    </row>
    <row r="15651">
      <c r="A15651" s="2" t="str">
        <f>IFERROR(__xludf.DUMMYFUNCTION("""COMPUTED_VALUE"""),"풍화반점")</f>
        <v>풍화반점</v>
      </c>
      <c r="B15651" s="2" t="str">
        <f>IFERROR(__xludf.DUMMYFUNCTION("""COMPUTED_VALUE"""),"다진 생강")</f>
        <v>다진 생강</v>
      </c>
    </row>
    <row r="15652">
      <c r="A15652" s="2" t="str">
        <f>IFERROR(__xludf.DUMMYFUNCTION("""COMPUTED_VALUE"""),"풍화반점")</f>
        <v>풍화반점</v>
      </c>
      <c r="B15652" s="2" t="str">
        <f>IFERROR(__xludf.DUMMYFUNCTION("""COMPUTED_VALUE"""),"전분")</f>
        <v>전분</v>
      </c>
    </row>
    <row r="15653">
      <c r="A15653" s="2" t="str">
        <f>IFERROR(__xludf.DUMMYFUNCTION("""COMPUTED_VALUE"""),"풍화반점")</f>
        <v>풍화반점</v>
      </c>
      <c r="B15653" s="2" t="str">
        <f>IFERROR(__xludf.DUMMYFUNCTION("""COMPUTED_VALUE"""),"소금")</f>
        <v>소금</v>
      </c>
    </row>
    <row r="15654">
      <c r="A15654" s="2" t="str">
        <f>IFERROR(__xludf.DUMMYFUNCTION("""COMPUTED_VALUE"""),"풍화반점")</f>
        <v>풍화반점</v>
      </c>
      <c r="B15654" s="2" t="str">
        <f>IFERROR(__xludf.DUMMYFUNCTION("""COMPUTED_VALUE"""),"대파")</f>
        <v>대파</v>
      </c>
    </row>
    <row r="15655">
      <c r="A15655" s="2" t="str">
        <f>IFERROR(__xludf.DUMMYFUNCTION("""COMPUTED_VALUE"""),"풍화반점")</f>
        <v>풍화반점</v>
      </c>
      <c r="B15655" s="2" t="str">
        <f>IFERROR(__xludf.DUMMYFUNCTION("""COMPUTED_VALUE"""),"청양고추")</f>
        <v>청양고추</v>
      </c>
    </row>
    <row r="15656">
      <c r="A15656" s="2" t="str">
        <f>IFERROR(__xludf.DUMMYFUNCTION("""COMPUTED_VALUE"""),"풍화반점")</f>
        <v>풍화반점</v>
      </c>
      <c r="B15656" s="2" t="str">
        <f>IFERROR(__xludf.DUMMYFUNCTION("""COMPUTED_VALUE"""),"맛술")</f>
        <v>맛술</v>
      </c>
    </row>
    <row r="15657">
      <c r="A15657" s="2" t="str">
        <f>IFERROR(__xludf.DUMMYFUNCTION("""COMPUTED_VALUE"""),"풍화반점")</f>
        <v>풍화반점</v>
      </c>
      <c r="B15657" s="2" t="str">
        <f>IFERROR(__xludf.DUMMYFUNCTION("""COMPUTED_VALUE"""),"홍고추")</f>
        <v>홍고추</v>
      </c>
    </row>
    <row r="15658">
      <c r="A15658" s="2" t="str">
        <f>IFERROR(__xludf.DUMMYFUNCTION("""COMPUTED_VALUE"""),"풍화반점")</f>
        <v>풍화반점</v>
      </c>
      <c r="B15658" s="2" t="str">
        <f>IFERROR(__xludf.DUMMYFUNCTION("""COMPUTED_VALUE"""),"즉석밥")</f>
        <v>즉석밥</v>
      </c>
    </row>
    <row r="15659">
      <c r="A15659" s="2" t="str">
        <f>IFERROR(__xludf.DUMMYFUNCTION("""COMPUTED_VALUE"""),"풍화반점")</f>
        <v>풍화반점</v>
      </c>
      <c r="B15659" s="2" t="str">
        <f>IFERROR(__xludf.DUMMYFUNCTION("""COMPUTED_VALUE"""),"식초")</f>
        <v>식초</v>
      </c>
    </row>
    <row r="15660">
      <c r="A15660" s="2" t="str">
        <f>IFERROR(__xludf.DUMMYFUNCTION("""COMPUTED_VALUE"""),"풍화반점")</f>
        <v>풍화반점</v>
      </c>
      <c r="B15660" s="2" t="str">
        <f>IFERROR(__xludf.DUMMYFUNCTION("""COMPUTED_VALUE"""),"설탕")</f>
        <v>설탕</v>
      </c>
    </row>
    <row r="15661">
      <c r="A15661" s="2" t="str">
        <f>IFERROR(__xludf.DUMMYFUNCTION("""COMPUTED_VALUE"""),"풍화반점")</f>
        <v>풍화반점</v>
      </c>
      <c r="B15661" s="2" t="str">
        <f>IFERROR(__xludf.DUMMYFUNCTION("""COMPUTED_VALUE"""),"고춧가루")</f>
        <v>고춧가루</v>
      </c>
    </row>
    <row r="15662">
      <c r="A15662" s="2" t="str">
        <f>IFERROR(__xludf.DUMMYFUNCTION("""COMPUTED_VALUE"""),"신(辛)봤다")</f>
        <v>신(辛)봤다</v>
      </c>
      <c r="B15662" s="2" t="str">
        <f>IFERROR(__xludf.DUMMYFUNCTION("""COMPUTED_VALUE"""),"돼지 앞다릿살")</f>
        <v>돼지 앞다릿살</v>
      </c>
    </row>
    <row r="15663">
      <c r="A15663" s="2" t="str">
        <f>IFERROR(__xludf.DUMMYFUNCTION("""COMPUTED_VALUE"""),"신(辛)봤다")</f>
        <v>신(辛)봤다</v>
      </c>
      <c r="B15663" s="2" t="str">
        <f>IFERROR(__xludf.DUMMYFUNCTION("""COMPUTED_VALUE"""),"오징어")</f>
        <v>오징어</v>
      </c>
    </row>
    <row r="15664">
      <c r="A15664" s="2" t="str">
        <f>IFERROR(__xludf.DUMMYFUNCTION("""COMPUTED_VALUE"""),"신(辛)봤다")</f>
        <v>신(辛)봤다</v>
      </c>
      <c r="B15664" s="2" t="str">
        <f>IFERROR(__xludf.DUMMYFUNCTION("""COMPUTED_VALUE"""),"조개젓무침")</f>
        <v>조개젓무침</v>
      </c>
    </row>
    <row r="15665">
      <c r="A15665" s="2" t="str">
        <f>IFERROR(__xludf.DUMMYFUNCTION("""COMPUTED_VALUE"""),"신(辛)봤다")</f>
        <v>신(辛)봤다</v>
      </c>
      <c r="B15665" s="2" t="str">
        <f>IFERROR(__xludf.DUMMYFUNCTION("""COMPUTED_VALUE"""),"상추")</f>
        <v>상추</v>
      </c>
    </row>
    <row r="15666">
      <c r="A15666" s="2" t="str">
        <f>IFERROR(__xludf.DUMMYFUNCTION("""COMPUTED_VALUE"""),"신(辛)봤다")</f>
        <v>신(辛)봤다</v>
      </c>
      <c r="B15666" s="2" t="str">
        <f>IFERROR(__xludf.DUMMYFUNCTION("""COMPUTED_VALUE"""),"가지")</f>
        <v>가지</v>
      </c>
    </row>
    <row r="15667">
      <c r="A15667" s="2" t="str">
        <f>IFERROR(__xludf.DUMMYFUNCTION("""COMPUTED_VALUE"""),"신(辛)봤다")</f>
        <v>신(辛)봤다</v>
      </c>
      <c r="B15667" s="2" t="str">
        <f>IFERROR(__xludf.DUMMYFUNCTION("""COMPUTED_VALUE"""),"국물용 조미료")</f>
        <v>국물용 조미료</v>
      </c>
    </row>
    <row r="15668">
      <c r="A15668" s="2" t="str">
        <f>IFERROR(__xludf.DUMMYFUNCTION("""COMPUTED_VALUE"""),"신(辛)봤다")</f>
        <v>신(辛)봤다</v>
      </c>
      <c r="B15668" s="2" t="str">
        <f>IFERROR(__xludf.DUMMYFUNCTION("""COMPUTED_VALUE"""),"간장")</f>
        <v>간장</v>
      </c>
    </row>
    <row r="15669">
      <c r="A15669" s="2" t="str">
        <f>IFERROR(__xludf.DUMMYFUNCTION("""COMPUTED_VALUE"""),"신(辛)봤다")</f>
        <v>신(辛)봤다</v>
      </c>
      <c r="B15669" s="2" t="str">
        <f>IFERROR(__xludf.DUMMYFUNCTION("""COMPUTED_VALUE"""),"청주")</f>
        <v>청주</v>
      </c>
    </row>
    <row r="15670">
      <c r="A15670" s="2" t="str">
        <f>IFERROR(__xludf.DUMMYFUNCTION("""COMPUTED_VALUE"""),"신(辛)봤다")</f>
        <v>신(辛)봤다</v>
      </c>
      <c r="B15670" s="2" t="str">
        <f>IFERROR(__xludf.DUMMYFUNCTION("""COMPUTED_VALUE"""),"맛술")</f>
        <v>맛술</v>
      </c>
    </row>
    <row r="15671">
      <c r="A15671" s="2" t="str">
        <f>IFERROR(__xludf.DUMMYFUNCTION("""COMPUTED_VALUE"""),"신(辛)봤다")</f>
        <v>신(辛)봤다</v>
      </c>
      <c r="B15671" s="2" t="str">
        <f>IFERROR(__xludf.DUMMYFUNCTION("""COMPUTED_VALUE"""),"청양고추")</f>
        <v>청양고추</v>
      </c>
    </row>
    <row r="15672">
      <c r="A15672" s="2" t="str">
        <f>IFERROR(__xludf.DUMMYFUNCTION("""COMPUTED_VALUE"""),"신(辛)봤다")</f>
        <v>신(辛)봤다</v>
      </c>
      <c r="B15672" s="2" t="str">
        <f>IFERROR(__xludf.DUMMYFUNCTION("""COMPUTED_VALUE"""),"고춧가루")</f>
        <v>고춧가루</v>
      </c>
    </row>
    <row r="15673">
      <c r="A15673" s="2" t="str">
        <f>IFERROR(__xludf.DUMMYFUNCTION("""COMPUTED_VALUE"""),"신(辛)봤다")</f>
        <v>신(辛)봤다</v>
      </c>
      <c r="B15673" s="2" t="str">
        <f>IFERROR(__xludf.DUMMYFUNCTION("""COMPUTED_VALUE"""),"다진 마늘")</f>
        <v>다진 마늘</v>
      </c>
    </row>
    <row r="15674">
      <c r="A15674" s="2" t="str">
        <f>IFERROR(__xludf.DUMMYFUNCTION("""COMPUTED_VALUE"""),"신(辛)봤다")</f>
        <v>신(辛)봤다</v>
      </c>
      <c r="B15674" s="2" t="str">
        <f>IFERROR(__xludf.DUMMYFUNCTION("""COMPUTED_VALUE"""),"대파")</f>
        <v>대파</v>
      </c>
    </row>
    <row r="15675">
      <c r="A15675" s="2" t="str">
        <f>IFERROR(__xludf.DUMMYFUNCTION("""COMPUTED_VALUE"""),"신(辛)봤다")</f>
        <v>신(辛)봤다</v>
      </c>
      <c r="B15675" s="2" t="str">
        <f>IFERROR(__xludf.DUMMYFUNCTION("""COMPUTED_VALUE"""),"홍고추")</f>
        <v>홍고추</v>
      </c>
    </row>
    <row r="15676">
      <c r="A15676" s="2" t="str">
        <f>IFERROR(__xludf.DUMMYFUNCTION("""COMPUTED_VALUE"""),"신(辛)봤다")</f>
        <v>신(辛)봤다</v>
      </c>
      <c r="B15676" s="2" t="str">
        <f>IFERROR(__xludf.DUMMYFUNCTION("""COMPUTED_VALUE"""),"양파")</f>
        <v>양파</v>
      </c>
    </row>
    <row r="15677">
      <c r="A15677" s="2" t="str">
        <f>IFERROR(__xludf.DUMMYFUNCTION("""COMPUTED_VALUE"""),"신(辛)봤다")</f>
        <v>신(辛)봤다</v>
      </c>
      <c r="B15677" s="2" t="str">
        <f>IFERROR(__xludf.DUMMYFUNCTION("""COMPUTED_VALUE"""),"대파")</f>
        <v>대파</v>
      </c>
    </row>
    <row r="15678">
      <c r="A15678" s="2" t="str">
        <f>IFERROR(__xludf.DUMMYFUNCTION("""COMPUTED_VALUE"""),"신(辛)봤다")</f>
        <v>신(辛)봤다</v>
      </c>
      <c r="B15678" s="2" t="str">
        <f>IFERROR(__xludf.DUMMYFUNCTION("""COMPUTED_VALUE"""),"소금")</f>
        <v>소금</v>
      </c>
    </row>
    <row r="15679">
      <c r="A15679" s="2" t="str">
        <f>IFERROR(__xludf.DUMMYFUNCTION("""COMPUTED_VALUE"""),"신(辛)봤다")</f>
        <v>신(辛)봤다</v>
      </c>
      <c r="B15679" s="2" t="str">
        <f>IFERROR(__xludf.DUMMYFUNCTION("""COMPUTED_VALUE"""),"즉석밥")</f>
        <v>즉석밥</v>
      </c>
    </row>
    <row r="15680">
      <c r="A15680" s="2" t="str">
        <f>IFERROR(__xludf.DUMMYFUNCTION("""COMPUTED_VALUE"""),"신(辛)봤다")</f>
        <v>신(辛)봤다</v>
      </c>
      <c r="B15680" s="2" t="str">
        <f>IFERROR(__xludf.DUMMYFUNCTION("""COMPUTED_VALUE"""),"달걀")</f>
        <v>달걀</v>
      </c>
    </row>
    <row r="15681">
      <c r="A15681" s="2" t="str">
        <f>IFERROR(__xludf.DUMMYFUNCTION("""COMPUTED_VALUE"""),"스파이시맨")</f>
        <v>스파이시맨</v>
      </c>
      <c r="B15681" s="2" t="str">
        <f>IFERROR(__xludf.DUMMYFUNCTION("""COMPUTED_VALUE"""),"돼지 앞다릿살")</f>
        <v>돼지 앞다릿살</v>
      </c>
    </row>
    <row r="15682">
      <c r="A15682" s="2" t="str">
        <f>IFERROR(__xludf.DUMMYFUNCTION("""COMPUTED_VALUE"""),"스파이시맨")</f>
        <v>스파이시맨</v>
      </c>
      <c r="B15682" s="2" t="str">
        <f>IFERROR(__xludf.DUMMYFUNCTION("""COMPUTED_VALUE"""),"상추")</f>
        <v>상추</v>
      </c>
    </row>
    <row r="15683">
      <c r="A15683" s="2" t="str">
        <f>IFERROR(__xludf.DUMMYFUNCTION("""COMPUTED_VALUE"""),"스파이시맨")</f>
        <v>스파이시맨</v>
      </c>
      <c r="B15683" s="2" t="str">
        <f>IFERROR(__xludf.DUMMYFUNCTION("""COMPUTED_VALUE"""),"베이컨")</f>
        <v>베이컨</v>
      </c>
    </row>
    <row r="15684">
      <c r="A15684" s="2" t="str">
        <f>IFERROR(__xludf.DUMMYFUNCTION("""COMPUTED_VALUE"""),"스파이시맨")</f>
        <v>스파이시맨</v>
      </c>
      <c r="B15684" s="2" t="str">
        <f>IFERROR(__xludf.DUMMYFUNCTION("""COMPUTED_VALUE"""),"애호박")</f>
        <v>애호박</v>
      </c>
    </row>
    <row r="15685">
      <c r="A15685" s="2" t="str">
        <f>IFERROR(__xludf.DUMMYFUNCTION("""COMPUTED_VALUE"""),"스파이시맨")</f>
        <v>스파이시맨</v>
      </c>
      <c r="B15685" s="2" t="str">
        <f>IFERROR(__xludf.DUMMYFUNCTION("""COMPUTED_VALUE"""),"오이")</f>
        <v>오이</v>
      </c>
    </row>
    <row r="15686">
      <c r="A15686" s="2" t="str">
        <f>IFERROR(__xludf.DUMMYFUNCTION("""COMPUTED_VALUE"""),"스파이시맨")</f>
        <v>스파이시맨</v>
      </c>
      <c r="B15686" s="2" t="str">
        <f>IFERROR(__xludf.DUMMYFUNCTION("""COMPUTED_VALUE"""),"청고추")</f>
        <v>청고추</v>
      </c>
    </row>
    <row r="15687">
      <c r="A15687" s="2" t="str">
        <f>IFERROR(__xludf.DUMMYFUNCTION("""COMPUTED_VALUE"""),"스파이시맨")</f>
        <v>스파이시맨</v>
      </c>
      <c r="B15687" s="2" t="str">
        <f>IFERROR(__xludf.DUMMYFUNCTION("""COMPUTED_VALUE"""),"청양고추")</f>
        <v>청양고추</v>
      </c>
    </row>
    <row r="15688">
      <c r="A15688" s="2" t="str">
        <f>IFERROR(__xludf.DUMMYFUNCTION("""COMPUTED_VALUE"""),"스파이시맨")</f>
        <v>스파이시맨</v>
      </c>
      <c r="B15688" s="2" t="str">
        <f>IFERROR(__xludf.DUMMYFUNCTION("""COMPUTED_VALUE"""),"올리브오일")</f>
        <v>올리브오일</v>
      </c>
    </row>
    <row r="15689">
      <c r="A15689" s="2" t="str">
        <f>IFERROR(__xludf.DUMMYFUNCTION("""COMPUTED_VALUE"""),"스파이시맨")</f>
        <v>스파이시맨</v>
      </c>
      <c r="B15689" s="2" t="str">
        <f>IFERROR(__xludf.DUMMYFUNCTION("""COMPUTED_VALUE"""),"버터")</f>
        <v>버터</v>
      </c>
    </row>
    <row r="15690">
      <c r="A15690" s="2" t="str">
        <f>IFERROR(__xludf.DUMMYFUNCTION("""COMPUTED_VALUE"""),"스파이시맨")</f>
        <v>스파이시맨</v>
      </c>
      <c r="B15690" s="2" t="str">
        <f>IFERROR(__xludf.DUMMYFUNCTION("""COMPUTED_VALUE"""),"대파")</f>
        <v>대파</v>
      </c>
    </row>
    <row r="15691">
      <c r="A15691" s="2" t="str">
        <f>IFERROR(__xludf.DUMMYFUNCTION("""COMPUTED_VALUE"""),"스파이시맨")</f>
        <v>스파이시맨</v>
      </c>
      <c r="B15691" s="2" t="str">
        <f>IFERROR(__xludf.DUMMYFUNCTION("""COMPUTED_VALUE"""),"양파")</f>
        <v>양파</v>
      </c>
    </row>
    <row r="15692">
      <c r="A15692" s="2" t="str">
        <f>IFERROR(__xludf.DUMMYFUNCTION("""COMPUTED_VALUE"""),"스파이시맨")</f>
        <v>스파이시맨</v>
      </c>
      <c r="B15692" s="2" t="str">
        <f>IFERROR(__xludf.DUMMYFUNCTION("""COMPUTED_VALUE"""),"고춧가루")</f>
        <v>고춧가루</v>
      </c>
    </row>
    <row r="15693">
      <c r="A15693" s="2" t="str">
        <f>IFERROR(__xludf.DUMMYFUNCTION("""COMPUTED_VALUE"""),"스파이시맨")</f>
        <v>스파이시맨</v>
      </c>
      <c r="B15693" s="2" t="str">
        <f>IFERROR(__xludf.DUMMYFUNCTION("""COMPUTED_VALUE"""),"설탕")</f>
        <v>설탕</v>
      </c>
    </row>
    <row r="15694">
      <c r="A15694" s="2" t="str">
        <f>IFERROR(__xludf.DUMMYFUNCTION("""COMPUTED_VALUE"""),"스파이시맨")</f>
        <v>스파이시맨</v>
      </c>
      <c r="B15694" s="2" t="str">
        <f>IFERROR(__xludf.DUMMYFUNCTION("""COMPUTED_VALUE"""),"간장")</f>
        <v>간장</v>
      </c>
    </row>
    <row r="15695">
      <c r="A15695" s="2" t="str">
        <f>IFERROR(__xludf.DUMMYFUNCTION("""COMPUTED_VALUE"""),"스파이시맨")</f>
        <v>스파이시맨</v>
      </c>
      <c r="B15695" s="2" t="str">
        <f>IFERROR(__xludf.DUMMYFUNCTION("""COMPUTED_VALUE"""),"마늘")</f>
        <v>마늘</v>
      </c>
    </row>
    <row r="15696">
      <c r="A15696" s="2" t="str">
        <f>IFERROR(__xludf.DUMMYFUNCTION("""COMPUTED_VALUE"""),"스파이시맨")</f>
        <v>스파이시맨</v>
      </c>
      <c r="B15696" s="2" t="str">
        <f>IFERROR(__xludf.DUMMYFUNCTION("""COMPUTED_VALUE"""),"다진 마늘")</f>
        <v>다진 마늘</v>
      </c>
    </row>
    <row r="15697">
      <c r="A15697" s="2" t="str">
        <f>IFERROR(__xludf.DUMMYFUNCTION("""COMPUTED_VALUE"""),"스파이시맨")</f>
        <v>스파이시맨</v>
      </c>
      <c r="B15697" s="2" t="str">
        <f>IFERROR(__xludf.DUMMYFUNCTION("""COMPUTED_VALUE"""),"마요네즈")</f>
        <v>마요네즈</v>
      </c>
    </row>
    <row r="15698">
      <c r="A15698" s="2" t="str">
        <f>IFERROR(__xludf.DUMMYFUNCTION("""COMPUTED_VALUE"""),"스파이시맨")</f>
        <v>스파이시맨</v>
      </c>
      <c r="B15698" s="2" t="str">
        <f>IFERROR(__xludf.DUMMYFUNCTION("""COMPUTED_VALUE"""),"후추")</f>
        <v>후추</v>
      </c>
    </row>
    <row r="15699">
      <c r="A15699" s="2" t="str">
        <f>IFERROR(__xludf.DUMMYFUNCTION("""COMPUTED_VALUE"""),"스파이시맨")</f>
        <v>스파이시맨</v>
      </c>
      <c r="B15699" s="2" t="str">
        <f>IFERROR(__xludf.DUMMYFUNCTION("""COMPUTED_VALUE"""),"레몬")</f>
        <v>레몬</v>
      </c>
    </row>
    <row r="15700">
      <c r="A15700" s="2" t="str">
        <f>IFERROR(__xludf.DUMMYFUNCTION("""COMPUTED_VALUE"""),"스파이시맨")</f>
        <v>스파이시맨</v>
      </c>
      <c r="B15700" s="2" t="str">
        <f>IFERROR(__xludf.DUMMYFUNCTION("""COMPUTED_VALUE"""),"밀가루")</f>
        <v>밀가루</v>
      </c>
    </row>
    <row r="15701">
      <c r="A15701" s="2" t="str">
        <f>IFERROR(__xludf.DUMMYFUNCTION("""COMPUTED_VALUE"""),"스파이시맨")</f>
        <v>스파이시맨</v>
      </c>
      <c r="B15701" s="2" t="str">
        <f>IFERROR(__xludf.DUMMYFUNCTION("""COMPUTED_VALUE"""),"소금")</f>
        <v>소금</v>
      </c>
    </row>
    <row r="15702">
      <c r="A15702" s="2" t="str">
        <f>IFERROR(__xludf.DUMMYFUNCTION("""COMPUTED_VALUE"""),"갈치 한판승")</f>
        <v>갈치 한판승</v>
      </c>
      <c r="B15702" s="2" t="str">
        <f>IFERROR(__xludf.DUMMYFUNCTION("""COMPUTED_VALUE"""),"갈치")</f>
        <v>갈치</v>
      </c>
    </row>
    <row r="15703">
      <c r="A15703" s="2" t="str">
        <f>IFERROR(__xludf.DUMMYFUNCTION("""COMPUTED_VALUE"""),"갈치 한판승")</f>
        <v>갈치 한판승</v>
      </c>
      <c r="B15703" s="2" t="str">
        <f>IFERROR(__xludf.DUMMYFUNCTION("""COMPUTED_VALUE"""),"말린 우엉")</f>
        <v>말린 우엉</v>
      </c>
    </row>
    <row r="15704">
      <c r="A15704" s="2" t="str">
        <f>IFERROR(__xludf.DUMMYFUNCTION("""COMPUTED_VALUE"""),"갈치 한판승")</f>
        <v>갈치 한판승</v>
      </c>
      <c r="B15704" s="2" t="str">
        <f>IFERROR(__xludf.DUMMYFUNCTION("""COMPUTED_VALUE"""),"머윗잎")</f>
        <v>머윗잎</v>
      </c>
    </row>
    <row r="15705">
      <c r="A15705" s="2" t="str">
        <f>IFERROR(__xludf.DUMMYFUNCTION("""COMPUTED_VALUE"""),"갈치 한판승")</f>
        <v>갈치 한판승</v>
      </c>
      <c r="B15705" s="2" t="str">
        <f>IFERROR(__xludf.DUMMYFUNCTION("""COMPUTED_VALUE"""),"국물용 멸치")</f>
        <v>국물용 멸치</v>
      </c>
    </row>
    <row r="15706">
      <c r="A15706" s="2" t="str">
        <f>IFERROR(__xludf.DUMMYFUNCTION("""COMPUTED_VALUE"""),"갈치 한판승")</f>
        <v>갈치 한판승</v>
      </c>
      <c r="B15706" s="2" t="str">
        <f>IFERROR(__xludf.DUMMYFUNCTION("""COMPUTED_VALUE"""),"인스턴트 재첩국")</f>
        <v>인스턴트 재첩국</v>
      </c>
    </row>
    <row r="15707">
      <c r="A15707" s="2" t="str">
        <f>IFERROR(__xludf.DUMMYFUNCTION("""COMPUTED_VALUE"""),"갈치 한판승")</f>
        <v>갈치 한판승</v>
      </c>
      <c r="B15707" s="2" t="str">
        <f>IFERROR(__xludf.DUMMYFUNCTION("""COMPUTED_VALUE"""),"국간장")</f>
        <v>국간장</v>
      </c>
    </row>
    <row r="15708">
      <c r="A15708" s="2" t="str">
        <f>IFERROR(__xludf.DUMMYFUNCTION("""COMPUTED_VALUE"""),"갈치 한판승")</f>
        <v>갈치 한판승</v>
      </c>
      <c r="B15708" s="2" t="str">
        <f>IFERROR(__xludf.DUMMYFUNCTION("""COMPUTED_VALUE"""),"깻잎")</f>
        <v>깻잎</v>
      </c>
    </row>
    <row r="15709">
      <c r="A15709" s="2" t="str">
        <f>IFERROR(__xludf.DUMMYFUNCTION("""COMPUTED_VALUE"""),"갈치 한판승")</f>
        <v>갈치 한판승</v>
      </c>
      <c r="B15709" s="2" t="str">
        <f>IFERROR(__xludf.DUMMYFUNCTION("""COMPUTED_VALUE"""),"산초가루")</f>
        <v>산초가루</v>
      </c>
    </row>
    <row r="15710">
      <c r="A15710" s="2" t="str">
        <f>IFERROR(__xludf.DUMMYFUNCTION("""COMPUTED_VALUE"""),"갈치 한판승")</f>
        <v>갈치 한판승</v>
      </c>
      <c r="B15710" s="2" t="str">
        <f>IFERROR(__xludf.DUMMYFUNCTION("""COMPUTED_VALUE"""),"검정콩+검정깨가루")</f>
        <v>검정콩+검정깨가루</v>
      </c>
    </row>
    <row r="15711">
      <c r="A15711" s="2" t="str">
        <f>IFERROR(__xludf.DUMMYFUNCTION("""COMPUTED_VALUE"""),"갈치 한판승")</f>
        <v>갈치 한판승</v>
      </c>
      <c r="B15711" s="2" t="str">
        <f>IFERROR(__xludf.DUMMYFUNCTION("""COMPUTED_VALUE"""),"호박")</f>
        <v>호박</v>
      </c>
    </row>
    <row r="15712">
      <c r="A15712" s="2" t="str">
        <f>IFERROR(__xludf.DUMMYFUNCTION("""COMPUTED_VALUE"""),"갈치 한판승")</f>
        <v>갈치 한판승</v>
      </c>
      <c r="B15712" s="2" t="str">
        <f>IFERROR(__xludf.DUMMYFUNCTION("""COMPUTED_VALUE"""),"된장")</f>
        <v>된장</v>
      </c>
    </row>
    <row r="15713">
      <c r="A15713" s="2" t="str">
        <f>IFERROR(__xludf.DUMMYFUNCTION("""COMPUTED_VALUE"""),"갈치 한판승")</f>
        <v>갈치 한판승</v>
      </c>
      <c r="B15713" s="2" t="str">
        <f>IFERROR(__xludf.DUMMYFUNCTION("""COMPUTED_VALUE"""),"양파")</f>
        <v>양파</v>
      </c>
    </row>
    <row r="15714">
      <c r="A15714" s="2" t="str">
        <f>IFERROR(__xludf.DUMMYFUNCTION("""COMPUTED_VALUE"""),"갈치 한판승")</f>
        <v>갈치 한판승</v>
      </c>
      <c r="B15714" s="2" t="str">
        <f>IFERROR(__xludf.DUMMYFUNCTION("""COMPUTED_VALUE"""),"마늘")</f>
        <v>마늘</v>
      </c>
    </row>
    <row r="15715">
      <c r="A15715" s="2" t="str">
        <f>IFERROR(__xludf.DUMMYFUNCTION("""COMPUTED_VALUE"""),"갈치 한판승")</f>
        <v>갈치 한판승</v>
      </c>
      <c r="B15715" s="2" t="str">
        <f>IFERROR(__xludf.DUMMYFUNCTION("""COMPUTED_VALUE"""),"대파")</f>
        <v>대파</v>
      </c>
    </row>
    <row r="15716">
      <c r="A15716" s="2" t="str">
        <f>IFERROR(__xludf.DUMMYFUNCTION("""COMPUTED_VALUE"""),"갈치 한판승")</f>
        <v>갈치 한판승</v>
      </c>
      <c r="B15716" s="2" t="str">
        <f>IFERROR(__xludf.DUMMYFUNCTION("""COMPUTED_VALUE"""),"당근")</f>
        <v>당근</v>
      </c>
    </row>
    <row r="15717">
      <c r="A15717" s="2" t="str">
        <f>IFERROR(__xludf.DUMMYFUNCTION("""COMPUTED_VALUE"""),"갈치 한판승")</f>
        <v>갈치 한판승</v>
      </c>
      <c r="B15717" s="2" t="str">
        <f>IFERROR(__xludf.DUMMYFUNCTION("""COMPUTED_VALUE"""),"맛술")</f>
        <v>맛술</v>
      </c>
    </row>
    <row r="15718">
      <c r="A15718" s="2" t="str">
        <f>IFERROR(__xludf.DUMMYFUNCTION("""COMPUTED_VALUE"""),"갈치 한판승")</f>
        <v>갈치 한판승</v>
      </c>
      <c r="B15718" s="2" t="str">
        <f>IFERROR(__xludf.DUMMYFUNCTION("""COMPUTED_VALUE"""),"다진마늘")</f>
        <v>다진마늘</v>
      </c>
    </row>
    <row r="15719">
      <c r="A15719" s="2" t="str">
        <f>IFERROR(__xludf.DUMMYFUNCTION("""COMPUTED_VALUE"""),"갈치 한판승")</f>
        <v>갈치 한판승</v>
      </c>
      <c r="B15719" s="2" t="str">
        <f>IFERROR(__xludf.DUMMYFUNCTION("""COMPUTED_VALUE"""),"소금")</f>
        <v>소금</v>
      </c>
    </row>
    <row r="15720">
      <c r="A15720" s="2" t="str">
        <f>IFERROR(__xludf.DUMMYFUNCTION("""COMPUTED_VALUE"""),"갈치 한판승")</f>
        <v>갈치 한판승</v>
      </c>
      <c r="B15720" s="2" t="str">
        <f>IFERROR(__xludf.DUMMYFUNCTION("""COMPUTED_VALUE"""),"밀가루")</f>
        <v>밀가루</v>
      </c>
    </row>
    <row r="15721">
      <c r="A15721" s="2" t="str">
        <f>IFERROR(__xludf.DUMMYFUNCTION("""COMPUTED_VALUE"""),"갈치 한판승")</f>
        <v>갈치 한판승</v>
      </c>
      <c r="B15721" s="2" t="str">
        <f>IFERROR(__xludf.DUMMYFUNCTION("""COMPUTED_VALUE"""),"올리브오일")</f>
        <v>올리브오일</v>
      </c>
    </row>
    <row r="15722">
      <c r="A15722" s="2" t="str">
        <f>IFERROR(__xludf.DUMMYFUNCTION("""COMPUTED_VALUE"""),"갈치 한판승")</f>
        <v>갈치 한판승</v>
      </c>
      <c r="B15722" s="2" t="str">
        <f>IFERROR(__xludf.DUMMYFUNCTION("""COMPUTED_VALUE"""),"즉석밥")</f>
        <v>즉석밥</v>
      </c>
    </row>
    <row r="15723">
      <c r="A15723" s="2" t="str">
        <f>IFERROR(__xludf.DUMMYFUNCTION("""COMPUTED_VALUE"""),"갈치 한판승")</f>
        <v>갈치 한판승</v>
      </c>
      <c r="B15723" s="2" t="str">
        <f>IFERROR(__xludf.DUMMYFUNCTION("""COMPUTED_VALUE"""),"홍고추")</f>
        <v>홍고추</v>
      </c>
    </row>
    <row r="15724">
      <c r="A15724" s="2" t="str">
        <f>IFERROR(__xludf.DUMMYFUNCTION("""COMPUTED_VALUE"""),"갈치 한판승")</f>
        <v>갈치 한판승</v>
      </c>
      <c r="B15724" s="2" t="str">
        <f>IFERROR(__xludf.DUMMYFUNCTION("""COMPUTED_VALUE"""),"고춧가루")</f>
        <v>고춧가루</v>
      </c>
    </row>
    <row r="15725">
      <c r="A15725" s="2" t="str">
        <f>IFERROR(__xludf.DUMMYFUNCTION("""COMPUTED_VALUE"""),"갈치 한판승")</f>
        <v>갈치 한판승</v>
      </c>
      <c r="B15725" s="2" t="str">
        <f>IFERROR(__xludf.DUMMYFUNCTION("""COMPUTED_VALUE"""),"간장")</f>
        <v>간장</v>
      </c>
    </row>
    <row r="15726">
      <c r="A15726" s="2" t="str">
        <f>IFERROR(__xludf.DUMMYFUNCTION("""COMPUTED_VALUE"""),"뭉쳐야 찐다")</f>
        <v>뭉쳐야 찐다</v>
      </c>
      <c r="B15726" s="2" t="str">
        <f>IFERROR(__xludf.DUMMYFUNCTION("""COMPUTED_VALUE"""),"갈치")</f>
        <v>갈치</v>
      </c>
    </row>
    <row r="15727">
      <c r="A15727" s="2" t="str">
        <f>IFERROR(__xludf.DUMMYFUNCTION("""COMPUTED_VALUE"""),"뭉쳐야 찐다")</f>
        <v>뭉쳐야 찐다</v>
      </c>
      <c r="B15727" s="2" t="str">
        <f>IFERROR(__xludf.DUMMYFUNCTION("""COMPUTED_VALUE"""),"가문어")</f>
        <v>가문어</v>
      </c>
    </row>
    <row r="15728">
      <c r="A15728" s="2" t="str">
        <f>IFERROR(__xludf.DUMMYFUNCTION("""COMPUTED_VALUE"""),"뭉쳐야 찐다")</f>
        <v>뭉쳐야 찐다</v>
      </c>
      <c r="B15728" s="2" t="str">
        <f>IFERROR(__xludf.DUMMYFUNCTION("""COMPUTED_VALUE"""),"애호박")</f>
        <v>애호박</v>
      </c>
    </row>
    <row r="15729">
      <c r="A15729" s="2" t="str">
        <f>IFERROR(__xludf.DUMMYFUNCTION("""COMPUTED_VALUE"""),"뭉쳐야 찐다")</f>
        <v>뭉쳐야 찐다</v>
      </c>
      <c r="B15729" s="2" t="str">
        <f>IFERROR(__xludf.DUMMYFUNCTION("""COMPUTED_VALUE"""),"갈빗살")</f>
        <v>갈빗살</v>
      </c>
    </row>
    <row r="15730">
      <c r="A15730" s="2" t="str">
        <f>IFERROR(__xludf.DUMMYFUNCTION("""COMPUTED_VALUE"""),"뭉쳐야 찐다")</f>
        <v>뭉쳐야 찐다</v>
      </c>
      <c r="B15730" s="2" t="str">
        <f>IFERROR(__xludf.DUMMYFUNCTION("""COMPUTED_VALUE"""),"호박잎")</f>
        <v>호박잎</v>
      </c>
    </row>
    <row r="15731">
      <c r="A15731" s="2" t="str">
        <f>IFERROR(__xludf.DUMMYFUNCTION("""COMPUTED_VALUE"""),"뭉쳐야 찐다")</f>
        <v>뭉쳐야 찐다</v>
      </c>
      <c r="B15731" s="2" t="str">
        <f>IFERROR(__xludf.DUMMYFUNCTION("""COMPUTED_VALUE"""),"완두콩")</f>
        <v>완두콩</v>
      </c>
    </row>
    <row r="15732">
      <c r="A15732" s="2" t="str">
        <f>IFERROR(__xludf.DUMMYFUNCTION("""COMPUTED_VALUE"""),"뭉쳐야 찐다")</f>
        <v>뭉쳐야 찐다</v>
      </c>
      <c r="B15732" s="2" t="str">
        <f>IFERROR(__xludf.DUMMYFUNCTION("""COMPUTED_VALUE"""),"불린 표고버섯")</f>
        <v>불린 표고버섯</v>
      </c>
    </row>
    <row r="15733">
      <c r="A15733" s="2" t="str">
        <f>IFERROR(__xludf.DUMMYFUNCTION("""COMPUTED_VALUE"""),"뭉쳐야 찐다")</f>
        <v>뭉쳐야 찐다</v>
      </c>
      <c r="B15733" s="2" t="str">
        <f>IFERROR(__xludf.DUMMYFUNCTION("""COMPUTED_VALUE"""),"양념더덕황태구이")</f>
        <v>양념더덕황태구이</v>
      </c>
    </row>
    <row r="15734">
      <c r="A15734" s="2" t="str">
        <f>IFERROR(__xludf.DUMMYFUNCTION("""COMPUTED_VALUE"""),"뭉쳐야 찐다")</f>
        <v>뭉쳐야 찐다</v>
      </c>
      <c r="B15734" s="2" t="str">
        <f>IFERROR(__xludf.DUMMYFUNCTION("""COMPUTED_VALUE"""),"칠리소스")</f>
        <v>칠리소스</v>
      </c>
    </row>
    <row r="15735">
      <c r="A15735" s="2" t="str">
        <f>IFERROR(__xludf.DUMMYFUNCTION("""COMPUTED_VALUE"""),"뭉쳐야 찐다")</f>
        <v>뭉쳐야 찐다</v>
      </c>
      <c r="B15735" s="2" t="str">
        <f>IFERROR(__xludf.DUMMYFUNCTION("""COMPUTED_VALUE"""),"매실액")</f>
        <v>매실액</v>
      </c>
    </row>
    <row r="15736">
      <c r="A15736" s="2" t="str">
        <f>IFERROR(__xludf.DUMMYFUNCTION("""COMPUTED_VALUE"""),"뭉쳐야 찐다")</f>
        <v>뭉쳐야 찐다</v>
      </c>
      <c r="B15736" s="2" t="str">
        <f>IFERROR(__xludf.DUMMYFUNCTION("""COMPUTED_VALUE"""),"쪽파")</f>
        <v>쪽파</v>
      </c>
    </row>
    <row r="15737">
      <c r="A15737" s="2" t="str">
        <f>IFERROR(__xludf.DUMMYFUNCTION("""COMPUTED_VALUE"""),"뭉쳐야 찐다")</f>
        <v>뭉쳐야 찐다</v>
      </c>
      <c r="B15737" s="2" t="str">
        <f>IFERROR(__xludf.DUMMYFUNCTION("""COMPUTED_VALUE"""),"쌀")</f>
        <v>쌀</v>
      </c>
    </row>
    <row r="15738">
      <c r="A15738" s="2" t="str">
        <f>IFERROR(__xludf.DUMMYFUNCTION("""COMPUTED_VALUE"""),"뭉쳐야 찐다")</f>
        <v>뭉쳐야 찐다</v>
      </c>
      <c r="B15738" s="2" t="str">
        <f>IFERROR(__xludf.DUMMYFUNCTION("""COMPUTED_VALUE"""),"양파")</f>
        <v>양파</v>
      </c>
    </row>
    <row r="15739">
      <c r="A15739" s="2" t="str">
        <f>IFERROR(__xludf.DUMMYFUNCTION("""COMPUTED_VALUE"""),"뭉쳐야 찐다")</f>
        <v>뭉쳐야 찐다</v>
      </c>
      <c r="B15739" s="2" t="str">
        <f>IFERROR(__xludf.DUMMYFUNCTION("""COMPUTED_VALUE"""),"대파")</f>
        <v>대파</v>
      </c>
    </row>
    <row r="15740">
      <c r="A15740" s="2" t="str">
        <f>IFERROR(__xludf.DUMMYFUNCTION("""COMPUTED_VALUE"""),"뭉쳐야 찐다")</f>
        <v>뭉쳐야 찐다</v>
      </c>
      <c r="B15740" s="2" t="str">
        <f>IFERROR(__xludf.DUMMYFUNCTION("""COMPUTED_VALUE"""),"간장")</f>
        <v>간장</v>
      </c>
    </row>
    <row r="15741">
      <c r="A15741" s="2" t="str">
        <f>IFERROR(__xludf.DUMMYFUNCTION("""COMPUTED_VALUE"""),"뭉쳐야 찐다")</f>
        <v>뭉쳐야 찐다</v>
      </c>
      <c r="B15741" s="2" t="str">
        <f>IFERROR(__xludf.DUMMYFUNCTION("""COMPUTED_VALUE"""),"마늘")</f>
        <v>마늘</v>
      </c>
    </row>
    <row r="15742">
      <c r="A15742" s="2" t="str">
        <f>IFERROR(__xludf.DUMMYFUNCTION("""COMPUTED_VALUE"""),"뭉쳐야 찐다")</f>
        <v>뭉쳐야 찐다</v>
      </c>
      <c r="B15742" s="2" t="str">
        <f>IFERROR(__xludf.DUMMYFUNCTION("""COMPUTED_VALUE"""),"맛술")</f>
        <v>맛술</v>
      </c>
    </row>
    <row r="15743">
      <c r="A15743" s="2" t="str">
        <f>IFERROR(__xludf.DUMMYFUNCTION("""COMPUTED_VALUE"""),"뭉쳐야 찐다")</f>
        <v>뭉쳐야 찐다</v>
      </c>
      <c r="B15743" s="2" t="str">
        <f>IFERROR(__xludf.DUMMYFUNCTION("""COMPUTED_VALUE"""),"참기름")</f>
        <v>참기름</v>
      </c>
    </row>
    <row r="15744">
      <c r="A15744" s="2" t="str">
        <f>IFERROR(__xludf.DUMMYFUNCTION("""COMPUTED_VALUE"""),"뭉쳐야 찐다")</f>
        <v>뭉쳐야 찐다</v>
      </c>
      <c r="B15744" s="2" t="str">
        <f>IFERROR(__xludf.DUMMYFUNCTION("""COMPUTED_VALUE"""),"설탕")</f>
        <v>설탕</v>
      </c>
    </row>
    <row r="15745">
      <c r="A15745" s="2" t="str">
        <f>IFERROR(__xludf.DUMMYFUNCTION("""COMPUTED_VALUE"""),"뭉쳐야 찐다")</f>
        <v>뭉쳐야 찐다</v>
      </c>
      <c r="B15745" s="2" t="str">
        <f>IFERROR(__xludf.DUMMYFUNCTION("""COMPUTED_VALUE"""),"고춧가루")</f>
        <v>고춧가루</v>
      </c>
    </row>
    <row r="15746">
      <c r="A15746" s="2" t="str">
        <f>IFERROR(__xludf.DUMMYFUNCTION("""COMPUTED_VALUE"""),"뭉쳐야 찐다")</f>
        <v>뭉쳐야 찐다</v>
      </c>
      <c r="B15746" s="2" t="str">
        <f>IFERROR(__xludf.DUMMYFUNCTION("""COMPUTED_VALUE"""),"청양고추")</f>
        <v>청양고추</v>
      </c>
    </row>
    <row r="15747">
      <c r="A15747" s="2" t="str">
        <f>IFERROR(__xludf.DUMMYFUNCTION("""COMPUTED_VALUE"""),"뭉쳐야 찐다")</f>
        <v>뭉쳐야 찐다</v>
      </c>
      <c r="B15747" s="2" t="str">
        <f>IFERROR(__xludf.DUMMYFUNCTION("""COMPUTED_VALUE"""),"소금")</f>
        <v>소금</v>
      </c>
    </row>
    <row r="15748">
      <c r="A15748" s="2" t="str">
        <f>IFERROR(__xludf.DUMMYFUNCTION("""COMPUTED_VALUE"""),"갈빗살 베스튜")</f>
        <v>갈빗살 베스튜</v>
      </c>
      <c r="B15748" s="2" t="str">
        <f>IFERROR(__xludf.DUMMYFUNCTION("""COMPUTED_VALUE"""),"갈빗살")</f>
        <v>갈빗살</v>
      </c>
    </row>
    <row r="15749">
      <c r="A15749" s="2" t="str">
        <f>IFERROR(__xludf.DUMMYFUNCTION("""COMPUTED_VALUE"""),"갈빗살 베스튜")</f>
        <v>갈빗살 베스튜</v>
      </c>
      <c r="B15749" s="2" t="str">
        <f>IFERROR(__xludf.DUMMYFUNCTION("""COMPUTED_VALUE"""),"서대")</f>
        <v>서대</v>
      </c>
    </row>
    <row r="15750">
      <c r="A15750" s="2" t="str">
        <f>IFERROR(__xludf.DUMMYFUNCTION("""COMPUTED_VALUE"""),"갈빗살 베스튜")</f>
        <v>갈빗살 베스튜</v>
      </c>
      <c r="B15750" s="2" t="str">
        <f>IFERROR(__xludf.DUMMYFUNCTION("""COMPUTED_VALUE"""),"흰 강낭콩")</f>
        <v>흰 강낭콩</v>
      </c>
    </row>
    <row r="15751">
      <c r="A15751" s="2" t="str">
        <f>IFERROR(__xludf.DUMMYFUNCTION("""COMPUTED_VALUE"""),"갈빗살 베스튜")</f>
        <v>갈빗살 베스튜</v>
      </c>
      <c r="B15751" s="2" t="str">
        <f>IFERROR(__xludf.DUMMYFUNCTION("""COMPUTED_VALUE"""),"완두콩")</f>
        <v>완두콩</v>
      </c>
    </row>
    <row r="15752">
      <c r="A15752" s="2" t="str">
        <f>IFERROR(__xludf.DUMMYFUNCTION("""COMPUTED_VALUE"""),"갈빗살 베스튜")</f>
        <v>갈빗살 베스튜</v>
      </c>
      <c r="B15752" s="2" t="str">
        <f>IFERROR(__xludf.DUMMYFUNCTION("""COMPUTED_VALUE"""),"잣")</f>
        <v>잣</v>
      </c>
    </row>
    <row r="15753">
      <c r="A15753" s="2" t="str">
        <f>IFERROR(__xludf.DUMMYFUNCTION("""COMPUTED_VALUE"""),"갈빗살 베스튜")</f>
        <v>갈빗살 베스튜</v>
      </c>
      <c r="B15753" s="2" t="str">
        <f>IFERROR(__xludf.DUMMYFUNCTION("""COMPUTED_VALUE"""),"깻잎")</f>
        <v>깻잎</v>
      </c>
    </row>
    <row r="15754">
      <c r="A15754" s="2" t="str">
        <f>IFERROR(__xludf.DUMMYFUNCTION("""COMPUTED_VALUE"""),"갈빗살 베스튜")</f>
        <v>갈빗살 베스튜</v>
      </c>
      <c r="B15754" s="2" t="str">
        <f>IFERROR(__xludf.DUMMYFUNCTION("""COMPUTED_VALUE"""),"우유")</f>
        <v>우유</v>
      </c>
    </row>
    <row r="15755">
      <c r="A15755" s="2" t="str">
        <f>IFERROR(__xludf.DUMMYFUNCTION("""COMPUTED_VALUE"""),"갈빗살 베스튜")</f>
        <v>갈빗살 베스튜</v>
      </c>
      <c r="B15755" s="2" t="str">
        <f>IFERROR(__xludf.DUMMYFUNCTION("""COMPUTED_VALUE"""),"칠리소스")</f>
        <v>칠리소스</v>
      </c>
    </row>
    <row r="15756">
      <c r="A15756" s="2" t="str">
        <f>IFERROR(__xludf.DUMMYFUNCTION("""COMPUTED_VALUE"""),"갈빗살 베스튜")</f>
        <v>갈빗살 베스튜</v>
      </c>
      <c r="B15756" s="2" t="str">
        <f>IFERROR(__xludf.DUMMYFUNCTION("""COMPUTED_VALUE"""),"케첩")</f>
        <v>케첩</v>
      </c>
    </row>
    <row r="15757">
      <c r="A15757" s="2" t="str">
        <f>IFERROR(__xludf.DUMMYFUNCTION("""COMPUTED_VALUE"""),"갈빗살 베스튜")</f>
        <v>갈빗살 베스튜</v>
      </c>
      <c r="B15757" s="2" t="str">
        <f>IFERROR(__xludf.DUMMYFUNCTION("""COMPUTED_VALUE"""),"곰탕육수")</f>
        <v>곰탕육수</v>
      </c>
    </row>
    <row r="15758">
      <c r="A15758" s="2" t="str">
        <f>IFERROR(__xludf.DUMMYFUNCTION("""COMPUTED_VALUE"""),"갈빗살 베스튜")</f>
        <v>갈빗살 베스튜</v>
      </c>
      <c r="B15758" s="2" t="str">
        <f>IFERROR(__xludf.DUMMYFUNCTION("""COMPUTED_VALUE"""),"천연조미료")</f>
        <v>천연조미료</v>
      </c>
    </row>
    <row r="15759">
      <c r="A15759" s="2" t="str">
        <f>IFERROR(__xludf.DUMMYFUNCTION("""COMPUTED_VALUE"""),"갈빗살 베스튜")</f>
        <v>갈빗살 베스튜</v>
      </c>
      <c r="B15759" s="2" t="str">
        <f>IFERROR(__xludf.DUMMYFUNCTION("""COMPUTED_VALUE"""),"닭 고명")</f>
        <v>닭 고명</v>
      </c>
    </row>
    <row r="15760">
      <c r="A15760" s="2" t="str">
        <f>IFERROR(__xludf.DUMMYFUNCTION("""COMPUTED_VALUE"""),"갈빗살 베스튜")</f>
        <v>갈빗살 베스튜</v>
      </c>
      <c r="B15760" s="2" t="str">
        <f>IFERROR(__xludf.DUMMYFUNCTION("""COMPUTED_VALUE"""),"인스턴트 재첩국")</f>
        <v>인스턴트 재첩국</v>
      </c>
    </row>
    <row r="15761">
      <c r="A15761" s="2" t="str">
        <f>IFERROR(__xludf.DUMMYFUNCTION("""COMPUTED_VALUE"""),"갈빗살 베스튜")</f>
        <v>갈빗살 베스튜</v>
      </c>
      <c r="B15761" s="2" t="str">
        <f>IFERROR(__xludf.DUMMYFUNCTION("""COMPUTED_VALUE"""),"양배추")</f>
        <v>양배추</v>
      </c>
    </row>
    <row r="15762">
      <c r="A15762" s="2" t="str">
        <f>IFERROR(__xludf.DUMMYFUNCTION("""COMPUTED_VALUE"""),"갈빗살 베스튜")</f>
        <v>갈빗살 베스튜</v>
      </c>
      <c r="B15762" s="2" t="str">
        <f>IFERROR(__xludf.DUMMYFUNCTION("""COMPUTED_VALUE"""),"밀가루")</f>
        <v>밀가루</v>
      </c>
    </row>
    <row r="15763">
      <c r="A15763" s="2" t="str">
        <f>IFERROR(__xludf.DUMMYFUNCTION("""COMPUTED_VALUE"""),"갈빗살 베스튜")</f>
        <v>갈빗살 베스튜</v>
      </c>
      <c r="B15763" s="2" t="str">
        <f>IFERROR(__xludf.DUMMYFUNCTION("""COMPUTED_VALUE"""),"올리브오일")</f>
        <v>올리브오일</v>
      </c>
    </row>
    <row r="15764">
      <c r="A15764" s="2" t="str">
        <f>IFERROR(__xludf.DUMMYFUNCTION("""COMPUTED_VALUE"""),"갈빗살 베스튜")</f>
        <v>갈빗살 베스튜</v>
      </c>
      <c r="B15764" s="2" t="str">
        <f>IFERROR(__xludf.DUMMYFUNCTION("""COMPUTED_VALUE"""),"양파")</f>
        <v>양파</v>
      </c>
    </row>
    <row r="15765">
      <c r="A15765" s="2" t="str">
        <f>IFERROR(__xludf.DUMMYFUNCTION("""COMPUTED_VALUE"""),"갈빗살 베스튜")</f>
        <v>갈빗살 베스튜</v>
      </c>
      <c r="B15765" s="2" t="str">
        <f>IFERROR(__xludf.DUMMYFUNCTION("""COMPUTED_VALUE"""),"당근")</f>
        <v>당근</v>
      </c>
    </row>
    <row r="15766">
      <c r="A15766" s="2" t="str">
        <f>IFERROR(__xludf.DUMMYFUNCTION("""COMPUTED_VALUE"""),"갈빗살 베스튜")</f>
        <v>갈빗살 베스튜</v>
      </c>
      <c r="B15766" s="2" t="str">
        <f>IFERROR(__xludf.DUMMYFUNCTION("""COMPUTED_VALUE"""),"케첩")</f>
        <v>케첩</v>
      </c>
    </row>
    <row r="15767">
      <c r="A15767" s="2" t="str">
        <f>IFERROR(__xludf.DUMMYFUNCTION("""COMPUTED_VALUE"""),"갈빗살 베스튜")</f>
        <v>갈빗살 베스튜</v>
      </c>
      <c r="B15767" s="2" t="str">
        <f>IFERROR(__xludf.DUMMYFUNCTION("""COMPUTED_VALUE"""),"레드와인")</f>
        <v>레드와인</v>
      </c>
    </row>
    <row r="15768">
      <c r="A15768" s="2" t="str">
        <f>IFERROR(__xludf.DUMMYFUNCTION("""COMPUTED_VALUE"""),"갈빗살 베스튜")</f>
        <v>갈빗살 베스튜</v>
      </c>
      <c r="B15768" s="2" t="str">
        <f>IFERROR(__xludf.DUMMYFUNCTION("""COMPUTED_VALUE"""),"고추")</f>
        <v>고추</v>
      </c>
    </row>
    <row r="15769">
      <c r="A15769" s="2" t="str">
        <f>IFERROR(__xludf.DUMMYFUNCTION("""COMPUTED_VALUE"""),"갈빗살 베스튜")</f>
        <v>갈빗살 베스튜</v>
      </c>
      <c r="B15769" s="2" t="str">
        <f>IFERROR(__xludf.DUMMYFUNCTION("""COMPUTED_VALUE"""),"마늘")</f>
        <v>마늘</v>
      </c>
    </row>
    <row r="15770">
      <c r="A15770" s="2" t="str">
        <f>IFERROR(__xludf.DUMMYFUNCTION("""COMPUTED_VALUE"""),"갈빗살 베스튜")</f>
        <v>갈빗살 베스튜</v>
      </c>
      <c r="B15770" s="2" t="str">
        <f>IFERROR(__xludf.DUMMYFUNCTION("""COMPUTED_VALUE"""),"버터")</f>
        <v>버터</v>
      </c>
    </row>
    <row r="15771">
      <c r="A15771" s="2" t="str">
        <f>IFERROR(__xludf.DUMMYFUNCTION("""COMPUTED_VALUE"""),"갈빗살 베스튜")</f>
        <v>갈빗살 베스튜</v>
      </c>
      <c r="B15771" s="2" t="str">
        <f>IFERROR(__xludf.DUMMYFUNCTION("""COMPUTED_VALUE"""),"밀가루")</f>
        <v>밀가루</v>
      </c>
    </row>
    <row r="15772">
      <c r="A15772" s="2" t="str">
        <f>IFERROR(__xludf.DUMMYFUNCTION("""COMPUTED_VALUE"""),"갈빗살 베스튜")</f>
        <v>갈빗살 베스튜</v>
      </c>
      <c r="B15772" s="2" t="str">
        <f>IFERROR(__xludf.DUMMYFUNCTION("""COMPUTED_VALUE"""),"소금")</f>
        <v>소금</v>
      </c>
    </row>
    <row r="15773">
      <c r="A15773" s="2" t="str">
        <f>IFERROR(__xludf.DUMMYFUNCTION("""COMPUTED_VALUE"""),"갈빗살 베스튜")</f>
        <v>갈빗살 베스튜</v>
      </c>
      <c r="B15773" s="2" t="str">
        <f>IFERROR(__xludf.DUMMYFUNCTION("""COMPUTED_VALUE"""),"후추")</f>
        <v>후추</v>
      </c>
    </row>
    <row r="15774">
      <c r="A15774" s="2" t="str">
        <f>IFERROR(__xludf.DUMMYFUNCTION("""COMPUTED_VALUE"""),"갈빗살 베스튜")</f>
        <v>갈빗살 베스튜</v>
      </c>
      <c r="B15774" s="2" t="str">
        <f>IFERROR(__xludf.DUMMYFUNCTION("""COMPUTED_VALUE"""),"홍고추")</f>
        <v>홍고추</v>
      </c>
    </row>
    <row r="15775">
      <c r="A15775" s="2" t="str">
        <f>IFERROR(__xludf.DUMMYFUNCTION("""COMPUTED_VALUE"""),"갈빗살 베스튜")</f>
        <v>갈빗살 베스튜</v>
      </c>
      <c r="B15775" s="2" t="str">
        <f>IFERROR(__xludf.DUMMYFUNCTION("""COMPUTED_VALUE"""),"레몬")</f>
        <v>레몬</v>
      </c>
    </row>
    <row r="15776">
      <c r="A15776" s="2" t="str">
        <f>IFERROR(__xludf.DUMMYFUNCTION("""COMPUTED_VALUE"""),"굴라시로 입맛 잡아!")</f>
        <v>굴라시로 입맛 잡아!</v>
      </c>
      <c r="B15776" s="2" t="str">
        <f>IFERROR(__xludf.DUMMYFUNCTION("""COMPUTED_VALUE"""),"파프리카")</f>
        <v>파프리카</v>
      </c>
    </row>
    <row r="15777">
      <c r="A15777" s="2" t="str">
        <f>IFERROR(__xludf.DUMMYFUNCTION("""COMPUTED_VALUE"""),"굴라시로 입맛 잡아!")</f>
        <v>굴라시로 입맛 잡아!</v>
      </c>
      <c r="B15777" s="2" t="str">
        <f>IFERROR(__xludf.DUMMYFUNCTION("""COMPUTED_VALUE"""),"갈빗살")</f>
        <v>갈빗살</v>
      </c>
    </row>
    <row r="15778">
      <c r="A15778" s="2" t="str">
        <f>IFERROR(__xludf.DUMMYFUNCTION("""COMPUTED_VALUE"""),"굴라시로 입맛 잡아!")</f>
        <v>굴라시로 입맛 잡아!</v>
      </c>
      <c r="B15778" s="2" t="str">
        <f>IFERROR(__xludf.DUMMYFUNCTION("""COMPUTED_VALUE"""),"양배추")</f>
        <v>양배추</v>
      </c>
    </row>
    <row r="15779">
      <c r="A15779" s="2" t="str">
        <f>IFERROR(__xludf.DUMMYFUNCTION("""COMPUTED_VALUE"""),"굴라시로 입맛 잡아!")</f>
        <v>굴라시로 입맛 잡아!</v>
      </c>
      <c r="B15779" s="2" t="str">
        <f>IFERROR(__xludf.DUMMYFUNCTION("""COMPUTED_VALUE"""),"완두콩")</f>
        <v>완두콩</v>
      </c>
    </row>
    <row r="15780">
      <c r="A15780" s="2" t="str">
        <f>IFERROR(__xludf.DUMMYFUNCTION("""COMPUTED_VALUE"""),"굴라시로 입맛 잡아!")</f>
        <v>굴라시로 입맛 잡아!</v>
      </c>
      <c r="B15780" s="2" t="str">
        <f>IFERROR(__xludf.DUMMYFUNCTION("""COMPUTED_VALUE"""),"혼합 강낭콩")</f>
        <v>혼합 강낭콩</v>
      </c>
    </row>
    <row r="15781">
      <c r="A15781" s="2" t="str">
        <f>IFERROR(__xludf.DUMMYFUNCTION("""COMPUTED_VALUE"""),"굴라시로 입맛 잡아!")</f>
        <v>굴라시로 입맛 잡아!</v>
      </c>
      <c r="B15781" s="2" t="str">
        <f>IFERROR(__xludf.DUMMYFUNCTION("""COMPUTED_VALUE"""),"닭 고명")</f>
        <v>닭 고명</v>
      </c>
    </row>
    <row r="15782">
      <c r="A15782" s="2" t="str">
        <f>IFERROR(__xludf.DUMMYFUNCTION("""COMPUTED_VALUE"""),"굴라시로 입맛 잡아!")</f>
        <v>굴라시로 입맛 잡아!</v>
      </c>
      <c r="B15782" s="2" t="str">
        <f>IFERROR(__xludf.DUMMYFUNCTION("""COMPUTED_VALUE"""),"산초가루")</f>
        <v>산초가루</v>
      </c>
    </row>
    <row r="15783">
      <c r="A15783" s="2" t="str">
        <f>IFERROR(__xludf.DUMMYFUNCTION("""COMPUTED_VALUE"""),"굴라시로 입맛 잡아!")</f>
        <v>굴라시로 입맛 잡아!</v>
      </c>
      <c r="B15783" s="2" t="str">
        <f>IFERROR(__xludf.DUMMYFUNCTION("""COMPUTED_VALUE"""),"들깨청")</f>
        <v>들깨청</v>
      </c>
    </row>
    <row r="15784">
      <c r="A15784" s="2" t="str">
        <f>IFERROR(__xludf.DUMMYFUNCTION("""COMPUTED_VALUE"""),"굴라시로 입맛 잡아!")</f>
        <v>굴라시로 입맛 잡아!</v>
      </c>
      <c r="B15784" s="2" t="str">
        <f>IFERROR(__xludf.DUMMYFUNCTION("""COMPUTED_VALUE"""),"애호박")</f>
        <v>애호박</v>
      </c>
    </row>
    <row r="15785">
      <c r="A15785" s="2" t="str">
        <f>IFERROR(__xludf.DUMMYFUNCTION("""COMPUTED_VALUE"""),"굴라시로 입맛 잡아!")</f>
        <v>굴라시로 입맛 잡아!</v>
      </c>
      <c r="B15785" s="2" t="str">
        <f>IFERROR(__xludf.DUMMYFUNCTION("""COMPUTED_VALUE"""),"표고버섯")</f>
        <v>표고버섯</v>
      </c>
    </row>
    <row r="15786">
      <c r="A15786" s="2" t="str">
        <f>IFERROR(__xludf.DUMMYFUNCTION("""COMPUTED_VALUE"""),"굴라시로 입맛 잡아!")</f>
        <v>굴라시로 입맛 잡아!</v>
      </c>
      <c r="B15786" s="2" t="str">
        <f>IFERROR(__xludf.DUMMYFUNCTION("""COMPUTED_VALUE"""),"호박잎")</f>
        <v>호박잎</v>
      </c>
    </row>
    <row r="15787">
      <c r="A15787" s="2" t="str">
        <f>IFERROR(__xludf.DUMMYFUNCTION("""COMPUTED_VALUE"""),"굴라시로 입맛 잡아!")</f>
        <v>굴라시로 입맛 잡아!</v>
      </c>
      <c r="B15787" s="2" t="str">
        <f>IFERROR(__xludf.DUMMYFUNCTION("""COMPUTED_VALUE"""),"양파")</f>
        <v>양파</v>
      </c>
    </row>
    <row r="15788">
      <c r="A15788" s="2" t="str">
        <f>IFERROR(__xludf.DUMMYFUNCTION("""COMPUTED_VALUE"""),"굴라시로 입맛 잡아!")</f>
        <v>굴라시로 입맛 잡아!</v>
      </c>
      <c r="B15788" s="2" t="str">
        <f>IFERROR(__xludf.DUMMYFUNCTION("""COMPUTED_VALUE"""),"밀가루")</f>
        <v>밀가루</v>
      </c>
    </row>
    <row r="15789">
      <c r="A15789" s="2" t="str">
        <f>IFERROR(__xludf.DUMMYFUNCTION("""COMPUTED_VALUE"""),"굴라시로 입맛 잡아!")</f>
        <v>굴라시로 입맛 잡아!</v>
      </c>
      <c r="B15789" s="2" t="str">
        <f>IFERROR(__xludf.DUMMYFUNCTION("""COMPUTED_VALUE"""),"달걀")</f>
        <v>달걀</v>
      </c>
    </row>
    <row r="15790">
      <c r="A15790" s="2" t="str">
        <f>IFERROR(__xludf.DUMMYFUNCTION("""COMPUTED_VALUE"""),"굴라시로 입맛 잡아!")</f>
        <v>굴라시로 입맛 잡아!</v>
      </c>
      <c r="B15790" s="2" t="str">
        <f>IFERROR(__xludf.DUMMYFUNCTION("""COMPUTED_VALUE"""),"소금")</f>
        <v>소금</v>
      </c>
    </row>
    <row r="15791">
      <c r="A15791" s="2" t="str">
        <f>IFERROR(__xludf.DUMMYFUNCTION("""COMPUTED_VALUE"""),"굴라시로 입맛 잡아!")</f>
        <v>굴라시로 입맛 잡아!</v>
      </c>
      <c r="B15791" s="2" t="str">
        <f>IFERROR(__xludf.DUMMYFUNCTION("""COMPUTED_VALUE"""),"다진마늘")</f>
        <v>다진마늘</v>
      </c>
    </row>
    <row r="15792">
      <c r="A15792" s="2" t="str">
        <f>IFERROR(__xludf.DUMMYFUNCTION("""COMPUTED_VALUE"""),"굴라시로 입맛 잡아!")</f>
        <v>굴라시로 입맛 잡아!</v>
      </c>
      <c r="B15792" s="2" t="str">
        <f>IFERROR(__xludf.DUMMYFUNCTION("""COMPUTED_VALUE"""),"고추장")</f>
        <v>고추장</v>
      </c>
    </row>
    <row r="15793">
      <c r="A15793" s="2" t="str">
        <f>IFERROR(__xludf.DUMMYFUNCTION("""COMPUTED_VALUE"""),"굴라시로 입맛 잡아!")</f>
        <v>굴라시로 입맛 잡아!</v>
      </c>
      <c r="B15793" s="2" t="str">
        <f>IFERROR(__xludf.DUMMYFUNCTION("""COMPUTED_VALUE"""),"설탕")</f>
        <v>설탕</v>
      </c>
    </row>
    <row r="15794">
      <c r="A15794" s="2" t="str">
        <f>IFERROR(__xludf.DUMMYFUNCTION("""COMPUTED_VALUE"""),"굴라시로 입맛 잡아!")</f>
        <v>굴라시로 입맛 잡아!</v>
      </c>
      <c r="B15794" s="2" t="str">
        <f>IFERROR(__xludf.DUMMYFUNCTION("""COMPUTED_VALUE"""),"케첩")</f>
        <v>케첩</v>
      </c>
    </row>
    <row r="15795">
      <c r="A15795" s="2" t="str">
        <f>IFERROR(__xludf.DUMMYFUNCTION("""COMPUTED_VALUE"""),"굴라시로 입맛 잡아!")</f>
        <v>굴라시로 입맛 잡아!</v>
      </c>
      <c r="B15795" s="2" t="str">
        <f>IFERROR(__xludf.DUMMYFUNCTION("""COMPUTED_VALUE"""),"후추")</f>
        <v>후추</v>
      </c>
    </row>
    <row r="15796">
      <c r="A15796" s="2" t="str">
        <f>IFERROR(__xludf.DUMMYFUNCTION("""COMPUTED_VALUE"""),"굴라시로 입맛 잡아!")</f>
        <v>굴라시로 입맛 잡아!</v>
      </c>
      <c r="B15796" s="2" t="str">
        <f>IFERROR(__xludf.DUMMYFUNCTION("""COMPUTED_VALUE"""),"올리브오일")</f>
        <v>올리브오일</v>
      </c>
    </row>
    <row r="15797">
      <c r="A15797" s="2" t="str">
        <f>IFERROR(__xludf.DUMMYFUNCTION("""COMPUTED_VALUE"""),"굴라시로 입맛 잡아!")</f>
        <v>굴라시로 입맛 잡아!</v>
      </c>
      <c r="B15797" s="2" t="str">
        <f>IFERROR(__xludf.DUMMYFUNCTION("""COMPUTED_VALUE"""),"레몬")</f>
        <v>레몬</v>
      </c>
    </row>
    <row r="15798">
      <c r="A15798" s="2" t="str">
        <f>IFERROR(__xludf.DUMMYFUNCTION("""COMPUTED_VALUE"""),"페이스트리 요정")</f>
        <v>페이스트리 요정</v>
      </c>
      <c r="B15798" s="2" t="str">
        <f>IFERROR(__xludf.DUMMYFUNCTION("""COMPUTED_VALUE"""),"돼지등심")</f>
        <v>돼지등심</v>
      </c>
    </row>
    <row r="15799">
      <c r="A15799" s="2" t="str">
        <f>IFERROR(__xludf.DUMMYFUNCTION("""COMPUTED_VALUE"""),"페이스트리 요정")</f>
        <v>페이스트리 요정</v>
      </c>
      <c r="B15799" s="2" t="str">
        <f>IFERROR(__xludf.DUMMYFUNCTION("""COMPUTED_VALUE"""),"얼갈이배추")</f>
        <v>얼갈이배추</v>
      </c>
    </row>
    <row r="15800">
      <c r="A15800" s="2" t="str">
        <f>IFERROR(__xludf.DUMMYFUNCTION("""COMPUTED_VALUE"""),"페이스트리 요정")</f>
        <v>페이스트리 요정</v>
      </c>
      <c r="B15800" s="2" t="str">
        <f>IFERROR(__xludf.DUMMYFUNCTION("""COMPUTED_VALUE"""),"블루베리")</f>
        <v>블루베리</v>
      </c>
    </row>
    <row r="15801">
      <c r="A15801" s="2" t="str">
        <f>IFERROR(__xludf.DUMMYFUNCTION("""COMPUTED_VALUE"""),"페이스트리 요정")</f>
        <v>페이스트리 요정</v>
      </c>
      <c r="B15801" s="2" t="str">
        <f>IFERROR(__xludf.DUMMYFUNCTION("""COMPUTED_VALUE"""),"아스파라거스")</f>
        <v>아스파라거스</v>
      </c>
    </row>
    <row r="15802">
      <c r="A15802" s="2" t="str">
        <f>IFERROR(__xludf.DUMMYFUNCTION("""COMPUTED_VALUE"""),"페이스트리 요정")</f>
        <v>페이스트리 요정</v>
      </c>
      <c r="B15802" s="2" t="str">
        <f>IFERROR(__xludf.DUMMYFUNCTION("""COMPUTED_VALUE"""),"그린빈")</f>
        <v>그린빈</v>
      </c>
    </row>
    <row r="15803">
      <c r="A15803" s="2" t="str">
        <f>IFERROR(__xludf.DUMMYFUNCTION("""COMPUTED_VALUE"""),"페이스트리 요정")</f>
        <v>페이스트리 요정</v>
      </c>
      <c r="B15803" s="2" t="str">
        <f>IFERROR(__xludf.DUMMYFUNCTION("""COMPUTED_VALUE"""),"사과")</f>
        <v>사과</v>
      </c>
    </row>
    <row r="15804">
      <c r="A15804" s="2" t="str">
        <f>IFERROR(__xludf.DUMMYFUNCTION("""COMPUTED_VALUE"""),"페이스트리 요정")</f>
        <v>페이스트리 요정</v>
      </c>
      <c r="B15804" s="2" t="str">
        <f>IFERROR(__xludf.DUMMYFUNCTION("""COMPUTED_VALUE"""),"사과잼")</f>
        <v>사과잼</v>
      </c>
    </row>
    <row r="15805">
      <c r="A15805" s="2" t="str">
        <f>IFERROR(__xludf.DUMMYFUNCTION("""COMPUTED_VALUE"""),"페이스트리 요정")</f>
        <v>페이스트리 요정</v>
      </c>
      <c r="B15805" s="2" t="str">
        <f>IFERROR(__xludf.DUMMYFUNCTION("""COMPUTED_VALUE"""),"토마토소스")</f>
        <v>토마토소스</v>
      </c>
    </row>
    <row r="15806">
      <c r="A15806" s="2" t="str">
        <f>IFERROR(__xludf.DUMMYFUNCTION("""COMPUTED_VALUE"""),"페이스트리 요정")</f>
        <v>페이스트리 요정</v>
      </c>
      <c r="B15806" s="2" t="str">
        <f>IFERROR(__xludf.DUMMYFUNCTION("""COMPUTED_VALUE"""),"스리라차소스")</f>
        <v>스리라차소스</v>
      </c>
    </row>
    <row r="15807">
      <c r="A15807" s="2" t="str">
        <f>IFERROR(__xludf.DUMMYFUNCTION("""COMPUTED_VALUE"""),"페이스트리 요정")</f>
        <v>페이스트리 요정</v>
      </c>
      <c r="B15807" s="2" t="str">
        <f>IFERROR(__xludf.DUMMYFUNCTION("""COMPUTED_VALUE"""),"맛간장")</f>
        <v>맛간장</v>
      </c>
    </row>
    <row r="15808">
      <c r="A15808" s="2" t="str">
        <f>IFERROR(__xludf.DUMMYFUNCTION("""COMPUTED_VALUE"""),"페이스트리 요정")</f>
        <v>페이스트리 요정</v>
      </c>
      <c r="B15808" s="2" t="str">
        <f>IFERROR(__xludf.DUMMYFUNCTION("""COMPUTED_VALUE"""),"펜노니")</f>
        <v>펜노니</v>
      </c>
    </row>
    <row r="15809">
      <c r="A15809" s="2" t="str">
        <f>IFERROR(__xludf.DUMMYFUNCTION("""COMPUTED_VALUE"""),"페이스트리 요정")</f>
        <v>페이스트리 요정</v>
      </c>
      <c r="B15809" s="2" t="str">
        <f>IFERROR(__xludf.DUMMYFUNCTION("""COMPUTED_VALUE"""),"시나몬가루")</f>
        <v>시나몬가루</v>
      </c>
    </row>
    <row r="15810">
      <c r="A15810" s="2" t="str">
        <f>IFERROR(__xludf.DUMMYFUNCTION("""COMPUTED_VALUE"""),"페이스트리 요정")</f>
        <v>페이스트리 요정</v>
      </c>
      <c r="B15810" s="2" t="str">
        <f>IFERROR(__xludf.DUMMYFUNCTION("""COMPUTED_VALUE"""),"밀가루")</f>
        <v>밀가루</v>
      </c>
    </row>
    <row r="15811">
      <c r="A15811" s="2" t="str">
        <f>IFERROR(__xludf.DUMMYFUNCTION("""COMPUTED_VALUE"""),"페이스트리 요정")</f>
        <v>페이스트리 요정</v>
      </c>
      <c r="B15811" s="2" t="str">
        <f>IFERROR(__xludf.DUMMYFUNCTION("""COMPUTED_VALUE"""),"달걀")</f>
        <v>달걀</v>
      </c>
    </row>
    <row r="15812">
      <c r="A15812" s="2" t="str">
        <f>IFERROR(__xludf.DUMMYFUNCTION("""COMPUTED_VALUE"""),"페이스트리 요정")</f>
        <v>페이스트리 요정</v>
      </c>
      <c r="B15812" s="2" t="str">
        <f>IFERROR(__xludf.DUMMYFUNCTION("""COMPUTED_VALUE"""),"버터")</f>
        <v>버터</v>
      </c>
    </row>
    <row r="15813">
      <c r="A15813" s="2" t="str">
        <f>IFERROR(__xludf.DUMMYFUNCTION("""COMPUTED_VALUE"""),"페이스트리 요정")</f>
        <v>페이스트리 요정</v>
      </c>
      <c r="B15813" s="2" t="str">
        <f>IFERROR(__xludf.DUMMYFUNCTION("""COMPUTED_VALUE"""),"올리브오일")</f>
        <v>올리브오일</v>
      </c>
    </row>
    <row r="15814">
      <c r="A15814" s="2" t="str">
        <f>IFERROR(__xludf.DUMMYFUNCTION("""COMPUTED_VALUE"""),"페이스트리 요정")</f>
        <v>페이스트리 요정</v>
      </c>
      <c r="B15814" s="2" t="str">
        <f>IFERROR(__xludf.DUMMYFUNCTION("""COMPUTED_VALUE"""),"설탕")</f>
        <v>설탕</v>
      </c>
    </row>
    <row r="15815">
      <c r="A15815" s="2" t="str">
        <f>IFERROR(__xludf.DUMMYFUNCTION("""COMPUTED_VALUE"""),"페이스트리 요정")</f>
        <v>페이스트리 요정</v>
      </c>
      <c r="B15815" s="2" t="str">
        <f>IFERROR(__xludf.DUMMYFUNCTION("""COMPUTED_VALUE"""),"소금")</f>
        <v>소금</v>
      </c>
    </row>
    <row r="15816">
      <c r="A15816" s="2" t="str">
        <f>IFERROR(__xludf.DUMMYFUNCTION("""COMPUTED_VALUE"""),"페이스트리 요정")</f>
        <v>페이스트리 요정</v>
      </c>
      <c r="B15816" s="2" t="str">
        <f>IFERROR(__xludf.DUMMYFUNCTION("""COMPUTED_VALUE"""),"양파")</f>
        <v>양파</v>
      </c>
    </row>
    <row r="15817">
      <c r="A15817" s="2" t="str">
        <f>IFERROR(__xludf.DUMMYFUNCTION("""COMPUTED_VALUE"""),"페이스트리 요정")</f>
        <v>페이스트리 요정</v>
      </c>
      <c r="B15817" s="2" t="str">
        <f>IFERROR(__xludf.DUMMYFUNCTION("""COMPUTED_VALUE"""),"청양고추")</f>
        <v>청양고추</v>
      </c>
    </row>
    <row r="15818">
      <c r="A15818" s="2" t="str">
        <f>IFERROR(__xludf.DUMMYFUNCTION("""COMPUTED_VALUE"""),"페이스트리 요정")</f>
        <v>페이스트리 요정</v>
      </c>
      <c r="B15818" s="2" t="str">
        <f>IFERROR(__xludf.DUMMYFUNCTION("""COMPUTED_VALUE"""),"마늘")</f>
        <v>마늘</v>
      </c>
    </row>
    <row r="15819">
      <c r="A15819" s="2" t="str">
        <f>IFERROR(__xludf.DUMMYFUNCTION("""COMPUTED_VALUE"""),"페이스트리 요정")</f>
        <v>페이스트리 요정</v>
      </c>
      <c r="B15819" s="2" t="str">
        <f>IFERROR(__xludf.DUMMYFUNCTION("""COMPUTED_VALUE"""),"대파")</f>
        <v>대파</v>
      </c>
    </row>
    <row r="15820">
      <c r="A15820" s="2" t="str">
        <f>IFERROR(__xludf.DUMMYFUNCTION("""COMPUTED_VALUE"""),"페이스트리 요정")</f>
        <v>페이스트리 요정</v>
      </c>
      <c r="B15820" s="2" t="str">
        <f>IFERROR(__xludf.DUMMYFUNCTION("""COMPUTED_VALUE"""),"후추")</f>
        <v>후추</v>
      </c>
    </row>
    <row r="15821">
      <c r="A15821" s="2" t="str">
        <f>IFERROR(__xludf.DUMMYFUNCTION("""COMPUTED_VALUE"""),"페이스트리 요정")</f>
        <v>페이스트리 요정</v>
      </c>
      <c r="B15821" s="2" t="str">
        <f>IFERROR(__xludf.DUMMYFUNCTION("""COMPUTED_VALUE"""),"레몬")</f>
        <v>레몬</v>
      </c>
    </row>
    <row r="15822">
      <c r="A15822" s="2" t="str">
        <f>IFERROR(__xludf.DUMMYFUNCTION("""COMPUTED_VALUE"""),"밀가루 신상임당")</f>
        <v>밀가루 신상임당</v>
      </c>
      <c r="B15822" s="2" t="str">
        <f>IFERROR(__xludf.DUMMYFUNCTION("""COMPUTED_VALUE"""),"만두피")</f>
        <v>만두피</v>
      </c>
    </row>
    <row r="15823">
      <c r="A15823" s="2" t="str">
        <f>IFERROR(__xludf.DUMMYFUNCTION("""COMPUTED_VALUE"""),"밀가루 신상임당")</f>
        <v>밀가루 신상임당</v>
      </c>
      <c r="B15823" s="2" t="str">
        <f>IFERROR(__xludf.DUMMYFUNCTION("""COMPUTED_VALUE"""),"명란젓")</f>
        <v>명란젓</v>
      </c>
    </row>
    <row r="15824">
      <c r="A15824" s="2" t="str">
        <f>IFERROR(__xludf.DUMMYFUNCTION("""COMPUTED_VALUE"""),"밀가루 신상임당")</f>
        <v>밀가루 신상임당</v>
      </c>
      <c r="B15824" s="2" t="str">
        <f>IFERROR(__xludf.DUMMYFUNCTION("""COMPUTED_VALUE"""),"완두콩")</f>
        <v>완두콩</v>
      </c>
    </row>
    <row r="15825">
      <c r="A15825" s="2" t="str">
        <f>IFERROR(__xludf.DUMMYFUNCTION("""COMPUTED_VALUE"""),"밀가루 신상임당")</f>
        <v>밀가루 신상임당</v>
      </c>
      <c r="B15825" s="2" t="str">
        <f>IFERROR(__xludf.DUMMYFUNCTION("""COMPUTED_VALUE"""),"아스파라거스")</f>
        <v>아스파라거스</v>
      </c>
    </row>
    <row r="15826">
      <c r="A15826" s="2" t="str">
        <f>IFERROR(__xludf.DUMMYFUNCTION("""COMPUTED_VALUE"""),"밀가루 신상임당")</f>
        <v>밀가루 신상임당</v>
      </c>
      <c r="B15826" s="2" t="str">
        <f>IFERROR(__xludf.DUMMYFUNCTION("""COMPUTED_VALUE"""),"애호박")</f>
        <v>애호박</v>
      </c>
    </row>
    <row r="15827">
      <c r="A15827" s="2" t="str">
        <f>IFERROR(__xludf.DUMMYFUNCTION("""COMPUTED_VALUE"""),"밀가루 신상임당")</f>
        <v>밀가루 신상임당</v>
      </c>
      <c r="B15827" s="2" t="str">
        <f>IFERROR(__xludf.DUMMYFUNCTION("""COMPUTED_VALUE"""),"사과")</f>
        <v>사과</v>
      </c>
    </row>
    <row r="15828">
      <c r="A15828" s="2" t="str">
        <f>IFERROR(__xludf.DUMMYFUNCTION("""COMPUTED_VALUE"""),"밀가루 신상임당")</f>
        <v>밀가루 신상임당</v>
      </c>
      <c r="B15828" s="2" t="str">
        <f>IFERROR(__xludf.DUMMYFUNCTION("""COMPUTED_VALUE"""),"복숭아")</f>
        <v>복숭아</v>
      </c>
    </row>
    <row r="15829">
      <c r="A15829" s="2" t="str">
        <f>IFERROR(__xludf.DUMMYFUNCTION("""COMPUTED_VALUE"""),"밀가루 신상임당")</f>
        <v>밀가루 신상임당</v>
      </c>
      <c r="B15829" s="2" t="str">
        <f>IFERROR(__xludf.DUMMYFUNCTION("""COMPUTED_VALUE"""),"딸기")</f>
        <v>딸기</v>
      </c>
    </row>
    <row r="15830">
      <c r="A15830" s="2" t="str">
        <f>IFERROR(__xludf.DUMMYFUNCTION("""COMPUTED_VALUE"""),"밀가루 신상임당")</f>
        <v>밀가루 신상임당</v>
      </c>
      <c r="B15830" s="2" t="str">
        <f>IFERROR(__xludf.DUMMYFUNCTION("""COMPUTED_VALUE"""),"블루베리")</f>
        <v>블루베리</v>
      </c>
    </row>
    <row r="15831">
      <c r="A15831" s="2" t="str">
        <f>IFERROR(__xludf.DUMMYFUNCTION("""COMPUTED_VALUE"""),"밀가루 신상임당")</f>
        <v>밀가루 신상임당</v>
      </c>
      <c r="B15831" s="2" t="str">
        <f>IFERROR(__xludf.DUMMYFUNCTION("""COMPUTED_VALUE"""),"새우살")</f>
        <v>새우살</v>
      </c>
    </row>
    <row r="15832">
      <c r="A15832" s="2" t="str">
        <f>IFERROR(__xludf.DUMMYFUNCTION("""COMPUTED_VALUE"""),"밀가루 신상임당")</f>
        <v>밀가루 신상임당</v>
      </c>
      <c r="B15832" s="2" t="str">
        <f>IFERROR(__xludf.DUMMYFUNCTION("""COMPUTED_VALUE"""),"집된장")</f>
        <v>집된장</v>
      </c>
    </row>
    <row r="15833">
      <c r="A15833" s="2" t="str">
        <f>IFERROR(__xludf.DUMMYFUNCTION("""COMPUTED_VALUE"""),"밀가루 신상임당")</f>
        <v>밀가루 신상임당</v>
      </c>
      <c r="B15833" s="2" t="str">
        <f>IFERROR(__xludf.DUMMYFUNCTION("""COMPUTED_VALUE"""),"사과잼")</f>
        <v>사과잼</v>
      </c>
    </row>
    <row r="15834">
      <c r="A15834" s="2" t="str">
        <f>IFERROR(__xludf.DUMMYFUNCTION("""COMPUTED_VALUE"""),"밀가루 신상임당")</f>
        <v>밀가루 신상임당</v>
      </c>
      <c r="B15834" s="2" t="str">
        <f>IFERROR(__xludf.DUMMYFUNCTION("""COMPUTED_VALUE"""),"브리치즈")</f>
        <v>브리치즈</v>
      </c>
    </row>
    <row r="15835">
      <c r="A15835" s="2" t="str">
        <f>IFERROR(__xludf.DUMMYFUNCTION("""COMPUTED_VALUE"""),"밀가루 신상임당")</f>
        <v>밀가루 신상임당</v>
      </c>
      <c r="B15835" s="2" t="str">
        <f>IFERROR(__xludf.DUMMYFUNCTION("""COMPUTED_VALUE"""),"생모차렐라치즈")</f>
        <v>생모차렐라치즈</v>
      </c>
    </row>
    <row r="15836">
      <c r="A15836" s="2" t="str">
        <f>IFERROR(__xludf.DUMMYFUNCTION("""COMPUTED_VALUE"""),"밀가루 신상임당")</f>
        <v>밀가루 신상임당</v>
      </c>
      <c r="B15836" s="2" t="str">
        <f>IFERROR(__xludf.DUMMYFUNCTION("""COMPUTED_VALUE"""),"크림소스")</f>
        <v>크림소스</v>
      </c>
    </row>
    <row r="15837">
      <c r="A15837" s="2" t="str">
        <f>IFERROR(__xludf.DUMMYFUNCTION("""COMPUTED_VALUE"""),"밀가루 신상임당")</f>
        <v>밀가루 신상임당</v>
      </c>
      <c r="B15837" s="2" t="str">
        <f>IFERROR(__xludf.DUMMYFUNCTION("""COMPUTED_VALUE"""),"바닐라아이스크림")</f>
        <v>바닐라아이스크림</v>
      </c>
    </row>
    <row r="15838">
      <c r="A15838" s="2" t="str">
        <f>IFERROR(__xludf.DUMMYFUNCTION("""COMPUTED_VALUE"""),"밀가루 신상임당")</f>
        <v>밀가루 신상임당</v>
      </c>
      <c r="B15838" s="2" t="str">
        <f>IFERROR(__xludf.DUMMYFUNCTION("""COMPUTED_VALUE"""),"시나몬가루")</f>
        <v>시나몬가루</v>
      </c>
    </row>
    <row r="15839">
      <c r="A15839" s="2" t="str">
        <f>IFERROR(__xludf.DUMMYFUNCTION("""COMPUTED_VALUE"""),"밀가루 신상임당")</f>
        <v>밀가루 신상임당</v>
      </c>
      <c r="B15839" s="2" t="str">
        <f>IFERROR(__xludf.DUMMYFUNCTION("""COMPUTED_VALUE"""),"초콜릿시럽")</f>
        <v>초콜릿시럽</v>
      </c>
    </row>
    <row r="15840">
      <c r="A15840" s="2" t="str">
        <f>IFERROR(__xludf.DUMMYFUNCTION("""COMPUTED_VALUE"""),"밀가루 신상임당")</f>
        <v>밀가루 신상임당</v>
      </c>
      <c r="B15840" s="2" t="str">
        <f>IFERROR(__xludf.DUMMYFUNCTION("""COMPUTED_VALUE"""),"식빵")</f>
        <v>식빵</v>
      </c>
    </row>
    <row r="15841">
      <c r="A15841" s="2" t="str">
        <f>IFERROR(__xludf.DUMMYFUNCTION("""COMPUTED_VALUE"""),"밀가루 신상임당")</f>
        <v>밀가루 신상임당</v>
      </c>
      <c r="B15841" s="2" t="str">
        <f>IFERROR(__xludf.DUMMYFUNCTION("""COMPUTED_VALUE"""),"메이플설탕")</f>
        <v>메이플설탕</v>
      </c>
    </row>
    <row r="15842">
      <c r="A15842" s="2" t="str">
        <f>IFERROR(__xludf.DUMMYFUNCTION("""COMPUTED_VALUE"""),"밀가루 신상임당")</f>
        <v>밀가루 신상임당</v>
      </c>
      <c r="B15842" s="2" t="str">
        <f>IFERROR(__xludf.DUMMYFUNCTION("""COMPUTED_VALUE"""),"설탕")</f>
        <v>설탕</v>
      </c>
    </row>
    <row r="15843">
      <c r="A15843" s="2" t="str">
        <f>IFERROR(__xludf.DUMMYFUNCTION("""COMPUTED_VALUE"""),"밀가루 신상임당")</f>
        <v>밀가루 신상임당</v>
      </c>
      <c r="B15843" s="2" t="str">
        <f>IFERROR(__xludf.DUMMYFUNCTION("""COMPUTED_VALUE"""),"달걀")</f>
        <v>달걀</v>
      </c>
    </row>
    <row r="15844">
      <c r="A15844" s="2" t="str">
        <f>IFERROR(__xludf.DUMMYFUNCTION("""COMPUTED_VALUE"""),"밀가루 신상임당")</f>
        <v>밀가루 신상임당</v>
      </c>
      <c r="B15844" s="2" t="str">
        <f>IFERROR(__xludf.DUMMYFUNCTION("""COMPUTED_VALUE"""),"소금")</f>
        <v>소금</v>
      </c>
    </row>
    <row r="15845">
      <c r="A15845" s="2" t="str">
        <f>IFERROR(__xludf.DUMMYFUNCTION("""COMPUTED_VALUE"""),"밀가루 신상임당")</f>
        <v>밀가루 신상임당</v>
      </c>
      <c r="B15845" s="2" t="str">
        <f>IFERROR(__xludf.DUMMYFUNCTION("""COMPUTED_VALUE"""),"밀가루")</f>
        <v>밀가루</v>
      </c>
    </row>
    <row r="15846">
      <c r="A15846" s="2" t="str">
        <f>IFERROR(__xludf.DUMMYFUNCTION("""COMPUTED_VALUE"""),"밀가루 신상임당")</f>
        <v>밀가루 신상임당</v>
      </c>
      <c r="B15846" s="2" t="str">
        <f>IFERROR(__xludf.DUMMYFUNCTION("""COMPUTED_VALUE"""),"양파")</f>
        <v>양파</v>
      </c>
    </row>
    <row r="15847">
      <c r="A15847" s="2" t="str">
        <f>IFERROR(__xludf.DUMMYFUNCTION("""COMPUTED_VALUE"""),"밀가루 신상임당")</f>
        <v>밀가루 신상임당</v>
      </c>
      <c r="B15847" s="2" t="str">
        <f>IFERROR(__xludf.DUMMYFUNCTION("""COMPUTED_VALUE"""),"청양고추")</f>
        <v>청양고추</v>
      </c>
    </row>
    <row r="15848">
      <c r="A15848" s="2" t="str">
        <f>IFERROR(__xludf.DUMMYFUNCTION("""COMPUTED_VALUE"""),"밀가루 신상임당")</f>
        <v>밀가루 신상임당</v>
      </c>
      <c r="B15848" s="2" t="str">
        <f>IFERROR(__xludf.DUMMYFUNCTION("""COMPUTED_VALUE"""),"후추")</f>
        <v>후추</v>
      </c>
    </row>
    <row r="15849">
      <c r="A15849" s="2" t="str">
        <f>IFERROR(__xludf.DUMMYFUNCTION("""COMPUTED_VALUE"""),"밀가루 신상임당")</f>
        <v>밀가루 신상임당</v>
      </c>
      <c r="B15849" s="2" t="str">
        <f>IFERROR(__xludf.DUMMYFUNCTION("""COMPUTED_VALUE"""),"올리브오일")</f>
        <v>올리브오일</v>
      </c>
    </row>
    <row r="15850">
      <c r="A15850" s="2" t="str">
        <f>IFERROR(__xludf.DUMMYFUNCTION("""COMPUTED_VALUE"""),"패셔니스튜")</f>
        <v>패셔니스튜</v>
      </c>
      <c r="B15850" s="2" t="str">
        <f>IFERROR(__xludf.DUMMYFUNCTION("""COMPUTED_VALUE"""),"채끝등심")</f>
        <v>채끝등심</v>
      </c>
    </row>
    <row r="15851">
      <c r="A15851" s="2" t="str">
        <f>IFERROR(__xludf.DUMMYFUNCTION("""COMPUTED_VALUE"""),"패셔니스튜")</f>
        <v>패셔니스튜</v>
      </c>
      <c r="B15851" s="2" t="str">
        <f>IFERROR(__xludf.DUMMYFUNCTION("""COMPUTED_VALUE"""),"아스파라거스")</f>
        <v>아스파라거스</v>
      </c>
    </row>
    <row r="15852">
      <c r="A15852" s="2" t="str">
        <f>IFERROR(__xludf.DUMMYFUNCTION("""COMPUTED_VALUE"""),"패셔니스튜")</f>
        <v>패셔니스튜</v>
      </c>
      <c r="B15852" s="2" t="str">
        <f>IFERROR(__xludf.DUMMYFUNCTION("""COMPUTED_VALUE"""),"완두콩")</f>
        <v>완두콩</v>
      </c>
    </row>
    <row r="15853">
      <c r="A15853" s="2" t="str">
        <f>IFERROR(__xludf.DUMMYFUNCTION("""COMPUTED_VALUE"""),"패셔니스튜")</f>
        <v>패셔니스튜</v>
      </c>
      <c r="B15853" s="2" t="str">
        <f>IFERROR(__xludf.DUMMYFUNCTION("""COMPUTED_VALUE"""),"안초비")</f>
        <v>안초비</v>
      </c>
    </row>
    <row r="15854">
      <c r="A15854" s="2" t="str">
        <f>IFERROR(__xludf.DUMMYFUNCTION("""COMPUTED_VALUE"""),"패셔니스튜")</f>
        <v>패셔니스튜</v>
      </c>
      <c r="B15854" s="2" t="str">
        <f>IFERROR(__xludf.DUMMYFUNCTION("""COMPUTED_VALUE"""),"그뤼에르 치즈")</f>
        <v>그뤼에르 치즈</v>
      </c>
    </row>
    <row r="15855">
      <c r="A15855" s="2" t="str">
        <f>IFERROR(__xludf.DUMMYFUNCTION("""COMPUTED_VALUE"""),"패셔니스튜")</f>
        <v>패셔니스튜</v>
      </c>
      <c r="B15855" s="2" t="str">
        <f>IFERROR(__xludf.DUMMYFUNCTION("""COMPUTED_VALUE"""),"플뢰르 드 셀 소금")</f>
        <v>플뢰르 드 셀 소금</v>
      </c>
    </row>
    <row r="15856">
      <c r="A15856" s="2" t="str">
        <f>IFERROR(__xludf.DUMMYFUNCTION("""COMPUTED_VALUE"""),"패셔니스튜")</f>
        <v>패셔니스튜</v>
      </c>
      <c r="B15856" s="2" t="str">
        <f>IFERROR(__xludf.DUMMYFUNCTION("""COMPUTED_VALUE"""),"베이컨")</f>
        <v>베이컨</v>
      </c>
    </row>
    <row r="15857">
      <c r="A15857" s="2" t="str">
        <f>IFERROR(__xludf.DUMMYFUNCTION("""COMPUTED_VALUE"""),"패셔니스튜")</f>
        <v>패셔니스튜</v>
      </c>
      <c r="B15857" s="2" t="str">
        <f>IFERROR(__xludf.DUMMYFUNCTION("""COMPUTED_VALUE"""),"쌀조청")</f>
        <v>쌀조청</v>
      </c>
    </row>
    <row r="15858">
      <c r="A15858" s="2" t="str">
        <f>IFERROR(__xludf.DUMMYFUNCTION("""COMPUTED_VALUE"""),"패셔니스튜")</f>
        <v>패셔니스튜</v>
      </c>
      <c r="B15858" s="2" t="str">
        <f>IFERROR(__xludf.DUMMYFUNCTION("""COMPUTED_VALUE"""),"트러플오일")</f>
        <v>트러플오일</v>
      </c>
    </row>
    <row r="15859">
      <c r="A15859" s="2" t="str">
        <f>IFERROR(__xludf.DUMMYFUNCTION("""COMPUTED_VALUE"""),"패셔니스튜")</f>
        <v>패셔니스튜</v>
      </c>
      <c r="B15859" s="2" t="str">
        <f>IFERROR(__xludf.DUMMYFUNCTION("""COMPUTED_VALUE"""),"홀그레인 머스터드")</f>
        <v>홀그레인 머스터드</v>
      </c>
    </row>
    <row r="15860">
      <c r="A15860" s="2" t="str">
        <f>IFERROR(__xludf.DUMMYFUNCTION("""COMPUTED_VALUE"""),"패셔니스튜")</f>
        <v>패셔니스튜</v>
      </c>
      <c r="B15860" s="2" t="str">
        <f>IFERROR(__xludf.DUMMYFUNCTION("""COMPUTED_VALUE"""),"후추")</f>
        <v>후추</v>
      </c>
    </row>
    <row r="15861">
      <c r="A15861" s="2" t="str">
        <f>IFERROR(__xludf.DUMMYFUNCTION("""COMPUTED_VALUE"""),"패셔니스튜")</f>
        <v>패셔니스튜</v>
      </c>
      <c r="B15861" s="2" t="str">
        <f>IFERROR(__xludf.DUMMYFUNCTION("""COMPUTED_VALUE"""),"양파")</f>
        <v>양파</v>
      </c>
    </row>
    <row r="15862">
      <c r="A15862" s="2" t="str">
        <f>IFERROR(__xludf.DUMMYFUNCTION("""COMPUTED_VALUE"""),"패셔니스튜")</f>
        <v>패셔니스튜</v>
      </c>
      <c r="B15862" s="2" t="str">
        <f>IFERROR(__xludf.DUMMYFUNCTION("""COMPUTED_VALUE"""),"레드와인")</f>
        <v>레드와인</v>
      </c>
    </row>
    <row r="15863">
      <c r="A15863" s="2" t="str">
        <f>IFERROR(__xludf.DUMMYFUNCTION("""COMPUTED_VALUE"""),"패셔니스튜")</f>
        <v>패셔니스튜</v>
      </c>
      <c r="B15863" s="2" t="str">
        <f>IFERROR(__xludf.DUMMYFUNCTION("""COMPUTED_VALUE"""),"올리브오일")</f>
        <v>올리브오일</v>
      </c>
    </row>
    <row r="15864">
      <c r="A15864" s="2" t="str">
        <f>IFERROR(__xludf.DUMMYFUNCTION("""COMPUTED_VALUE"""),"패셔니스튜")</f>
        <v>패셔니스튜</v>
      </c>
      <c r="B15864" s="2" t="str">
        <f>IFERROR(__xludf.DUMMYFUNCTION("""COMPUTED_VALUE"""),"다진마늘")</f>
        <v>다진마늘</v>
      </c>
    </row>
    <row r="15865">
      <c r="A15865" s="2" t="str">
        <f>IFERROR(__xludf.DUMMYFUNCTION("""COMPUTED_VALUE"""),"패셔니스튜")</f>
        <v>패셔니스튜</v>
      </c>
      <c r="B15865" s="2" t="str">
        <f>IFERROR(__xludf.DUMMYFUNCTION("""COMPUTED_VALUE"""),"연겨자")</f>
        <v>연겨자</v>
      </c>
    </row>
    <row r="15866">
      <c r="A15866" s="2" t="str">
        <f>IFERROR(__xludf.DUMMYFUNCTION("""COMPUTED_VALUE"""),"패셔니스튜")</f>
        <v>패셔니스튜</v>
      </c>
      <c r="B15866" s="2" t="str">
        <f>IFERROR(__xludf.DUMMYFUNCTION("""COMPUTED_VALUE"""),"버터")</f>
        <v>버터</v>
      </c>
    </row>
    <row r="15867">
      <c r="A15867" s="2" t="str">
        <f>IFERROR(__xludf.DUMMYFUNCTION("""COMPUTED_VALUE"""),"패셔니스튜")</f>
        <v>패셔니스튜</v>
      </c>
      <c r="B15867" s="2" t="str">
        <f>IFERROR(__xludf.DUMMYFUNCTION("""COMPUTED_VALUE"""),"소금")</f>
        <v>소금</v>
      </c>
    </row>
    <row r="15868">
      <c r="A15868" s="2" t="str">
        <f>IFERROR(__xludf.DUMMYFUNCTION("""COMPUTED_VALUE"""),"패셔니스튜")</f>
        <v>패셔니스튜</v>
      </c>
      <c r="B15868" s="2" t="str">
        <f>IFERROR(__xludf.DUMMYFUNCTION("""COMPUTED_VALUE"""),"설탕")</f>
        <v>설탕</v>
      </c>
    </row>
    <row r="15869">
      <c r="A15869" s="2" t="str">
        <f>IFERROR(__xludf.DUMMYFUNCTION("""COMPUTED_VALUE"""),"패셔니스튜")</f>
        <v>패셔니스튜</v>
      </c>
      <c r="B15869" s="2" t="str">
        <f>IFERROR(__xludf.DUMMYFUNCTION("""COMPUTED_VALUE"""),"당근")</f>
        <v>당근</v>
      </c>
    </row>
    <row r="15870">
      <c r="A15870" s="2" t="str">
        <f>IFERROR(__xludf.DUMMYFUNCTION("""COMPUTED_VALUE"""),"패셔니스튜")</f>
        <v>패셔니스튜</v>
      </c>
      <c r="B15870" s="2" t="str">
        <f>IFERROR(__xludf.DUMMYFUNCTION("""COMPUTED_VALUE"""),"달걀")</f>
        <v>달걀</v>
      </c>
    </row>
    <row r="15871">
      <c r="A15871" s="2" t="str">
        <f>IFERROR(__xludf.DUMMYFUNCTION("""COMPUTED_VALUE"""),"시칠리아 정식~ 오 솔레미오♬")</f>
        <v>시칠리아 정식~ 오 솔레미오♬</v>
      </c>
      <c r="B15871" s="2" t="str">
        <f>IFERROR(__xludf.DUMMYFUNCTION("""COMPUTED_VALUE"""),"가자미살")</f>
        <v>가자미살</v>
      </c>
    </row>
    <row r="15872">
      <c r="A15872" s="2" t="str">
        <f>IFERROR(__xludf.DUMMYFUNCTION("""COMPUTED_VALUE"""),"시칠리아 정식~ 오 솔레미오♬")</f>
        <v>시칠리아 정식~ 오 솔레미오♬</v>
      </c>
      <c r="B15872" s="2" t="str">
        <f>IFERROR(__xludf.DUMMYFUNCTION("""COMPUTED_VALUE"""),"식빵")</f>
        <v>식빵</v>
      </c>
    </row>
    <row r="15873">
      <c r="A15873" s="2" t="str">
        <f>IFERROR(__xludf.DUMMYFUNCTION("""COMPUTED_VALUE"""),"시칠리아 정식~ 오 솔레미오♬")</f>
        <v>시칠리아 정식~ 오 솔레미오♬</v>
      </c>
      <c r="B15873" s="2" t="str">
        <f>IFERROR(__xludf.DUMMYFUNCTION("""COMPUTED_VALUE"""),"생모차렐라치즈")</f>
        <v>생모차렐라치즈</v>
      </c>
    </row>
    <row r="15874">
      <c r="A15874" s="2" t="str">
        <f>IFERROR(__xludf.DUMMYFUNCTION("""COMPUTED_VALUE"""),"시칠리아 정식~ 오 솔레미오♬")</f>
        <v>시칠리아 정식~ 오 솔레미오♬</v>
      </c>
      <c r="B15874" s="2" t="str">
        <f>IFERROR(__xludf.DUMMYFUNCTION("""COMPUTED_VALUE"""),"방울토마토")</f>
        <v>방울토마토</v>
      </c>
    </row>
    <row r="15875">
      <c r="A15875" s="2" t="str">
        <f>IFERROR(__xludf.DUMMYFUNCTION("""COMPUTED_VALUE"""),"시칠리아 정식~ 오 솔레미오♬")</f>
        <v>시칠리아 정식~ 오 솔레미오♬</v>
      </c>
      <c r="B15875" s="2" t="str">
        <f>IFERROR(__xludf.DUMMYFUNCTION("""COMPUTED_VALUE"""),"아스파라거스")</f>
        <v>아스파라거스</v>
      </c>
    </row>
    <row r="15876">
      <c r="A15876" s="2" t="str">
        <f>IFERROR(__xludf.DUMMYFUNCTION("""COMPUTED_VALUE"""),"시칠리아 정식~ 오 솔레미오♬")</f>
        <v>시칠리아 정식~ 오 솔레미오♬</v>
      </c>
      <c r="B15876" s="2" t="str">
        <f>IFERROR(__xludf.DUMMYFUNCTION("""COMPUTED_VALUE"""),"그린빈")</f>
        <v>그린빈</v>
      </c>
    </row>
    <row r="15877">
      <c r="A15877" s="2" t="str">
        <f>IFERROR(__xludf.DUMMYFUNCTION("""COMPUTED_VALUE"""),"시칠리아 정식~ 오 솔레미오♬")</f>
        <v>시칠리아 정식~ 오 솔레미오♬</v>
      </c>
      <c r="B15877" s="2" t="str">
        <f>IFERROR(__xludf.DUMMYFUNCTION("""COMPUTED_VALUE"""),"애호박")</f>
        <v>애호박</v>
      </c>
    </row>
    <row r="15878">
      <c r="A15878" s="2" t="str">
        <f>IFERROR(__xludf.DUMMYFUNCTION("""COMPUTED_VALUE"""),"시칠리아 정식~ 오 솔레미오♬")</f>
        <v>시칠리아 정식~ 오 솔레미오♬</v>
      </c>
      <c r="B15878" s="2" t="str">
        <f>IFERROR(__xludf.DUMMYFUNCTION("""COMPUTED_VALUE"""),"발사믹식초")</f>
        <v>발사믹식초</v>
      </c>
    </row>
    <row r="15879">
      <c r="A15879" s="2" t="str">
        <f>IFERROR(__xludf.DUMMYFUNCTION("""COMPUTED_VALUE"""),"시칠리아 정식~ 오 솔레미오♬")</f>
        <v>시칠리아 정식~ 오 솔레미오♬</v>
      </c>
      <c r="B15879" s="2" t="str">
        <f>IFERROR(__xludf.DUMMYFUNCTION("""COMPUTED_VALUE"""),"리카토니")</f>
        <v>리카토니</v>
      </c>
    </row>
    <row r="15880">
      <c r="A15880" s="2" t="str">
        <f>IFERROR(__xludf.DUMMYFUNCTION("""COMPUTED_VALUE"""),"시칠리아 정식~ 오 솔레미오♬")</f>
        <v>시칠리아 정식~ 오 솔레미오♬</v>
      </c>
      <c r="B15880" s="2" t="str">
        <f>IFERROR(__xludf.DUMMYFUNCTION("""COMPUTED_VALUE"""),"바게트 과자")</f>
        <v>바게트 과자</v>
      </c>
    </row>
    <row r="15881">
      <c r="A15881" s="2" t="str">
        <f>IFERROR(__xludf.DUMMYFUNCTION("""COMPUTED_VALUE"""),"시칠리아 정식~ 오 솔레미오♬")</f>
        <v>시칠리아 정식~ 오 솔레미오♬</v>
      </c>
      <c r="B15881" s="2" t="str">
        <f>IFERROR(__xludf.DUMMYFUNCTION("""COMPUTED_VALUE"""),"바질페스토")</f>
        <v>바질페스토</v>
      </c>
    </row>
    <row r="15882">
      <c r="A15882" s="2" t="str">
        <f>IFERROR(__xludf.DUMMYFUNCTION("""COMPUTED_VALUE"""),"시칠리아 정식~ 오 솔레미오♬")</f>
        <v>시칠리아 정식~ 오 솔레미오♬</v>
      </c>
      <c r="B15882" s="2" t="str">
        <f>IFERROR(__xludf.DUMMYFUNCTION("""COMPUTED_VALUE"""),"열무")</f>
        <v>열무</v>
      </c>
    </row>
    <row r="15883">
      <c r="A15883" s="2" t="str">
        <f>IFERROR(__xludf.DUMMYFUNCTION("""COMPUTED_VALUE"""),"시칠리아 정식~ 오 솔레미오♬")</f>
        <v>시칠리아 정식~ 오 솔레미오♬</v>
      </c>
      <c r="B15883" s="2" t="str">
        <f>IFERROR(__xludf.DUMMYFUNCTION("""COMPUTED_VALUE"""),"토마토소스")</f>
        <v>토마토소스</v>
      </c>
    </row>
    <row r="15884">
      <c r="A15884" s="2" t="str">
        <f>IFERROR(__xludf.DUMMYFUNCTION("""COMPUTED_VALUE"""),"시칠리아 정식~ 오 솔레미오♬")</f>
        <v>시칠리아 정식~ 오 솔레미오♬</v>
      </c>
      <c r="B15884" s="2" t="str">
        <f>IFERROR(__xludf.DUMMYFUNCTION("""COMPUTED_VALUE"""),"안초비")</f>
        <v>안초비</v>
      </c>
    </row>
    <row r="15885">
      <c r="A15885" s="2" t="str">
        <f>IFERROR(__xludf.DUMMYFUNCTION("""COMPUTED_VALUE"""),"시칠리아 정식~ 오 솔레미오♬")</f>
        <v>시칠리아 정식~ 오 솔레미오♬</v>
      </c>
      <c r="B15885" s="2" t="str">
        <f>IFERROR(__xludf.DUMMYFUNCTION("""COMPUTED_VALUE"""),"소금")</f>
        <v>소금</v>
      </c>
    </row>
    <row r="15886">
      <c r="A15886" s="2" t="str">
        <f>IFERROR(__xludf.DUMMYFUNCTION("""COMPUTED_VALUE"""),"시칠리아 정식~ 오 솔레미오♬")</f>
        <v>시칠리아 정식~ 오 솔레미오♬</v>
      </c>
      <c r="B15886" s="2" t="str">
        <f>IFERROR(__xludf.DUMMYFUNCTION("""COMPUTED_VALUE"""),"마늘")</f>
        <v>마늘</v>
      </c>
    </row>
    <row r="15887">
      <c r="A15887" s="2" t="str">
        <f>IFERROR(__xludf.DUMMYFUNCTION("""COMPUTED_VALUE"""),"시칠리아 정식~ 오 솔레미오♬")</f>
        <v>시칠리아 정식~ 오 솔레미오♬</v>
      </c>
      <c r="B15887" s="2" t="str">
        <f>IFERROR(__xludf.DUMMYFUNCTION("""COMPUTED_VALUE"""),"올리브오일")</f>
        <v>올리브오일</v>
      </c>
    </row>
    <row r="15888">
      <c r="A15888" s="2" t="str">
        <f>IFERROR(__xludf.DUMMYFUNCTION("""COMPUTED_VALUE"""),"시칠리아 정식~ 오 솔레미오♬")</f>
        <v>시칠리아 정식~ 오 솔레미오♬</v>
      </c>
      <c r="B15888" s="2" t="str">
        <f>IFERROR(__xludf.DUMMYFUNCTION("""COMPUTED_VALUE"""),"밀가루")</f>
        <v>밀가루</v>
      </c>
    </row>
    <row r="15889">
      <c r="A15889" s="2" t="str">
        <f>IFERROR(__xludf.DUMMYFUNCTION("""COMPUTED_VALUE"""),"시칠리아 정식~ 오 솔레미오♬")</f>
        <v>시칠리아 정식~ 오 솔레미오♬</v>
      </c>
      <c r="B15889" s="2" t="str">
        <f>IFERROR(__xludf.DUMMYFUNCTION("""COMPUTED_VALUE"""),"양파")</f>
        <v>양파</v>
      </c>
    </row>
    <row r="15890">
      <c r="A15890" s="2" t="str">
        <f>IFERROR(__xludf.DUMMYFUNCTION("""COMPUTED_VALUE"""),"시칠리아 정식~ 오 솔레미오♬")</f>
        <v>시칠리아 정식~ 오 솔레미오♬</v>
      </c>
      <c r="B15890" s="2" t="str">
        <f>IFERROR(__xludf.DUMMYFUNCTION("""COMPUTED_VALUE"""),"후추")</f>
        <v>후추</v>
      </c>
    </row>
    <row r="15891">
      <c r="A15891" s="2" t="str">
        <f>IFERROR(__xludf.DUMMYFUNCTION("""COMPUTED_VALUE"""),"시칠리아 정식~ 오 솔레미오♬")</f>
        <v>시칠리아 정식~ 오 솔레미오♬</v>
      </c>
      <c r="B15891" s="2" t="str">
        <f>IFERROR(__xludf.DUMMYFUNCTION("""COMPUTED_VALUE"""),"레몬")</f>
        <v>레몬</v>
      </c>
    </row>
    <row r="15892">
      <c r="A15892" s="2" t="str">
        <f>IFERROR(__xludf.DUMMYFUNCTION("""COMPUTED_VALUE"""),"생생 리소통")</f>
        <v>생생 리소통</v>
      </c>
      <c r="B15892" s="2" t="str">
        <f>IFERROR(__xludf.DUMMYFUNCTION("""COMPUTED_VALUE"""),"누룽지")</f>
        <v>누룽지</v>
      </c>
    </row>
    <row r="15893">
      <c r="A15893" s="2" t="str">
        <f>IFERROR(__xludf.DUMMYFUNCTION("""COMPUTED_VALUE"""),"생생 리소통")</f>
        <v>생생 리소통</v>
      </c>
      <c r="B15893" s="2" t="str">
        <f>IFERROR(__xludf.DUMMYFUNCTION("""COMPUTED_VALUE"""),"생닭")</f>
        <v>생닭</v>
      </c>
    </row>
    <row r="15894">
      <c r="A15894" s="2" t="str">
        <f>IFERROR(__xludf.DUMMYFUNCTION("""COMPUTED_VALUE"""),"생생 리소통")</f>
        <v>생생 리소통</v>
      </c>
      <c r="B15894" s="2" t="str">
        <f>IFERROR(__xludf.DUMMYFUNCTION("""COMPUTED_VALUE"""),"새우")</f>
        <v>새우</v>
      </c>
    </row>
    <row r="15895">
      <c r="A15895" s="2" t="str">
        <f>IFERROR(__xludf.DUMMYFUNCTION("""COMPUTED_VALUE"""),"생생 리소통")</f>
        <v>생생 리소통</v>
      </c>
      <c r="B15895" s="2" t="str">
        <f>IFERROR(__xludf.DUMMYFUNCTION("""COMPUTED_VALUE"""),"토마토퓌레")</f>
        <v>토마토퓌레</v>
      </c>
    </row>
    <row r="15896">
      <c r="A15896" s="2" t="str">
        <f>IFERROR(__xludf.DUMMYFUNCTION("""COMPUTED_VALUE"""),"생생 리소통")</f>
        <v>생생 리소통</v>
      </c>
      <c r="B15896" s="2" t="str">
        <f>IFERROR(__xludf.DUMMYFUNCTION("""COMPUTED_VALUE"""),"구워먹는 치즈")</f>
        <v>구워먹는 치즈</v>
      </c>
    </row>
    <row r="15897">
      <c r="A15897" s="2" t="str">
        <f>IFERROR(__xludf.DUMMYFUNCTION("""COMPUTED_VALUE"""),"생생 리소통")</f>
        <v>생생 리소통</v>
      </c>
      <c r="B15897" s="2" t="str">
        <f>IFERROR(__xludf.DUMMYFUNCTION("""COMPUTED_VALUE"""),"체리")</f>
        <v>체리</v>
      </c>
    </row>
    <row r="15898">
      <c r="A15898" s="2" t="str">
        <f>IFERROR(__xludf.DUMMYFUNCTION("""COMPUTED_VALUE"""),"생생 리소통")</f>
        <v>생생 리소통</v>
      </c>
      <c r="B15898" s="2" t="str">
        <f>IFERROR(__xludf.DUMMYFUNCTION("""COMPUTED_VALUE"""),"오미자효소")</f>
        <v>오미자효소</v>
      </c>
    </row>
    <row r="15899">
      <c r="A15899" s="2" t="str">
        <f>IFERROR(__xludf.DUMMYFUNCTION("""COMPUTED_VALUE"""),"생생 리소통")</f>
        <v>생생 리소통</v>
      </c>
      <c r="B15899" s="2" t="str">
        <f>IFERROR(__xludf.DUMMYFUNCTION("""COMPUTED_VALUE"""),"옥수수")</f>
        <v>옥수수</v>
      </c>
    </row>
    <row r="15900">
      <c r="A15900" s="2" t="str">
        <f>IFERROR(__xludf.DUMMYFUNCTION("""COMPUTED_VALUE"""),"생생 리소통")</f>
        <v>생생 리소통</v>
      </c>
      <c r="B15900" s="2" t="str">
        <f>IFERROR(__xludf.DUMMYFUNCTION("""COMPUTED_VALUE"""),"바질페스토")</f>
        <v>바질페스토</v>
      </c>
    </row>
    <row r="15901">
      <c r="A15901" s="2" t="str">
        <f>IFERROR(__xludf.DUMMYFUNCTION("""COMPUTED_VALUE"""),"생생 리소통")</f>
        <v>생생 리소통</v>
      </c>
      <c r="B15901" s="2" t="str">
        <f>IFERROR(__xludf.DUMMYFUNCTION("""COMPUTED_VALUE"""),"트러플소스")</f>
        <v>트러플소스</v>
      </c>
    </row>
    <row r="15902">
      <c r="A15902" s="2" t="str">
        <f>IFERROR(__xludf.DUMMYFUNCTION("""COMPUTED_VALUE"""),"생생 리소통")</f>
        <v>생생 리소통</v>
      </c>
      <c r="B15902" s="2" t="str">
        <f>IFERROR(__xludf.DUMMYFUNCTION("""COMPUTED_VALUE"""),"초콜릿")</f>
        <v>초콜릿</v>
      </c>
    </row>
    <row r="15903">
      <c r="A15903" s="2" t="str">
        <f>IFERROR(__xludf.DUMMYFUNCTION("""COMPUTED_VALUE"""),"생생 리소통")</f>
        <v>생생 리소통</v>
      </c>
      <c r="B15903" s="2" t="str">
        <f>IFERROR(__xludf.DUMMYFUNCTION("""COMPUTED_VALUE"""),"수제요거트")</f>
        <v>수제요거트</v>
      </c>
    </row>
    <row r="15904">
      <c r="A15904" s="2" t="str">
        <f>IFERROR(__xludf.DUMMYFUNCTION("""COMPUTED_VALUE"""),"생생 리소통")</f>
        <v>생생 리소통</v>
      </c>
      <c r="B15904" s="2" t="str">
        <f>IFERROR(__xludf.DUMMYFUNCTION("""COMPUTED_VALUE"""),"금귤청")</f>
        <v>금귤청</v>
      </c>
    </row>
    <row r="15905">
      <c r="A15905" s="2" t="str">
        <f>IFERROR(__xludf.DUMMYFUNCTION("""COMPUTED_VALUE"""),"생생 리소통")</f>
        <v>생생 리소통</v>
      </c>
      <c r="B15905" s="2" t="str">
        <f>IFERROR(__xludf.DUMMYFUNCTION("""COMPUTED_VALUE"""),"당유자청")</f>
        <v>당유자청</v>
      </c>
    </row>
    <row r="15906">
      <c r="A15906" s="2" t="str">
        <f>IFERROR(__xludf.DUMMYFUNCTION("""COMPUTED_VALUE"""),"생생 리소통")</f>
        <v>생생 리소통</v>
      </c>
      <c r="B15906" s="2" t="str">
        <f>IFERROR(__xludf.DUMMYFUNCTION("""COMPUTED_VALUE"""),"양파")</f>
        <v>양파</v>
      </c>
    </row>
    <row r="15907">
      <c r="A15907" s="2" t="str">
        <f>IFERROR(__xludf.DUMMYFUNCTION("""COMPUTED_VALUE"""),"생생 리소통")</f>
        <v>생생 리소통</v>
      </c>
      <c r="B15907" s="2" t="str">
        <f>IFERROR(__xludf.DUMMYFUNCTION("""COMPUTED_VALUE"""),"대파")</f>
        <v>대파</v>
      </c>
    </row>
    <row r="15908">
      <c r="A15908" s="2" t="str">
        <f>IFERROR(__xludf.DUMMYFUNCTION("""COMPUTED_VALUE"""),"생생 리소통")</f>
        <v>생생 리소통</v>
      </c>
      <c r="B15908" s="2" t="str">
        <f>IFERROR(__xludf.DUMMYFUNCTION("""COMPUTED_VALUE"""),"당근")</f>
        <v>당근</v>
      </c>
    </row>
    <row r="15909">
      <c r="A15909" s="2" t="str">
        <f>IFERROR(__xludf.DUMMYFUNCTION("""COMPUTED_VALUE"""),"생생 리소통")</f>
        <v>생생 리소통</v>
      </c>
      <c r="B15909" s="2" t="str">
        <f>IFERROR(__xludf.DUMMYFUNCTION("""COMPUTED_VALUE"""),"마늘")</f>
        <v>마늘</v>
      </c>
    </row>
    <row r="15910">
      <c r="A15910" s="2" t="str">
        <f>IFERROR(__xludf.DUMMYFUNCTION("""COMPUTED_VALUE"""),"생생 리소통")</f>
        <v>생생 리소통</v>
      </c>
      <c r="B15910" s="2" t="str">
        <f>IFERROR(__xludf.DUMMYFUNCTION("""COMPUTED_VALUE"""),"통후추")</f>
        <v>통후추</v>
      </c>
    </row>
    <row r="15911">
      <c r="A15911" s="2" t="str">
        <f>IFERROR(__xludf.DUMMYFUNCTION("""COMPUTED_VALUE"""),"생생 리소통")</f>
        <v>생생 리소통</v>
      </c>
      <c r="B15911" s="2" t="str">
        <f>IFERROR(__xludf.DUMMYFUNCTION("""COMPUTED_VALUE"""),"맛술")</f>
        <v>맛술</v>
      </c>
    </row>
    <row r="15912">
      <c r="A15912" s="2" t="str">
        <f>IFERROR(__xludf.DUMMYFUNCTION("""COMPUTED_VALUE"""),"생생 리소통")</f>
        <v>생생 리소통</v>
      </c>
      <c r="B15912" s="2" t="str">
        <f>IFERROR(__xludf.DUMMYFUNCTION("""COMPUTED_VALUE"""),"올리브오일")</f>
        <v>올리브오일</v>
      </c>
    </row>
    <row r="15913">
      <c r="A15913" s="2" t="str">
        <f>IFERROR(__xludf.DUMMYFUNCTION("""COMPUTED_VALUE"""),"생생 리소통")</f>
        <v>생생 리소통</v>
      </c>
      <c r="B15913" s="2" t="str">
        <f>IFERROR(__xludf.DUMMYFUNCTION("""COMPUTED_VALUE"""),"청양고추")</f>
        <v>청양고추</v>
      </c>
    </row>
    <row r="15914">
      <c r="A15914" s="2" t="str">
        <f>IFERROR(__xludf.DUMMYFUNCTION("""COMPUTED_VALUE"""),"생생 리소통")</f>
        <v>생생 리소통</v>
      </c>
      <c r="B15914" s="2" t="str">
        <f>IFERROR(__xludf.DUMMYFUNCTION("""COMPUTED_VALUE"""),"설탕")</f>
        <v>설탕</v>
      </c>
    </row>
    <row r="15915">
      <c r="A15915" s="2" t="str">
        <f>IFERROR(__xludf.DUMMYFUNCTION("""COMPUTED_VALUE"""),"생생 리소통")</f>
        <v>생생 리소통</v>
      </c>
      <c r="B15915" s="2" t="str">
        <f>IFERROR(__xludf.DUMMYFUNCTION("""COMPUTED_VALUE"""),"식초")</f>
        <v>식초</v>
      </c>
    </row>
    <row r="15916">
      <c r="A15916" s="2" t="str">
        <f>IFERROR(__xludf.DUMMYFUNCTION("""COMPUTED_VALUE"""),"생생 리소통")</f>
        <v>생생 리소통</v>
      </c>
      <c r="B15916" s="2" t="str">
        <f>IFERROR(__xludf.DUMMYFUNCTION("""COMPUTED_VALUE"""),"소금")</f>
        <v>소금</v>
      </c>
    </row>
    <row r="15917">
      <c r="A15917" s="2" t="str">
        <f>IFERROR(__xludf.DUMMYFUNCTION("""COMPUTED_VALUE"""),"생생 리소통")</f>
        <v>생생 리소통</v>
      </c>
      <c r="B15917" s="2" t="str">
        <f>IFERROR(__xludf.DUMMYFUNCTION("""COMPUTED_VALUE"""),"버터")</f>
        <v>버터</v>
      </c>
    </row>
    <row r="15918">
      <c r="A15918" s="2" t="str">
        <f>IFERROR(__xludf.DUMMYFUNCTION("""COMPUTED_VALUE"""),"니들이 게살수프 맛을 알아?")</f>
        <v>니들이 게살수프 맛을 알아?</v>
      </c>
      <c r="B15918" s="2" t="str">
        <f>IFERROR(__xludf.DUMMYFUNCTION("""COMPUTED_VALUE"""),"누룽지")</f>
        <v>누룽지</v>
      </c>
    </row>
    <row r="15919">
      <c r="A15919" s="2" t="str">
        <f>IFERROR(__xludf.DUMMYFUNCTION("""COMPUTED_VALUE"""),"니들이 게살수프 맛을 알아?")</f>
        <v>니들이 게살수프 맛을 알아?</v>
      </c>
      <c r="B15919" s="2" t="str">
        <f>IFERROR(__xludf.DUMMYFUNCTION("""COMPUTED_VALUE"""),"게맛살")</f>
        <v>게맛살</v>
      </c>
    </row>
    <row r="15920">
      <c r="A15920" s="2" t="str">
        <f>IFERROR(__xludf.DUMMYFUNCTION("""COMPUTED_VALUE"""),"니들이 게살수프 맛을 알아?")</f>
        <v>니들이 게살수프 맛을 알아?</v>
      </c>
      <c r="B15920" s="2" t="str">
        <f>IFERROR(__xludf.DUMMYFUNCTION("""COMPUTED_VALUE"""),"육수팩")</f>
        <v>육수팩</v>
      </c>
    </row>
    <row r="15921">
      <c r="A15921" s="2" t="str">
        <f>IFERROR(__xludf.DUMMYFUNCTION("""COMPUTED_VALUE"""),"니들이 게살수프 맛을 알아?")</f>
        <v>니들이 게살수프 맛을 알아?</v>
      </c>
      <c r="B15921" s="2" t="str">
        <f>IFERROR(__xludf.DUMMYFUNCTION("""COMPUTED_VALUE"""),"황태채")</f>
        <v>황태채</v>
      </c>
    </row>
    <row r="15922">
      <c r="A15922" s="2" t="str">
        <f>IFERROR(__xludf.DUMMYFUNCTION("""COMPUTED_VALUE"""),"니들이 게살수프 맛을 알아?")</f>
        <v>니들이 게살수프 맛을 알아?</v>
      </c>
      <c r="B15922" s="2" t="str">
        <f>IFERROR(__xludf.DUMMYFUNCTION("""COMPUTED_VALUE"""),"바지락")</f>
        <v>바지락</v>
      </c>
    </row>
    <row r="15923">
      <c r="A15923" s="2" t="str">
        <f>IFERROR(__xludf.DUMMYFUNCTION("""COMPUTED_VALUE"""),"니들이 게살수프 맛을 알아?")</f>
        <v>니들이 게살수프 맛을 알아?</v>
      </c>
      <c r="B15923" s="2" t="str">
        <f>IFERROR(__xludf.DUMMYFUNCTION("""COMPUTED_VALUE"""),"낙지")</f>
        <v>낙지</v>
      </c>
    </row>
    <row r="15924">
      <c r="A15924" s="2" t="str">
        <f>IFERROR(__xludf.DUMMYFUNCTION("""COMPUTED_VALUE"""),"니들이 게살수프 맛을 알아?")</f>
        <v>니들이 게살수프 맛을 알아?</v>
      </c>
      <c r="B15924" s="2" t="str">
        <f>IFERROR(__xludf.DUMMYFUNCTION("""COMPUTED_VALUE"""),"새우")</f>
        <v>새우</v>
      </c>
    </row>
    <row r="15925">
      <c r="A15925" s="2" t="str">
        <f>IFERROR(__xludf.DUMMYFUNCTION("""COMPUTED_VALUE"""),"니들이 게살수프 맛을 알아?")</f>
        <v>니들이 게살수프 맛을 알아?</v>
      </c>
      <c r="B15925" s="2" t="str">
        <f>IFERROR(__xludf.DUMMYFUNCTION("""COMPUTED_VALUE"""),"게 간장")</f>
        <v>게 간장</v>
      </c>
    </row>
    <row r="15926">
      <c r="A15926" s="2" t="str">
        <f>IFERROR(__xludf.DUMMYFUNCTION("""COMPUTED_VALUE"""),"니들이 게살수프 맛을 알아?")</f>
        <v>니들이 게살수프 맛을 알아?</v>
      </c>
      <c r="B15926" s="2" t="str">
        <f>IFERROR(__xludf.DUMMYFUNCTION("""COMPUTED_VALUE"""),"떡국떡")</f>
        <v>떡국떡</v>
      </c>
    </row>
    <row r="15927">
      <c r="A15927" s="2" t="str">
        <f>IFERROR(__xludf.DUMMYFUNCTION("""COMPUTED_VALUE"""),"니들이 게살수프 맛을 알아?")</f>
        <v>니들이 게살수프 맛을 알아?</v>
      </c>
      <c r="B15927" s="2" t="str">
        <f>IFERROR(__xludf.DUMMYFUNCTION("""COMPUTED_VALUE"""),"양념돼지갈비")</f>
        <v>양념돼지갈비</v>
      </c>
    </row>
    <row r="15928">
      <c r="A15928" s="2" t="str">
        <f>IFERROR(__xludf.DUMMYFUNCTION("""COMPUTED_VALUE"""),"니들이 게살수프 맛을 알아?")</f>
        <v>니들이 게살수프 맛을 알아?</v>
      </c>
      <c r="B15928" s="2" t="str">
        <f>IFERROR(__xludf.DUMMYFUNCTION("""COMPUTED_VALUE"""),"주꾸미")</f>
        <v>주꾸미</v>
      </c>
    </row>
    <row r="15929">
      <c r="A15929" s="2" t="str">
        <f>IFERROR(__xludf.DUMMYFUNCTION("""COMPUTED_VALUE"""),"니들이 게살수프 맛을 알아?")</f>
        <v>니들이 게살수프 맛을 알아?</v>
      </c>
      <c r="B15929" s="2" t="str">
        <f>IFERROR(__xludf.DUMMYFUNCTION("""COMPUTED_VALUE"""),"두부")</f>
        <v>두부</v>
      </c>
    </row>
    <row r="15930">
      <c r="A15930" s="2" t="str">
        <f>IFERROR(__xludf.DUMMYFUNCTION("""COMPUTED_VALUE"""),"니들이 게살수프 맛을 알아?")</f>
        <v>니들이 게살수프 맛을 알아?</v>
      </c>
      <c r="B15930" s="2" t="str">
        <f>IFERROR(__xludf.DUMMYFUNCTION("""COMPUTED_VALUE"""),"팽이버섯")</f>
        <v>팽이버섯</v>
      </c>
    </row>
    <row r="15931">
      <c r="A15931" s="2" t="str">
        <f>IFERROR(__xludf.DUMMYFUNCTION("""COMPUTED_VALUE"""),"니들이 게살수프 맛을 알아?")</f>
        <v>니들이 게살수프 맛을 알아?</v>
      </c>
      <c r="B15931" s="2" t="str">
        <f>IFERROR(__xludf.DUMMYFUNCTION("""COMPUTED_VALUE"""),"설탕")</f>
        <v>설탕</v>
      </c>
    </row>
    <row r="15932">
      <c r="A15932" s="2" t="str">
        <f>IFERROR(__xludf.DUMMYFUNCTION("""COMPUTED_VALUE"""),"니들이 게살수프 맛을 알아?")</f>
        <v>니들이 게살수프 맛을 알아?</v>
      </c>
      <c r="B15932" s="2" t="str">
        <f>IFERROR(__xludf.DUMMYFUNCTION("""COMPUTED_VALUE"""),"밀가루")</f>
        <v>밀가루</v>
      </c>
    </row>
    <row r="15933">
      <c r="A15933" s="2" t="str">
        <f>IFERROR(__xludf.DUMMYFUNCTION("""COMPUTED_VALUE"""),"니들이 게살수프 맛을 알아?")</f>
        <v>니들이 게살수프 맛을 알아?</v>
      </c>
      <c r="B15933" s="2" t="str">
        <f>IFERROR(__xludf.DUMMYFUNCTION("""COMPUTED_VALUE"""),"튀김가루")</f>
        <v>튀김가루</v>
      </c>
    </row>
    <row r="15934">
      <c r="A15934" s="2" t="str">
        <f>IFERROR(__xludf.DUMMYFUNCTION("""COMPUTED_VALUE"""),"니들이 게살수프 맛을 알아?")</f>
        <v>니들이 게살수프 맛을 알아?</v>
      </c>
      <c r="B15934" s="2" t="str">
        <f>IFERROR(__xludf.DUMMYFUNCTION("""COMPUTED_VALUE"""),"후추")</f>
        <v>후추</v>
      </c>
    </row>
    <row r="15935">
      <c r="A15935" s="2" t="str">
        <f>IFERROR(__xludf.DUMMYFUNCTION("""COMPUTED_VALUE"""),"니들이 게살수프 맛을 알아?")</f>
        <v>니들이 게살수프 맛을 알아?</v>
      </c>
      <c r="B15935" s="2" t="str">
        <f>IFERROR(__xludf.DUMMYFUNCTION("""COMPUTED_VALUE"""),"전분")</f>
        <v>전분</v>
      </c>
    </row>
    <row r="15936">
      <c r="A15936" s="2" t="str">
        <f>IFERROR(__xludf.DUMMYFUNCTION("""COMPUTED_VALUE"""),"니들이 게살수프 맛을 알아?")</f>
        <v>니들이 게살수프 맛을 알아?</v>
      </c>
      <c r="B15936" s="2" t="str">
        <f>IFERROR(__xludf.DUMMYFUNCTION("""COMPUTED_VALUE"""),"달걀")</f>
        <v>달걀</v>
      </c>
    </row>
    <row r="15937">
      <c r="A15937" s="2" t="str">
        <f>IFERROR(__xludf.DUMMYFUNCTION("""COMPUTED_VALUE"""),"니들이 게살수프 맛을 알아?")</f>
        <v>니들이 게살수프 맛을 알아?</v>
      </c>
      <c r="B15937" s="2" t="str">
        <f>IFERROR(__xludf.DUMMYFUNCTION("""COMPUTED_VALUE"""),"참기름")</f>
        <v>참기름</v>
      </c>
    </row>
    <row r="15938">
      <c r="A15938" s="2" t="str">
        <f>IFERROR(__xludf.DUMMYFUNCTION("""COMPUTED_VALUE"""),"고인돌 떡갈비")</f>
        <v>고인돌 떡갈비</v>
      </c>
      <c r="B15938" s="2" t="str">
        <f>IFERROR(__xludf.DUMMYFUNCTION("""COMPUTED_VALUE"""),"돼지목살")</f>
        <v>돼지목살</v>
      </c>
    </row>
    <row r="15939">
      <c r="A15939" s="2" t="str">
        <f>IFERROR(__xludf.DUMMYFUNCTION("""COMPUTED_VALUE"""),"고인돌 떡갈비")</f>
        <v>고인돌 떡갈비</v>
      </c>
      <c r="B15939" s="2" t="str">
        <f>IFERROR(__xludf.DUMMYFUNCTION("""COMPUTED_VALUE"""),"양념돼지갈비")</f>
        <v>양념돼지갈비</v>
      </c>
    </row>
    <row r="15940">
      <c r="A15940" s="2" t="str">
        <f>IFERROR(__xludf.DUMMYFUNCTION("""COMPUTED_VALUE"""),"고인돌 떡갈비")</f>
        <v>고인돌 떡갈비</v>
      </c>
      <c r="B15940" s="2" t="str">
        <f>IFERROR(__xludf.DUMMYFUNCTION("""COMPUTED_VALUE"""),"차돌박이")</f>
        <v>차돌박이</v>
      </c>
    </row>
    <row r="15941">
      <c r="A15941" s="2" t="str">
        <f>IFERROR(__xludf.DUMMYFUNCTION("""COMPUTED_VALUE"""),"고인돌 떡갈비")</f>
        <v>고인돌 떡갈비</v>
      </c>
      <c r="B15941" s="2" t="str">
        <f>IFERROR(__xludf.DUMMYFUNCTION("""COMPUTED_VALUE"""),"구워먹는 치즈")</f>
        <v>구워먹는 치즈</v>
      </c>
    </row>
    <row r="15942">
      <c r="A15942" s="2" t="str">
        <f>IFERROR(__xludf.DUMMYFUNCTION("""COMPUTED_VALUE"""),"고인돌 떡갈비")</f>
        <v>고인돌 떡갈비</v>
      </c>
      <c r="B15942" s="2" t="str">
        <f>IFERROR(__xludf.DUMMYFUNCTION("""COMPUTED_VALUE"""),"수삼")</f>
        <v>수삼</v>
      </c>
    </row>
    <row r="15943">
      <c r="A15943" s="2" t="str">
        <f>IFERROR(__xludf.DUMMYFUNCTION("""COMPUTED_VALUE"""),"고인돌 떡갈비")</f>
        <v>고인돌 떡갈비</v>
      </c>
      <c r="B15943" s="2" t="str">
        <f>IFERROR(__xludf.DUMMYFUNCTION("""COMPUTED_VALUE"""),"맛간장")</f>
        <v>맛간장</v>
      </c>
    </row>
    <row r="15944">
      <c r="A15944" s="2" t="str">
        <f>IFERROR(__xludf.DUMMYFUNCTION("""COMPUTED_VALUE"""),"고인돌 떡갈비")</f>
        <v>고인돌 떡갈비</v>
      </c>
      <c r="B15944" s="2" t="str">
        <f>IFERROR(__xludf.DUMMYFUNCTION("""COMPUTED_VALUE"""),"토마토퓌레")</f>
        <v>토마토퓌레</v>
      </c>
    </row>
    <row r="15945">
      <c r="A15945" s="2" t="str">
        <f>IFERROR(__xludf.DUMMYFUNCTION("""COMPUTED_VALUE"""),"고인돌 떡갈비")</f>
        <v>고인돌 떡갈비</v>
      </c>
      <c r="B15945" s="2" t="str">
        <f>IFERROR(__xludf.DUMMYFUNCTION("""COMPUTED_VALUE"""),"파스타면")</f>
        <v>파스타면</v>
      </c>
    </row>
    <row r="15946">
      <c r="A15946" s="2" t="str">
        <f>IFERROR(__xludf.DUMMYFUNCTION("""COMPUTED_VALUE"""),"고인돌 떡갈비")</f>
        <v>고인돌 떡갈비</v>
      </c>
      <c r="B15946" s="2" t="str">
        <f>IFERROR(__xludf.DUMMYFUNCTION("""COMPUTED_VALUE"""),"육수팩")</f>
        <v>육수팩</v>
      </c>
    </row>
    <row r="15947">
      <c r="A15947" s="2" t="str">
        <f>IFERROR(__xludf.DUMMYFUNCTION("""COMPUTED_VALUE"""),"고인돌 떡갈비")</f>
        <v>고인돌 떡갈비</v>
      </c>
      <c r="B15947" s="2" t="str">
        <f>IFERROR(__xludf.DUMMYFUNCTION("""COMPUTED_VALUE"""),"굴소스")</f>
        <v>굴소스</v>
      </c>
    </row>
    <row r="15948">
      <c r="A15948" s="2" t="str">
        <f>IFERROR(__xludf.DUMMYFUNCTION("""COMPUTED_VALUE"""),"고인돌 떡갈비")</f>
        <v>고인돌 떡갈비</v>
      </c>
      <c r="B15948" s="2" t="str">
        <f>IFERROR(__xludf.DUMMYFUNCTION("""COMPUTED_VALUE"""),"월남쌈 소스")</f>
        <v>월남쌈 소스</v>
      </c>
    </row>
    <row r="15949">
      <c r="A15949" s="2" t="str">
        <f>IFERROR(__xludf.DUMMYFUNCTION("""COMPUTED_VALUE"""),"고인돌 떡갈비")</f>
        <v>고인돌 떡갈비</v>
      </c>
      <c r="B15949" s="2" t="str">
        <f>IFERROR(__xludf.DUMMYFUNCTION("""COMPUTED_VALUE"""),"스테이크소스")</f>
        <v>스테이크소스</v>
      </c>
    </row>
    <row r="15950">
      <c r="A15950" s="2" t="str">
        <f>IFERROR(__xludf.DUMMYFUNCTION("""COMPUTED_VALUE"""),"고인돌 떡갈비")</f>
        <v>고인돌 떡갈비</v>
      </c>
      <c r="B15950" s="2" t="str">
        <f>IFERROR(__xludf.DUMMYFUNCTION("""COMPUTED_VALUE"""),"트러플 소스")</f>
        <v>트러플 소스</v>
      </c>
    </row>
    <row r="15951">
      <c r="A15951" s="2" t="str">
        <f>IFERROR(__xludf.DUMMYFUNCTION("""COMPUTED_VALUE"""),"고인돌 떡갈비")</f>
        <v>고인돌 떡갈비</v>
      </c>
      <c r="B15951" s="2" t="str">
        <f>IFERROR(__xludf.DUMMYFUNCTION("""COMPUTED_VALUE"""),"달걀")</f>
        <v>달걀</v>
      </c>
    </row>
    <row r="15952">
      <c r="A15952" s="2" t="str">
        <f>IFERROR(__xludf.DUMMYFUNCTION("""COMPUTED_VALUE"""),"고인돌 떡갈비")</f>
        <v>고인돌 떡갈비</v>
      </c>
      <c r="B15952" s="2" t="str">
        <f>IFERROR(__xludf.DUMMYFUNCTION("""COMPUTED_VALUE"""),"양파")</f>
        <v>양파</v>
      </c>
    </row>
    <row r="15953">
      <c r="A15953" s="2" t="str">
        <f>IFERROR(__xludf.DUMMYFUNCTION("""COMPUTED_VALUE"""),"고인돌 떡갈비")</f>
        <v>고인돌 떡갈비</v>
      </c>
      <c r="B15953" s="2" t="str">
        <f>IFERROR(__xludf.DUMMYFUNCTION("""COMPUTED_VALUE"""),"설탕")</f>
        <v>설탕</v>
      </c>
    </row>
    <row r="15954">
      <c r="A15954" s="2" t="str">
        <f>IFERROR(__xludf.DUMMYFUNCTION("""COMPUTED_VALUE"""),"고인돌 떡갈비")</f>
        <v>고인돌 떡갈비</v>
      </c>
      <c r="B15954" s="2" t="str">
        <f>IFERROR(__xludf.DUMMYFUNCTION("""COMPUTED_VALUE"""),"전분")</f>
        <v>전분</v>
      </c>
    </row>
    <row r="15955">
      <c r="A15955" s="2" t="str">
        <f>IFERROR(__xludf.DUMMYFUNCTION("""COMPUTED_VALUE"""),"고인돌 떡갈비")</f>
        <v>고인돌 떡갈비</v>
      </c>
      <c r="B15955" s="2" t="str">
        <f>IFERROR(__xludf.DUMMYFUNCTION("""COMPUTED_VALUE"""),"밀가루")</f>
        <v>밀가루</v>
      </c>
    </row>
    <row r="15956">
      <c r="A15956" s="2" t="str">
        <f>IFERROR(__xludf.DUMMYFUNCTION("""COMPUTED_VALUE"""),"고인돌 떡갈비")</f>
        <v>고인돌 떡갈비</v>
      </c>
      <c r="B15956" s="2" t="str">
        <f>IFERROR(__xludf.DUMMYFUNCTION("""COMPUTED_VALUE"""),"마늘")</f>
        <v>마늘</v>
      </c>
    </row>
    <row r="15957">
      <c r="A15957" s="2" t="str">
        <f>IFERROR(__xludf.DUMMYFUNCTION("""COMPUTED_VALUE"""),"고인돌 떡갈비")</f>
        <v>고인돌 떡갈비</v>
      </c>
      <c r="B15957" s="2" t="str">
        <f>IFERROR(__xludf.DUMMYFUNCTION("""COMPUTED_VALUE"""),"버터")</f>
        <v>버터</v>
      </c>
    </row>
    <row r="15958">
      <c r="A15958" s="2" t="str">
        <f>IFERROR(__xludf.DUMMYFUNCTION("""COMPUTED_VALUE"""),"금 나와라 와라~ 금탕♬")</f>
        <v>금 나와라 와라~ 금탕♬</v>
      </c>
      <c r="B15958" s="2" t="str">
        <f>IFERROR(__xludf.DUMMYFUNCTION("""COMPUTED_VALUE"""),"차돌박이")</f>
        <v>차돌박이</v>
      </c>
    </row>
    <row r="15959">
      <c r="A15959" s="2" t="str">
        <f>IFERROR(__xludf.DUMMYFUNCTION("""COMPUTED_VALUE"""),"금 나와라 와라~ 금탕♬")</f>
        <v>금 나와라 와라~ 금탕♬</v>
      </c>
      <c r="B15959" s="2" t="str">
        <f>IFERROR(__xludf.DUMMYFUNCTION("""COMPUTED_VALUE"""),"돼지목살")</f>
        <v>돼지목살</v>
      </c>
    </row>
    <row r="15960">
      <c r="A15960" s="2" t="str">
        <f>IFERROR(__xludf.DUMMYFUNCTION("""COMPUTED_VALUE"""),"금 나와라 와라~ 금탕♬")</f>
        <v>금 나와라 와라~ 금탕♬</v>
      </c>
      <c r="B15960" s="2" t="str">
        <f>IFERROR(__xludf.DUMMYFUNCTION("""COMPUTED_VALUE"""),"팽이버섯")</f>
        <v>팽이버섯</v>
      </c>
    </row>
    <row r="15961">
      <c r="A15961" s="2" t="str">
        <f>IFERROR(__xludf.DUMMYFUNCTION("""COMPUTED_VALUE"""),"금 나와라 와라~ 금탕♬")</f>
        <v>금 나와라 와라~ 금탕♬</v>
      </c>
      <c r="B15961" s="2" t="str">
        <f>IFERROR(__xludf.DUMMYFUNCTION("""COMPUTED_VALUE"""),"육수팩")</f>
        <v>육수팩</v>
      </c>
    </row>
    <row r="15962">
      <c r="A15962" s="2" t="str">
        <f>IFERROR(__xludf.DUMMYFUNCTION("""COMPUTED_VALUE"""),"금 나와라 와라~ 금탕♬")</f>
        <v>금 나와라 와라~ 금탕♬</v>
      </c>
      <c r="B15962" s="2" t="str">
        <f>IFERROR(__xludf.DUMMYFUNCTION("""COMPUTED_VALUE"""),"황태채")</f>
        <v>황태채</v>
      </c>
    </row>
    <row r="15963">
      <c r="A15963" s="2" t="str">
        <f>IFERROR(__xludf.DUMMYFUNCTION("""COMPUTED_VALUE"""),"금 나와라 와라~ 금탕♬")</f>
        <v>금 나와라 와라~ 금탕♬</v>
      </c>
      <c r="B15963" s="2" t="str">
        <f>IFERROR(__xludf.DUMMYFUNCTION("""COMPUTED_VALUE"""),"카레가루")</f>
        <v>카레가루</v>
      </c>
    </row>
    <row r="15964">
      <c r="A15964" s="2" t="str">
        <f>IFERROR(__xludf.DUMMYFUNCTION("""COMPUTED_VALUE"""),"금 나와라 와라~ 금탕♬")</f>
        <v>금 나와라 와라~ 금탕♬</v>
      </c>
      <c r="B15964" s="2" t="str">
        <f>IFERROR(__xludf.DUMMYFUNCTION("""COMPUTED_VALUE"""),"복숭아")</f>
        <v>복숭아</v>
      </c>
    </row>
    <row r="15965">
      <c r="A15965" s="2" t="str">
        <f>IFERROR(__xludf.DUMMYFUNCTION("""COMPUTED_VALUE"""),"금 나와라 와라~ 금탕♬")</f>
        <v>금 나와라 와라~ 금탕♬</v>
      </c>
      <c r="B15965" s="2" t="str">
        <f>IFERROR(__xludf.DUMMYFUNCTION("""COMPUTED_VALUE"""),"수박")</f>
        <v>수박</v>
      </c>
    </row>
    <row r="15966">
      <c r="A15966" s="2" t="str">
        <f>IFERROR(__xludf.DUMMYFUNCTION("""COMPUTED_VALUE"""),"금 나와라 와라~ 금탕♬")</f>
        <v>금 나와라 와라~ 금탕♬</v>
      </c>
      <c r="B15966" s="2" t="str">
        <f>IFERROR(__xludf.DUMMYFUNCTION("""COMPUTED_VALUE"""),"청귤청")</f>
        <v>청귤청</v>
      </c>
    </row>
    <row r="15967">
      <c r="A15967" s="2" t="str">
        <f>IFERROR(__xludf.DUMMYFUNCTION("""COMPUTED_VALUE"""),"금 나와라 와라~ 금탕♬")</f>
        <v>금 나와라 와라~ 금탕♬</v>
      </c>
      <c r="B15967" s="2" t="str">
        <f>IFERROR(__xludf.DUMMYFUNCTION("""COMPUTED_VALUE"""),"소금")</f>
        <v>소금</v>
      </c>
    </row>
    <row r="15968">
      <c r="A15968" s="2" t="str">
        <f>IFERROR(__xludf.DUMMYFUNCTION("""COMPUTED_VALUE"""),"금 나와라 와라~ 금탕♬")</f>
        <v>금 나와라 와라~ 금탕♬</v>
      </c>
      <c r="B15968" s="2" t="str">
        <f>IFERROR(__xludf.DUMMYFUNCTION("""COMPUTED_VALUE"""),"전분")</f>
        <v>전분</v>
      </c>
    </row>
    <row r="15969">
      <c r="A15969" s="2" t="str">
        <f>IFERROR(__xludf.DUMMYFUNCTION("""COMPUTED_VALUE"""),"금 나와라 와라~ 금탕♬")</f>
        <v>금 나와라 와라~ 금탕♬</v>
      </c>
      <c r="B15969" s="2" t="str">
        <f>IFERROR(__xludf.DUMMYFUNCTION("""COMPUTED_VALUE"""),"다진마늘")</f>
        <v>다진마늘</v>
      </c>
    </row>
    <row r="15970">
      <c r="A15970" s="2" t="str">
        <f>IFERROR(__xludf.DUMMYFUNCTION("""COMPUTED_VALUE"""),"금 나와라 와라~ 금탕♬")</f>
        <v>금 나와라 와라~ 금탕♬</v>
      </c>
      <c r="B15970" s="2" t="str">
        <f>IFERROR(__xludf.DUMMYFUNCTION("""COMPUTED_VALUE"""),"청양고추")</f>
        <v>청양고추</v>
      </c>
    </row>
    <row r="15971">
      <c r="A15971" s="2" t="str">
        <f>IFERROR(__xludf.DUMMYFUNCTION("""COMPUTED_VALUE"""),"금 나와라 와라~ 금탕♬")</f>
        <v>금 나와라 와라~ 금탕♬</v>
      </c>
      <c r="B15971" s="2" t="str">
        <f>IFERROR(__xludf.DUMMYFUNCTION("""COMPUTED_VALUE"""),"참기름")</f>
        <v>참기름</v>
      </c>
    </row>
    <row r="15972">
      <c r="A15972" s="2" t="str">
        <f>IFERROR(__xludf.DUMMYFUNCTION("""COMPUTED_VALUE"""),"금 나와라 와라~ 금탕♬")</f>
        <v>금 나와라 와라~ 금탕♬</v>
      </c>
      <c r="B15972" s="2" t="str">
        <f>IFERROR(__xludf.DUMMYFUNCTION("""COMPUTED_VALUE"""),"다진생강")</f>
        <v>다진생강</v>
      </c>
    </row>
    <row r="15973">
      <c r="A15973" s="2" t="str">
        <f>IFERROR(__xludf.DUMMYFUNCTION("""COMPUTED_VALUE"""),"금 나와라 와라~ 금탕♬")</f>
        <v>금 나와라 와라~ 금탕♬</v>
      </c>
      <c r="B15973" s="2" t="str">
        <f>IFERROR(__xludf.DUMMYFUNCTION("""COMPUTED_VALUE"""),"대파")</f>
        <v>대파</v>
      </c>
    </row>
    <row r="15974">
      <c r="A15974" s="2" t="str">
        <f>IFERROR(__xludf.DUMMYFUNCTION("""COMPUTED_VALUE"""),"금 나와라 와라~ 금탕♬")</f>
        <v>금 나와라 와라~ 금탕♬</v>
      </c>
      <c r="B15974" s="2" t="str">
        <f>IFERROR(__xludf.DUMMYFUNCTION("""COMPUTED_VALUE"""),"된장")</f>
        <v>된장</v>
      </c>
    </row>
    <row r="15975">
      <c r="A15975" s="2" t="str">
        <f>IFERROR(__xludf.DUMMYFUNCTION("""COMPUTED_VALUE"""),"금 나와라 와라~ 금탕♬")</f>
        <v>금 나와라 와라~ 금탕♬</v>
      </c>
      <c r="B15975" s="2" t="str">
        <f>IFERROR(__xludf.DUMMYFUNCTION("""COMPUTED_VALUE"""),"식초")</f>
        <v>식초</v>
      </c>
    </row>
    <row r="15976">
      <c r="A15976" s="2" t="str">
        <f>IFERROR(__xludf.DUMMYFUNCTION("""COMPUTED_VALUE"""),"금 나와라 와라~ 금탕♬")</f>
        <v>금 나와라 와라~ 금탕♬</v>
      </c>
      <c r="B15976" s="2" t="str">
        <f>IFERROR(__xludf.DUMMYFUNCTION("""COMPUTED_VALUE"""),"맛술")</f>
        <v>맛술</v>
      </c>
    </row>
    <row r="15977">
      <c r="A15977" s="2" t="str">
        <f>IFERROR(__xludf.DUMMYFUNCTION("""COMPUTED_VALUE"""),"금 나와라 와라~ 금탕♬")</f>
        <v>금 나와라 와라~ 금탕♬</v>
      </c>
      <c r="B15977" s="2" t="str">
        <f>IFERROR(__xludf.DUMMYFUNCTION("""COMPUTED_VALUE"""),"설탕")</f>
        <v>설탕</v>
      </c>
    </row>
    <row r="15978">
      <c r="A15978" s="2" t="str">
        <f>IFERROR(__xludf.DUMMYFUNCTION("""COMPUTED_VALUE"""),"기절토풍")</f>
        <v>기절토풍</v>
      </c>
      <c r="B15978" s="2" t="str">
        <f>IFERROR(__xludf.DUMMYFUNCTION("""COMPUTED_VALUE"""),": 토마토")</f>
        <v>: 토마토</v>
      </c>
    </row>
    <row r="15979">
      <c r="A15979" s="2" t="str">
        <f>IFERROR(__xludf.DUMMYFUNCTION("""COMPUTED_VALUE"""),"기절토풍")</f>
        <v>기절토풍</v>
      </c>
      <c r="B15979" s="2" t="str">
        <f>IFERROR(__xludf.DUMMYFUNCTION("""COMPUTED_VALUE"""),"동두부")</f>
        <v>동두부</v>
      </c>
    </row>
    <row r="15980">
      <c r="A15980" s="2" t="str">
        <f>IFERROR(__xludf.DUMMYFUNCTION("""COMPUTED_VALUE"""),"기절토풍")</f>
        <v>기절토풍</v>
      </c>
      <c r="B15980" s="2" t="str">
        <f>IFERROR(__xludf.DUMMYFUNCTION("""COMPUTED_VALUE"""),"전복")</f>
        <v>전복</v>
      </c>
    </row>
    <row r="15981">
      <c r="A15981" s="2" t="str">
        <f>IFERROR(__xludf.DUMMYFUNCTION("""COMPUTED_VALUE"""),"기절토풍")</f>
        <v>기절토풍</v>
      </c>
      <c r="B15981" s="2" t="str">
        <f>IFERROR(__xludf.DUMMYFUNCTION("""COMPUTED_VALUE"""),"깻잎")</f>
        <v>깻잎</v>
      </c>
    </row>
    <row r="15982">
      <c r="A15982" s="2" t="str">
        <f>IFERROR(__xludf.DUMMYFUNCTION("""COMPUTED_VALUE"""),"기절토풍")</f>
        <v>기절토풍</v>
      </c>
      <c r="B15982" s="2" t="str">
        <f>IFERROR(__xludf.DUMMYFUNCTION("""COMPUTED_VALUE"""),"오징어")</f>
        <v>오징어</v>
      </c>
    </row>
    <row r="15983">
      <c r="A15983" s="2" t="str">
        <f>IFERROR(__xludf.DUMMYFUNCTION("""COMPUTED_VALUE"""),"기절토풍")</f>
        <v>기절토풍</v>
      </c>
      <c r="B15983" s="2" t="str">
        <f>IFERROR(__xludf.DUMMYFUNCTION("""COMPUTED_VALUE"""),"팽이버섯")</f>
        <v>팽이버섯</v>
      </c>
    </row>
    <row r="15984">
      <c r="A15984" s="2" t="str">
        <f>IFERROR(__xludf.DUMMYFUNCTION("""COMPUTED_VALUE"""),"기절토풍")</f>
        <v>기절토풍</v>
      </c>
      <c r="B15984" s="2" t="str">
        <f>IFERROR(__xludf.DUMMYFUNCTION("""COMPUTED_VALUE"""),"느타리버섯")</f>
        <v>느타리버섯</v>
      </c>
    </row>
    <row r="15985">
      <c r="A15985" s="2" t="str">
        <f>IFERROR(__xludf.DUMMYFUNCTION("""COMPUTED_VALUE"""),"기절토풍")</f>
        <v>기절토풍</v>
      </c>
      <c r="B15985" s="2" t="str">
        <f>IFERROR(__xludf.DUMMYFUNCTION("""COMPUTED_VALUE"""),"새우젓")</f>
        <v>새우젓</v>
      </c>
    </row>
    <row r="15986">
      <c r="A15986" s="2" t="str">
        <f>IFERROR(__xludf.DUMMYFUNCTION("""COMPUTED_VALUE"""),"기절토풍")</f>
        <v>기절토풍</v>
      </c>
      <c r="B15986" s="2" t="str">
        <f>IFERROR(__xludf.DUMMYFUNCTION("""COMPUTED_VALUE"""),"액상조미료")</f>
        <v>액상조미료</v>
      </c>
    </row>
    <row r="15987">
      <c r="A15987" s="2" t="str">
        <f>IFERROR(__xludf.DUMMYFUNCTION("""COMPUTED_VALUE"""),"기절토풍")</f>
        <v>기절토풍</v>
      </c>
      <c r="B15987" s="2" t="str">
        <f>IFERROR(__xludf.DUMMYFUNCTION("""COMPUTED_VALUE"""),"옥수수")</f>
        <v>옥수수</v>
      </c>
    </row>
    <row r="15988">
      <c r="A15988" s="2" t="str">
        <f>IFERROR(__xludf.DUMMYFUNCTION("""COMPUTED_VALUE"""),"기절토풍")</f>
        <v>기절토풍</v>
      </c>
      <c r="B15988" s="2" t="str">
        <f>IFERROR(__xludf.DUMMYFUNCTION("""COMPUTED_VALUE"""),"청양고추")</f>
        <v>청양고추</v>
      </c>
    </row>
    <row r="15989">
      <c r="A15989" s="2" t="str">
        <f>IFERROR(__xludf.DUMMYFUNCTION("""COMPUTED_VALUE"""),"기절토풍")</f>
        <v>기절토풍</v>
      </c>
      <c r="B15989" s="2" t="str">
        <f>IFERROR(__xludf.DUMMYFUNCTION("""COMPUTED_VALUE"""),"마늘")</f>
        <v>마늘</v>
      </c>
    </row>
    <row r="15990">
      <c r="A15990" s="2" t="str">
        <f>IFERROR(__xludf.DUMMYFUNCTION("""COMPUTED_VALUE"""),"기절토풍")</f>
        <v>기절토풍</v>
      </c>
      <c r="B15990" s="2" t="str">
        <f>IFERROR(__xludf.DUMMYFUNCTION("""COMPUTED_VALUE"""),"양파")</f>
        <v>양파</v>
      </c>
    </row>
    <row r="15991">
      <c r="A15991" s="2" t="str">
        <f>IFERROR(__xludf.DUMMYFUNCTION("""COMPUTED_VALUE"""),"기절토풍")</f>
        <v>기절토풍</v>
      </c>
      <c r="B15991" s="2" t="str">
        <f>IFERROR(__xludf.DUMMYFUNCTION("""COMPUTED_VALUE"""),"대파")</f>
        <v>대파</v>
      </c>
    </row>
    <row r="15992">
      <c r="A15992" s="2" t="str">
        <f>IFERROR(__xludf.DUMMYFUNCTION("""COMPUTED_VALUE"""),"기절토풍")</f>
        <v>기절토풍</v>
      </c>
      <c r="B15992" s="2" t="str">
        <f>IFERROR(__xludf.DUMMYFUNCTION("""COMPUTED_VALUE"""),"밀가루")</f>
        <v>밀가루</v>
      </c>
    </row>
    <row r="15993">
      <c r="A15993" s="2" t="str">
        <f>IFERROR(__xludf.DUMMYFUNCTION("""COMPUTED_VALUE"""),"기절토풍")</f>
        <v>기절토풍</v>
      </c>
      <c r="B15993" s="2" t="str">
        <f>IFERROR(__xludf.DUMMYFUNCTION("""COMPUTED_VALUE"""),"전분")</f>
        <v>전분</v>
      </c>
    </row>
    <row r="15994">
      <c r="A15994" s="2" t="str">
        <f>IFERROR(__xludf.DUMMYFUNCTION("""COMPUTED_VALUE"""),"기절토풍")</f>
        <v>기절토풍</v>
      </c>
      <c r="B15994" s="2" t="str">
        <f>IFERROR(__xludf.DUMMYFUNCTION("""COMPUTED_VALUE"""),"식용유")</f>
        <v>식용유</v>
      </c>
    </row>
    <row r="15995">
      <c r="A15995" s="2" t="str">
        <f>IFERROR(__xludf.DUMMYFUNCTION("""COMPUTED_VALUE"""),"기절토풍")</f>
        <v>기절토풍</v>
      </c>
      <c r="B15995" s="2" t="str">
        <f>IFERROR(__xludf.DUMMYFUNCTION("""COMPUTED_VALUE"""),"고춧가루")</f>
        <v>고춧가루</v>
      </c>
    </row>
    <row r="15996">
      <c r="A15996" s="2" t="str">
        <f>IFERROR(__xludf.DUMMYFUNCTION("""COMPUTED_VALUE"""),"봉주르 부야베스")</f>
        <v>봉주르 부야베스</v>
      </c>
      <c r="B15996" s="2" t="str">
        <f>IFERROR(__xludf.DUMMYFUNCTION("""COMPUTED_VALUE"""),"토마토")</f>
        <v>토마토</v>
      </c>
    </row>
    <row r="15997">
      <c r="A15997" s="2" t="str">
        <f>IFERROR(__xludf.DUMMYFUNCTION("""COMPUTED_VALUE"""),"봉주르 부야베스")</f>
        <v>봉주르 부야베스</v>
      </c>
      <c r="B15997" s="2" t="str">
        <f>IFERROR(__xludf.DUMMYFUNCTION("""COMPUTED_VALUE"""),"감자")</f>
        <v>감자</v>
      </c>
    </row>
    <row r="15998">
      <c r="A15998" s="2" t="str">
        <f>IFERROR(__xludf.DUMMYFUNCTION("""COMPUTED_VALUE"""),"봉주르 부야베스")</f>
        <v>봉주르 부야베스</v>
      </c>
      <c r="B15998" s="2" t="str">
        <f>IFERROR(__xludf.DUMMYFUNCTION("""COMPUTED_VALUE"""),"토마토소스")</f>
        <v>토마토소스</v>
      </c>
    </row>
    <row r="15999">
      <c r="A15999" s="2" t="str">
        <f>IFERROR(__xludf.DUMMYFUNCTION("""COMPUTED_VALUE"""),"봉주르 부야베스")</f>
        <v>봉주르 부야베스</v>
      </c>
      <c r="B15999" s="2" t="str">
        <f>IFERROR(__xludf.DUMMYFUNCTION("""COMPUTED_VALUE"""),"연어")</f>
        <v>연어</v>
      </c>
    </row>
    <row r="16000">
      <c r="A16000" s="2" t="str">
        <f>IFERROR(__xludf.DUMMYFUNCTION("""COMPUTED_VALUE"""),"봉주르 부야베스")</f>
        <v>봉주르 부야베스</v>
      </c>
      <c r="B16000" s="2" t="str">
        <f>IFERROR(__xludf.DUMMYFUNCTION("""COMPUTED_VALUE"""),"가자미살 커틀릿")</f>
        <v>가자미살 커틀릿</v>
      </c>
    </row>
    <row r="16001">
      <c r="A16001" s="2" t="str">
        <f>IFERROR(__xludf.DUMMYFUNCTION("""COMPUTED_VALUE"""),"봉주르 부야베스")</f>
        <v>봉주르 부야베스</v>
      </c>
      <c r="B16001" s="2" t="str">
        <f>IFERROR(__xludf.DUMMYFUNCTION("""COMPUTED_VALUE"""),"깍두기")</f>
        <v>깍두기</v>
      </c>
    </row>
    <row r="16002">
      <c r="A16002" s="2" t="str">
        <f>IFERROR(__xludf.DUMMYFUNCTION("""COMPUTED_VALUE"""),"봉주르 부야베스")</f>
        <v>봉주르 부야베스</v>
      </c>
      <c r="B16002" s="2" t="str">
        <f>IFERROR(__xludf.DUMMYFUNCTION("""COMPUTED_VALUE"""),"애호박")</f>
        <v>애호박</v>
      </c>
    </row>
    <row r="16003">
      <c r="A16003" s="2" t="str">
        <f>IFERROR(__xludf.DUMMYFUNCTION("""COMPUTED_VALUE"""),"봉주르 부야베스")</f>
        <v>봉주르 부야베스</v>
      </c>
      <c r="B16003" s="2" t="str">
        <f>IFERROR(__xludf.DUMMYFUNCTION("""COMPUTED_VALUE"""),"국물용 멸치")</f>
        <v>국물용 멸치</v>
      </c>
    </row>
    <row r="16004">
      <c r="A16004" s="2" t="str">
        <f>IFERROR(__xludf.DUMMYFUNCTION("""COMPUTED_VALUE"""),"봉주르 부야베스")</f>
        <v>봉주르 부야베스</v>
      </c>
      <c r="B16004" s="2" t="str">
        <f>IFERROR(__xludf.DUMMYFUNCTION("""COMPUTED_VALUE"""),"국물용 조미료")</f>
        <v>국물용 조미료</v>
      </c>
    </row>
    <row r="16005">
      <c r="A16005" s="2" t="str">
        <f>IFERROR(__xludf.DUMMYFUNCTION("""COMPUTED_VALUE"""),"봉주르 부야베스")</f>
        <v>봉주르 부야베스</v>
      </c>
      <c r="B16005" s="2" t="str">
        <f>IFERROR(__xludf.DUMMYFUNCTION("""COMPUTED_VALUE"""),"느타리버섯")</f>
        <v>느타리버섯</v>
      </c>
    </row>
    <row r="16006">
      <c r="A16006" s="2" t="str">
        <f>IFERROR(__xludf.DUMMYFUNCTION("""COMPUTED_VALUE"""),"봉주르 부야베스")</f>
        <v>봉주르 부야베스</v>
      </c>
      <c r="B16006" s="2" t="str">
        <f>IFERROR(__xludf.DUMMYFUNCTION("""COMPUTED_VALUE"""),"대파")</f>
        <v>대파</v>
      </c>
    </row>
    <row r="16007">
      <c r="A16007" s="2" t="str">
        <f>IFERROR(__xludf.DUMMYFUNCTION("""COMPUTED_VALUE"""),"봉주르 부야베스")</f>
        <v>봉주르 부야베스</v>
      </c>
      <c r="B16007" s="2" t="str">
        <f>IFERROR(__xludf.DUMMYFUNCTION("""COMPUTED_VALUE"""),"고춧가루")</f>
        <v>고춧가루</v>
      </c>
    </row>
    <row r="16008">
      <c r="A16008" s="2" t="str">
        <f>IFERROR(__xludf.DUMMYFUNCTION("""COMPUTED_VALUE"""),"봉주르 부야베스")</f>
        <v>봉주르 부야베스</v>
      </c>
      <c r="B16008" s="2" t="str">
        <f>IFERROR(__xludf.DUMMYFUNCTION("""COMPUTED_VALUE"""),"양파")</f>
        <v>양파</v>
      </c>
    </row>
    <row r="16009">
      <c r="A16009" s="2" t="str">
        <f>IFERROR(__xludf.DUMMYFUNCTION("""COMPUTED_VALUE"""),"봉주르 부야베스")</f>
        <v>봉주르 부야베스</v>
      </c>
      <c r="B16009" s="2" t="str">
        <f>IFERROR(__xludf.DUMMYFUNCTION("""COMPUTED_VALUE"""),"대파")</f>
        <v>대파</v>
      </c>
    </row>
    <row r="16010">
      <c r="A16010" s="2" t="str">
        <f>IFERROR(__xludf.DUMMYFUNCTION("""COMPUTED_VALUE"""),"봉주르 부야베스")</f>
        <v>봉주르 부야베스</v>
      </c>
      <c r="B16010" s="2" t="str">
        <f>IFERROR(__xludf.DUMMYFUNCTION("""COMPUTED_VALUE"""),"청양고추")</f>
        <v>청양고추</v>
      </c>
    </row>
    <row r="16011">
      <c r="A16011" s="2" t="str">
        <f>IFERROR(__xludf.DUMMYFUNCTION("""COMPUTED_VALUE"""),"봉주르 부야베스")</f>
        <v>봉주르 부야베스</v>
      </c>
      <c r="B16011" s="2" t="str">
        <f>IFERROR(__xludf.DUMMYFUNCTION("""COMPUTED_VALUE"""),"소금")</f>
        <v>소금</v>
      </c>
    </row>
    <row r="16012">
      <c r="A16012" s="2" t="str">
        <f>IFERROR(__xludf.DUMMYFUNCTION("""COMPUTED_VALUE"""),"봉주르 부야베스")</f>
        <v>봉주르 부야베스</v>
      </c>
      <c r="B16012" s="2" t="str">
        <f>IFERROR(__xludf.DUMMYFUNCTION("""COMPUTED_VALUE"""),"마늘")</f>
        <v>마늘</v>
      </c>
    </row>
    <row r="16013">
      <c r="A16013" s="2" t="str">
        <f>IFERROR(__xludf.DUMMYFUNCTION("""COMPUTED_VALUE"""),"봉주르 부야베스")</f>
        <v>봉주르 부야베스</v>
      </c>
      <c r="B16013" s="2" t="str">
        <f>IFERROR(__xludf.DUMMYFUNCTION("""COMPUTED_VALUE"""),"홍고추")</f>
        <v>홍고추</v>
      </c>
    </row>
    <row r="16014">
      <c r="A16014" s="2" t="str">
        <f>IFERROR(__xludf.DUMMYFUNCTION("""COMPUTED_VALUE"""),"봉주르 부야베스")</f>
        <v>봉주르 부야베스</v>
      </c>
      <c r="B16014" s="2" t="str">
        <f>IFERROR(__xludf.DUMMYFUNCTION("""COMPUTED_VALUE"""),"간장")</f>
        <v>간장</v>
      </c>
    </row>
    <row r="16015">
      <c r="A16015" s="2" t="str">
        <f>IFERROR(__xludf.DUMMYFUNCTION("""COMPUTED_VALUE"""),"봉주르 부야베스")</f>
        <v>봉주르 부야베스</v>
      </c>
      <c r="B16015" s="2" t="str">
        <f>IFERROR(__xludf.DUMMYFUNCTION("""COMPUTED_VALUE"""),"식초")</f>
        <v>식초</v>
      </c>
    </row>
    <row r="16016">
      <c r="A16016" s="2" t="str">
        <f>IFERROR(__xludf.DUMMYFUNCTION("""COMPUTED_VALUE"""),"봉주르 부야베스")</f>
        <v>봉주르 부야베스</v>
      </c>
      <c r="B16016" s="2" t="str">
        <f>IFERROR(__xludf.DUMMYFUNCTION("""COMPUTED_VALUE"""),"후추")</f>
        <v>후추</v>
      </c>
    </row>
    <row r="16017">
      <c r="A16017" s="2" t="str">
        <f>IFERROR(__xludf.DUMMYFUNCTION("""COMPUTED_VALUE"""),"쌀 스틸러")</f>
        <v>쌀 스틸러</v>
      </c>
      <c r="B16017" s="2" t="str">
        <f>IFERROR(__xludf.DUMMYFUNCTION("""COMPUTED_VALUE"""),"쌀")</f>
        <v>쌀</v>
      </c>
    </row>
    <row r="16018">
      <c r="A16018" s="2" t="str">
        <f>IFERROR(__xludf.DUMMYFUNCTION("""COMPUTED_VALUE"""),"쌀 스틸러")</f>
        <v>쌀 스틸러</v>
      </c>
      <c r="B16018" s="2" t="str">
        <f>IFERROR(__xludf.DUMMYFUNCTION("""COMPUTED_VALUE"""),"생닭")</f>
        <v>생닭</v>
      </c>
    </row>
    <row r="16019">
      <c r="A16019" s="2" t="str">
        <f>IFERROR(__xludf.DUMMYFUNCTION("""COMPUTED_VALUE"""),"쌀 스틸러")</f>
        <v>쌀 스틸러</v>
      </c>
      <c r="B16019" s="2" t="str">
        <f>IFERROR(__xludf.DUMMYFUNCTION("""COMPUTED_VALUE"""),"토마토고추장")</f>
        <v>토마토고추장</v>
      </c>
    </row>
    <row r="16020">
      <c r="A16020" s="2" t="str">
        <f>IFERROR(__xludf.DUMMYFUNCTION("""COMPUTED_VALUE"""),"쌀 스틸러")</f>
        <v>쌀 스틸러</v>
      </c>
      <c r="B16020" s="2" t="str">
        <f>IFERROR(__xludf.DUMMYFUNCTION("""COMPUTED_VALUE"""),"소등심")</f>
        <v>소등심</v>
      </c>
    </row>
    <row r="16021">
      <c r="A16021" s="2" t="str">
        <f>IFERROR(__xludf.DUMMYFUNCTION("""COMPUTED_VALUE"""),"쌀 스틸러")</f>
        <v>쌀 스틸러</v>
      </c>
      <c r="B16021" s="2" t="str">
        <f>IFERROR(__xludf.DUMMYFUNCTION("""COMPUTED_VALUE"""),"오징어")</f>
        <v>오징어</v>
      </c>
    </row>
    <row r="16022">
      <c r="A16022" s="2" t="str">
        <f>IFERROR(__xludf.DUMMYFUNCTION("""COMPUTED_VALUE"""),"쌀 스틸러")</f>
        <v>쌀 스틸러</v>
      </c>
      <c r="B16022" s="2" t="str">
        <f>IFERROR(__xludf.DUMMYFUNCTION("""COMPUTED_VALUE"""),"방울토마토")</f>
        <v>방울토마토</v>
      </c>
    </row>
    <row r="16023">
      <c r="A16023" s="2" t="str">
        <f>IFERROR(__xludf.DUMMYFUNCTION("""COMPUTED_VALUE"""),"쌀 스틸러")</f>
        <v>쌀 스틸러</v>
      </c>
      <c r="B16023" s="2" t="str">
        <f>IFERROR(__xludf.DUMMYFUNCTION("""COMPUTED_VALUE"""),"베이컨")</f>
        <v>베이컨</v>
      </c>
    </row>
    <row r="16024">
      <c r="A16024" s="2" t="str">
        <f>IFERROR(__xludf.DUMMYFUNCTION("""COMPUTED_VALUE"""),"쌀 스틸러")</f>
        <v>쌀 스틸러</v>
      </c>
      <c r="B16024" s="2" t="str">
        <f>IFERROR(__xludf.DUMMYFUNCTION("""COMPUTED_VALUE"""),"팽이버섯")</f>
        <v>팽이버섯</v>
      </c>
    </row>
    <row r="16025">
      <c r="A16025" s="2" t="str">
        <f>IFERROR(__xludf.DUMMYFUNCTION("""COMPUTED_VALUE"""),"쌀 스틸러")</f>
        <v>쌀 스틸러</v>
      </c>
      <c r="B16025" s="2" t="str">
        <f>IFERROR(__xludf.DUMMYFUNCTION("""COMPUTED_VALUE"""),"파프리카피클")</f>
        <v>파프리카피클</v>
      </c>
    </row>
    <row r="16026">
      <c r="A16026" s="2" t="str">
        <f>IFERROR(__xludf.DUMMYFUNCTION("""COMPUTED_VALUE"""),"쌀 스틸러")</f>
        <v>쌀 스틸러</v>
      </c>
      <c r="B16026" s="2" t="str">
        <f>IFERROR(__xludf.DUMMYFUNCTION("""COMPUTED_VALUE"""),"토마토소스")</f>
        <v>토마토소스</v>
      </c>
    </row>
    <row r="16027">
      <c r="A16027" s="2" t="str">
        <f>IFERROR(__xludf.DUMMYFUNCTION("""COMPUTED_VALUE"""),"쌀 스틸러")</f>
        <v>쌀 스틸러</v>
      </c>
      <c r="B16027" s="2" t="str">
        <f>IFERROR(__xludf.DUMMYFUNCTION("""COMPUTED_VALUE"""),"마늘맛 소시지")</f>
        <v>마늘맛 소시지</v>
      </c>
    </row>
    <row r="16028">
      <c r="A16028" s="2" t="str">
        <f>IFERROR(__xludf.DUMMYFUNCTION("""COMPUTED_VALUE"""),"쌀 스틸러")</f>
        <v>쌀 스틸러</v>
      </c>
      <c r="B16028" s="2" t="str">
        <f>IFERROR(__xludf.DUMMYFUNCTION("""COMPUTED_VALUE"""),"훈제 닭가슴살")</f>
        <v>훈제 닭가슴살</v>
      </c>
    </row>
    <row r="16029">
      <c r="A16029" s="2" t="str">
        <f>IFERROR(__xludf.DUMMYFUNCTION("""COMPUTED_VALUE"""),"쌀 스틸러")</f>
        <v>쌀 스틸러</v>
      </c>
      <c r="B16029" s="2" t="str">
        <f>IFERROR(__xludf.DUMMYFUNCTION("""COMPUTED_VALUE"""),"사골육수")</f>
        <v>사골육수</v>
      </c>
    </row>
    <row r="16030">
      <c r="A16030" s="2" t="str">
        <f>IFERROR(__xludf.DUMMYFUNCTION("""COMPUTED_VALUE"""),"쌀 스틸러")</f>
        <v>쌀 스틸러</v>
      </c>
      <c r="B16030" s="2" t="str">
        <f>IFERROR(__xludf.DUMMYFUNCTION("""COMPUTED_VALUE"""),"칠리파우더수프")</f>
        <v>칠리파우더수프</v>
      </c>
    </row>
    <row r="16031">
      <c r="A16031" s="2" t="str">
        <f>IFERROR(__xludf.DUMMYFUNCTION("""COMPUTED_VALUE"""),"쌀 스틸러")</f>
        <v>쌀 스틸러</v>
      </c>
      <c r="B16031" s="2" t="str">
        <f>IFERROR(__xludf.DUMMYFUNCTION("""COMPUTED_VALUE"""),"건새우")</f>
        <v>건새우</v>
      </c>
    </row>
    <row r="16032">
      <c r="A16032" s="2" t="str">
        <f>IFERROR(__xludf.DUMMYFUNCTION("""COMPUTED_VALUE"""),"쌀 스틸러")</f>
        <v>쌀 스틸러</v>
      </c>
      <c r="B16032" s="2" t="str">
        <f>IFERROR(__xludf.DUMMYFUNCTION("""COMPUTED_VALUE"""),"라면")</f>
        <v>라면</v>
      </c>
    </row>
    <row r="16033">
      <c r="A16033" s="2" t="str">
        <f>IFERROR(__xludf.DUMMYFUNCTION("""COMPUTED_VALUE"""),"쌀 스틸러")</f>
        <v>쌀 스틸러</v>
      </c>
      <c r="B16033" s="2" t="str">
        <f>IFERROR(__xludf.DUMMYFUNCTION("""COMPUTED_VALUE"""),"올리브오일")</f>
        <v>올리브오일</v>
      </c>
    </row>
    <row r="16034">
      <c r="A16034" s="2" t="str">
        <f>IFERROR(__xludf.DUMMYFUNCTION("""COMPUTED_VALUE"""),"쌀 스틸러")</f>
        <v>쌀 스틸러</v>
      </c>
      <c r="B16034" s="2" t="str">
        <f>IFERROR(__xludf.DUMMYFUNCTION("""COMPUTED_VALUE"""),"대파")</f>
        <v>대파</v>
      </c>
    </row>
    <row r="16035">
      <c r="A16035" s="2" t="str">
        <f>IFERROR(__xludf.DUMMYFUNCTION("""COMPUTED_VALUE"""),"쌀 스틸러")</f>
        <v>쌀 스틸러</v>
      </c>
      <c r="B16035" s="2" t="str">
        <f>IFERROR(__xludf.DUMMYFUNCTION("""COMPUTED_VALUE"""),"청양고추")</f>
        <v>청양고추</v>
      </c>
    </row>
    <row r="16036">
      <c r="A16036" s="2" t="str">
        <f>IFERROR(__xludf.DUMMYFUNCTION("""COMPUTED_VALUE"""),"쌀 스틸러")</f>
        <v>쌀 스틸러</v>
      </c>
      <c r="B16036" s="2" t="str">
        <f>IFERROR(__xludf.DUMMYFUNCTION("""COMPUTED_VALUE"""),"양파")</f>
        <v>양파</v>
      </c>
    </row>
    <row r="16037">
      <c r="A16037" s="2" t="str">
        <f>IFERROR(__xludf.DUMMYFUNCTION("""COMPUTED_VALUE"""),"쌀 스틸러")</f>
        <v>쌀 스틸러</v>
      </c>
      <c r="B16037" s="2" t="str">
        <f>IFERROR(__xludf.DUMMYFUNCTION("""COMPUTED_VALUE"""),"청주")</f>
        <v>청주</v>
      </c>
    </row>
    <row r="16038">
      <c r="A16038" s="2" t="str">
        <f>IFERROR(__xludf.DUMMYFUNCTION("""COMPUTED_VALUE"""),"쌀 스틸러")</f>
        <v>쌀 스틸러</v>
      </c>
      <c r="B16038" s="2" t="str">
        <f>IFERROR(__xludf.DUMMYFUNCTION("""COMPUTED_VALUE"""),"고춧가루")</f>
        <v>고춧가루</v>
      </c>
    </row>
    <row r="16039">
      <c r="A16039" s="2" t="str">
        <f>IFERROR(__xludf.DUMMYFUNCTION("""COMPUTED_VALUE"""),"쌀 스틸러")</f>
        <v>쌀 스틸러</v>
      </c>
      <c r="B16039" s="2" t="str">
        <f>IFERROR(__xludf.DUMMYFUNCTION("""COMPUTED_VALUE"""),"후추")</f>
        <v>후추</v>
      </c>
    </row>
    <row r="16040">
      <c r="A16040" s="2" t="str">
        <f>IFERROR(__xludf.DUMMYFUNCTION("""COMPUTED_VALUE"""),"쌀 스틸러")</f>
        <v>쌀 스틸러</v>
      </c>
      <c r="B16040" s="2" t="str">
        <f>IFERROR(__xludf.DUMMYFUNCTION("""COMPUTED_VALUE"""),"맛술")</f>
        <v>맛술</v>
      </c>
    </row>
    <row r="16041">
      <c r="A16041" s="2" t="str">
        <f>IFERROR(__xludf.DUMMYFUNCTION("""COMPUTED_VALUE"""),"쌀 스틸러")</f>
        <v>쌀 스틸러</v>
      </c>
      <c r="B16041" s="2" t="str">
        <f>IFERROR(__xludf.DUMMYFUNCTION("""COMPUTED_VALUE"""),"버터")</f>
        <v>버터</v>
      </c>
    </row>
    <row r="16042">
      <c r="A16042" s="2" t="str">
        <f>IFERROR(__xludf.DUMMYFUNCTION("""COMPUTED_VALUE"""),"쌀와디캅")</f>
        <v>쌀와디캅</v>
      </c>
      <c r="B16042" s="2" t="str">
        <f>IFERROR(__xludf.DUMMYFUNCTION("""COMPUTED_VALUE"""),"쌀")</f>
        <v>쌀</v>
      </c>
    </row>
    <row r="16043">
      <c r="A16043" s="2" t="str">
        <f>IFERROR(__xludf.DUMMYFUNCTION("""COMPUTED_VALUE"""),"쌀와디캅")</f>
        <v>쌀와디캅</v>
      </c>
      <c r="B16043" s="2" t="str">
        <f>IFERROR(__xludf.DUMMYFUNCTION("""COMPUTED_VALUE"""),"보리굴비")</f>
        <v>보리굴비</v>
      </c>
    </row>
    <row r="16044">
      <c r="A16044" s="2" t="str">
        <f>IFERROR(__xludf.DUMMYFUNCTION("""COMPUTED_VALUE"""),"쌀와디캅")</f>
        <v>쌀와디캅</v>
      </c>
      <c r="B16044" s="2" t="str">
        <f>IFERROR(__xludf.DUMMYFUNCTION("""COMPUTED_VALUE"""),"말린 문어")</f>
        <v>말린 문어</v>
      </c>
    </row>
    <row r="16045">
      <c r="A16045" s="2" t="str">
        <f>IFERROR(__xludf.DUMMYFUNCTION("""COMPUTED_VALUE"""),"쌀와디캅")</f>
        <v>쌀와디캅</v>
      </c>
      <c r="B16045" s="2" t="str">
        <f>IFERROR(__xludf.DUMMYFUNCTION("""COMPUTED_VALUE"""),"마른 오징어")</f>
        <v>마른 오징어</v>
      </c>
    </row>
    <row r="16046">
      <c r="A16046" s="2" t="str">
        <f>IFERROR(__xludf.DUMMYFUNCTION("""COMPUTED_VALUE"""),"쌀와디캅")</f>
        <v>쌀와디캅</v>
      </c>
      <c r="B16046" s="2" t="str">
        <f>IFERROR(__xludf.DUMMYFUNCTION("""COMPUTED_VALUE"""),"전복")</f>
        <v>전복</v>
      </c>
    </row>
    <row r="16047">
      <c r="A16047" s="2" t="str">
        <f>IFERROR(__xludf.DUMMYFUNCTION("""COMPUTED_VALUE"""),"쌀와디캅")</f>
        <v>쌀와디캅</v>
      </c>
      <c r="B16047" s="2" t="str">
        <f>IFERROR(__xludf.DUMMYFUNCTION("""COMPUTED_VALUE"""),"약고추장")</f>
        <v>약고추장</v>
      </c>
    </row>
    <row r="16048">
      <c r="A16048" s="2" t="str">
        <f>IFERROR(__xludf.DUMMYFUNCTION("""COMPUTED_VALUE"""),"쌀와디캅")</f>
        <v>쌀와디캅</v>
      </c>
      <c r="B16048" s="2" t="str">
        <f>IFERROR(__xludf.DUMMYFUNCTION("""COMPUTED_VALUE"""),"팽이버섯")</f>
        <v>팽이버섯</v>
      </c>
    </row>
    <row r="16049">
      <c r="A16049" s="2" t="str">
        <f>IFERROR(__xludf.DUMMYFUNCTION("""COMPUTED_VALUE"""),"쌀와디캅")</f>
        <v>쌀와디캅</v>
      </c>
      <c r="B16049" s="2" t="str">
        <f>IFERROR(__xludf.DUMMYFUNCTION("""COMPUTED_VALUE"""),"표고버섯")</f>
        <v>표고버섯</v>
      </c>
    </row>
    <row r="16050">
      <c r="A16050" s="2" t="str">
        <f>IFERROR(__xludf.DUMMYFUNCTION("""COMPUTED_VALUE"""),"쌀와디캅")</f>
        <v>쌀와디캅</v>
      </c>
      <c r="B16050" s="2" t="str">
        <f>IFERROR(__xludf.DUMMYFUNCTION("""COMPUTED_VALUE"""),"양배추")</f>
        <v>양배추</v>
      </c>
    </row>
    <row r="16051">
      <c r="A16051" s="2" t="str">
        <f>IFERROR(__xludf.DUMMYFUNCTION("""COMPUTED_VALUE"""),"쌀와디캅")</f>
        <v>쌀와디캅</v>
      </c>
      <c r="B16051" s="2" t="str">
        <f>IFERROR(__xludf.DUMMYFUNCTION("""COMPUTED_VALUE"""),"액상조미료")</f>
        <v>액상조미료</v>
      </c>
    </row>
    <row r="16052">
      <c r="A16052" s="2" t="str">
        <f>IFERROR(__xludf.DUMMYFUNCTION("""COMPUTED_VALUE"""),"쌀와디캅")</f>
        <v>쌀와디캅</v>
      </c>
      <c r="B16052" s="2" t="str">
        <f>IFERROR(__xludf.DUMMYFUNCTION("""COMPUTED_VALUE"""),"청양고추")</f>
        <v>청양고추</v>
      </c>
    </row>
    <row r="16053">
      <c r="A16053" s="2" t="str">
        <f>IFERROR(__xludf.DUMMYFUNCTION("""COMPUTED_VALUE"""),"쌀와디캅")</f>
        <v>쌀와디캅</v>
      </c>
      <c r="B16053" s="2" t="str">
        <f>IFERROR(__xludf.DUMMYFUNCTION("""COMPUTED_VALUE"""),"홍고추")</f>
        <v>홍고추</v>
      </c>
    </row>
    <row r="16054">
      <c r="A16054" s="2" t="str">
        <f>IFERROR(__xludf.DUMMYFUNCTION("""COMPUTED_VALUE"""),"쌀와디캅")</f>
        <v>쌀와디캅</v>
      </c>
      <c r="B16054" s="2" t="str">
        <f>IFERROR(__xludf.DUMMYFUNCTION("""COMPUTED_VALUE"""),"대파")</f>
        <v>대파</v>
      </c>
    </row>
    <row r="16055">
      <c r="A16055" s="2" t="str">
        <f>IFERROR(__xludf.DUMMYFUNCTION("""COMPUTED_VALUE"""),"쌀와디캅")</f>
        <v>쌀와디캅</v>
      </c>
      <c r="B16055" s="2" t="str">
        <f>IFERROR(__xludf.DUMMYFUNCTION("""COMPUTED_VALUE"""),"양파")</f>
        <v>양파</v>
      </c>
    </row>
    <row r="16056">
      <c r="A16056" s="2" t="str">
        <f>IFERROR(__xludf.DUMMYFUNCTION("""COMPUTED_VALUE"""),"쌀와디캅")</f>
        <v>쌀와디캅</v>
      </c>
      <c r="B16056" s="2" t="str">
        <f>IFERROR(__xludf.DUMMYFUNCTION("""COMPUTED_VALUE"""),"다진 생강")</f>
        <v>다진 생강</v>
      </c>
    </row>
    <row r="16057">
      <c r="A16057" s="2" t="str">
        <f>IFERROR(__xludf.DUMMYFUNCTION("""COMPUTED_VALUE"""),"쌀와디캅")</f>
        <v>쌀와디캅</v>
      </c>
      <c r="B16057" s="2" t="str">
        <f>IFERROR(__xludf.DUMMYFUNCTION("""COMPUTED_VALUE"""),"다진 마늘")</f>
        <v>다진 마늘</v>
      </c>
    </row>
    <row r="16058">
      <c r="A16058" s="2" t="str">
        <f>IFERROR(__xludf.DUMMYFUNCTION("""COMPUTED_VALUE"""),"쌀와디캅")</f>
        <v>쌀와디캅</v>
      </c>
      <c r="B16058" s="2" t="str">
        <f>IFERROR(__xludf.DUMMYFUNCTION("""COMPUTED_VALUE"""),"설탕")</f>
        <v>설탕</v>
      </c>
    </row>
    <row r="16059">
      <c r="A16059" s="2" t="str">
        <f>IFERROR(__xludf.DUMMYFUNCTION("""COMPUTED_VALUE"""),"쌀와디캅")</f>
        <v>쌀와디캅</v>
      </c>
      <c r="B16059" s="2" t="str">
        <f>IFERROR(__xludf.DUMMYFUNCTION("""COMPUTED_VALUE"""),"참기름")</f>
        <v>참기름</v>
      </c>
    </row>
    <row r="16060">
      <c r="A16060" s="2" t="str">
        <f>IFERROR(__xludf.DUMMYFUNCTION("""COMPUTED_VALUE"""),"쌀와디캅")</f>
        <v>쌀와디캅</v>
      </c>
      <c r="B16060" s="2" t="str">
        <f>IFERROR(__xludf.DUMMYFUNCTION("""COMPUTED_VALUE"""),"참깨")</f>
        <v>참깨</v>
      </c>
    </row>
    <row r="16061">
      <c r="A16061" s="2" t="str">
        <f>IFERROR(__xludf.DUMMYFUNCTION("""COMPUTED_VALUE"""),"쌈밥의 여인♬")</f>
        <v>쌈밥의 여인♬</v>
      </c>
      <c r="B16061" s="2" t="str">
        <f>IFERROR(__xludf.DUMMYFUNCTION("""COMPUTED_VALUE"""),"바지락")</f>
        <v>바지락</v>
      </c>
    </row>
    <row r="16062">
      <c r="A16062" s="2" t="str">
        <f>IFERROR(__xludf.DUMMYFUNCTION("""COMPUTED_VALUE"""),"쌈밥의 여인♬")</f>
        <v>쌈밥의 여인♬</v>
      </c>
      <c r="B16062" s="2" t="str">
        <f>IFERROR(__xludf.DUMMYFUNCTION("""COMPUTED_VALUE"""),"감자")</f>
        <v>감자</v>
      </c>
    </row>
    <row r="16063">
      <c r="A16063" s="2" t="str">
        <f>IFERROR(__xludf.DUMMYFUNCTION("""COMPUTED_VALUE"""),"쌈밥의 여인♬")</f>
        <v>쌈밥의 여인♬</v>
      </c>
      <c r="B16063" s="2" t="str">
        <f>IFERROR(__xludf.DUMMYFUNCTION("""COMPUTED_VALUE"""),"참깨소스")</f>
        <v>참깨소스</v>
      </c>
    </row>
    <row r="16064">
      <c r="A16064" s="2" t="str">
        <f>IFERROR(__xludf.DUMMYFUNCTION("""COMPUTED_VALUE"""),"쌈밥의 여인♬")</f>
        <v>쌈밥의 여인♬</v>
      </c>
      <c r="B16064" s="2" t="str">
        <f>IFERROR(__xludf.DUMMYFUNCTION("""COMPUTED_VALUE"""),"닭육수")</f>
        <v>닭육수</v>
      </c>
    </row>
    <row r="16065">
      <c r="A16065" s="2" t="str">
        <f>IFERROR(__xludf.DUMMYFUNCTION("""COMPUTED_VALUE"""),"쌈밥의 여인♬")</f>
        <v>쌈밥의 여인♬</v>
      </c>
      <c r="B16065" s="2" t="str">
        <f>IFERROR(__xludf.DUMMYFUNCTION("""COMPUTED_VALUE"""),"브로콜리")</f>
        <v>브로콜리</v>
      </c>
    </row>
    <row r="16066">
      <c r="A16066" s="2" t="str">
        <f>IFERROR(__xludf.DUMMYFUNCTION("""COMPUTED_VALUE"""),"쌈밥의 여인♬")</f>
        <v>쌈밥의 여인♬</v>
      </c>
      <c r="B16066" s="2" t="str">
        <f>IFERROR(__xludf.DUMMYFUNCTION("""COMPUTED_VALUE"""),"표고버섯")</f>
        <v>표고버섯</v>
      </c>
    </row>
    <row r="16067">
      <c r="A16067" s="2" t="str">
        <f>IFERROR(__xludf.DUMMYFUNCTION("""COMPUTED_VALUE"""),"쌈밥의 여인♬")</f>
        <v>쌈밥의 여인♬</v>
      </c>
      <c r="B16067" s="2" t="str">
        <f>IFERROR(__xludf.DUMMYFUNCTION("""COMPUTED_VALUE"""),"애호박")</f>
        <v>애호박</v>
      </c>
    </row>
    <row r="16068">
      <c r="A16068" s="2" t="str">
        <f>IFERROR(__xludf.DUMMYFUNCTION("""COMPUTED_VALUE"""),"쌈밥의 여인♬")</f>
        <v>쌈밥의 여인♬</v>
      </c>
      <c r="B16068" s="2" t="str">
        <f>IFERROR(__xludf.DUMMYFUNCTION("""COMPUTED_VALUE"""),"상추")</f>
        <v>상추</v>
      </c>
    </row>
    <row r="16069">
      <c r="A16069" s="2" t="str">
        <f>IFERROR(__xludf.DUMMYFUNCTION("""COMPUTED_VALUE"""),"쌈밥의 여인♬")</f>
        <v>쌈밥의 여인♬</v>
      </c>
      <c r="B16069" s="2" t="str">
        <f>IFERROR(__xludf.DUMMYFUNCTION("""COMPUTED_VALUE"""),"깻잎")</f>
        <v>깻잎</v>
      </c>
    </row>
    <row r="16070">
      <c r="A16070" s="2" t="str">
        <f>IFERROR(__xludf.DUMMYFUNCTION("""COMPUTED_VALUE"""),"쌈밥의 여인♬")</f>
        <v>쌈밥의 여인♬</v>
      </c>
      <c r="B16070" s="2" t="str">
        <f>IFERROR(__xludf.DUMMYFUNCTION("""COMPUTED_VALUE"""),"파프리카")</f>
        <v>파프리카</v>
      </c>
    </row>
    <row r="16071">
      <c r="A16071" s="2" t="str">
        <f>IFERROR(__xludf.DUMMYFUNCTION("""COMPUTED_VALUE"""),"쌈밥의 여인♬")</f>
        <v>쌈밥의 여인♬</v>
      </c>
      <c r="B16071" s="2" t="str">
        <f>IFERROR(__xludf.DUMMYFUNCTION("""COMPUTED_VALUE"""),"들깨가루")</f>
        <v>들깨가루</v>
      </c>
    </row>
    <row r="16072">
      <c r="A16072" s="2" t="str">
        <f>IFERROR(__xludf.DUMMYFUNCTION("""COMPUTED_VALUE"""),"쌈밥의 여인♬")</f>
        <v>쌈밥의 여인♬</v>
      </c>
      <c r="B16072" s="2" t="str">
        <f>IFERROR(__xludf.DUMMYFUNCTION("""COMPUTED_VALUE"""),"냉동아보카도")</f>
        <v>냉동아보카도</v>
      </c>
    </row>
    <row r="16073">
      <c r="A16073" s="2" t="str">
        <f>IFERROR(__xludf.DUMMYFUNCTION("""COMPUTED_VALUE"""),"쌈밥의 여인♬")</f>
        <v>쌈밥의 여인♬</v>
      </c>
      <c r="B16073" s="2" t="str">
        <f>IFERROR(__xludf.DUMMYFUNCTION("""COMPUTED_VALUE"""),"오이지")</f>
        <v>오이지</v>
      </c>
    </row>
    <row r="16074">
      <c r="A16074" s="2" t="str">
        <f>IFERROR(__xludf.DUMMYFUNCTION("""COMPUTED_VALUE"""),"쌈밥의 여인♬")</f>
        <v>쌈밥의 여인♬</v>
      </c>
      <c r="B16074" s="2" t="str">
        <f>IFERROR(__xludf.DUMMYFUNCTION("""COMPUTED_VALUE"""),"완두콩")</f>
        <v>완두콩</v>
      </c>
    </row>
    <row r="16075">
      <c r="A16075" s="2" t="str">
        <f>IFERROR(__xludf.DUMMYFUNCTION("""COMPUTED_VALUE"""),"쌈밥의 여인♬")</f>
        <v>쌈밥의 여인♬</v>
      </c>
      <c r="B16075" s="2" t="str">
        <f>IFERROR(__xludf.DUMMYFUNCTION("""COMPUTED_VALUE"""),"슬라이스 치즈")</f>
        <v>슬라이스 치즈</v>
      </c>
    </row>
    <row r="16076">
      <c r="A16076" s="2" t="str">
        <f>IFERROR(__xludf.DUMMYFUNCTION("""COMPUTED_VALUE"""),"쌈밥의 여인♬")</f>
        <v>쌈밥의 여인♬</v>
      </c>
      <c r="B16076" s="2" t="str">
        <f>IFERROR(__xludf.DUMMYFUNCTION("""COMPUTED_VALUE"""),"레몬")</f>
        <v>레몬</v>
      </c>
    </row>
    <row r="16077">
      <c r="A16077" s="2" t="str">
        <f>IFERROR(__xludf.DUMMYFUNCTION("""COMPUTED_VALUE"""),"쌈밥의 여인♬")</f>
        <v>쌈밥의 여인♬</v>
      </c>
      <c r="B16077" s="2" t="str">
        <f>IFERROR(__xludf.DUMMYFUNCTION("""COMPUTED_VALUE"""),"화이트와인")</f>
        <v>화이트와인</v>
      </c>
    </row>
    <row r="16078">
      <c r="A16078" s="2" t="str">
        <f>IFERROR(__xludf.DUMMYFUNCTION("""COMPUTED_VALUE"""),"쌈밥의 여인♬")</f>
        <v>쌈밥의 여인♬</v>
      </c>
      <c r="B16078" s="2" t="str">
        <f>IFERROR(__xludf.DUMMYFUNCTION("""COMPUTED_VALUE"""),"다진마늘")</f>
        <v>다진마늘</v>
      </c>
    </row>
    <row r="16079">
      <c r="A16079" s="2" t="str">
        <f>IFERROR(__xludf.DUMMYFUNCTION("""COMPUTED_VALUE"""),"쌈밥의 여인♬")</f>
        <v>쌈밥의 여인♬</v>
      </c>
      <c r="B16079" s="2" t="str">
        <f>IFERROR(__xludf.DUMMYFUNCTION("""COMPUTED_VALUE"""),"즉석밥")</f>
        <v>즉석밥</v>
      </c>
    </row>
    <row r="16080">
      <c r="A16080" s="2" t="str">
        <f>IFERROR(__xludf.DUMMYFUNCTION("""COMPUTED_VALUE"""),"쌈밥의 여인♬")</f>
        <v>쌈밥의 여인♬</v>
      </c>
      <c r="B16080" s="2" t="str">
        <f>IFERROR(__xludf.DUMMYFUNCTION("""COMPUTED_VALUE"""),"고추")</f>
        <v>고추</v>
      </c>
    </row>
    <row r="16081">
      <c r="A16081" s="2" t="str">
        <f>IFERROR(__xludf.DUMMYFUNCTION("""COMPUTED_VALUE"""),"쌈밥의 여인♬")</f>
        <v>쌈밥의 여인♬</v>
      </c>
      <c r="B16081" s="2" t="str">
        <f>IFERROR(__xludf.DUMMYFUNCTION("""COMPUTED_VALUE"""),"올리브오일")</f>
        <v>올리브오일</v>
      </c>
    </row>
    <row r="16082">
      <c r="A16082" s="2" t="str">
        <f>IFERROR(__xludf.DUMMYFUNCTION("""COMPUTED_VALUE"""),"쌈밥의 여인♬")</f>
        <v>쌈밥의 여인♬</v>
      </c>
      <c r="B16082" s="2" t="str">
        <f>IFERROR(__xludf.DUMMYFUNCTION("""COMPUTED_VALUE"""),"소금")</f>
        <v>소금</v>
      </c>
    </row>
    <row r="16083">
      <c r="A16083" s="2" t="str">
        <f>IFERROR(__xludf.DUMMYFUNCTION("""COMPUTED_VALUE"""),"쌈밥의 여인♬")</f>
        <v>쌈밥의 여인♬</v>
      </c>
      <c r="B16083" s="2" t="str">
        <f>IFERROR(__xludf.DUMMYFUNCTION("""COMPUTED_VALUE"""),"된장")</f>
        <v>된장</v>
      </c>
    </row>
    <row r="16084">
      <c r="A16084" s="2" t="str">
        <f>IFERROR(__xludf.DUMMYFUNCTION("""COMPUTED_VALUE"""),"쌈밥의 여인♬")</f>
        <v>쌈밥의 여인♬</v>
      </c>
      <c r="B16084" s="2" t="str">
        <f>IFERROR(__xludf.DUMMYFUNCTION("""COMPUTED_VALUE"""),"밀가루")</f>
        <v>밀가루</v>
      </c>
    </row>
    <row r="16085">
      <c r="A16085" s="2" t="str">
        <f>IFERROR(__xludf.DUMMYFUNCTION("""COMPUTED_VALUE"""),"쌈밥의 여인♬")</f>
        <v>쌈밥의 여인♬</v>
      </c>
      <c r="B16085" s="2" t="str">
        <f>IFERROR(__xludf.DUMMYFUNCTION("""COMPUTED_VALUE"""),"버터")</f>
        <v>버터</v>
      </c>
    </row>
    <row r="16086">
      <c r="A16086" s="2" t="str">
        <f>IFERROR(__xludf.DUMMYFUNCTION("""COMPUTED_VALUE"""),"쌈밥의 여인♬")</f>
        <v>쌈밥의 여인♬</v>
      </c>
      <c r="B16086" s="2" t="str">
        <f>IFERROR(__xludf.DUMMYFUNCTION("""COMPUTED_VALUE"""),"전분")</f>
        <v>전분</v>
      </c>
    </row>
    <row r="16087">
      <c r="A16087" s="2" t="str">
        <f>IFERROR(__xludf.DUMMYFUNCTION("""COMPUTED_VALUE"""),"바지락상회")</f>
        <v>바지락상회</v>
      </c>
      <c r="B16087" s="2" t="str">
        <f>IFERROR(__xludf.DUMMYFUNCTION("""COMPUTED_VALUE"""),"바지락")</f>
        <v>바지락</v>
      </c>
    </row>
    <row r="16088">
      <c r="A16088" s="2" t="str">
        <f>IFERROR(__xludf.DUMMYFUNCTION("""COMPUTED_VALUE"""),"바지락상회")</f>
        <v>바지락상회</v>
      </c>
      <c r="B16088" s="2" t="str">
        <f>IFERROR(__xludf.DUMMYFUNCTION("""COMPUTED_VALUE"""),"매생이")</f>
        <v>매생이</v>
      </c>
    </row>
    <row r="16089">
      <c r="A16089" s="2" t="str">
        <f>IFERROR(__xludf.DUMMYFUNCTION("""COMPUTED_VALUE"""),"바지락상회")</f>
        <v>바지락상회</v>
      </c>
      <c r="B16089" s="2" t="str">
        <f>IFERROR(__xludf.DUMMYFUNCTION("""COMPUTED_VALUE"""),"소고기 양지")</f>
        <v>소고기 양지</v>
      </c>
    </row>
    <row r="16090">
      <c r="A16090" s="2" t="str">
        <f>IFERROR(__xludf.DUMMYFUNCTION("""COMPUTED_VALUE"""),"바지락상회")</f>
        <v>바지락상회</v>
      </c>
      <c r="B16090" s="2" t="str">
        <f>IFERROR(__xludf.DUMMYFUNCTION("""COMPUTED_VALUE"""),"박정수표 육수")</f>
        <v>박정수표 육수</v>
      </c>
    </row>
    <row r="16091">
      <c r="A16091" s="2" t="str">
        <f>IFERROR(__xludf.DUMMYFUNCTION("""COMPUTED_VALUE"""),"바지락상회")</f>
        <v>바지락상회</v>
      </c>
      <c r="B16091" s="2" t="str">
        <f>IFERROR(__xludf.DUMMYFUNCTION("""COMPUTED_VALUE"""),"국물용 멸치")</f>
        <v>국물용 멸치</v>
      </c>
    </row>
    <row r="16092">
      <c r="A16092" s="2" t="str">
        <f>IFERROR(__xludf.DUMMYFUNCTION("""COMPUTED_VALUE"""),"바지락상회")</f>
        <v>바지락상회</v>
      </c>
      <c r="B16092" s="2" t="str">
        <f>IFERROR(__xludf.DUMMYFUNCTION("""COMPUTED_VALUE"""),"황태채")</f>
        <v>황태채</v>
      </c>
    </row>
    <row r="16093">
      <c r="A16093" s="2" t="str">
        <f>IFERROR(__xludf.DUMMYFUNCTION("""COMPUTED_VALUE"""),"바지락상회")</f>
        <v>바지락상회</v>
      </c>
      <c r="B16093" s="2" t="str">
        <f>IFERROR(__xludf.DUMMYFUNCTION("""COMPUTED_VALUE"""),"국물용 새우")</f>
        <v>국물용 새우</v>
      </c>
    </row>
    <row r="16094">
      <c r="A16094" s="2" t="str">
        <f>IFERROR(__xludf.DUMMYFUNCTION("""COMPUTED_VALUE"""),"바지락상회")</f>
        <v>바지락상회</v>
      </c>
      <c r="B16094" s="2" t="str">
        <f>IFERROR(__xludf.DUMMYFUNCTION("""COMPUTED_VALUE"""),"애호박")</f>
        <v>애호박</v>
      </c>
    </row>
    <row r="16095">
      <c r="A16095" s="2" t="str">
        <f>IFERROR(__xludf.DUMMYFUNCTION("""COMPUTED_VALUE"""),"바지락상회")</f>
        <v>바지락상회</v>
      </c>
      <c r="B16095" s="2" t="str">
        <f>IFERROR(__xludf.DUMMYFUNCTION("""COMPUTED_VALUE"""),"조기")</f>
        <v>조기</v>
      </c>
    </row>
    <row r="16096">
      <c r="A16096" s="2" t="str">
        <f>IFERROR(__xludf.DUMMYFUNCTION("""COMPUTED_VALUE"""),"바지락상회")</f>
        <v>바지락상회</v>
      </c>
      <c r="B16096" s="2" t="str">
        <f>IFERROR(__xludf.DUMMYFUNCTION("""COMPUTED_VALUE"""),"간장소스")</f>
        <v>간장소스</v>
      </c>
    </row>
    <row r="16097">
      <c r="A16097" s="2" t="str">
        <f>IFERROR(__xludf.DUMMYFUNCTION("""COMPUTED_VALUE"""),"바지락상회")</f>
        <v>바지락상회</v>
      </c>
      <c r="B16097" s="2" t="str">
        <f>IFERROR(__xludf.DUMMYFUNCTION("""COMPUTED_VALUE"""),"맛간장")</f>
        <v>맛간장</v>
      </c>
    </row>
    <row r="16098">
      <c r="A16098" s="2" t="str">
        <f>IFERROR(__xludf.DUMMYFUNCTION("""COMPUTED_VALUE"""),"바지락상회")</f>
        <v>바지락상회</v>
      </c>
      <c r="B16098" s="2" t="str">
        <f>IFERROR(__xludf.DUMMYFUNCTION("""COMPUTED_VALUE"""),"완두콩")</f>
        <v>완두콩</v>
      </c>
    </row>
    <row r="16099">
      <c r="A16099" s="2" t="str">
        <f>IFERROR(__xludf.DUMMYFUNCTION("""COMPUTED_VALUE"""),"바지락상회")</f>
        <v>바지락상회</v>
      </c>
      <c r="B16099" s="2" t="str">
        <f>IFERROR(__xludf.DUMMYFUNCTION("""COMPUTED_VALUE"""),"밀가루")</f>
        <v>밀가루</v>
      </c>
    </row>
    <row r="16100">
      <c r="A16100" s="2" t="str">
        <f>IFERROR(__xludf.DUMMYFUNCTION("""COMPUTED_VALUE"""),"바지락상회")</f>
        <v>바지락상회</v>
      </c>
      <c r="B16100" s="2" t="str">
        <f>IFERROR(__xludf.DUMMYFUNCTION("""COMPUTED_VALUE"""),"다진마늘")</f>
        <v>다진마늘</v>
      </c>
    </row>
    <row r="16101">
      <c r="A16101" s="2" t="str">
        <f>IFERROR(__xludf.DUMMYFUNCTION("""COMPUTED_VALUE"""),"바지락상회")</f>
        <v>바지락상회</v>
      </c>
      <c r="B16101" s="2" t="str">
        <f>IFERROR(__xludf.DUMMYFUNCTION("""COMPUTED_VALUE"""),"올리브오일")</f>
        <v>올리브오일</v>
      </c>
    </row>
    <row r="16102">
      <c r="A16102" s="2" t="str">
        <f>IFERROR(__xludf.DUMMYFUNCTION("""COMPUTED_VALUE"""),"바지락상회")</f>
        <v>바지락상회</v>
      </c>
      <c r="B16102" s="2" t="str">
        <f>IFERROR(__xludf.DUMMYFUNCTION("""COMPUTED_VALUE"""),"대파")</f>
        <v>대파</v>
      </c>
    </row>
    <row r="16103">
      <c r="A16103" s="2" t="str">
        <f>IFERROR(__xludf.DUMMYFUNCTION("""COMPUTED_VALUE"""),"바지락상회")</f>
        <v>바지락상회</v>
      </c>
      <c r="B16103" s="2" t="str">
        <f>IFERROR(__xludf.DUMMYFUNCTION("""COMPUTED_VALUE"""),"전분")</f>
        <v>전분</v>
      </c>
    </row>
    <row r="16104">
      <c r="A16104" s="2" t="str">
        <f>IFERROR(__xludf.DUMMYFUNCTION("""COMPUTED_VALUE"""),"바지락상회")</f>
        <v>바지락상회</v>
      </c>
      <c r="B16104" s="2" t="str">
        <f>IFERROR(__xludf.DUMMYFUNCTION("""COMPUTED_VALUE"""),"달걀")</f>
        <v>달걀</v>
      </c>
    </row>
    <row r="16105">
      <c r="A16105" s="2" t="str">
        <f>IFERROR(__xludf.DUMMYFUNCTION("""COMPUTED_VALUE"""),"옥돔이 뭐길래")</f>
        <v>옥돔이 뭐길래</v>
      </c>
      <c r="B16105" s="2" t="str">
        <f>IFERROR(__xludf.DUMMYFUNCTION("""COMPUTED_VALUE"""),"옥돔")</f>
        <v>옥돔</v>
      </c>
    </row>
    <row r="16106">
      <c r="A16106" s="2" t="str">
        <f>IFERROR(__xludf.DUMMYFUNCTION("""COMPUTED_VALUE"""),"옥돔이 뭐길래")</f>
        <v>옥돔이 뭐길래</v>
      </c>
      <c r="B16106" s="2" t="str">
        <f>IFERROR(__xludf.DUMMYFUNCTION("""COMPUTED_VALUE"""),"감자")</f>
        <v>감자</v>
      </c>
    </row>
    <row r="16107">
      <c r="A16107" s="2" t="str">
        <f>IFERROR(__xludf.DUMMYFUNCTION("""COMPUTED_VALUE"""),"옥돔이 뭐길래")</f>
        <v>옥돔이 뭐길래</v>
      </c>
      <c r="B16107" s="2" t="str">
        <f>IFERROR(__xludf.DUMMYFUNCTION("""COMPUTED_VALUE"""),"냉동아보카도")</f>
        <v>냉동아보카도</v>
      </c>
    </row>
    <row r="16108">
      <c r="A16108" s="2" t="str">
        <f>IFERROR(__xludf.DUMMYFUNCTION("""COMPUTED_VALUE"""),"옥돔이 뭐길래")</f>
        <v>옥돔이 뭐길래</v>
      </c>
      <c r="B16108" s="2" t="str">
        <f>IFERROR(__xludf.DUMMYFUNCTION("""COMPUTED_VALUE"""),"오이지")</f>
        <v>오이지</v>
      </c>
    </row>
    <row r="16109">
      <c r="A16109" s="2" t="str">
        <f>IFERROR(__xludf.DUMMYFUNCTION("""COMPUTED_VALUE"""),"옥돔이 뭐길래")</f>
        <v>옥돔이 뭐길래</v>
      </c>
      <c r="B16109" s="2" t="str">
        <f>IFERROR(__xludf.DUMMYFUNCTION("""COMPUTED_VALUE"""),"파프리카")</f>
        <v>파프리카</v>
      </c>
    </row>
    <row r="16110">
      <c r="A16110" s="2" t="str">
        <f>IFERROR(__xludf.DUMMYFUNCTION("""COMPUTED_VALUE"""),"옥돔이 뭐길래")</f>
        <v>옥돔이 뭐길래</v>
      </c>
      <c r="B16110" s="2" t="str">
        <f>IFERROR(__xludf.DUMMYFUNCTION("""COMPUTED_VALUE"""),"참깨소스")</f>
        <v>참깨소스</v>
      </c>
    </row>
    <row r="16111">
      <c r="A16111" s="2" t="str">
        <f>IFERROR(__xludf.DUMMYFUNCTION("""COMPUTED_VALUE"""),"옥돔이 뭐길래")</f>
        <v>옥돔이 뭐길래</v>
      </c>
      <c r="B16111" s="2" t="str">
        <f>IFERROR(__xludf.DUMMYFUNCTION("""COMPUTED_VALUE"""),"옥수수")</f>
        <v>옥수수</v>
      </c>
    </row>
    <row r="16112">
      <c r="A16112" s="2" t="str">
        <f>IFERROR(__xludf.DUMMYFUNCTION("""COMPUTED_VALUE"""),"옥돔이 뭐길래")</f>
        <v>옥돔이 뭐길래</v>
      </c>
      <c r="B16112" s="2" t="str">
        <f>IFERROR(__xludf.DUMMYFUNCTION("""COMPUTED_VALUE"""),"닭육수")</f>
        <v>닭육수</v>
      </c>
    </row>
    <row r="16113">
      <c r="A16113" s="2" t="str">
        <f>IFERROR(__xludf.DUMMYFUNCTION("""COMPUTED_VALUE"""),"옥돔이 뭐길래")</f>
        <v>옥돔이 뭐길래</v>
      </c>
      <c r="B16113" s="2" t="str">
        <f>IFERROR(__xludf.DUMMYFUNCTION("""COMPUTED_VALUE"""),"발사믹드레싱")</f>
        <v>발사믹드레싱</v>
      </c>
    </row>
    <row r="16114">
      <c r="A16114" s="2" t="str">
        <f>IFERROR(__xludf.DUMMYFUNCTION("""COMPUTED_VALUE"""),"옥돔이 뭐길래")</f>
        <v>옥돔이 뭐길래</v>
      </c>
      <c r="B16114" s="2" t="str">
        <f>IFERROR(__xludf.DUMMYFUNCTION("""COMPUTED_VALUE"""),"날치알")</f>
        <v>날치알</v>
      </c>
    </row>
    <row r="16115">
      <c r="A16115" s="2" t="str">
        <f>IFERROR(__xludf.DUMMYFUNCTION("""COMPUTED_VALUE"""),"옥돔이 뭐길래")</f>
        <v>옥돔이 뭐길래</v>
      </c>
      <c r="B16115" s="2" t="str">
        <f>IFERROR(__xludf.DUMMYFUNCTION("""COMPUTED_VALUE"""),"양파")</f>
        <v>양파</v>
      </c>
    </row>
    <row r="16116">
      <c r="A16116" s="2" t="str">
        <f>IFERROR(__xludf.DUMMYFUNCTION("""COMPUTED_VALUE"""),"옥돔이 뭐길래")</f>
        <v>옥돔이 뭐길래</v>
      </c>
      <c r="B16116" s="2" t="str">
        <f>IFERROR(__xludf.DUMMYFUNCTION("""COMPUTED_VALUE"""),"올리브오일")</f>
        <v>올리브오일</v>
      </c>
    </row>
    <row r="16117">
      <c r="A16117" s="2" t="str">
        <f>IFERROR(__xludf.DUMMYFUNCTION("""COMPUTED_VALUE"""),"옥돔이 뭐길래")</f>
        <v>옥돔이 뭐길래</v>
      </c>
      <c r="B16117" s="2" t="str">
        <f>IFERROR(__xludf.DUMMYFUNCTION("""COMPUTED_VALUE"""),"마요네즈")</f>
        <v>마요네즈</v>
      </c>
    </row>
    <row r="16118">
      <c r="A16118" s="2" t="str">
        <f>IFERROR(__xludf.DUMMYFUNCTION("""COMPUTED_VALUE"""),"옥돔이 뭐길래")</f>
        <v>옥돔이 뭐길래</v>
      </c>
      <c r="B16118" s="2" t="str">
        <f>IFERROR(__xludf.DUMMYFUNCTION("""COMPUTED_VALUE"""),"소금")</f>
        <v>소금</v>
      </c>
    </row>
    <row r="16119">
      <c r="A16119" s="2" t="str">
        <f>IFERROR(__xludf.DUMMYFUNCTION("""COMPUTED_VALUE"""),"옥돔이 뭐길래")</f>
        <v>옥돔이 뭐길래</v>
      </c>
      <c r="B16119" s="2" t="str">
        <f>IFERROR(__xludf.DUMMYFUNCTION("""COMPUTED_VALUE"""),"버터")</f>
        <v>버터</v>
      </c>
    </row>
    <row r="16120">
      <c r="A16120" s="2" t="str">
        <f>IFERROR(__xludf.DUMMYFUNCTION("""COMPUTED_VALUE"""),"옥돔이 뭐길래")</f>
        <v>옥돔이 뭐길래</v>
      </c>
      <c r="B16120" s="2" t="str">
        <f>IFERROR(__xludf.DUMMYFUNCTION("""COMPUTED_VALUE"""),"레몬")</f>
        <v>레몬</v>
      </c>
    </row>
    <row r="16121">
      <c r="A16121" s="2" t="str">
        <f>IFERROR(__xludf.DUMMYFUNCTION("""COMPUTED_VALUE"""),"와인 아리랑")</f>
        <v>와인 아리랑</v>
      </c>
      <c r="B16121" s="2" t="str">
        <f>IFERROR(__xludf.DUMMYFUNCTION("""COMPUTED_VALUE"""),"이베리코 목살")</f>
        <v>이베리코 목살</v>
      </c>
    </row>
    <row r="16122">
      <c r="A16122" s="2" t="str">
        <f>IFERROR(__xludf.DUMMYFUNCTION("""COMPUTED_VALUE"""),"와인 아리랑")</f>
        <v>와인 아리랑</v>
      </c>
      <c r="B16122" s="2" t="str">
        <f>IFERROR(__xludf.DUMMYFUNCTION("""COMPUTED_VALUE"""),"불린 오이지")</f>
        <v>불린 오이지</v>
      </c>
    </row>
    <row r="16123">
      <c r="A16123" s="2" t="str">
        <f>IFERROR(__xludf.DUMMYFUNCTION("""COMPUTED_VALUE"""),"와인 아리랑")</f>
        <v>와인 아리랑</v>
      </c>
      <c r="B16123" s="2" t="str">
        <f>IFERROR(__xludf.DUMMYFUNCTION("""COMPUTED_VALUE"""),"참깨소스")</f>
        <v>참깨소스</v>
      </c>
    </row>
    <row r="16124">
      <c r="A16124" s="2" t="str">
        <f>IFERROR(__xludf.DUMMYFUNCTION("""COMPUTED_VALUE"""),"와인 아리랑")</f>
        <v>와인 아리랑</v>
      </c>
      <c r="B16124" s="2" t="str">
        <f>IFERROR(__xludf.DUMMYFUNCTION("""COMPUTED_VALUE"""),"옥수수")</f>
        <v>옥수수</v>
      </c>
    </row>
    <row r="16125">
      <c r="A16125" s="2" t="str">
        <f>IFERROR(__xludf.DUMMYFUNCTION("""COMPUTED_VALUE"""),"와인 아리랑")</f>
        <v>와인 아리랑</v>
      </c>
      <c r="B16125" s="2" t="str">
        <f>IFERROR(__xludf.DUMMYFUNCTION("""COMPUTED_VALUE"""),"파프리카")</f>
        <v>파프리카</v>
      </c>
    </row>
    <row r="16126">
      <c r="A16126" s="2" t="str">
        <f>IFERROR(__xludf.DUMMYFUNCTION("""COMPUTED_VALUE"""),"와인 아리랑")</f>
        <v>와인 아리랑</v>
      </c>
      <c r="B16126" s="2" t="str">
        <f>IFERROR(__xludf.DUMMYFUNCTION("""COMPUTED_VALUE"""),"불린 표고버섯")</f>
        <v>불린 표고버섯</v>
      </c>
    </row>
    <row r="16127">
      <c r="A16127" s="2" t="str">
        <f>IFERROR(__xludf.DUMMYFUNCTION("""COMPUTED_VALUE"""),"와인 아리랑")</f>
        <v>와인 아리랑</v>
      </c>
      <c r="B16127" s="2" t="str">
        <f>IFERROR(__xludf.DUMMYFUNCTION("""COMPUTED_VALUE"""),"간장소스")</f>
        <v>간장소스</v>
      </c>
    </row>
    <row r="16128">
      <c r="A16128" s="2" t="str">
        <f>IFERROR(__xludf.DUMMYFUNCTION("""COMPUTED_VALUE"""),"와인 아리랑")</f>
        <v>와인 아리랑</v>
      </c>
      <c r="B16128" s="2" t="str">
        <f>IFERROR(__xludf.DUMMYFUNCTION("""COMPUTED_VALUE"""),"오리엔탈드레싱")</f>
        <v>오리엔탈드레싱</v>
      </c>
    </row>
    <row r="16129">
      <c r="A16129" s="2" t="str">
        <f>IFERROR(__xludf.DUMMYFUNCTION("""COMPUTED_VALUE"""),"와인 아리랑")</f>
        <v>와인 아리랑</v>
      </c>
      <c r="B16129" s="2" t="str">
        <f>IFERROR(__xludf.DUMMYFUNCTION("""COMPUTED_VALUE"""),"마늘초절임")</f>
        <v>마늘초절임</v>
      </c>
    </row>
    <row r="16130">
      <c r="A16130" s="2" t="str">
        <f>IFERROR(__xludf.DUMMYFUNCTION("""COMPUTED_VALUE"""),"와인 아리랑")</f>
        <v>와인 아리랑</v>
      </c>
      <c r="B16130" s="2" t="str">
        <f>IFERROR(__xludf.DUMMYFUNCTION("""COMPUTED_VALUE"""),"다진생강")</f>
        <v>다진생강</v>
      </c>
    </row>
    <row r="16131">
      <c r="A16131" s="2" t="str">
        <f>IFERROR(__xludf.DUMMYFUNCTION("""COMPUTED_VALUE"""),"와인 아리랑")</f>
        <v>와인 아리랑</v>
      </c>
      <c r="B16131" s="2" t="str">
        <f>IFERROR(__xludf.DUMMYFUNCTION("""COMPUTED_VALUE"""),"양파")</f>
        <v>양파</v>
      </c>
    </row>
    <row r="16132">
      <c r="A16132" s="2" t="str">
        <f>IFERROR(__xludf.DUMMYFUNCTION("""COMPUTED_VALUE"""),"와인 아리랑")</f>
        <v>와인 아리랑</v>
      </c>
      <c r="B16132" s="2" t="str">
        <f>IFERROR(__xludf.DUMMYFUNCTION("""COMPUTED_VALUE"""),"고추")</f>
        <v>고추</v>
      </c>
    </row>
    <row r="16133">
      <c r="A16133" s="2" t="str">
        <f>IFERROR(__xludf.DUMMYFUNCTION("""COMPUTED_VALUE"""),"와인 아리랑")</f>
        <v>와인 아리랑</v>
      </c>
      <c r="B16133" s="2" t="str">
        <f>IFERROR(__xludf.DUMMYFUNCTION("""COMPUTED_VALUE"""),"참기름")</f>
        <v>참기름</v>
      </c>
    </row>
    <row r="16134">
      <c r="A16134" s="2" t="str">
        <f>IFERROR(__xludf.DUMMYFUNCTION("""COMPUTED_VALUE"""),"와인 아리랑")</f>
        <v>와인 아리랑</v>
      </c>
      <c r="B16134" s="2" t="str">
        <f>IFERROR(__xludf.DUMMYFUNCTION("""COMPUTED_VALUE"""),"대파")</f>
        <v>대파</v>
      </c>
    </row>
    <row r="16135">
      <c r="A16135" s="2" t="str">
        <f>IFERROR(__xludf.DUMMYFUNCTION("""COMPUTED_VALUE"""),"와인 아리랑")</f>
        <v>와인 아리랑</v>
      </c>
      <c r="B16135" s="2" t="str">
        <f>IFERROR(__xludf.DUMMYFUNCTION("""COMPUTED_VALUE"""),"맛술")</f>
        <v>맛술</v>
      </c>
    </row>
    <row r="16136">
      <c r="A16136" s="2" t="str">
        <f>IFERROR(__xludf.DUMMYFUNCTION("""COMPUTED_VALUE"""),"와인 아리랑")</f>
        <v>와인 아리랑</v>
      </c>
      <c r="B16136" s="2" t="str">
        <f>IFERROR(__xludf.DUMMYFUNCTION("""COMPUTED_VALUE"""),"올리브오일")</f>
        <v>올리브오일</v>
      </c>
    </row>
    <row r="16137">
      <c r="A16137" s="2" t="str">
        <f>IFERROR(__xludf.DUMMYFUNCTION("""COMPUTED_VALUE"""),"와인 아리랑")</f>
        <v>와인 아리랑</v>
      </c>
      <c r="B16137" s="2" t="str">
        <f>IFERROR(__xludf.DUMMYFUNCTION("""COMPUTED_VALUE"""),"설탕")</f>
        <v>설탕</v>
      </c>
    </row>
    <row r="16138">
      <c r="A16138" s="2" t="str">
        <f>IFERROR(__xludf.DUMMYFUNCTION("""COMPUTED_VALUE"""),"와인 아리랑")</f>
        <v>와인 아리랑</v>
      </c>
      <c r="B16138" s="2" t="str">
        <f>IFERROR(__xludf.DUMMYFUNCTION("""COMPUTED_VALUE"""),"달걀")</f>
        <v>달걀</v>
      </c>
    </row>
    <row r="16139">
      <c r="A16139" s="2" t="str">
        <f>IFERROR(__xludf.DUMMYFUNCTION("""COMPUTED_VALUE"""),"와인 아리랑")</f>
        <v>와인 아리랑</v>
      </c>
      <c r="B16139" s="2" t="str">
        <f>IFERROR(__xludf.DUMMYFUNCTION("""COMPUTED_VALUE"""),"식초")</f>
        <v>식초</v>
      </c>
    </row>
    <row r="16140">
      <c r="A16140" s="2" t="str">
        <f>IFERROR(__xludf.DUMMYFUNCTION("""COMPUTED_VALUE"""),"와인 아리랑")</f>
        <v>와인 아리랑</v>
      </c>
      <c r="B16140" s="2" t="str">
        <f>IFERROR(__xludf.DUMMYFUNCTION("""COMPUTED_VALUE"""),"마늘")</f>
        <v>마늘</v>
      </c>
    </row>
    <row r="16141">
      <c r="A16141" s="2" t="str">
        <f>IFERROR(__xludf.DUMMYFUNCTION("""COMPUTED_VALUE"""),"브루클린 바비큐")</f>
        <v>브루클린 바비큐</v>
      </c>
      <c r="B16141" s="2" t="str">
        <f>IFERROR(__xludf.DUMMYFUNCTION("""COMPUTED_VALUE"""),"소 등심")</f>
        <v>소 등심</v>
      </c>
    </row>
    <row r="16142">
      <c r="A16142" s="2" t="str">
        <f>IFERROR(__xludf.DUMMYFUNCTION("""COMPUTED_VALUE"""),"브루클린 바비큐")</f>
        <v>브루클린 바비큐</v>
      </c>
      <c r="B16142" s="2" t="str">
        <f>IFERROR(__xludf.DUMMYFUNCTION("""COMPUTED_VALUE"""),"소 안심")</f>
        <v>소 안심</v>
      </c>
    </row>
    <row r="16143">
      <c r="A16143" s="2" t="str">
        <f>IFERROR(__xludf.DUMMYFUNCTION("""COMPUTED_VALUE"""),"브루클린 바비큐")</f>
        <v>브루클린 바비큐</v>
      </c>
      <c r="B16143" s="2" t="str">
        <f>IFERROR(__xludf.DUMMYFUNCTION("""COMPUTED_VALUE"""),"모닝빵")</f>
        <v>모닝빵</v>
      </c>
    </row>
    <row r="16144">
      <c r="A16144" s="2" t="str">
        <f>IFERROR(__xludf.DUMMYFUNCTION("""COMPUTED_VALUE"""),"브루클린 바비큐")</f>
        <v>브루클린 바비큐</v>
      </c>
      <c r="B16144" s="2" t="str">
        <f>IFERROR(__xludf.DUMMYFUNCTION("""COMPUTED_VALUE"""),"쪽파")</f>
        <v>쪽파</v>
      </c>
    </row>
    <row r="16145">
      <c r="A16145" s="2" t="str">
        <f>IFERROR(__xludf.DUMMYFUNCTION("""COMPUTED_VALUE"""),"브루클린 바비큐")</f>
        <v>브루클린 바비큐</v>
      </c>
      <c r="B16145" s="2" t="str">
        <f>IFERROR(__xludf.DUMMYFUNCTION("""COMPUTED_VALUE"""),"양배추")</f>
        <v>양배추</v>
      </c>
    </row>
    <row r="16146">
      <c r="A16146" s="2" t="str">
        <f>IFERROR(__xludf.DUMMYFUNCTION("""COMPUTED_VALUE"""),"브루클린 바비큐")</f>
        <v>브루클린 바비큐</v>
      </c>
      <c r="B16146" s="2" t="str">
        <f>IFERROR(__xludf.DUMMYFUNCTION("""COMPUTED_VALUE"""),"오이")</f>
        <v>오이</v>
      </c>
    </row>
    <row r="16147">
      <c r="A16147" s="2" t="str">
        <f>IFERROR(__xludf.DUMMYFUNCTION("""COMPUTED_VALUE"""),"브루클린 바비큐")</f>
        <v>브루클린 바비큐</v>
      </c>
      <c r="B16147" s="2" t="str">
        <f>IFERROR(__xludf.DUMMYFUNCTION("""COMPUTED_VALUE"""),"파프리카")</f>
        <v>파프리카</v>
      </c>
    </row>
    <row r="16148">
      <c r="A16148" s="2" t="str">
        <f>IFERROR(__xludf.DUMMYFUNCTION("""COMPUTED_VALUE"""),"브루클린 바비큐")</f>
        <v>브루클린 바비큐</v>
      </c>
      <c r="B16148" s="2" t="str">
        <f>IFERROR(__xludf.DUMMYFUNCTION("""COMPUTED_VALUE"""),"파슬리가루")</f>
        <v>파슬리가루</v>
      </c>
    </row>
    <row r="16149">
      <c r="A16149" s="2" t="str">
        <f>IFERROR(__xludf.DUMMYFUNCTION("""COMPUTED_VALUE"""),"브루클린 바비큐")</f>
        <v>브루클린 바비큐</v>
      </c>
      <c r="B16149" s="2" t="str">
        <f>IFERROR(__xludf.DUMMYFUNCTION("""COMPUTED_VALUE"""),"머스터드")</f>
        <v>머스터드</v>
      </c>
    </row>
    <row r="16150">
      <c r="A16150" s="2" t="str">
        <f>IFERROR(__xludf.DUMMYFUNCTION("""COMPUTED_VALUE"""),"브루클린 바비큐")</f>
        <v>브루클린 바비큐</v>
      </c>
      <c r="B16150" s="2" t="str">
        <f>IFERROR(__xludf.DUMMYFUNCTION("""COMPUTED_VALUE"""),"스리라차소스")</f>
        <v>스리라차소스</v>
      </c>
    </row>
    <row r="16151">
      <c r="A16151" s="2" t="str">
        <f>IFERROR(__xludf.DUMMYFUNCTION("""COMPUTED_VALUE"""),"브루클린 바비큐")</f>
        <v>브루클린 바비큐</v>
      </c>
      <c r="B16151" s="2" t="str">
        <f>IFERROR(__xludf.DUMMYFUNCTION("""COMPUTED_VALUE"""),"스테이크소스")</f>
        <v>스테이크소스</v>
      </c>
    </row>
    <row r="16152">
      <c r="A16152" s="2" t="str">
        <f>IFERROR(__xludf.DUMMYFUNCTION("""COMPUTED_VALUE"""),"브루클린 바비큐")</f>
        <v>브루클린 바비큐</v>
      </c>
      <c r="B16152" s="2" t="str">
        <f>IFERROR(__xludf.DUMMYFUNCTION("""COMPUTED_VALUE"""),"닭가슴살 소시지")</f>
        <v>닭가슴살 소시지</v>
      </c>
    </row>
    <row r="16153">
      <c r="A16153" s="2" t="str">
        <f>IFERROR(__xludf.DUMMYFUNCTION("""COMPUTED_VALUE"""),"브루클린 바비큐")</f>
        <v>브루클린 바비큐</v>
      </c>
      <c r="B16153" s="2" t="str">
        <f>IFERROR(__xludf.DUMMYFUNCTION("""COMPUTED_VALUE"""),"고구마큐브")</f>
        <v>고구마큐브</v>
      </c>
    </row>
    <row r="16154">
      <c r="A16154" s="2" t="str">
        <f>IFERROR(__xludf.DUMMYFUNCTION("""COMPUTED_VALUE"""),"브루클린 바비큐")</f>
        <v>브루클린 바비큐</v>
      </c>
      <c r="B16154" s="2" t="str">
        <f>IFERROR(__xludf.DUMMYFUNCTION("""COMPUTED_VALUE"""),"닭가슴살 큐브")</f>
        <v>닭가슴살 큐브</v>
      </c>
    </row>
    <row r="16155">
      <c r="A16155" s="2" t="str">
        <f>IFERROR(__xludf.DUMMYFUNCTION("""COMPUTED_VALUE"""),"브루클린 바비큐")</f>
        <v>브루클린 바비큐</v>
      </c>
      <c r="B16155" s="2" t="str">
        <f>IFERROR(__xludf.DUMMYFUNCTION("""COMPUTED_VALUE"""),"오이지물김치")</f>
        <v>오이지물김치</v>
      </c>
    </row>
    <row r="16156">
      <c r="A16156" s="2" t="str">
        <f>IFERROR(__xludf.DUMMYFUNCTION("""COMPUTED_VALUE"""),"브루클린 바비큐")</f>
        <v>브루클린 바비큐</v>
      </c>
      <c r="B16156" s="2" t="str">
        <f>IFERROR(__xludf.DUMMYFUNCTION("""COMPUTED_VALUE"""),"방울토마토")</f>
        <v>방울토마토</v>
      </c>
    </row>
    <row r="16157">
      <c r="A16157" s="2" t="str">
        <f>IFERROR(__xludf.DUMMYFUNCTION("""COMPUTED_VALUE"""),"브루클린 바비큐")</f>
        <v>브루클린 바비큐</v>
      </c>
      <c r="B16157" s="2" t="str">
        <f>IFERROR(__xludf.DUMMYFUNCTION("""COMPUTED_VALUE"""),"비파잎")</f>
        <v>비파잎</v>
      </c>
    </row>
    <row r="16158">
      <c r="A16158" s="2" t="str">
        <f>IFERROR(__xludf.DUMMYFUNCTION("""COMPUTED_VALUE"""),"브루클린 바비큐")</f>
        <v>브루클린 바비큐</v>
      </c>
      <c r="B16158" s="2" t="str">
        <f>IFERROR(__xludf.DUMMYFUNCTION("""COMPUTED_VALUE"""),"올리브오일")</f>
        <v>올리브오일</v>
      </c>
    </row>
    <row r="16159">
      <c r="A16159" s="2" t="str">
        <f>IFERROR(__xludf.DUMMYFUNCTION("""COMPUTED_VALUE"""),"브루클린 바비큐")</f>
        <v>브루클린 바비큐</v>
      </c>
      <c r="B16159" s="2" t="str">
        <f>IFERROR(__xludf.DUMMYFUNCTION("""COMPUTED_VALUE"""),"라면 수프")</f>
        <v>라면 수프</v>
      </c>
    </row>
    <row r="16160">
      <c r="A16160" s="2" t="str">
        <f>IFERROR(__xludf.DUMMYFUNCTION("""COMPUTED_VALUE"""),"브루클린 바비큐")</f>
        <v>브루클린 바비큐</v>
      </c>
      <c r="B16160" s="2" t="str">
        <f>IFERROR(__xludf.DUMMYFUNCTION("""COMPUTED_VALUE"""),"다진 마늘")</f>
        <v>다진 마늘</v>
      </c>
    </row>
    <row r="16161">
      <c r="A16161" s="2" t="str">
        <f>IFERROR(__xludf.DUMMYFUNCTION("""COMPUTED_VALUE"""),"브루클린 바비큐")</f>
        <v>브루클린 바비큐</v>
      </c>
      <c r="B16161" s="2" t="str">
        <f>IFERROR(__xludf.DUMMYFUNCTION("""COMPUTED_VALUE"""),"간장")</f>
        <v>간장</v>
      </c>
    </row>
    <row r="16162">
      <c r="A16162" s="2" t="str">
        <f>IFERROR(__xludf.DUMMYFUNCTION("""COMPUTED_VALUE"""),"브루클린 바비큐")</f>
        <v>브루클린 바비큐</v>
      </c>
      <c r="B16162" s="2" t="str">
        <f>IFERROR(__xludf.DUMMYFUNCTION("""COMPUTED_VALUE"""),"양파")</f>
        <v>양파</v>
      </c>
    </row>
    <row r="16163">
      <c r="A16163" s="2" t="str">
        <f>IFERROR(__xludf.DUMMYFUNCTION("""COMPUTED_VALUE"""),"브루클린 바비큐")</f>
        <v>브루클린 바비큐</v>
      </c>
      <c r="B16163" s="2" t="str">
        <f>IFERROR(__xludf.DUMMYFUNCTION("""COMPUTED_VALUE"""),"케첩")</f>
        <v>케첩</v>
      </c>
    </row>
    <row r="16164">
      <c r="A16164" s="2" t="str">
        <f>IFERROR(__xludf.DUMMYFUNCTION("""COMPUTED_VALUE"""),"브루클린 바비큐")</f>
        <v>브루클린 바비큐</v>
      </c>
      <c r="B16164" s="2" t="str">
        <f>IFERROR(__xludf.DUMMYFUNCTION("""COMPUTED_VALUE"""),"물엿")</f>
        <v>물엿</v>
      </c>
    </row>
    <row r="16165">
      <c r="A16165" s="2" t="str">
        <f>IFERROR(__xludf.DUMMYFUNCTION("""COMPUTED_VALUE"""),"브루클린 바비큐")</f>
        <v>브루클린 바비큐</v>
      </c>
      <c r="B16165" s="2" t="str">
        <f>IFERROR(__xludf.DUMMYFUNCTION("""COMPUTED_VALUE"""),"식초")</f>
        <v>식초</v>
      </c>
    </row>
    <row r="16166">
      <c r="A16166" s="2" t="str">
        <f>IFERROR(__xludf.DUMMYFUNCTION("""COMPUTED_VALUE"""),"브루클린 바비큐")</f>
        <v>브루클린 바비큐</v>
      </c>
      <c r="B16166" s="2" t="str">
        <f>IFERROR(__xludf.DUMMYFUNCTION("""COMPUTED_VALUE"""),"다진 생강")</f>
        <v>다진 생강</v>
      </c>
    </row>
    <row r="16167">
      <c r="A16167" s="2" t="str">
        <f>IFERROR(__xludf.DUMMYFUNCTION("""COMPUTED_VALUE"""),"브루클린 바비큐")</f>
        <v>브루클린 바비큐</v>
      </c>
      <c r="B16167" s="2" t="str">
        <f>IFERROR(__xludf.DUMMYFUNCTION("""COMPUTED_VALUE"""),"후추")</f>
        <v>후추</v>
      </c>
    </row>
    <row r="16168">
      <c r="A16168" s="2" t="str">
        <f>IFERROR(__xludf.DUMMYFUNCTION("""COMPUTED_VALUE"""),"브루클린 바비큐")</f>
        <v>브루클린 바비큐</v>
      </c>
      <c r="B16168" s="2" t="str">
        <f>IFERROR(__xludf.DUMMYFUNCTION("""COMPUTED_VALUE"""),"설탕")</f>
        <v>설탕</v>
      </c>
    </row>
    <row r="16169">
      <c r="A16169" s="2" t="str">
        <f>IFERROR(__xludf.DUMMYFUNCTION("""COMPUTED_VALUE"""),"브루클린 바비큐")</f>
        <v>브루클린 바비큐</v>
      </c>
      <c r="B16169" s="2" t="str">
        <f>IFERROR(__xludf.DUMMYFUNCTION("""COMPUTED_VALUE"""),"밀가루")</f>
        <v>밀가루</v>
      </c>
    </row>
    <row r="16170">
      <c r="A16170" s="2" t="str">
        <f>IFERROR(__xludf.DUMMYFUNCTION("""COMPUTED_VALUE"""),"브루클린 바비큐")</f>
        <v>브루클린 바비큐</v>
      </c>
      <c r="B16170" s="2" t="str">
        <f>IFERROR(__xludf.DUMMYFUNCTION("""COMPUTED_VALUE"""),"달걀")</f>
        <v>달걀</v>
      </c>
    </row>
    <row r="16171">
      <c r="A16171" s="2" t="str">
        <f>IFERROR(__xludf.DUMMYFUNCTION("""COMPUTED_VALUE"""),"브루클린 바비큐")</f>
        <v>브루클린 바비큐</v>
      </c>
      <c r="B16171" s="2" t="str">
        <f>IFERROR(__xludf.DUMMYFUNCTION("""COMPUTED_VALUE"""),"소금")</f>
        <v>소금</v>
      </c>
    </row>
    <row r="16172">
      <c r="A16172" s="2" t="str">
        <f>IFERROR(__xludf.DUMMYFUNCTION("""COMPUTED_VALUE"""),"브루클린 바비큐")</f>
        <v>브루클린 바비큐</v>
      </c>
      <c r="B16172" s="2" t="str">
        <f>IFERROR(__xludf.DUMMYFUNCTION("""COMPUTED_VALUE"""),"마요네즈")</f>
        <v>마요네즈</v>
      </c>
    </row>
    <row r="16173">
      <c r="A16173" s="2" t="str">
        <f>IFERROR(__xludf.DUMMYFUNCTION("""COMPUTED_VALUE"""),"오 나의 소고기님")</f>
        <v>오 나의 소고기님</v>
      </c>
      <c r="B16173" s="2" t="str">
        <f>IFERROR(__xludf.DUMMYFUNCTION("""COMPUTED_VALUE"""),"소 안심")</f>
        <v>소 안심</v>
      </c>
    </row>
    <row r="16174">
      <c r="A16174" s="2" t="str">
        <f>IFERROR(__xludf.DUMMYFUNCTION("""COMPUTED_VALUE"""),"오 나의 소고기님")</f>
        <v>오 나의 소고기님</v>
      </c>
      <c r="B16174" s="2" t="str">
        <f>IFERROR(__xludf.DUMMYFUNCTION("""COMPUTED_VALUE"""),"비파잎")</f>
        <v>비파잎</v>
      </c>
    </row>
    <row r="16175">
      <c r="A16175" s="2" t="str">
        <f>IFERROR(__xludf.DUMMYFUNCTION("""COMPUTED_VALUE"""),"오 나의 소고기님")</f>
        <v>오 나의 소고기님</v>
      </c>
      <c r="B16175" s="2" t="str">
        <f>IFERROR(__xludf.DUMMYFUNCTION("""COMPUTED_VALUE"""),"올리브오일 방울토마토절임")</f>
        <v>올리브오일 방울토마토절임</v>
      </c>
    </row>
    <row r="16176">
      <c r="A16176" s="2" t="str">
        <f>IFERROR(__xludf.DUMMYFUNCTION("""COMPUTED_VALUE"""),"오 나의 소고기님")</f>
        <v>오 나의 소고기님</v>
      </c>
      <c r="B16176" s="2" t="str">
        <f>IFERROR(__xludf.DUMMYFUNCTION("""COMPUTED_VALUE"""),"매실청")</f>
        <v>매실청</v>
      </c>
    </row>
    <row r="16177">
      <c r="A16177" s="2" t="str">
        <f>IFERROR(__xludf.DUMMYFUNCTION("""COMPUTED_VALUE"""),"오 나의 소고기님")</f>
        <v>오 나의 소고기님</v>
      </c>
      <c r="B16177" s="2" t="str">
        <f>IFERROR(__xludf.DUMMYFUNCTION("""COMPUTED_VALUE"""),"타바스코소스")</f>
        <v>타바스코소스</v>
      </c>
    </row>
    <row r="16178">
      <c r="A16178" s="2" t="str">
        <f>IFERROR(__xludf.DUMMYFUNCTION("""COMPUTED_VALUE"""),"오 나의 소고기님")</f>
        <v>오 나의 소고기님</v>
      </c>
      <c r="B16178" s="2" t="str">
        <f>IFERROR(__xludf.DUMMYFUNCTION("""COMPUTED_VALUE"""),"방울토마토")</f>
        <v>방울토마토</v>
      </c>
    </row>
    <row r="16179">
      <c r="A16179" s="2" t="str">
        <f>IFERROR(__xludf.DUMMYFUNCTION("""COMPUTED_VALUE"""),"오 나의 소고기님")</f>
        <v>오 나의 소고기님</v>
      </c>
      <c r="B16179" s="2" t="str">
        <f>IFERROR(__xludf.DUMMYFUNCTION("""COMPUTED_VALUE"""),"라임")</f>
        <v>라임</v>
      </c>
    </row>
    <row r="16180">
      <c r="A16180" s="2" t="str">
        <f>IFERROR(__xludf.DUMMYFUNCTION("""COMPUTED_VALUE"""),"오 나의 소고기님")</f>
        <v>오 나의 소고기님</v>
      </c>
      <c r="B16180" s="2" t="str">
        <f>IFERROR(__xludf.DUMMYFUNCTION("""COMPUTED_VALUE"""),"토닉워터")</f>
        <v>토닉워터</v>
      </c>
    </row>
    <row r="16181">
      <c r="A16181" s="2" t="str">
        <f>IFERROR(__xludf.DUMMYFUNCTION("""COMPUTED_VALUE"""),"오 나의 소고기님")</f>
        <v>오 나의 소고기님</v>
      </c>
      <c r="B16181" s="2" t="str">
        <f>IFERROR(__xludf.DUMMYFUNCTION("""COMPUTED_VALUE"""),"파프리카")</f>
        <v>파프리카</v>
      </c>
    </row>
    <row r="16182">
      <c r="A16182" s="2" t="str">
        <f>IFERROR(__xludf.DUMMYFUNCTION("""COMPUTED_VALUE"""),"오 나의 소고기님")</f>
        <v>오 나의 소고기님</v>
      </c>
      <c r="B16182" s="2" t="str">
        <f>IFERROR(__xludf.DUMMYFUNCTION("""COMPUTED_VALUE"""),"슬라이스치즈")</f>
        <v>슬라이스치즈</v>
      </c>
    </row>
    <row r="16183">
      <c r="A16183" s="2" t="str">
        <f>IFERROR(__xludf.DUMMYFUNCTION("""COMPUTED_VALUE"""),"오 나의 소고기님")</f>
        <v>오 나의 소고기님</v>
      </c>
      <c r="B16183" s="2" t="str">
        <f>IFERROR(__xludf.DUMMYFUNCTION("""COMPUTED_VALUE"""),"청포도")</f>
        <v>청포도</v>
      </c>
    </row>
    <row r="16184">
      <c r="A16184" s="2" t="str">
        <f>IFERROR(__xludf.DUMMYFUNCTION("""COMPUTED_VALUE"""),"오 나의 소고기님")</f>
        <v>오 나의 소고기님</v>
      </c>
      <c r="B16184" s="2" t="str">
        <f>IFERROR(__xludf.DUMMYFUNCTION("""COMPUTED_VALUE"""),"아스파라거스")</f>
        <v>아스파라거스</v>
      </c>
    </row>
    <row r="16185">
      <c r="A16185" s="2" t="str">
        <f>IFERROR(__xludf.DUMMYFUNCTION("""COMPUTED_VALUE"""),"오 나의 소고기님")</f>
        <v>오 나의 소고기님</v>
      </c>
      <c r="B16185" s="2" t="str">
        <f>IFERROR(__xludf.DUMMYFUNCTION("""COMPUTED_VALUE"""),"리코타치즈")</f>
        <v>리코타치즈</v>
      </c>
    </row>
    <row r="16186">
      <c r="A16186" s="2" t="str">
        <f>IFERROR(__xludf.DUMMYFUNCTION("""COMPUTED_VALUE"""),"오 나의 소고기님")</f>
        <v>오 나의 소고기님</v>
      </c>
      <c r="B16186" s="2" t="str">
        <f>IFERROR(__xludf.DUMMYFUNCTION("""COMPUTED_VALUE"""),"파인애플")</f>
        <v>파인애플</v>
      </c>
    </row>
    <row r="16187">
      <c r="A16187" s="2" t="str">
        <f>IFERROR(__xludf.DUMMYFUNCTION("""COMPUTED_VALUE"""),"오 나의 소고기님")</f>
        <v>오 나의 소고기님</v>
      </c>
      <c r="B16187" s="2" t="str">
        <f>IFERROR(__xludf.DUMMYFUNCTION("""COMPUTED_VALUE"""),"그린올리브")</f>
        <v>그린올리브</v>
      </c>
    </row>
    <row r="16188">
      <c r="A16188" s="2" t="str">
        <f>IFERROR(__xludf.DUMMYFUNCTION("""COMPUTED_VALUE"""),"오 나의 소고기님")</f>
        <v>오 나의 소고기님</v>
      </c>
      <c r="B16188" s="2" t="str">
        <f>IFERROR(__xludf.DUMMYFUNCTION("""COMPUTED_VALUE"""),"콩")</f>
        <v>콩</v>
      </c>
    </row>
    <row r="16189">
      <c r="A16189" s="2" t="str">
        <f>IFERROR(__xludf.DUMMYFUNCTION("""COMPUTED_VALUE"""),"오 나의 소고기님")</f>
        <v>오 나의 소고기님</v>
      </c>
      <c r="B16189" s="2" t="str">
        <f>IFERROR(__xludf.DUMMYFUNCTION("""COMPUTED_VALUE"""),"모닝빵")</f>
        <v>모닝빵</v>
      </c>
    </row>
    <row r="16190">
      <c r="A16190" s="2" t="str">
        <f>IFERROR(__xludf.DUMMYFUNCTION("""COMPUTED_VALUE"""),"오 나의 소고기님")</f>
        <v>오 나의 소고기님</v>
      </c>
      <c r="B16190" s="2" t="str">
        <f>IFERROR(__xludf.DUMMYFUNCTION("""COMPUTED_VALUE"""),"쪽파")</f>
        <v>쪽파</v>
      </c>
    </row>
    <row r="16191">
      <c r="A16191" s="2" t="str">
        <f>IFERROR(__xludf.DUMMYFUNCTION("""COMPUTED_VALUE"""),"오 나의 소고기님")</f>
        <v>오 나의 소고기님</v>
      </c>
      <c r="B16191" s="2" t="str">
        <f>IFERROR(__xludf.DUMMYFUNCTION("""COMPUTED_VALUE"""),"양파")</f>
        <v>양파</v>
      </c>
    </row>
    <row r="16192">
      <c r="A16192" s="2" t="str">
        <f>IFERROR(__xludf.DUMMYFUNCTION("""COMPUTED_VALUE"""),"오 나의 소고기님")</f>
        <v>오 나의 소고기님</v>
      </c>
      <c r="B16192" s="2" t="str">
        <f>IFERROR(__xludf.DUMMYFUNCTION("""COMPUTED_VALUE"""),"후추")</f>
        <v>후추</v>
      </c>
    </row>
    <row r="16193">
      <c r="A16193" s="2" t="str">
        <f>IFERROR(__xludf.DUMMYFUNCTION("""COMPUTED_VALUE"""),"오 나의 소고기님")</f>
        <v>오 나의 소고기님</v>
      </c>
      <c r="B16193" s="2" t="str">
        <f>IFERROR(__xludf.DUMMYFUNCTION("""COMPUTED_VALUE"""),"소금")</f>
        <v>소금</v>
      </c>
    </row>
    <row r="16194">
      <c r="A16194" s="2" t="str">
        <f>IFERROR(__xludf.DUMMYFUNCTION("""COMPUTED_VALUE"""),"오 나의 소고기님")</f>
        <v>오 나의 소고기님</v>
      </c>
      <c r="B16194" s="2" t="str">
        <f>IFERROR(__xludf.DUMMYFUNCTION("""COMPUTED_VALUE"""),"올리브오일")</f>
        <v>올리브오일</v>
      </c>
    </row>
    <row r="16195">
      <c r="A16195" s="2" t="str">
        <f>IFERROR(__xludf.DUMMYFUNCTION("""COMPUTED_VALUE"""),"오 나의 소고기님")</f>
        <v>오 나의 소고기님</v>
      </c>
      <c r="B16195" s="2" t="str">
        <f>IFERROR(__xludf.DUMMYFUNCTION("""COMPUTED_VALUE"""),"다진 마늘")</f>
        <v>다진 마늘</v>
      </c>
    </row>
    <row r="16196">
      <c r="A16196" s="2" t="str">
        <f>IFERROR(__xludf.DUMMYFUNCTION("""COMPUTED_VALUE"""),"오 나의 소고기님")</f>
        <v>오 나의 소고기님</v>
      </c>
      <c r="B16196" s="2" t="str">
        <f>IFERROR(__xludf.DUMMYFUNCTION("""COMPUTED_VALUE"""),"레몬")</f>
        <v>레몬</v>
      </c>
    </row>
    <row r="16197">
      <c r="A16197" s="2" t="str">
        <f>IFERROR(__xludf.DUMMYFUNCTION("""COMPUTED_VALUE"""),"오 나의 소고기님")</f>
        <v>오 나의 소고기님</v>
      </c>
      <c r="B16197" s="2" t="str">
        <f>IFERROR(__xludf.DUMMYFUNCTION("""COMPUTED_VALUE"""),"청양고추")</f>
        <v>청양고추</v>
      </c>
    </row>
    <row r="16198">
      <c r="A16198" s="2" t="str">
        <f>IFERROR(__xludf.DUMMYFUNCTION("""COMPUTED_VALUE"""),"오 나의 소고기님")</f>
        <v>오 나의 소고기님</v>
      </c>
      <c r="B16198" s="2" t="str">
        <f>IFERROR(__xludf.DUMMYFUNCTION("""COMPUTED_VALUE"""),"달걀")</f>
        <v>달걀</v>
      </c>
    </row>
    <row r="16199">
      <c r="A16199" s="2" t="str">
        <f>IFERROR(__xludf.DUMMYFUNCTION("""COMPUTED_VALUE"""),"그릇을 부딪치며 단짠짠♬")</f>
        <v>그릇을 부딪치며 단짠짠♬</v>
      </c>
      <c r="B16199" s="2" t="str">
        <f>IFERROR(__xludf.DUMMYFUNCTION("""COMPUTED_VALUE"""),"새우살")</f>
        <v>새우살</v>
      </c>
    </row>
    <row r="16200">
      <c r="A16200" s="2" t="str">
        <f>IFERROR(__xludf.DUMMYFUNCTION("""COMPUTED_VALUE"""),"그릇을 부딪치며 단짠짠♬")</f>
        <v>그릇을 부딪치며 단짠짠♬</v>
      </c>
      <c r="B16200" s="2" t="str">
        <f>IFERROR(__xludf.DUMMYFUNCTION("""COMPUTED_VALUE"""),"모닝빵")</f>
        <v>모닝빵</v>
      </c>
    </row>
    <row r="16201">
      <c r="A16201" s="2" t="str">
        <f>IFERROR(__xludf.DUMMYFUNCTION("""COMPUTED_VALUE"""),"그릇을 부딪치며 단짠짠♬")</f>
        <v>그릇을 부딪치며 단짠짠♬</v>
      </c>
      <c r="B16201" s="2" t="str">
        <f>IFERROR(__xludf.DUMMYFUNCTION("""COMPUTED_VALUE"""),"복숭아")</f>
        <v>복숭아</v>
      </c>
    </row>
    <row r="16202">
      <c r="A16202" s="2" t="str">
        <f>IFERROR(__xludf.DUMMYFUNCTION("""COMPUTED_VALUE"""),"그릇을 부딪치며 단짠짠♬")</f>
        <v>그릇을 부딪치며 단짠짠♬</v>
      </c>
      <c r="B16202" s="2" t="str">
        <f>IFERROR(__xludf.DUMMYFUNCTION("""COMPUTED_VALUE"""),"방울토마토")</f>
        <v>방울토마토</v>
      </c>
    </row>
    <row r="16203">
      <c r="A16203" s="2" t="str">
        <f>IFERROR(__xludf.DUMMYFUNCTION("""COMPUTED_VALUE"""),"그릇을 부딪치며 단짠짠♬")</f>
        <v>그릇을 부딪치며 단짠짠♬</v>
      </c>
      <c r="B16203" s="2" t="str">
        <f>IFERROR(__xludf.DUMMYFUNCTION("""COMPUTED_VALUE"""),"오이지물김치")</f>
        <v>오이지물김치</v>
      </c>
    </row>
    <row r="16204">
      <c r="A16204" s="2" t="str">
        <f>IFERROR(__xludf.DUMMYFUNCTION("""COMPUTED_VALUE"""),"그릇을 부딪치며 단짠짠♬")</f>
        <v>그릇을 부딪치며 단짠짠♬</v>
      </c>
      <c r="B16204" s="2" t="str">
        <f>IFERROR(__xludf.DUMMYFUNCTION("""COMPUTED_VALUE"""),"멸치볶음")</f>
        <v>멸치볶음</v>
      </c>
    </row>
    <row r="16205">
      <c r="A16205" s="2" t="str">
        <f>IFERROR(__xludf.DUMMYFUNCTION("""COMPUTED_VALUE"""),"그릇을 부딪치며 단짠짠♬")</f>
        <v>그릇을 부딪치며 단짠짠♬</v>
      </c>
      <c r="B16205" s="2" t="str">
        <f>IFERROR(__xludf.DUMMYFUNCTION("""COMPUTED_VALUE"""),"쪽파김치")</f>
        <v>쪽파김치</v>
      </c>
    </row>
    <row r="16206">
      <c r="A16206" s="2" t="str">
        <f>IFERROR(__xludf.DUMMYFUNCTION("""COMPUTED_VALUE"""),"그릇을 부딪치며 단짠짠♬")</f>
        <v>그릇을 부딪치며 단짠짠♬</v>
      </c>
      <c r="B16206" s="2" t="str">
        <f>IFERROR(__xludf.DUMMYFUNCTION("""COMPUTED_VALUE"""),"쿠키맛 아이스크림")</f>
        <v>쿠키맛 아이스크림</v>
      </c>
    </row>
    <row r="16207">
      <c r="A16207" s="2" t="str">
        <f>IFERROR(__xludf.DUMMYFUNCTION("""COMPUTED_VALUE"""),"그릇을 부딪치며 단짠짠♬")</f>
        <v>그릇을 부딪치며 단짠짠♬</v>
      </c>
      <c r="B16207" s="2" t="str">
        <f>IFERROR(__xludf.DUMMYFUNCTION("""COMPUTED_VALUE"""),"오이")</f>
        <v>오이</v>
      </c>
    </row>
    <row r="16208">
      <c r="A16208" s="2" t="str">
        <f>IFERROR(__xludf.DUMMYFUNCTION("""COMPUTED_VALUE"""),"그릇을 부딪치며 단짠짠♬")</f>
        <v>그릇을 부딪치며 단짠짠♬</v>
      </c>
      <c r="B16208" s="2" t="str">
        <f>IFERROR(__xludf.DUMMYFUNCTION("""COMPUTED_VALUE"""),"공심채")</f>
        <v>공심채</v>
      </c>
    </row>
    <row r="16209">
      <c r="A16209" s="2" t="str">
        <f>IFERROR(__xludf.DUMMYFUNCTION("""COMPUTED_VALUE"""),"그릇을 부딪치며 단짠짠♬")</f>
        <v>그릇을 부딪치며 단짠짠♬</v>
      </c>
      <c r="B16209" s="2" t="str">
        <f>IFERROR(__xludf.DUMMYFUNCTION("""COMPUTED_VALUE"""),"우동면")</f>
        <v>우동면</v>
      </c>
    </row>
    <row r="16210">
      <c r="A16210" s="2" t="str">
        <f>IFERROR(__xludf.DUMMYFUNCTION("""COMPUTED_VALUE"""),"그릇을 부딪치며 단짠짠♬")</f>
        <v>그릇을 부딪치며 단짠짠♬</v>
      </c>
      <c r="B16210" s="2" t="str">
        <f>IFERROR(__xludf.DUMMYFUNCTION("""COMPUTED_VALUE"""),"초코과자")</f>
        <v>초코과자</v>
      </c>
    </row>
    <row r="16211">
      <c r="A16211" s="2" t="str">
        <f>IFERROR(__xludf.DUMMYFUNCTION("""COMPUTED_VALUE"""),"그릇을 부딪치며 단짠짠♬")</f>
        <v>그릇을 부딪치며 단짠짠♬</v>
      </c>
      <c r="B16211" s="2" t="str">
        <f>IFERROR(__xludf.DUMMYFUNCTION("""COMPUTED_VALUE"""),"아스파라거스레몬절임")</f>
        <v>아스파라거스레몬절임</v>
      </c>
    </row>
    <row r="16212">
      <c r="A16212" s="2" t="str">
        <f>IFERROR(__xludf.DUMMYFUNCTION("""COMPUTED_VALUE"""),"그릇을 부딪치며 단짠짠♬")</f>
        <v>그릇을 부딪치며 단짠짠♬</v>
      </c>
      <c r="B16212" s="2" t="str">
        <f>IFERROR(__xludf.DUMMYFUNCTION("""COMPUTED_VALUE"""),"굴소스")</f>
        <v>굴소스</v>
      </c>
    </row>
    <row r="16213">
      <c r="A16213" s="2" t="str">
        <f>IFERROR(__xludf.DUMMYFUNCTION("""COMPUTED_VALUE"""),"그릇을 부딪치며 단짠짠♬")</f>
        <v>그릇을 부딪치며 단짠짠♬</v>
      </c>
      <c r="B16213" s="2" t="str">
        <f>IFERROR(__xludf.DUMMYFUNCTION("""COMPUTED_VALUE"""),"설탕")</f>
        <v>설탕</v>
      </c>
    </row>
    <row r="16214">
      <c r="A16214" s="2" t="str">
        <f>IFERROR(__xludf.DUMMYFUNCTION("""COMPUTED_VALUE"""),"그릇을 부딪치며 단짠짠♬")</f>
        <v>그릇을 부딪치며 단짠짠♬</v>
      </c>
      <c r="B16214" s="2" t="str">
        <f>IFERROR(__xludf.DUMMYFUNCTION("""COMPUTED_VALUE"""),"간장")</f>
        <v>간장</v>
      </c>
    </row>
    <row r="16215">
      <c r="A16215" s="2" t="str">
        <f>IFERROR(__xludf.DUMMYFUNCTION("""COMPUTED_VALUE"""),"그릇을 부딪치며 단짠짠♬")</f>
        <v>그릇을 부딪치며 단짠짠♬</v>
      </c>
      <c r="B16215" s="2" t="str">
        <f>IFERROR(__xludf.DUMMYFUNCTION("""COMPUTED_VALUE"""),"청양고추")</f>
        <v>청양고추</v>
      </c>
    </row>
    <row r="16216">
      <c r="A16216" s="2" t="str">
        <f>IFERROR(__xludf.DUMMYFUNCTION("""COMPUTED_VALUE"""),"그릇을 부딪치며 단짠짠♬")</f>
        <v>그릇을 부딪치며 단짠짠♬</v>
      </c>
      <c r="B16216" s="2" t="str">
        <f>IFERROR(__xludf.DUMMYFUNCTION("""COMPUTED_VALUE"""),"레몬")</f>
        <v>레몬</v>
      </c>
    </row>
    <row r="16217">
      <c r="A16217" s="2" t="str">
        <f>IFERROR(__xludf.DUMMYFUNCTION("""COMPUTED_VALUE"""),"그릇을 부딪치며 단짠짠♬")</f>
        <v>그릇을 부딪치며 단짠짠♬</v>
      </c>
      <c r="B16217" s="2" t="str">
        <f>IFERROR(__xludf.DUMMYFUNCTION("""COMPUTED_VALUE"""),"홍고추")</f>
        <v>홍고추</v>
      </c>
    </row>
    <row r="16218">
      <c r="A16218" s="2" t="str">
        <f>IFERROR(__xludf.DUMMYFUNCTION("""COMPUTED_VALUE"""),"그릇을 부딪치며 단짠짠♬")</f>
        <v>그릇을 부딪치며 단짠짠♬</v>
      </c>
      <c r="B16218" s="2" t="str">
        <f>IFERROR(__xludf.DUMMYFUNCTION("""COMPUTED_VALUE"""),"마늘")</f>
        <v>마늘</v>
      </c>
    </row>
    <row r="16219">
      <c r="A16219" s="2" t="str">
        <f>IFERROR(__xludf.DUMMYFUNCTION("""COMPUTED_VALUE"""),"그릇을 부딪치며 단짠짠♬")</f>
        <v>그릇을 부딪치며 단짠짠♬</v>
      </c>
      <c r="B16219" s="2" t="str">
        <f>IFERROR(__xludf.DUMMYFUNCTION("""COMPUTED_VALUE"""),"맛술")</f>
        <v>맛술</v>
      </c>
    </row>
    <row r="16220">
      <c r="A16220" s="2" t="str">
        <f>IFERROR(__xludf.DUMMYFUNCTION("""COMPUTED_VALUE"""),"그릇을 부딪치며 단짠짠♬")</f>
        <v>그릇을 부딪치며 단짠짠♬</v>
      </c>
      <c r="B16220" s="2" t="str">
        <f>IFERROR(__xludf.DUMMYFUNCTION("""COMPUTED_VALUE"""),"양파")</f>
        <v>양파</v>
      </c>
    </row>
    <row r="16221">
      <c r="A16221" s="2" t="str">
        <f>IFERROR(__xludf.DUMMYFUNCTION("""COMPUTED_VALUE"""),"그릇을 부딪치며 단짠짠♬")</f>
        <v>그릇을 부딪치며 단짠짠♬</v>
      </c>
      <c r="B16221" s="2" t="str">
        <f>IFERROR(__xludf.DUMMYFUNCTION("""COMPUTED_VALUE"""),"올리브오일")</f>
        <v>올리브오일</v>
      </c>
    </row>
    <row r="16222">
      <c r="A16222" s="2" t="str">
        <f>IFERROR(__xludf.DUMMYFUNCTION("""COMPUTED_VALUE"""),"그릇을 부딪치며 단짠짠♬")</f>
        <v>그릇을 부딪치며 단짠짠♬</v>
      </c>
      <c r="B16222" s="2" t="str">
        <f>IFERROR(__xludf.DUMMYFUNCTION("""COMPUTED_VALUE"""),"식초")</f>
        <v>식초</v>
      </c>
    </row>
    <row r="16223">
      <c r="A16223" s="2" t="str">
        <f>IFERROR(__xludf.DUMMYFUNCTION("""COMPUTED_VALUE"""),"그릇을 부딪치며 단짠짠♬")</f>
        <v>그릇을 부딪치며 단짠짠♬</v>
      </c>
      <c r="B16223" s="2" t="str">
        <f>IFERROR(__xludf.DUMMYFUNCTION("""COMPUTED_VALUE"""),"참기름")</f>
        <v>참기름</v>
      </c>
    </row>
    <row r="16224">
      <c r="A16224" s="2" t="str">
        <f>IFERROR(__xludf.DUMMYFUNCTION("""COMPUTED_VALUE"""),"오징어가 왜 그럴까")</f>
        <v>오징어가 왜 그럴까</v>
      </c>
      <c r="B16224" s="2" t="str">
        <f>IFERROR(__xludf.DUMMYFUNCTION("""COMPUTED_VALUE"""),"반건조 오징어")</f>
        <v>반건조 오징어</v>
      </c>
    </row>
    <row r="16225">
      <c r="A16225" s="2" t="str">
        <f>IFERROR(__xludf.DUMMYFUNCTION("""COMPUTED_VALUE"""),"오징어가 왜 그럴까")</f>
        <v>오징어가 왜 그럴까</v>
      </c>
      <c r="B16225" s="2" t="str">
        <f>IFERROR(__xludf.DUMMYFUNCTION("""COMPUTED_VALUE"""),"청포도")</f>
        <v>청포도</v>
      </c>
    </row>
    <row r="16226">
      <c r="A16226" s="2" t="str">
        <f>IFERROR(__xludf.DUMMYFUNCTION("""COMPUTED_VALUE"""),"오징어가 왜 그럴까")</f>
        <v>오징어가 왜 그럴까</v>
      </c>
      <c r="B16226" s="2" t="str">
        <f>IFERROR(__xludf.DUMMYFUNCTION("""COMPUTED_VALUE"""),"방울토마토")</f>
        <v>방울토마토</v>
      </c>
    </row>
    <row r="16227">
      <c r="A16227" s="2" t="str">
        <f>IFERROR(__xludf.DUMMYFUNCTION("""COMPUTED_VALUE"""),"오징어가 왜 그럴까")</f>
        <v>오징어가 왜 그럴까</v>
      </c>
      <c r="B16227" s="2" t="str">
        <f>IFERROR(__xludf.DUMMYFUNCTION("""COMPUTED_VALUE"""),"방울토마토 매실절임")</f>
        <v>방울토마토 매실절임</v>
      </c>
    </row>
    <row r="16228">
      <c r="A16228" s="2" t="str">
        <f>IFERROR(__xludf.DUMMYFUNCTION("""COMPUTED_VALUE"""),"오징어가 왜 그럴까")</f>
        <v>오징어가 왜 그럴까</v>
      </c>
      <c r="B16228" s="2" t="str">
        <f>IFERROR(__xludf.DUMMYFUNCTION("""COMPUTED_VALUE"""),"파프리카")</f>
        <v>파프리카</v>
      </c>
    </row>
    <row r="16229">
      <c r="A16229" s="2" t="str">
        <f>IFERROR(__xludf.DUMMYFUNCTION("""COMPUTED_VALUE"""),"오징어가 왜 그럴까")</f>
        <v>오징어가 왜 그럴까</v>
      </c>
      <c r="B16229" s="2" t="str">
        <f>IFERROR(__xludf.DUMMYFUNCTION("""COMPUTED_VALUE"""),"복숭아")</f>
        <v>복숭아</v>
      </c>
    </row>
    <row r="16230">
      <c r="A16230" s="2" t="str">
        <f>IFERROR(__xludf.DUMMYFUNCTION("""COMPUTED_VALUE"""),"오징어가 왜 그럴까")</f>
        <v>오징어가 왜 그럴까</v>
      </c>
      <c r="B16230" s="2" t="str">
        <f>IFERROR(__xludf.DUMMYFUNCTION("""COMPUTED_VALUE"""),"스리라차소스")</f>
        <v>스리라차소스</v>
      </c>
    </row>
    <row r="16231">
      <c r="A16231" s="2" t="str">
        <f>IFERROR(__xludf.DUMMYFUNCTION("""COMPUTED_VALUE"""),"오징어가 왜 그럴까")</f>
        <v>오징어가 왜 그럴까</v>
      </c>
      <c r="B16231" s="2" t="str">
        <f>IFERROR(__xludf.DUMMYFUNCTION("""COMPUTED_VALUE"""),"굴소스")</f>
        <v>굴소스</v>
      </c>
    </row>
    <row r="16232">
      <c r="A16232" s="2" t="str">
        <f>IFERROR(__xludf.DUMMYFUNCTION("""COMPUTED_VALUE"""),"오징어가 왜 그럴까")</f>
        <v>오징어가 왜 그럴까</v>
      </c>
      <c r="B16232" s="2" t="str">
        <f>IFERROR(__xludf.DUMMYFUNCTION("""COMPUTED_VALUE"""),"새우살")</f>
        <v>새우살</v>
      </c>
    </row>
    <row r="16233">
      <c r="A16233" s="2" t="str">
        <f>IFERROR(__xludf.DUMMYFUNCTION("""COMPUTED_VALUE"""),"오징어가 왜 그럴까")</f>
        <v>오징어가 왜 그럴까</v>
      </c>
      <c r="B16233" s="2" t="str">
        <f>IFERROR(__xludf.DUMMYFUNCTION("""COMPUTED_VALUE"""),"새싹보리분말")</f>
        <v>새싹보리분말</v>
      </c>
    </row>
    <row r="16234">
      <c r="A16234" s="2" t="str">
        <f>IFERROR(__xludf.DUMMYFUNCTION("""COMPUTED_VALUE"""),"오징어가 왜 그럴까")</f>
        <v>오징어가 왜 그럴까</v>
      </c>
      <c r="B16234" s="2" t="str">
        <f>IFERROR(__xludf.DUMMYFUNCTION("""COMPUTED_VALUE"""),"공심채")</f>
        <v>공심채</v>
      </c>
    </row>
    <row r="16235">
      <c r="A16235" s="2" t="str">
        <f>IFERROR(__xludf.DUMMYFUNCTION("""COMPUTED_VALUE"""),"오징어가 왜 그럴까")</f>
        <v>오징어가 왜 그럴까</v>
      </c>
      <c r="B16235" s="2" t="str">
        <f>IFERROR(__xludf.DUMMYFUNCTION("""COMPUTED_VALUE"""),"타바스코소스")</f>
        <v>타바스코소스</v>
      </c>
    </row>
    <row r="16236">
      <c r="A16236" s="2" t="str">
        <f>IFERROR(__xludf.DUMMYFUNCTION("""COMPUTED_VALUE"""),"오징어가 왜 그럴까")</f>
        <v>오징어가 왜 그럴까</v>
      </c>
      <c r="B16236" s="2" t="str">
        <f>IFERROR(__xludf.DUMMYFUNCTION("""COMPUTED_VALUE"""),"베트남고추")</f>
        <v>베트남고추</v>
      </c>
    </row>
    <row r="16237">
      <c r="A16237" s="2" t="str">
        <f>IFERROR(__xludf.DUMMYFUNCTION("""COMPUTED_VALUE"""),"오징어가 왜 그럴까")</f>
        <v>오징어가 왜 그럴까</v>
      </c>
      <c r="B16237" s="2" t="str">
        <f>IFERROR(__xludf.DUMMYFUNCTION("""COMPUTED_VALUE"""),"대파")</f>
        <v>대파</v>
      </c>
    </row>
    <row r="16238">
      <c r="A16238" s="2" t="str">
        <f>IFERROR(__xludf.DUMMYFUNCTION("""COMPUTED_VALUE"""),"오징어가 왜 그럴까")</f>
        <v>오징어가 왜 그럴까</v>
      </c>
      <c r="B16238" s="2" t="str">
        <f>IFERROR(__xludf.DUMMYFUNCTION("""COMPUTED_VALUE"""),"고춧가루")</f>
        <v>고춧가루</v>
      </c>
    </row>
    <row r="16239">
      <c r="A16239" s="2" t="str">
        <f>IFERROR(__xludf.DUMMYFUNCTION("""COMPUTED_VALUE"""),"오징어가 왜 그럴까")</f>
        <v>오징어가 왜 그럴까</v>
      </c>
      <c r="B16239" s="2" t="str">
        <f>IFERROR(__xludf.DUMMYFUNCTION("""COMPUTED_VALUE"""),"달걀")</f>
        <v>달걀</v>
      </c>
    </row>
    <row r="16240">
      <c r="A16240" s="2" t="str">
        <f>IFERROR(__xludf.DUMMYFUNCTION("""COMPUTED_VALUE"""),"오징어가 왜 그럴까")</f>
        <v>오징어가 왜 그럴까</v>
      </c>
      <c r="B16240" s="2" t="str">
        <f>IFERROR(__xludf.DUMMYFUNCTION("""COMPUTED_VALUE"""),"전분")</f>
        <v>전분</v>
      </c>
    </row>
    <row r="16241">
      <c r="A16241" s="2" t="str">
        <f>IFERROR(__xludf.DUMMYFUNCTION("""COMPUTED_VALUE"""),"오징어가 왜 그럴까")</f>
        <v>오징어가 왜 그럴까</v>
      </c>
      <c r="B16241" s="2" t="str">
        <f>IFERROR(__xludf.DUMMYFUNCTION("""COMPUTED_VALUE"""),"밀가루")</f>
        <v>밀가루</v>
      </c>
    </row>
    <row r="16242">
      <c r="A16242" s="2" t="str">
        <f>IFERROR(__xludf.DUMMYFUNCTION("""COMPUTED_VALUE"""),"오징어가 왜 그럴까")</f>
        <v>오징어가 왜 그럴까</v>
      </c>
      <c r="B16242" s="2" t="str">
        <f>IFERROR(__xludf.DUMMYFUNCTION("""COMPUTED_VALUE"""),"다진 마늘")</f>
        <v>다진 마늘</v>
      </c>
    </row>
    <row r="16243">
      <c r="A16243" s="2" t="str">
        <f>IFERROR(__xludf.DUMMYFUNCTION("""COMPUTED_VALUE"""),"오징어가 왜 그럴까")</f>
        <v>오징어가 왜 그럴까</v>
      </c>
      <c r="B16243" s="2" t="str">
        <f>IFERROR(__xludf.DUMMYFUNCTION("""COMPUTED_VALUE"""),"맛술")</f>
        <v>맛술</v>
      </c>
    </row>
    <row r="16244">
      <c r="A16244" s="2" t="str">
        <f>IFERROR(__xludf.DUMMYFUNCTION("""COMPUTED_VALUE"""),"삼치바라기")</f>
        <v>삼치바라기</v>
      </c>
      <c r="B16244" s="2" t="str">
        <f>IFERROR(__xludf.DUMMYFUNCTION("""COMPUTED_VALUE"""),"삼치")</f>
        <v>삼치</v>
      </c>
    </row>
    <row r="16245">
      <c r="A16245" s="2" t="str">
        <f>IFERROR(__xludf.DUMMYFUNCTION("""COMPUTED_VALUE"""),"삼치바라기")</f>
        <v>삼치바라기</v>
      </c>
      <c r="B16245" s="2" t="str">
        <f>IFERROR(__xludf.DUMMYFUNCTION("""COMPUTED_VALUE"""),"깻잎")</f>
        <v>깻잎</v>
      </c>
    </row>
    <row r="16246">
      <c r="A16246" s="2" t="str">
        <f>IFERROR(__xludf.DUMMYFUNCTION("""COMPUTED_VALUE"""),"삼치바라기")</f>
        <v>삼치바라기</v>
      </c>
      <c r="B16246" s="2" t="str">
        <f>IFERROR(__xludf.DUMMYFUNCTION("""COMPUTED_VALUE"""),"파르메산 치즈")</f>
        <v>파르메산 치즈</v>
      </c>
    </row>
    <row r="16247">
      <c r="A16247" s="2" t="str">
        <f>IFERROR(__xludf.DUMMYFUNCTION("""COMPUTED_VALUE"""),"삼치바라기")</f>
        <v>삼치바라기</v>
      </c>
      <c r="B16247" s="2" t="str">
        <f>IFERROR(__xludf.DUMMYFUNCTION("""COMPUTED_VALUE"""),"양상추")</f>
        <v>양상추</v>
      </c>
    </row>
    <row r="16248">
      <c r="A16248" s="2" t="str">
        <f>IFERROR(__xludf.DUMMYFUNCTION("""COMPUTED_VALUE"""),"삼치바라기")</f>
        <v>삼치바라기</v>
      </c>
      <c r="B16248" s="2" t="str">
        <f>IFERROR(__xludf.DUMMYFUNCTION("""COMPUTED_VALUE"""),"살라미")</f>
        <v>살라미</v>
      </c>
    </row>
    <row r="16249">
      <c r="A16249" s="2" t="str">
        <f>IFERROR(__xludf.DUMMYFUNCTION("""COMPUTED_VALUE"""),"삼치바라기")</f>
        <v>삼치바라기</v>
      </c>
      <c r="B16249" s="2" t="str">
        <f>IFERROR(__xludf.DUMMYFUNCTION("""COMPUTED_VALUE"""),"바질페스토")</f>
        <v>바질페스토</v>
      </c>
    </row>
    <row r="16250">
      <c r="A16250" s="2" t="str">
        <f>IFERROR(__xludf.DUMMYFUNCTION("""COMPUTED_VALUE"""),"삼치바라기")</f>
        <v>삼치바라기</v>
      </c>
      <c r="B16250" s="2" t="str">
        <f>IFERROR(__xludf.DUMMYFUNCTION("""COMPUTED_VALUE"""),"우유")</f>
        <v>우유</v>
      </c>
    </row>
    <row r="16251">
      <c r="A16251" s="2" t="str">
        <f>IFERROR(__xludf.DUMMYFUNCTION("""COMPUTED_VALUE"""),"삼치바라기")</f>
        <v>삼치바라기</v>
      </c>
      <c r="B16251" s="2" t="str">
        <f>IFERROR(__xludf.DUMMYFUNCTION("""COMPUTED_VALUE"""),"맛간장")</f>
        <v>맛간장</v>
      </c>
    </row>
    <row r="16252">
      <c r="A16252" s="2" t="str">
        <f>IFERROR(__xludf.DUMMYFUNCTION("""COMPUTED_VALUE"""),"삼치바라기")</f>
        <v>삼치바라기</v>
      </c>
      <c r="B16252" s="2" t="str">
        <f>IFERROR(__xludf.DUMMYFUNCTION("""COMPUTED_VALUE"""),"올리브오일")</f>
        <v>올리브오일</v>
      </c>
    </row>
    <row r="16253">
      <c r="A16253" s="2" t="str">
        <f>IFERROR(__xludf.DUMMYFUNCTION("""COMPUTED_VALUE"""),"삼치바라기")</f>
        <v>삼치바라기</v>
      </c>
      <c r="B16253" s="2" t="str">
        <f>IFERROR(__xludf.DUMMYFUNCTION("""COMPUTED_VALUE"""),"달걀")</f>
        <v>달걀</v>
      </c>
    </row>
    <row r="16254">
      <c r="A16254" s="2" t="str">
        <f>IFERROR(__xludf.DUMMYFUNCTION("""COMPUTED_VALUE"""),"삼치바라기")</f>
        <v>삼치바라기</v>
      </c>
      <c r="B16254" s="2" t="str">
        <f>IFERROR(__xludf.DUMMYFUNCTION("""COMPUTED_VALUE"""),"다진마늘")</f>
        <v>다진마늘</v>
      </c>
    </row>
    <row r="16255">
      <c r="A16255" s="2" t="str">
        <f>IFERROR(__xludf.DUMMYFUNCTION("""COMPUTED_VALUE"""),"삼치바라기")</f>
        <v>삼치바라기</v>
      </c>
      <c r="B16255" s="2" t="str">
        <f>IFERROR(__xludf.DUMMYFUNCTION("""COMPUTED_VALUE"""),"고추")</f>
        <v>고추</v>
      </c>
    </row>
    <row r="16256">
      <c r="A16256" s="2" t="str">
        <f>IFERROR(__xludf.DUMMYFUNCTION("""COMPUTED_VALUE"""),"삼치바라기")</f>
        <v>삼치바라기</v>
      </c>
      <c r="B16256" s="2" t="str">
        <f>IFERROR(__xludf.DUMMYFUNCTION("""COMPUTED_VALUE"""),"후추")</f>
        <v>후추</v>
      </c>
    </row>
    <row r="16257">
      <c r="A16257" s="2" t="str">
        <f>IFERROR(__xludf.DUMMYFUNCTION("""COMPUTED_VALUE"""),"삼치바라기")</f>
        <v>삼치바라기</v>
      </c>
      <c r="B16257" s="2" t="str">
        <f>IFERROR(__xludf.DUMMYFUNCTION("""COMPUTED_VALUE"""),"레몬")</f>
        <v>레몬</v>
      </c>
    </row>
    <row r="16258">
      <c r="A16258" s="2" t="str">
        <f>IFERROR(__xludf.DUMMYFUNCTION("""COMPUTED_VALUE"""),"삼치바라기")</f>
        <v>삼치바라기</v>
      </c>
      <c r="B16258" s="2" t="str">
        <f>IFERROR(__xludf.DUMMYFUNCTION("""COMPUTED_VALUE"""),"버터")</f>
        <v>버터</v>
      </c>
    </row>
    <row r="16259">
      <c r="A16259" s="2" t="str">
        <f>IFERROR(__xludf.DUMMYFUNCTION("""COMPUTED_VALUE"""),"삼치바라기")</f>
        <v>삼치바라기</v>
      </c>
      <c r="B16259" s="2" t="str">
        <f>IFERROR(__xludf.DUMMYFUNCTION("""COMPUTED_VALUE"""),"밀가루")</f>
        <v>밀가루</v>
      </c>
    </row>
    <row r="16260">
      <c r="A16260" s="2" t="str">
        <f>IFERROR(__xludf.DUMMYFUNCTION("""COMPUTED_VALUE"""),"삼치바라기")</f>
        <v>삼치바라기</v>
      </c>
      <c r="B16260" s="2" t="str">
        <f>IFERROR(__xludf.DUMMYFUNCTION("""COMPUTED_VALUE"""),"대파")</f>
        <v>대파</v>
      </c>
    </row>
    <row r="16261">
      <c r="A16261" s="2" t="str">
        <f>IFERROR(__xludf.DUMMYFUNCTION("""COMPUTED_VALUE"""),"삼치바라기")</f>
        <v>삼치바라기</v>
      </c>
      <c r="B16261" s="2" t="str">
        <f>IFERROR(__xludf.DUMMYFUNCTION("""COMPUTED_VALUE"""),"전분")</f>
        <v>전분</v>
      </c>
    </row>
    <row r="16262">
      <c r="A16262" s="2" t="str">
        <f>IFERROR(__xludf.DUMMYFUNCTION("""COMPUTED_VALUE"""),"삼치바라기")</f>
        <v>삼치바라기</v>
      </c>
      <c r="B16262" s="2" t="str">
        <f>IFERROR(__xludf.DUMMYFUNCTION("""COMPUTED_VALUE"""),"설탕")</f>
        <v>설탕</v>
      </c>
    </row>
    <row r="16263">
      <c r="A16263" s="2" t="str">
        <f>IFERROR(__xludf.DUMMYFUNCTION("""COMPUTED_VALUE"""),"삼치바라기")</f>
        <v>삼치바라기</v>
      </c>
      <c r="B16263" s="2" t="str">
        <f>IFERROR(__xludf.DUMMYFUNCTION("""COMPUTED_VALUE"""),"마늘")</f>
        <v>마늘</v>
      </c>
    </row>
    <row r="16264">
      <c r="A16264" s="2" t="str">
        <f>IFERROR(__xludf.DUMMYFUNCTION("""COMPUTED_VALUE"""),"삼치바라기")</f>
        <v>삼치바라기</v>
      </c>
      <c r="B16264" s="2" t="str">
        <f>IFERROR(__xludf.DUMMYFUNCTION("""COMPUTED_VALUE"""),"소금")</f>
        <v>소금</v>
      </c>
    </row>
    <row r="16265">
      <c r="A16265" s="2" t="str">
        <f>IFERROR(__xludf.DUMMYFUNCTION("""COMPUTED_VALUE"""),"삼치세끼")</f>
        <v>삼치세끼</v>
      </c>
      <c r="B16265" s="2" t="str">
        <f>IFERROR(__xludf.DUMMYFUNCTION("""COMPUTED_VALUE"""),"삼치")</f>
        <v>삼치</v>
      </c>
    </row>
    <row r="16266">
      <c r="A16266" s="2" t="str">
        <f>IFERROR(__xludf.DUMMYFUNCTION("""COMPUTED_VALUE"""),"삼치세끼")</f>
        <v>삼치세끼</v>
      </c>
      <c r="B16266" s="2" t="str">
        <f>IFERROR(__xludf.DUMMYFUNCTION("""COMPUTED_VALUE"""),"배")</f>
        <v>배</v>
      </c>
    </row>
    <row r="16267">
      <c r="A16267" s="2" t="str">
        <f>IFERROR(__xludf.DUMMYFUNCTION("""COMPUTED_VALUE"""),"삼치세끼")</f>
        <v>삼치세끼</v>
      </c>
      <c r="B16267" s="2" t="str">
        <f>IFERROR(__xludf.DUMMYFUNCTION("""COMPUTED_VALUE"""),"맛간장")</f>
        <v>맛간장</v>
      </c>
    </row>
    <row r="16268">
      <c r="A16268" s="2" t="str">
        <f>IFERROR(__xludf.DUMMYFUNCTION("""COMPUTED_VALUE"""),"삼치세끼")</f>
        <v>삼치세끼</v>
      </c>
      <c r="B16268" s="2" t="str">
        <f>IFERROR(__xludf.DUMMYFUNCTION("""COMPUTED_VALUE"""),"꿀")</f>
        <v>꿀</v>
      </c>
    </row>
    <row r="16269">
      <c r="A16269" s="2" t="str">
        <f>IFERROR(__xludf.DUMMYFUNCTION("""COMPUTED_VALUE"""),"삼치세끼")</f>
        <v>삼치세끼</v>
      </c>
      <c r="B16269" s="2" t="str">
        <f>IFERROR(__xludf.DUMMYFUNCTION("""COMPUTED_VALUE"""),"멸치액젓")</f>
        <v>멸치액젓</v>
      </c>
    </row>
    <row r="16270">
      <c r="A16270" s="2" t="str">
        <f>IFERROR(__xludf.DUMMYFUNCTION("""COMPUTED_VALUE"""),"삼치세끼")</f>
        <v>삼치세끼</v>
      </c>
      <c r="B16270" s="2" t="str">
        <f>IFERROR(__xludf.DUMMYFUNCTION("""COMPUTED_VALUE"""),"전복")</f>
        <v>전복</v>
      </c>
    </row>
    <row r="16271">
      <c r="A16271" s="2" t="str">
        <f>IFERROR(__xludf.DUMMYFUNCTION("""COMPUTED_VALUE"""),"삼치세끼")</f>
        <v>삼치세끼</v>
      </c>
      <c r="B16271" s="2" t="str">
        <f>IFERROR(__xludf.DUMMYFUNCTION("""COMPUTED_VALUE"""),"마")</f>
        <v>마</v>
      </c>
    </row>
    <row r="16272">
      <c r="A16272" s="2" t="str">
        <f>IFERROR(__xludf.DUMMYFUNCTION("""COMPUTED_VALUE"""),"삼치세끼")</f>
        <v>삼치세끼</v>
      </c>
      <c r="B16272" s="2" t="str">
        <f>IFERROR(__xludf.DUMMYFUNCTION("""COMPUTED_VALUE"""),"양배추")</f>
        <v>양배추</v>
      </c>
    </row>
    <row r="16273">
      <c r="A16273" s="2" t="str">
        <f>IFERROR(__xludf.DUMMYFUNCTION("""COMPUTED_VALUE"""),"삼치세끼")</f>
        <v>삼치세끼</v>
      </c>
      <c r="B16273" s="2" t="str">
        <f>IFERROR(__xludf.DUMMYFUNCTION("""COMPUTED_VALUE"""),"양상추")</f>
        <v>양상추</v>
      </c>
    </row>
    <row r="16274">
      <c r="A16274" s="2" t="str">
        <f>IFERROR(__xludf.DUMMYFUNCTION("""COMPUTED_VALUE"""),"삼치세끼")</f>
        <v>삼치세끼</v>
      </c>
      <c r="B16274" s="2" t="str">
        <f>IFERROR(__xludf.DUMMYFUNCTION("""COMPUTED_VALUE"""),"표고버섯")</f>
        <v>표고버섯</v>
      </c>
    </row>
    <row r="16275">
      <c r="A16275" s="2" t="str">
        <f>IFERROR(__xludf.DUMMYFUNCTION("""COMPUTED_VALUE"""),"삼치세끼")</f>
        <v>삼치세끼</v>
      </c>
      <c r="B16275" s="2" t="str">
        <f>IFERROR(__xludf.DUMMYFUNCTION("""COMPUTED_VALUE"""),"소금")</f>
        <v>소금</v>
      </c>
    </row>
    <row r="16276">
      <c r="A16276" s="2" t="str">
        <f>IFERROR(__xludf.DUMMYFUNCTION("""COMPUTED_VALUE"""),"삼치세끼")</f>
        <v>삼치세끼</v>
      </c>
      <c r="B16276" s="2" t="str">
        <f>IFERROR(__xludf.DUMMYFUNCTION("""COMPUTED_VALUE"""),"후추")</f>
        <v>후추</v>
      </c>
    </row>
    <row r="16277">
      <c r="A16277" s="2" t="str">
        <f>IFERROR(__xludf.DUMMYFUNCTION("""COMPUTED_VALUE"""),"삼치세끼")</f>
        <v>삼치세끼</v>
      </c>
      <c r="B16277" s="2" t="str">
        <f>IFERROR(__xludf.DUMMYFUNCTION("""COMPUTED_VALUE"""),"마늘")</f>
        <v>마늘</v>
      </c>
    </row>
    <row r="16278">
      <c r="A16278" s="2" t="str">
        <f>IFERROR(__xludf.DUMMYFUNCTION("""COMPUTED_VALUE"""),"삼치세끼")</f>
        <v>삼치세끼</v>
      </c>
      <c r="B16278" s="2" t="str">
        <f>IFERROR(__xludf.DUMMYFUNCTION("""COMPUTED_VALUE"""),"대파")</f>
        <v>대파</v>
      </c>
    </row>
    <row r="16279">
      <c r="A16279" s="2" t="str">
        <f>IFERROR(__xludf.DUMMYFUNCTION("""COMPUTED_VALUE"""),"삼치세끼")</f>
        <v>삼치세끼</v>
      </c>
      <c r="B16279" s="2" t="str">
        <f>IFERROR(__xludf.DUMMYFUNCTION("""COMPUTED_VALUE"""),"고춧가루")</f>
        <v>고춧가루</v>
      </c>
    </row>
    <row r="16280">
      <c r="A16280" s="2" t="str">
        <f>IFERROR(__xludf.DUMMYFUNCTION("""COMPUTED_VALUE"""),"매일 메밀 기다려♬")</f>
        <v>매일 메밀 기다려♬</v>
      </c>
      <c r="B16280" s="2" t="str">
        <f>IFERROR(__xludf.DUMMYFUNCTION("""COMPUTED_VALUE"""),"메밀면")</f>
        <v>메밀면</v>
      </c>
    </row>
    <row r="16281">
      <c r="A16281" s="2" t="str">
        <f>IFERROR(__xludf.DUMMYFUNCTION("""COMPUTED_VALUE"""),"매일 메밀 기다려♬")</f>
        <v>매일 메밀 기다려♬</v>
      </c>
      <c r="B16281" s="2" t="str">
        <f>IFERROR(__xludf.DUMMYFUNCTION("""COMPUTED_VALUE"""),"참다랑어")</f>
        <v>참다랑어</v>
      </c>
    </row>
    <row r="16282">
      <c r="A16282" s="2" t="str">
        <f>IFERROR(__xludf.DUMMYFUNCTION("""COMPUTED_VALUE"""),"매일 메밀 기다려♬")</f>
        <v>매일 메밀 기다려♬</v>
      </c>
      <c r="B16282" s="2" t="str">
        <f>IFERROR(__xludf.DUMMYFUNCTION("""COMPUTED_VALUE"""),"은어")</f>
        <v>은어</v>
      </c>
    </row>
    <row r="16283">
      <c r="A16283" s="2" t="str">
        <f>IFERROR(__xludf.DUMMYFUNCTION("""COMPUTED_VALUE"""),"매일 메밀 기다려♬")</f>
        <v>매일 메밀 기다려♬</v>
      </c>
      <c r="B16283" s="2" t="str">
        <f>IFERROR(__xludf.DUMMYFUNCTION("""COMPUTED_VALUE"""),"전복")</f>
        <v>전복</v>
      </c>
    </row>
    <row r="16284">
      <c r="A16284" s="2" t="str">
        <f>IFERROR(__xludf.DUMMYFUNCTION("""COMPUTED_VALUE"""),"매일 메밀 기다려♬")</f>
        <v>매일 메밀 기다려♬</v>
      </c>
      <c r="B16284" s="2" t="str">
        <f>IFERROR(__xludf.DUMMYFUNCTION("""COMPUTED_VALUE"""),"오이")</f>
        <v>오이</v>
      </c>
    </row>
    <row r="16285">
      <c r="A16285" s="2" t="str">
        <f>IFERROR(__xludf.DUMMYFUNCTION("""COMPUTED_VALUE"""),"매일 메밀 기다려♬")</f>
        <v>매일 메밀 기다려♬</v>
      </c>
      <c r="B16285" s="2" t="str">
        <f>IFERROR(__xludf.DUMMYFUNCTION("""COMPUTED_VALUE"""),"양상추")</f>
        <v>양상추</v>
      </c>
    </row>
    <row r="16286">
      <c r="A16286" s="2" t="str">
        <f>IFERROR(__xludf.DUMMYFUNCTION("""COMPUTED_VALUE"""),"매일 메밀 기다려♬")</f>
        <v>매일 메밀 기다려♬</v>
      </c>
      <c r="B16286" s="2" t="str">
        <f>IFERROR(__xludf.DUMMYFUNCTION("""COMPUTED_VALUE"""),"마")</f>
        <v>마</v>
      </c>
    </row>
    <row r="16287">
      <c r="A16287" s="2" t="str">
        <f>IFERROR(__xludf.DUMMYFUNCTION("""COMPUTED_VALUE"""),"매일 메밀 기다려♬")</f>
        <v>매일 메밀 기다려♬</v>
      </c>
      <c r="B16287" s="2" t="str">
        <f>IFERROR(__xludf.DUMMYFUNCTION("""COMPUTED_VALUE"""),"김")</f>
        <v>김</v>
      </c>
    </row>
    <row r="16288">
      <c r="A16288" s="2" t="str">
        <f>IFERROR(__xludf.DUMMYFUNCTION("""COMPUTED_VALUE"""),"매일 메밀 기다려♬")</f>
        <v>매일 메밀 기다려♬</v>
      </c>
      <c r="B16288" s="2" t="str">
        <f>IFERROR(__xludf.DUMMYFUNCTION("""COMPUTED_VALUE"""),"깻잎")</f>
        <v>깻잎</v>
      </c>
    </row>
    <row r="16289">
      <c r="A16289" s="2" t="str">
        <f>IFERROR(__xludf.DUMMYFUNCTION("""COMPUTED_VALUE"""),"매일 메밀 기다려♬")</f>
        <v>매일 메밀 기다려♬</v>
      </c>
      <c r="B16289" s="2" t="str">
        <f>IFERROR(__xludf.DUMMYFUNCTION("""COMPUTED_VALUE"""),"맛간장")</f>
        <v>맛간장</v>
      </c>
    </row>
    <row r="16290">
      <c r="A16290" s="2" t="str">
        <f>IFERROR(__xludf.DUMMYFUNCTION("""COMPUTED_VALUE"""),"매일 메밀 기다려♬")</f>
        <v>매일 메밀 기다려♬</v>
      </c>
      <c r="B16290" s="2" t="str">
        <f>IFERROR(__xludf.DUMMYFUNCTION("""COMPUTED_VALUE"""),"무")</f>
        <v>무</v>
      </c>
    </row>
    <row r="16291">
      <c r="A16291" s="2" t="str">
        <f>IFERROR(__xludf.DUMMYFUNCTION("""COMPUTED_VALUE"""),"매일 메밀 기다려♬")</f>
        <v>매일 메밀 기다려♬</v>
      </c>
      <c r="B16291" s="2" t="str">
        <f>IFERROR(__xludf.DUMMYFUNCTION("""COMPUTED_VALUE"""),"마요네즈")</f>
        <v>마요네즈</v>
      </c>
    </row>
    <row r="16292">
      <c r="A16292" s="2" t="str">
        <f>IFERROR(__xludf.DUMMYFUNCTION("""COMPUTED_VALUE"""),"매일 메밀 기다려♬")</f>
        <v>매일 메밀 기다려♬</v>
      </c>
      <c r="B16292" s="2" t="str">
        <f>IFERROR(__xludf.DUMMYFUNCTION("""COMPUTED_VALUE"""),"밀가루")</f>
        <v>밀가루</v>
      </c>
    </row>
    <row r="16293">
      <c r="A16293" s="2" t="str">
        <f>IFERROR(__xludf.DUMMYFUNCTION("""COMPUTED_VALUE"""),"매일 메밀 기다려♬")</f>
        <v>매일 메밀 기다려♬</v>
      </c>
      <c r="B16293" s="2" t="str">
        <f>IFERROR(__xludf.DUMMYFUNCTION("""COMPUTED_VALUE"""),"달걀")</f>
        <v>달걀</v>
      </c>
    </row>
    <row r="16294">
      <c r="A16294" s="2" t="str">
        <f>IFERROR(__xludf.DUMMYFUNCTION("""COMPUTED_VALUE"""),"매일 메밀 기다려♬")</f>
        <v>매일 메밀 기다려♬</v>
      </c>
      <c r="B16294" s="2" t="str">
        <f>IFERROR(__xludf.DUMMYFUNCTION("""COMPUTED_VALUE"""),"고추냉이")</f>
        <v>고추냉이</v>
      </c>
    </row>
    <row r="16295">
      <c r="A16295" s="2" t="str">
        <f>IFERROR(__xludf.DUMMYFUNCTION("""COMPUTED_VALUE"""),"매일 메밀 기다려♬")</f>
        <v>매일 메밀 기다려♬</v>
      </c>
      <c r="B16295" s="2" t="str">
        <f>IFERROR(__xludf.DUMMYFUNCTION("""COMPUTED_VALUE"""),"레몬")</f>
        <v>레몬</v>
      </c>
    </row>
    <row r="16296">
      <c r="A16296" s="2" t="str">
        <f>IFERROR(__xludf.DUMMYFUNCTION("""COMPUTED_VALUE"""),"메밀면 필 무렵")</f>
        <v>메밀면 필 무렵</v>
      </c>
      <c r="B16296" s="2" t="str">
        <f>IFERROR(__xludf.DUMMYFUNCTION("""COMPUTED_VALUE"""),"메밀면")</f>
        <v>메밀면</v>
      </c>
    </row>
    <row r="16297">
      <c r="A16297" s="2" t="str">
        <f>IFERROR(__xludf.DUMMYFUNCTION("""COMPUTED_VALUE"""),"메밀면 필 무렵")</f>
        <v>메밀면 필 무렵</v>
      </c>
      <c r="B16297" s="2" t="str">
        <f>IFERROR(__xludf.DUMMYFUNCTION("""COMPUTED_VALUE"""),"참다랑어")</f>
        <v>참다랑어</v>
      </c>
    </row>
    <row r="16298">
      <c r="A16298" s="2" t="str">
        <f>IFERROR(__xludf.DUMMYFUNCTION("""COMPUTED_VALUE"""),"메밀면 필 무렵")</f>
        <v>메밀면 필 무렵</v>
      </c>
      <c r="B16298" s="2" t="str">
        <f>IFERROR(__xludf.DUMMYFUNCTION("""COMPUTED_VALUE"""),"살치살")</f>
        <v>살치살</v>
      </c>
    </row>
    <row r="16299">
      <c r="A16299" s="2" t="str">
        <f>IFERROR(__xludf.DUMMYFUNCTION("""COMPUTED_VALUE"""),"메밀면 필 무렵")</f>
        <v>메밀면 필 무렵</v>
      </c>
      <c r="B16299" s="2" t="str">
        <f>IFERROR(__xludf.DUMMYFUNCTION("""COMPUTED_VALUE"""),"전복")</f>
        <v>전복</v>
      </c>
    </row>
    <row r="16300">
      <c r="A16300" s="2" t="str">
        <f>IFERROR(__xludf.DUMMYFUNCTION("""COMPUTED_VALUE"""),"메밀면 필 무렵")</f>
        <v>메밀면 필 무렵</v>
      </c>
      <c r="B16300" s="2" t="str">
        <f>IFERROR(__xludf.DUMMYFUNCTION("""COMPUTED_VALUE"""),"표고버섯")</f>
        <v>표고버섯</v>
      </c>
    </row>
    <row r="16301">
      <c r="A16301" s="2" t="str">
        <f>IFERROR(__xludf.DUMMYFUNCTION("""COMPUTED_VALUE"""),"메밀면 필 무렵")</f>
        <v>메밀면 필 무렵</v>
      </c>
      <c r="B16301" s="2" t="str">
        <f>IFERROR(__xludf.DUMMYFUNCTION("""COMPUTED_VALUE"""),"맛간장")</f>
        <v>맛간장</v>
      </c>
    </row>
    <row r="16302">
      <c r="A16302" s="2" t="str">
        <f>IFERROR(__xludf.DUMMYFUNCTION("""COMPUTED_VALUE"""),"메밀면 필 무렵")</f>
        <v>메밀면 필 무렵</v>
      </c>
      <c r="B16302" s="2" t="str">
        <f>IFERROR(__xludf.DUMMYFUNCTION("""COMPUTED_VALUE"""),"로메인")</f>
        <v>로메인</v>
      </c>
    </row>
    <row r="16303">
      <c r="A16303" s="2" t="str">
        <f>IFERROR(__xludf.DUMMYFUNCTION("""COMPUTED_VALUE"""),"메밀면 필 무렵")</f>
        <v>메밀면 필 무렵</v>
      </c>
      <c r="B16303" s="2" t="str">
        <f>IFERROR(__xludf.DUMMYFUNCTION("""COMPUTED_VALUE"""),"양배추")</f>
        <v>양배추</v>
      </c>
    </row>
    <row r="16304">
      <c r="A16304" s="2" t="str">
        <f>IFERROR(__xludf.DUMMYFUNCTION("""COMPUTED_VALUE"""),"메밀면 필 무렵")</f>
        <v>메밀면 필 무렵</v>
      </c>
      <c r="B16304" s="2" t="str">
        <f>IFERROR(__xludf.DUMMYFUNCTION("""COMPUTED_VALUE"""),"양상추")</f>
        <v>양상추</v>
      </c>
    </row>
    <row r="16305">
      <c r="A16305" s="2" t="str">
        <f>IFERROR(__xludf.DUMMYFUNCTION("""COMPUTED_VALUE"""),"메밀면 필 무렵")</f>
        <v>메밀면 필 무렵</v>
      </c>
      <c r="B16305" s="2" t="str">
        <f>IFERROR(__xludf.DUMMYFUNCTION("""COMPUTED_VALUE"""),"김")</f>
        <v>김</v>
      </c>
    </row>
    <row r="16306">
      <c r="A16306" s="2" t="str">
        <f>IFERROR(__xludf.DUMMYFUNCTION("""COMPUTED_VALUE"""),"메밀면 필 무렵")</f>
        <v>메밀면 필 무렵</v>
      </c>
      <c r="B16306" s="2" t="str">
        <f>IFERROR(__xludf.DUMMYFUNCTION("""COMPUTED_VALUE"""),"불린 먹태")</f>
        <v>불린 먹태</v>
      </c>
    </row>
    <row r="16307">
      <c r="A16307" s="2" t="str">
        <f>IFERROR(__xludf.DUMMYFUNCTION("""COMPUTED_VALUE"""),"메밀면 필 무렵")</f>
        <v>메밀면 필 무렵</v>
      </c>
      <c r="B16307" s="2" t="str">
        <f>IFERROR(__xludf.DUMMYFUNCTION("""COMPUTED_VALUE"""),"파르메산 치즈가루")</f>
        <v>파르메산 치즈가루</v>
      </c>
    </row>
    <row r="16308">
      <c r="A16308" s="2" t="str">
        <f>IFERROR(__xludf.DUMMYFUNCTION("""COMPUTED_VALUE"""),"메밀면 필 무렵")</f>
        <v>메밀면 필 무렵</v>
      </c>
      <c r="B16308" s="2" t="str">
        <f>IFERROR(__xludf.DUMMYFUNCTION("""COMPUTED_VALUE"""),"마요네즈")</f>
        <v>마요네즈</v>
      </c>
    </row>
    <row r="16309">
      <c r="A16309" s="2" t="str">
        <f>IFERROR(__xludf.DUMMYFUNCTION("""COMPUTED_VALUE"""),"메밀면 필 무렵")</f>
        <v>메밀면 필 무렵</v>
      </c>
      <c r="B16309" s="2" t="str">
        <f>IFERROR(__xludf.DUMMYFUNCTION("""COMPUTED_VALUE"""),"대파")</f>
        <v>대파</v>
      </c>
    </row>
    <row r="16310">
      <c r="A16310" s="2" t="str">
        <f>IFERROR(__xludf.DUMMYFUNCTION("""COMPUTED_VALUE"""),"메밀면 필 무렵")</f>
        <v>메밀면 필 무렵</v>
      </c>
      <c r="B16310" s="2" t="str">
        <f>IFERROR(__xludf.DUMMYFUNCTION("""COMPUTED_VALUE"""),"마늘")</f>
        <v>마늘</v>
      </c>
    </row>
    <row r="16311">
      <c r="A16311" s="2" t="str">
        <f>IFERROR(__xludf.DUMMYFUNCTION("""COMPUTED_VALUE"""),"메밀면 필 무렵")</f>
        <v>메밀면 필 무렵</v>
      </c>
      <c r="B16311" s="2" t="str">
        <f>IFERROR(__xludf.DUMMYFUNCTION("""COMPUTED_VALUE"""),"올리브오일")</f>
        <v>올리브오일</v>
      </c>
    </row>
    <row r="16312">
      <c r="A16312" s="2" t="str">
        <f>IFERROR(__xludf.DUMMYFUNCTION("""COMPUTED_VALUE"""),"메밀면 필 무렵")</f>
        <v>메밀면 필 무렵</v>
      </c>
      <c r="B16312" s="2" t="str">
        <f>IFERROR(__xludf.DUMMYFUNCTION("""COMPUTED_VALUE"""),"고춧가루")</f>
        <v>고춧가루</v>
      </c>
    </row>
    <row r="16313">
      <c r="A16313" s="2" t="str">
        <f>IFERROR(__xludf.DUMMYFUNCTION("""COMPUTED_VALUE"""),"메밀면 필 무렵")</f>
        <v>메밀면 필 무렵</v>
      </c>
      <c r="B16313" s="2" t="str">
        <f>IFERROR(__xludf.DUMMYFUNCTION("""COMPUTED_VALUE"""),"양파")</f>
        <v>양파</v>
      </c>
    </row>
    <row r="16314">
      <c r="A16314" s="2" t="str">
        <f>IFERROR(__xludf.DUMMYFUNCTION("""COMPUTED_VALUE"""),"메밀면 필 무렵")</f>
        <v>메밀면 필 무렵</v>
      </c>
      <c r="B16314" s="2" t="str">
        <f>IFERROR(__xludf.DUMMYFUNCTION("""COMPUTED_VALUE"""),"청양고추")</f>
        <v>청양고추</v>
      </c>
    </row>
    <row r="16315">
      <c r="A16315" s="2" t="str">
        <f>IFERROR(__xludf.DUMMYFUNCTION("""COMPUTED_VALUE"""),"메밀면 필 무렵")</f>
        <v>메밀면 필 무렵</v>
      </c>
      <c r="B16315" s="2" t="str">
        <f>IFERROR(__xludf.DUMMYFUNCTION("""COMPUTED_VALUE"""),"홍고추")</f>
        <v>홍고추</v>
      </c>
    </row>
    <row r="16316">
      <c r="A16316" s="2" t="str">
        <f>IFERROR(__xludf.DUMMYFUNCTION("""COMPUTED_VALUE"""),"메밀면 필 무렵")</f>
        <v>메밀면 필 무렵</v>
      </c>
      <c r="B16316" s="2" t="str">
        <f>IFERROR(__xludf.DUMMYFUNCTION("""COMPUTED_VALUE"""),"설탕")</f>
        <v>설탕</v>
      </c>
    </row>
    <row r="16317">
      <c r="A16317" s="2" t="str">
        <f>IFERROR(__xludf.DUMMYFUNCTION("""COMPUTED_VALUE"""),"메밀면 필 무렵")</f>
        <v>메밀면 필 무렵</v>
      </c>
      <c r="B16317" s="2" t="str">
        <f>IFERROR(__xludf.DUMMYFUNCTION("""COMPUTED_VALUE"""),"간장")</f>
        <v>간장</v>
      </c>
    </row>
    <row r="16318">
      <c r="A16318" s="2" t="str">
        <f>IFERROR(__xludf.DUMMYFUNCTION("""COMPUTED_VALUE"""),"메밀면 필 무렵")</f>
        <v>메밀면 필 무렵</v>
      </c>
      <c r="B16318" s="2" t="str">
        <f>IFERROR(__xludf.DUMMYFUNCTION("""COMPUTED_VALUE"""),"다진마늘")</f>
        <v>다진마늘</v>
      </c>
    </row>
    <row r="16319">
      <c r="A16319" s="2" t="str">
        <f>IFERROR(__xludf.DUMMYFUNCTION("""COMPUTED_VALUE"""),"메밀면 필 무렵")</f>
        <v>메밀면 필 무렵</v>
      </c>
      <c r="B16319" s="2" t="str">
        <f>IFERROR(__xludf.DUMMYFUNCTION("""COMPUTED_VALUE"""),"참기름")</f>
        <v>참기름</v>
      </c>
    </row>
    <row r="16320">
      <c r="A16320" s="2" t="str">
        <f>IFERROR(__xludf.DUMMYFUNCTION("""COMPUTED_VALUE"""),"메밀면 필 무렵")</f>
        <v>메밀면 필 무렵</v>
      </c>
      <c r="B16320" s="2" t="str">
        <f>IFERROR(__xludf.DUMMYFUNCTION("""COMPUTED_VALUE"""),"후추")</f>
        <v>후추</v>
      </c>
    </row>
    <row r="16321">
      <c r="A16321" s="2" t="str">
        <f>IFERROR(__xludf.DUMMYFUNCTION("""COMPUTED_VALUE"""),"메밀면 필 무렵")</f>
        <v>메밀면 필 무렵</v>
      </c>
      <c r="B16321" s="2" t="str">
        <f>IFERROR(__xludf.DUMMYFUNCTION("""COMPUTED_VALUE"""),"레몬")</f>
        <v>레몬</v>
      </c>
    </row>
    <row r="16322">
      <c r="A16322" s="2" t="str">
        <f>IFERROR(__xludf.DUMMYFUNCTION("""COMPUTED_VALUE"""),"메밀면 필 무렵")</f>
        <v>메밀면 필 무렵</v>
      </c>
      <c r="B16322" s="2" t="str">
        <f>IFERROR(__xludf.DUMMYFUNCTION("""COMPUTED_VALUE"""),"소금")</f>
        <v>소금</v>
      </c>
    </row>
    <row r="16323">
      <c r="A16323" s="2" t="str">
        <f>IFERROR(__xludf.DUMMYFUNCTION("""COMPUTED_VALUE"""),"내가 공주라니!")</f>
        <v>내가 공주라니!</v>
      </c>
      <c r="B16323" s="2" t="str">
        <f>IFERROR(__xludf.DUMMYFUNCTION("""COMPUTED_VALUE"""),"채끝살")</f>
        <v>채끝살</v>
      </c>
    </row>
    <row r="16324">
      <c r="A16324" s="2" t="str">
        <f>IFERROR(__xludf.DUMMYFUNCTION("""COMPUTED_VALUE"""),"내가 공주라니!")</f>
        <v>내가 공주라니!</v>
      </c>
      <c r="B16324" s="2" t="str">
        <f>IFERROR(__xludf.DUMMYFUNCTION("""COMPUTED_VALUE"""),"강황가루")</f>
        <v>강황가루</v>
      </c>
    </row>
    <row r="16325">
      <c r="A16325" s="2" t="str">
        <f>IFERROR(__xludf.DUMMYFUNCTION("""COMPUTED_VALUE"""),"내가 공주라니!")</f>
        <v>내가 공주라니!</v>
      </c>
      <c r="B16325" s="2" t="str">
        <f>IFERROR(__xludf.DUMMYFUNCTION("""COMPUTED_VALUE"""),"고구마")</f>
        <v>고구마</v>
      </c>
    </row>
    <row r="16326">
      <c r="A16326" s="2" t="str">
        <f>IFERROR(__xludf.DUMMYFUNCTION("""COMPUTED_VALUE"""),"내가 공주라니!")</f>
        <v>내가 공주라니!</v>
      </c>
      <c r="B16326" s="2" t="str">
        <f>IFERROR(__xludf.DUMMYFUNCTION("""COMPUTED_VALUE"""),"블루베리")</f>
        <v>블루베리</v>
      </c>
    </row>
    <row r="16327">
      <c r="A16327" s="2" t="str">
        <f>IFERROR(__xludf.DUMMYFUNCTION("""COMPUTED_VALUE"""),"내가 공주라니!")</f>
        <v>내가 공주라니!</v>
      </c>
      <c r="B16327" s="2" t="str">
        <f>IFERROR(__xludf.DUMMYFUNCTION("""COMPUTED_VALUE"""),"요거트")</f>
        <v>요거트</v>
      </c>
    </row>
    <row r="16328">
      <c r="A16328" s="2" t="str">
        <f>IFERROR(__xludf.DUMMYFUNCTION("""COMPUTED_VALUE"""),"내가 공주라니!")</f>
        <v>내가 공주라니!</v>
      </c>
      <c r="B16328" s="2" t="str">
        <f>IFERROR(__xludf.DUMMYFUNCTION("""COMPUTED_VALUE"""),"돈가스소스")</f>
        <v>돈가스소스</v>
      </c>
    </row>
    <row r="16329">
      <c r="A16329" s="2" t="str">
        <f>IFERROR(__xludf.DUMMYFUNCTION("""COMPUTED_VALUE"""),"내가 공주라니!")</f>
        <v>내가 공주라니!</v>
      </c>
      <c r="B16329" s="2" t="str">
        <f>IFERROR(__xludf.DUMMYFUNCTION("""COMPUTED_VALUE"""),"식빵")</f>
        <v>식빵</v>
      </c>
    </row>
    <row r="16330">
      <c r="A16330" s="2" t="str">
        <f>IFERROR(__xludf.DUMMYFUNCTION("""COMPUTED_VALUE"""),"내가 공주라니!")</f>
        <v>내가 공주라니!</v>
      </c>
      <c r="B16330" s="2" t="str">
        <f>IFERROR(__xludf.DUMMYFUNCTION("""COMPUTED_VALUE"""),"굴소스")</f>
        <v>굴소스</v>
      </c>
    </row>
    <row r="16331">
      <c r="A16331" s="2" t="str">
        <f>IFERROR(__xludf.DUMMYFUNCTION("""COMPUTED_VALUE"""),"내가 공주라니!")</f>
        <v>내가 공주라니!</v>
      </c>
      <c r="B16331" s="2" t="str">
        <f>IFERROR(__xludf.DUMMYFUNCTION("""COMPUTED_VALUE"""),"게맛살")</f>
        <v>게맛살</v>
      </c>
    </row>
    <row r="16332">
      <c r="A16332" s="2" t="str">
        <f>IFERROR(__xludf.DUMMYFUNCTION("""COMPUTED_VALUE"""),"내가 공주라니!")</f>
        <v>내가 공주라니!</v>
      </c>
      <c r="B16332" s="2" t="str">
        <f>IFERROR(__xludf.DUMMYFUNCTION("""COMPUTED_VALUE"""),"애호박")</f>
        <v>애호박</v>
      </c>
    </row>
    <row r="16333">
      <c r="A16333" s="2" t="str">
        <f>IFERROR(__xludf.DUMMYFUNCTION("""COMPUTED_VALUE"""),"내가 공주라니!")</f>
        <v>내가 공주라니!</v>
      </c>
      <c r="B16333" s="2" t="str">
        <f>IFERROR(__xludf.DUMMYFUNCTION("""COMPUTED_VALUE"""),"단호박")</f>
        <v>단호박</v>
      </c>
    </row>
    <row r="16334">
      <c r="A16334" s="2" t="str">
        <f>IFERROR(__xludf.DUMMYFUNCTION("""COMPUTED_VALUE"""),"내가 공주라니!")</f>
        <v>내가 공주라니!</v>
      </c>
      <c r="B16334" s="2" t="str">
        <f>IFERROR(__xludf.DUMMYFUNCTION("""COMPUTED_VALUE"""),"밀가루")</f>
        <v>밀가루</v>
      </c>
    </row>
    <row r="16335">
      <c r="A16335" s="2" t="str">
        <f>IFERROR(__xludf.DUMMYFUNCTION("""COMPUTED_VALUE"""),"내가 공주라니!")</f>
        <v>내가 공주라니!</v>
      </c>
      <c r="B16335" s="2" t="str">
        <f>IFERROR(__xludf.DUMMYFUNCTION("""COMPUTED_VALUE"""),"달걀")</f>
        <v>달걀</v>
      </c>
    </row>
    <row r="16336">
      <c r="A16336" s="2" t="str">
        <f>IFERROR(__xludf.DUMMYFUNCTION("""COMPUTED_VALUE"""),"내가 공주라니!")</f>
        <v>내가 공주라니!</v>
      </c>
      <c r="B16336" s="2" t="str">
        <f>IFERROR(__xludf.DUMMYFUNCTION("""COMPUTED_VALUE"""),"올리브오일")</f>
        <v>올리브오일</v>
      </c>
    </row>
    <row r="16337">
      <c r="A16337" s="2" t="str">
        <f>IFERROR(__xludf.DUMMYFUNCTION("""COMPUTED_VALUE"""),"내가 공주라니!")</f>
        <v>내가 공주라니!</v>
      </c>
      <c r="B16337" s="2" t="str">
        <f>IFERROR(__xludf.DUMMYFUNCTION("""COMPUTED_VALUE"""),"소금")</f>
        <v>소금</v>
      </c>
    </row>
    <row r="16338">
      <c r="A16338" s="2" t="str">
        <f>IFERROR(__xludf.DUMMYFUNCTION("""COMPUTED_VALUE"""),"내가 공주라니!")</f>
        <v>내가 공주라니!</v>
      </c>
      <c r="B16338" s="2" t="str">
        <f>IFERROR(__xludf.DUMMYFUNCTION("""COMPUTED_VALUE"""),"마요네즈")</f>
        <v>마요네즈</v>
      </c>
    </row>
    <row r="16339">
      <c r="A16339" s="2" t="str">
        <f>IFERROR(__xludf.DUMMYFUNCTION("""COMPUTED_VALUE"""),"라니공주와 올라프")</f>
        <v>라니공주와 올라프</v>
      </c>
      <c r="B16339" s="2" t="str">
        <f>IFERROR(__xludf.DUMMYFUNCTION("""COMPUTED_VALUE"""),"채끝살")</f>
        <v>채끝살</v>
      </c>
    </row>
    <row r="16340">
      <c r="A16340" s="2" t="str">
        <f>IFERROR(__xludf.DUMMYFUNCTION("""COMPUTED_VALUE"""),"라니공주와 올라프")</f>
        <v>라니공주와 올라프</v>
      </c>
      <c r="B16340" s="2" t="str">
        <f>IFERROR(__xludf.DUMMYFUNCTION("""COMPUTED_VALUE"""),"치킨너깃")</f>
        <v>치킨너깃</v>
      </c>
    </row>
    <row r="16341">
      <c r="A16341" s="2" t="str">
        <f>IFERROR(__xludf.DUMMYFUNCTION("""COMPUTED_VALUE"""),"라니공주와 올라프")</f>
        <v>라니공주와 올라프</v>
      </c>
      <c r="B16341" s="2" t="str">
        <f>IFERROR(__xludf.DUMMYFUNCTION("""COMPUTED_VALUE"""),"다진 새우버섯볶음")</f>
        <v>다진 새우버섯볶음</v>
      </c>
    </row>
    <row r="16342">
      <c r="A16342" s="2" t="str">
        <f>IFERROR(__xludf.DUMMYFUNCTION("""COMPUTED_VALUE"""),"라니공주와 올라프")</f>
        <v>라니공주와 올라프</v>
      </c>
      <c r="B16342" s="2" t="str">
        <f>IFERROR(__xludf.DUMMYFUNCTION("""COMPUTED_VALUE"""),"슬라이스치즈")</f>
        <v>슬라이스치즈</v>
      </c>
    </row>
    <row r="16343">
      <c r="A16343" s="2" t="str">
        <f>IFERROR(__xludf.DUMMYFUNCTION("""COMPUTED_VALUE"""),"라니공주와 올라프")</f>
        <v>라니공주와 올라프</v>
      </c>
      <c r="B16343" s="2" t="str">
        <f>IFERROR(__xludf.DUMMYFUNCTION("""COMPUTED_VALUE"""),"김")</f>
        <v>김</v>
      </c>
    </row>
    <row r="16344">
      <c r="A16344" s="2" t="str">
        <f>IFERROR(__xludf.DUMMYFUNCTION("""COMPUTED_VALUE"""),"라니공주와 올라프")</f>
        <v>라니공주와 올라프</v>
      </c>
      <c r="B16344" s="2" t="str">
        <f>IFERROR(__xludf.DUMMYFUNCTION("""COMPUTED_VALUE"""),"육포")</f>
        <v>육포</v>
      </c>
    </row>
    <row r="16345">
      <c r="A16345" s="2" t="str">
        <f>IFERROR(__xludf.DUMMYFUNCTION("""COMPUTED_VALUE"""),"라니공주와 올라프")</f>
        <v>라니공주와 올라프</v>
      </c>
      <c r="B16345" s="2" t="str">
        <f>IFERROR(__xludf.DUMMYFUNCTION("""COMPUTED_VALUE"""),"즉석밥")</f>
        <v>즉석밥</v>
      </c>
    </row>
    <row r="16346">
      <c r="A16346" s="2" t="str">
        <f>IFERROR(__xludf.DUMMYFUNCTION("""COMPUTED_VALUE"""),"라니공주와 올라프")</f>
        <v>라니공주와 올라프</v>
      </c>
      <c r="B16346" s="2" t="str">
        <f>IFERROR(__xludf.DUMMYFUNCTION("""COMPUTED_VALUE"""),"깨")</f>
        <v>깨</v>
      </c>
    </row>
    <row r="16347">
      <c r="A16347" s="2" t="str">
        <f>IFERROR(__xludf.DUMMYFUNCTION("""COMPUTED_VALUE"""),"라니공주와 올라프")</f>
        <v>라니공주와 올라프</v>
      </c>
      <c r="B16347" s="2" t="str">
        <f>IFERROR(__xludf.DUMMYFUNCTION("""COMPUTED_VALUE"""),"소금")</f>
        <v>소금</v>
      </c>
    </row>
    <row r="16348">
      <c r="A16348" s="2" t="str">
        <f>IFERROR(__xludf.DUMMYFUNCTION("""COMPUTED_VALUE"""),"라니공주와 올라프")</f>
        <v>라니공주와 올라프</v>
      </c>
      <c r="B16348" s="2" t="str">
        <f>IFERROR(__xludf.DUMMYFUNCTION("""COMPUTED_VALUE"""),"달걀")</f>
        <v>달걀</v>
      </c>
    </row>
    <row r="16349">
      <c r="A16349" s="2" t="str">
        <f>IFERROR(__xludf.DUMMYFUNCTION("""COMPUTED_VALUE"""),"라니공주와 올라프")</f>
        <v>라니공주와 올라프</v>
      </c>
      <c r="B16349" s="2" t="str">
        <f>IFERROR(__xludf.DUMMYFUNCTION("""COMPUTED_VALUE"""),"밀가루")</f>
        <v>밀가루</v>
      </c>
    </row>
    <row r="16350">
      <c r="A16350" s="2" t="str">
        <f>IFERROR(__xludf.DUMMYFUNCTION("""COMPUTED_VALUE"""),"라니공주와 올라프")</f>
        <v>라니공주와 올라프</v>
      </c>
      <c r="B16350" s="2" t="str">
        <f>IFERROR(__xludf.DUMMYFUNCTION("""COMPUTED_VALUE"""),"올리브오일")</f>
        <v>올리브오일</v>
      </c>
    </row>
    <row r="16351">
      <c r="A16351" s="2" t="str">
        <f>IFERROR(__xludf.DUMMYFUNCTION("""COMPUTED_VALUE"""),"라니공주와 올라프")</f>
        <v>라니공주와 올라프</v>
      </c>
      <c r="B16351" s="2" t="str">
        <f>IFERROR(__xludf.DUMMYFUNCTION("""COMPUTED_VALUE"""),"참기름")</f>
        <v>참기름</v>
      </c>
    </row>
    <row r="16352">
      <c r="A16352" s="2" t="str">
        <f>IFERROR(__xludf.DUMMYFUNCTION("""COMPUTED_VALUE"""),"라니공주와 올라프")</f>
        <v>라니공주와 올라프</v>
      </c>
      <c r="B16352" s="2" t="str">
        <f>IFERROR(__xludf.DUMMYFUNCTION("""COMPUTED_VALUE"""),"당근")</f>
        <v>당근</v>
      </c>
    </row>
    <row r="16353">
      <c r="A16353" s="2" t="str">
        <f>IFERROR(__xludf.DUMMYFUNCTION("""COMPUTED_VALUE"""),"문어 입떡")</f>
        <v>문어 입떡</v>
      </c>
      <c r="B16353" s="2" t="str">
        <f>IFERROR(__xludf.DUMMYFUNCTION("""COMPUTED_VALUE"""),"문어")</f>
        <v>문어</v>
      </c>
    </row>
    <row r="16354">
      <c r="A16354" s="2" t="str">
        <f>IFERROR(__xludf.DUMMYFUNCTION("""COMPUTED_VALUE"""),"문어 입떡")</f>
        <v>문어 입떡</v>
      </c>
      <c r="B16354" s="2" t="str">
        <f>IFERROR(__xludf.DUMMYFUNCTION("""COMPUTED_VALUE"""),"만두")</f>
        <v>만두</v>
      </c>
    </row>
    <row r="16355">
      <c r="A16355" s="2" t="str">
        <f>IFERROR(__xludf.DUMMYFUNCTION("""COMPUTED_VALUE"""),"문어 입떡")</f>
        <v>문어 입떡</v>
      </c>
      <c r="B16355" s="2" t="str">
        <f>IFERROR(__xludf.DUMMYFUNCTION("""COMPUTED_VALUE"""),"자숙새우")</f>
        <v>자숙새우</v>
      </c>
    </row>
    <row r="16356">
      <c r="A16356" s="2" t="str">
        <f>IFERROR(__xludf.DUMMYFUNCTION("""COMPUTED_VALUE"""),"문어 입떡")</f>
        <v>문어 입떡</v>
      </c>
      <c r="B16356" s="2" t="str">
        <f>IFERROR(__xludf.DUMMYFUNCTION("""COMPUTED_VALUE"""),"애호박")</f>
        <v>애호박</v>
      </c>
    </row>
    <row r="16357">
      <c r="A16357" s="2" t="str">
        <f>IFERROR(__xludf.DUMMYFUNCTION("""COMPUTED_VALUE"""),"문어 입떡")</f>
        <v>문어 입떡</v>
      </c>
      <c r="B16357" s="2" t="str">
        <f>IFERROR(__xludf.DUMMYFUNCTION("""COMPUTED_VALUE"""),"김")</f>
        <v>김</v>
      </c>
    </row>
    <row r="16358">
      <c r="A16358" s="2" t="str">
        <f>IFERROR(__xludf.DUMMYFUNCTION("""COMPUTED_VALUE"""),"문어 입떡")</f>
        <v>문어 입떡</v>
      </c>
      <c r="B16358" s="2" t="str">
        <f>IFERROR(__xludf.DUMMYFUNCTION("""COMPUTED_VALUE"""),"굴소스")</f>
        <v>굴소스</v>
      </c>
    </row>
    <row r="16359">
      <c r="A16359" s="2" t="str">
        <f>IFERROR(__xludf.DUMMYFUNCTION("""COMPUTED_VALUE"""),"문어 입떡")</f>
        <v>문어 입떡</v>
      </c>
      <c r="B16359" s="2" t="str">
        <f>IFERROR(__xludf.DUMMYFUNCTION("""COMPUTED_VALUE"""),"어묵")</f>
        <v>어묵</v>
      </c>
    </row>
    <row r="16360">
      <c r="A16360" s="2" t="str">
        <f>IFERROR(__xludf.DUMMYFUNCTION("""COMPUTED_VALUE"""),"문어 입떡")</f>
        <v>문어 입떡</v>
      </c>
      <c r="B16360" s="2" t="str">
        <f>IFERROR(__xludf.DUMMYFUNCTION("""COMPUTED_VALUE"""),"가래떡")</f>
        <v>가래떡</v>
      </c>
    </row>
    <row r="16361">
      <c r="A16361" s="2" t="str">
        <f>IFERROR(__xludf.DUMMYFUNCTION("""COMPUTED_VALUE"""),"문어 입떡")</f>
        <v>문어 입떡</v>
      </c>
      <c r="B16361" s="2" t="str">
        <f>IFERROR(__xludf.DUMMYFUNCTION("""COMPUTED_VALUE"""),"삶은 달걀")</f>
        <v>삶은 달걀</v>
      </c>
    </row>
    <row r="16362">
      <c r="A16362" s="2" t="str">
        <f>IFERROR(__xludf.DUMMYFUNCTION("""COMPUTED_VALUE"""),"문어 입떡")</f>
        <v>문어 입떡</v>
      </c>
      <c r="B16362" s="2" t="str">
        <f>IFERROR(__xludf.DUMMYFUNCTION("""COMPUTED_VALUE"""),"쌀국수면")</f>
        <v>쌀국수면</v>
      </c>
    </row>
    <row r="16363">
      <c r="A16363" s="2" t="str">
        <f>IFERROR(__xludf.DUMMYFUNCTION("""COMPUTED_VALUE"""),"문어 입떡")</f>
        <v>문어 입떡</v>
      </c>
      <c r="B16363" s="2" t="str">
        <f>IFERROR(__xludf.DUMMYFUNCTION("""COMPUTED_VALUE"""),"디포리")</f>
        <v>디포리</v>
      </c>
    </row>
    <row r="16364">
      <c r="A16364" s="2" t="str">
        <f>IFERROR(__xludf.DUMMYFUNCTION("""COMPUTED_VALUE"""),"문어 입떡")</f>
        <v>문어 입떡</v>
      </c>
      <c r="B16364" s="2" t="str">
        <f>IFERROR(__xludf.DUMMYFUNCTION("""COMPUTED_VALUE"""),"참깨")</f>
        <v>참깨</v>
      </c>
    </row>
    <row r="16365">
      <c r="A16365" s="2" t="str">
        <f>IFERROR(__xludf.DUMMYFUNCTION("""COMPUTED_VALUE"""),"문어 입떡")</f>
        <v>문어 입떡</v>
      </c>
      <c r="B16365" s="2" t="str">
        <f>IFERROR(__xludf.DUMMYFUNCTION("""COMPUTED_VALUE"""),"볶음고추장")</f>
        <v>볶음고추장</v>
      </c>
    </row>
    <row r="16366">
      <c r="A16366" s="2" t="str">
        <f>IFERROR(__xludf.DUMMYFUNCTION("""COMPUTED_VALUE"""),"문어 입떡")</f>
        <v>문어 입떡</v>
      </c>
      <c r="B16366" s="2" t="str">
        <f>IFERROR(__xludf.DUMMYFUNCTION("""COMPUTED_VALUE"""),"대파")</f>
        <v>대파</v>
      </c>
    </row>
    <row r="16367">
      <c r="A16367" s="2" t="str">
        <f>IFERROR(__xludf.DUMMYFUNCTION("""COMPUTED_VALUE"""),"문어 입떡")</f>
        <v>문어 입떡</v>
      </c>
      <c r="B16367" s="2" t="str">
        <f>IFERROR(__xludf.DUMMYFUNCTION("""COMPUTED_VALUE"""),"양파")</f>
        <v>양파</v>
      </c>
    </row>
    <row r="16368">
      <c r="A16368" s="2" t="str">
        <f>IFERROR(__xludf.DUMMYFUNCTION("""COMPUTED_VALUE"""),"문어 입떡")</f>
        <v>문어 입떡</v>
      </c>
      <c r="B16368" s="2" t="str">
        <f>IFERROR(__xludf.DUMMYFUNCTION("""COMPUTED_VALUE"""),"청주")</f>
        <v>청주</v>
      </c>
    </row>
    <row r="16369">
      <c r="A16369" s="2" t="str">
        <f>IFERROR(__xludf.DUMMYFUNCTION("""COMPUTED_VALUE"""),"문어 입떡")</f>
        <v>문어 입떡</v>
      </c>
      <c r="B16369" s="2" t="str">
        <f>IFERROR(__xludf.DUMMYFUNCTION("""COMPUTED_VALUE"""),"고춧가루")</f>
        <v>고춧가루</v>
      </c>
    </row>
    <row r="16370">
      <c r="A16370" s="2" t="str">
        <f>IFERROR(__xludf.DUMMYFUNCTION("""COMPUTED_VALUE"""),"문어 입떡")</f>
        <v>문어 입떡</v>
      </c>
      <c r="B16370" s="2" t="str">
        <f>IFERROR(__xludf.DUMMYFUNCTION("""COMPUTED_VALUE"""),"물엿")</f>
        <v>물엿</v>
      </c>
    </row>
    <row r="16371">
      <c r="A16371" s="2" t="str">
        <f>IFERROR(__xludf.DUMMYFUNCTION("""COMPUTED_VALUE"""),"문어 입떡")</f>
        <v>문어 입떡</v>
      </c>
      <c r="B16371" s="2" t="str">
        <f>IFERROR(__xludf.DUMMYFUNCTION("""COMPUTED_VALUE"""),"다진마늘")</f>
        <v>다진마늘</v>
      </c>
    </row>
    <row r="16372">
      <c r="A16372" s="2" t="str">
        <f>IFERROR(__xludf.DUMMYFUNCTION("""COMPUTED_VALUE"""),"문어 입떡")</f>
        <v>문어 입떡</v>
      </c>
      <c r="B16372" s="2" t="str">
        <f>IFERROR(__xludf.DUMMYFUNCTION("""COMPUTED_VALUE"""),"간장")</f>
        <v>간장</v>
      </c>
    </row>
    <row r="16373">
      <c r="A16373" s="2" t="str">
        <f>IFERROR(__xludf.DUMMYFUNCTION("""COMPUTED_VALUE"""),"문어 입떡")</f>
        <v>문어 입떡</v>
      </c>
      <c r="B16373" s="2" t="str">
        <f>IFERROR(__xludf.DUMMYFUNCTION("""COMPUTED_VALUE"""),"전분")</f>
        <v>전분</v>
      </c>
    </row>
    <row r="16374">
      <c r="A16374" s="2" t="str">
        <f>IFERROR(__xludf.DUMMYFUNCTION("""COMPUTED_VALUE"""),"문어 입떡")</f>
        <v>문어 입떡</v>
      </c>
      <c r="B16374" s="2" t="str">
        <f>IFERROR(__xludf.DUMMYFUNCTION("""COMPUTED_VALUE"""),"고추")</f>
        <v>고추</v>
      </c>
    </row>
    <row r="16375">
      <c r="A16375" s="2" t="str">
        <f>IFERROR(__xludf.DUMMYFUNCTION("""COMPUTED_VALUE"""),"문어 입떡")</f>
        <v>문어 입떡</v>
      </c>
      <c r="B16375" s="2" t="str">
        <f>IFERROR(__xludf.DUMMYFUNCTION("""COMPUTED_VALUE"""),"후추")</f>
        <v>후추</v>
      </c>
    </row>
    <row r="16376">
      <c r="A16376" s="2" t="str">
        <f>IFERROR(__xludf.DUMMYFUNCTION("""COMPUTED_VALUE"""),"문어밖에 난 몰라♬")</f>
        <v>문어밖에 난 몰라♬</v>
      </c>
      <c r="B16376" s="2" t="str">
        <f>IFERROR(__xludf.DUMMYFUNCTION("""COMPUTED_VALUE"""),"문어")</f>
        <v>문어</v>
      </c>
    </row>
    <row r="16377">
      <c r="A16377" s="2" t="str">
        <f>IFERROR(__xludf.DUMMYFUNCTION("""COMPUTED_VALUE"""),"문어밖에 난 몰라♬")</f>
        <v>문어밖에 난 몰라♬</v>
      </c>
      <c r="B16377" s="2" t="str">
        <f>IFERROR(__xludf.DUMMYFUNCTION("""COMPUTED_VALUE"""),"채끝살")</f>
        <v>채끝살</v>
      </c>
    </row>
    <row r="16378">
      <c r="A16378" s="2" t="str">
        <f>IFERROR(__xludf.DUMMYFUNCTION("""COMPUTED_VALUE"""),"문어밖에 난 몰라♬")</f>
        <v>문어밖에 난 몰라♬</v>
      </c>
      <c r="B16378" s="2" t="str">
        <f>IFERROR(__xludf.DUMMYFUNCTION("""COMPUTED_VALUE"""),"무")</f>
        <v>무</v>
      </c>
    </row>
    <row r="16379">
      <c r="A16379" s="2" t="str">
        <f>IFERROR(__xludf.DUMMYFUNCTION("""COMPUTED_VALUE"""),"문어밖에 난 몰라♬")</f>
        <v>문어밖에 난 몰라♬</v>
      </c>
      <c r="B16379" s="2" t="str">
        <f>IFERROR(__xludf.DUMMYFUNCTION("""COMPUTED_VALUE"""),"병아리콩")</f>
        <v>병아리콩</v>
      </c>
    </row>
    <row r="16380">
      <c r="A16380" s="2" t="str">
        <f>IFERROR(__xludf.DUMMYFUNCTION("""COMPUTED_VALUE"""),"문어밖에 난 몰라♬")</f>
        <v>문어밖에 난 몰라♬</v>
      </c>
      <c r="B16380" s="2" t="str">
        <f>IFERROR(__xludf.DUMMYFUNCTION("""COMPUTED_VALUE"""),"매실고추장장아찌")</f>
        <v>매실고추장장아찌</v>
      </c>
    </row>
    <row r="16381">
      <c r="A16381" s="2" t="str">
        <f>IFERROR(__xludf.DUMMYFUNCTION("""COMPUTED_VALUE"""),"문어밖에 난 몰라♬")</f>
        <v>문어밖에 난 몰라♬</v>
      </c>
      <c r="B16381" s="2" t="str">
        <f>IFERROR(__xludf.DUMMYFUNCTION("""COMPUTED_VALUE"""),"소면")</f>
        <v>소면</v>
      </c>
    </row>
    <row r="16382">
      <c r="A16382" s="2" t="str">
        <f>IFERROR(__xludf.DUMMYFUNCTION("""COMPUTED_VALUE"""),"문어밖에 난 몰라♬")</f>
        <v>문어밖에 난 몰라♬</v>
      </c>
      <c r="B16382" s="2" t="str">
        <f>IFERROR(__xludf.DUMMYFUNCTION("""COMPUTED_VALUE"""),"미역")</f>
        <v>미역</v>
      </c>
    </row>
    <row r="16383">
      <c r="A16383" s="2" t="str">
        <f>IFERROR(__xludf.DUMMYFUNCTION("""COMPUTED_VALUE"""),"문어밖에 난 몰라♬")</f>
        <v>문어밖에 난 몰라♬</v>
      </c>
      <c r="B16383" s="2" t="str">
        <f>IFERROR(__xludf.DUMMYFUNCTION("""COMPUTED_VALUE"""),"가리비")</f>
        <v>가리비</v>
      </c>
    </row>
    <row r="16384">
      <c r="A16384" s="2" t="str">
        <f>IFERROR(__xludf.DUMMYFUNCTION("""COMPUTED_VALUE"""),"문어밖에 난 몰라♬")</f>
        <v>문어밖에 난 몰라♬</v>
      </c>
      <c r="B16384" s="2" t="str">
        <f>IFERROR(__xludf.DUMMYFUNCTION("""COMPUTED_VALUE"""),"애호박")</f>
        <v>애호박</v>
      </c>
    </row>
    <row r="16385">
      <c r="A16385" s="2" t="str">
        <f>IFERROR(__xludf.DUMMYFUNCTION("""COMPUTED_VALUE"""),"문어밖에 난 몰라♬")</f>
        <v>문어밖에 난 몰라♬</v>
      </c>
      <c r="B16385" s="2" t="str">
        <f>IFERROR(__xludf.DUMMYFUNCTION("""COMPUTED_VALUE"""),"잣")</f>
        <v>잣</v>
      </c>
    </row>
    <row r="16386">
      <c r="A16386" s="2" t="str">
        <f>IFERROR(__xludf.DUMMYFUNCTION("""COMPUTED_VALUE"""),"문어밖에 난 몰라♬")</f>
        <v>문어밖에 난 몰라♬</v>
      </c>
      <c r="B16386" s="2" t="str">
        <f>IFERROR(__xludf.DUMMYFUNCTION("""COMPUTED_VALUE"""),"단호박")</f>
        <v>단호박</v>
      </c>
    </row>
    <row r="16387">
      <c r="A16387" s="2" t="str">
        <f>IFERROR(__xludf.DUMMYFUNCTION("""COMPUTED_VALUE"""),"문어밖에 난 몰라♬")</f>
        <v>문어밖에 난 몰라♬</v>
      </c>
      <c r="B16387" s="2" t="str">
        <f>IFERROR(__xludf.DUMMYFUNCTION("""COMPUTED_VALUE"""),"불린 표고버섯")</f>
        <v>불린 표고버섯</v>
      </c>
    </row>
    <row r="16388">
      <c r="A16388" s="2" t="str">
        <f>IFERROR(__xludf.DUMMYFUNCTION("""COMPUTED_VALUE"""),"문어밖에 난 몰라♬")</f>
        <v>문어밖에 난 몰라♬</v>
      </c>
      <c r="B16388" s="2" t="str">
        <f>IFERROR(__xludf.DUMMYFUNCTION("""COMPUTED_VALUE"""),"양파장아찌")</f>
        <v>양파장아찌</v>
      </c>
    </row>
    <row r="16389">
      <c r="A16389" s="2" t="str">
        <f>IFERROR(__xludf.DUMMYFUNCTION("""COMPUTED_VALUE"""),"문어밖에 난 몰라♬")</f>
        <v>문어밖에 난 몰라♬</v>
      </c>
      <c r="B16389" s="2" t="str">
        <f>IFERROR(__xludf.DUMMYFUNCTION("""COMPUTED_VALUE"""),"초고추장")</f>
        <v>초고추장</v>
      </c>
    </row>
    <row r="16390">
      <c r="A16390" s="2" t="str">
        <f>IFERROR(__xludf.DUMMYFUNCTION("""COMPUTED_VALUE"""),"문어밖에 난 몰라♬")</f>
        <v>문어밖에 난 몰라♬</v>
      </c>
      <c r="B16390" s="2" t="str">
        <f>IFERROR(__xludf.DUMMYFUNCTION("""COMPUTED_VALUE"""),"밀가루")</f>
        <v>밀가루</v>
      </c>
    </row>
    <row r="16391">
      <c r="A16391" s="2" t="str">
        <f>IFERROR(__xludf.DUMMYFUNCTION("""COMPUTED_VALUE"""),"문어밖에 난 몰라♬")</f>
        <v>문어밖에 난 몰라♬</v>
      </c>
      <c r="B16391" s="2" t="str">
        <f>IFERROR(__xludf.DUMMYFUNCTION("""COMPUTED_VALUE"""),"올리브오일")</f>
        <v>올리브오일</v>
      </c>
    </row>
    <row r="16392">
      <c r="A16392" s="2" t="str">
        <f>IFERROR(__xludf.DUMMYFUNCTION("""COMPUTED_VALUE"""),"문어밖에 난 몰라♬")</f>
        <v>문어밖에 난 몰라♬</v>
      </c>
      <c r="B16392" s="2" t="str">
        <f>IFERROR(__xludf.DUMMYFUNCTION("""COMPUTED_VALUE"""),"간장")</f>
        <v>간장</v>
      </c>
    </row>
    <row r="16393">
      <c r="A16393" s="2" t="str">
        <f>IFERROR(__xludf.DUMMYFUNCTION("""COMPUTED_VALUE"""),"문어밖에 난 몰라♬")</f>
        <v>문어밖에 난 몰라♬</v>
      </c>
      <c r="B16393" s="2" t="str">
        <f>IFERROR(__xludf.DUMMYFUNCTION("""COMPUTED_VALUE"""),"설탕")</f>
        <v>설탕</v>
      </c>
    </row>
    <row r="16394">
      <c r="A16394" s="2" t="str">
        <f>IFERROR(__xludf.DUMMYFUNCTION("""COMPUTED_VALUE"""),"문어밖에 난 몰라♬")</f>
        <v>문어밖에 난 몰라♬</v>
      </c>
      <c r="B16394" s="2" t="str">
        <f>IFERROR(__xludf.DUMMYFUNCTION("""COMPUTED_VALUE"""),"양파")</f>
        <v>양파</v>
      </c>
    </row>
    <row r="16395">
      <c r="A16395" s="2" t="str">
        <f>IFERROR(__xludf.DUMMYFUNCTION("""COMPUTED_VALUE"""),"문어밖에 난 몰라♬")</f>
        <v>문어밖에 난 몰라♬</v>
      </c>
      <c r="B16395" s="2" t="str">
        <f>IFERROR(__xludf.DUMMYFUNCTION("""COMPUTED_VALUE"""),"레몬")</f>
        <v>레몬</v>
      </c>
    </row>
    <row r="16396">
      <c r="A16396" s="2" t="str">
        <f>IFERROR(__xludf.DUMMYFUNCTION("""COMPUTED_VALUE"""),"문어밖에 난 몰라♬")</f>
        <v>문어밖에 난 몰라♬</v>
      </c>
      <c r="B16396" s="2" t="str">
        <f>IFERROR(__xludf.DUMMYFUNCTION("""COMPUTED_VALUE"""),"대파")</f>
        <v>대파</v>
      </c>
    </row>
    <row r="16397">
      <c r="A16397" s="2" t="str">
        <f>IFERROR(__xludf.DUMMYFUNCTION("""COMPUTED_VALUE"""),"문어밖에 난 몰라♬")</f>
        <v>문어밖에 난 몰라♬</v>
      </c>
      <c r="B16397" s="2" t="str">
        <f>IFERROR(__xludf.DUMMYFUNCTION("""COMPUTED_VALUE"""),"참기름")</f>
        <v>참기름</v>
      </c>
    </row>
    <row r="16398">
      <c r="A16398" s="2" t="str">
        <f>IFERROR(__xludf.DUMMYFUNCTION("""COMPUTED_VALUE"""),"문어밖에 난 몰라♬")</f>
        <v>문어밖에 난 몰라♬</v>
      </c>
      <c r="B16398" s="2" t="str">
        <f>IFERROR(__xludf.DUMMYFUNCTION("""COMPUTED_VALUE"""),"청양고추")</f>
        <v>청양고추</v>
      </c>
    </row>
    <row r="16399">
      <c r="A16399" s="2" t="str">
        <f>IFERROR(__xludf.DUMMYFUNCTION("""COMPUTED_VALUE"""),"수상한 튀김")</f>
        <v>수상한 튀김</v>
      </c>
      <c r="B16399" s="2" t="str">
        <f>IFERROR(__xludf.DUMMYFUNCTION("""COMPUTED_VALUE"""),"근대")</f>
        <v>근대</v>
      </c>
    </row>
    <row r="16400">
      <c r="A16400" s="2" t="str">
        <f>IFERROR(__xludf.DUMMYFUNCTION("""COMPUTED_VALUE"""),"수상한 튀김")</f>
        <v>수상한 튀김</v>
      </c>
      <c r="B16400" s="2" t="str">
        <f>IFERROR(__xludf.DUMMYFUNCTION("""COMPUTED_VALUE"""),"쌈장")</f>
        <v>쌈장</v>
      </c>
    </row>
    <row r="16401">
      <c r="A16401" s="2" t="str">
        <f>IFERROR(__xludf.DUMMYFUNCTION("""COMPUTED_VALUE"""),"수상한 튀김")</f>
        <v>수상한 튀김</v>
      </c>
      <c r="B16401" s="2" t="str">
        <f>IFERROR(__xludf.DUMMYFUNCTION("""COMPUTED_VALUE"""),"밤조림")</f>
        <v>밤조림</v>
      </c>
    </row>
    <row r="16402">
      <c r="A16402" s="2" t="str">
        <f>IFERROR(__xludf.DUMMYFUNCTION("""COMPUTED_VALUE"""),"수상한 튀김")</f>
        <v>수상한 튀김</v>
      </c>
      <c r="B16402" s="2" t="str">
        <f>IFERROR(__xludf.DUMMYFUNCTION("""COMPUTED_VALUE"""),"새우장")</f>
        <v>새우장</v>
      </c>
    </row>
    <row r="16403">
      <c r="A16403" s="2" t="str">
        <f>IFERROR(__xludf.DUMMYFUNCTION("""COMPUTED_VALUE"""),"수상한 튀김")</f>
        <v>수상한 튀김</v>
      </c>
      <c r="B16403" s="2" t="str">
        <f>IFERROR(__xludf.DUMMYFUNCTION("""COMPUTED_VALUE"""),"송이버섯")</f>
        <v>송이버섯</v>
      </c>
    </row>
    <row r="16404">
      <c r="A16404" s="2" t="str">
        <f>IFERROR(__xludf.DUMMYFUNCTION("""COMPUTED_VALUE"""),"수상한 튀김")</f>
        <v>수상한 튀김</v>
      </c>
      <c r="B16404" s="2" t="str">
        <f>IFERROR(__xludf.DUMMYFUNCTION("""COMPUTED_VALUE"""),"쌈장")</f>
        <v>쌈장</v>
      </c>
    </row>
    <row r="16405">
      <c r="A16405" s="2" t="str">
        <f>IFERROR(__xludf.DUMMYFUNCTION("""COMPUTED_VALUE"""),"수상한 튀김")</f>
        <v>수상한 튀김</v>
      </c>
      <c r="B16405" s="2" t="str">
        <f>IFERROR(__xludf.DUMMYFUNCTION("""COMPUTED_VALUE"""),"청사과")</f>
        <v>청사과</v>
      </c>
    </row>
    <row r="16406">
      <c r="A16406" s="2" t="str">
        <f>IFERROR(__xludf.DUMMYFUNCTION("""COMPUTED_VALUE"""),"수상한 튀김")</f>
        <v>수상한 튀김</v>
      </c>
      <c r="B16406" s="2" t="str">
        <f>IFERROR(__xludf.DUMMYFUNCTION("""COMPUTED_VALUE"""),"김")</f>
        <v>김</v>
      </c>
    </row>
    <row r="16407">
      <c r="A16407" s="2" t="str">
        <f>IFERROR(__xludf.DUMMYFUNCTION("""COMPUTED_VALUE"""),"수상한 튀김")</f>
        <v>수상한 튀김</v>
      </c>
      <c r="B16407" s="2" t="str">
        <f>IFERROR(__xludf.DUMMYFUNCTION("""COMPUTED_VALUE"""),"제육불고기")</f>
        <v>제육불고기</v>
      </c>
    </row>
    <row r="16408">
      <c r="A16408" s="2" t="str">
        <f>IFERROR(__xludf.DUMMYFUNCTION("""COMPUTED_VALUE"""),"수상한 튀김")</f>
        <v>수상한 튀김</v>
      </c>
      <c r="B16408" s="2" t="str">
        <f>IFERROR(__xludf.DUMMYFUNCTION("""COMPUTED_VALUE"""),"맥주")</f>
        <v>맥주</v>
      </c>
    </row>
    <row r="16409">
      <c r="A16409" s="2" t="str">
        <f>IFERROR(__xludf.DUMMYFUNCTION("""COMPUTED_VALUE"""),"수상한 튀김")</f>
        <v>수상한 튀김</v>
      </c>
      <c r="B16409" s="2" t="str">
        <f>IFERROR(__xludf.DUMMYFUNCTION("""COMPUTED_VALUE"""),"어묵")</f>
        <v>어묵</v>
      </c>
    </row>
    <row r="16410">
      <c r="A16410" s="2" t="str">
        <f>IFERROR(__xludf.DUMMYFUNCTION("""COMPUTED_VALUE"""),"수상한 튀김")</f>
        <v>수상한 튀김</v>
      </c>
      <c r="B16410" s="2" t="str">
        <f>IFERROR(__xludf.DUMMYFUNCTION("""COMPUTED_VALUE"""),"무김치")</f>
        <v>무김치</v>
      </c>
    </row>
    <row r="16411">
      <c r="A16411" s="2" t="str">
        <f>IFERROR(__xludf.DUMMYFUNCTION("""COMPUTED_VALUE"""),"수상한 튀김")</f>
        <v>수상한 튀김</v>
      </c>
      <c r="B16411" s="2" t="str">
        <f>IFERROR(__xludf.DUMMYFUNCTION("""COMPUTED_VALUE"""),"매실액")</f>
        <v>매실액</v>
      </c>
    </row>
    <row r="16412">
      <c r="A16412" s="2" t="str">
        <f>IFERROR(__xludf.DUMMYFUNCTION("""COMPUTED_VALUE"""),"수상한 튀김")</f>
        <v>수상한 튀김</v>
      </c>
      <c r="B16412" s="2" t="str">
        <f>IFERROR(__xludf.DUMMYFUNCTION("""COMPUTED_VALUE"""),"즉석밥")</f>
        <v>즉석밥</v>
      </c>
    </row>
    <row r="16413">
      <c r="A16413" s="2" t="str">
        <f>IFERROR(__xludf.DUMMYFUNCTION("""COMPUTED_VALUE"""),"수상한 튀김")</f>
        <v>수상한 튀김</v>
      </c>
      <c r="B16413" s="2" t="str">
        <f>IFERROR(__xludf.DUMMYFUNCTION("""COMPUTED_VALUE"""),"청주")</f>
        <v>청주</v>
      </c>
    </row>
    <row r="16414">
      <c r="A16414" s="2" t="str">
        <f>IFERROR(__xludf.DUMMYFUNCTION("""COMPUTED_VALUE"""),"수상한 튀김")</f>
        <v>수상한 튀김</v>
      </c>
      <c r="B16414" s="2" t="str">
        <f>IFERROR(__xludf.DUMMYFUNCTION("""COMPUTED_VALUE"""),"식초")</f>
        <v>식초</v>
      </c>
    </row>
    <row r="16415">
      <c r="A16415" s="2" t="str">
        <f>IFERROR(__xludf.DUMMYFUNCTION("""COMPUTED_VALUE"""),"수상한 튀김")</f>
        <v>수상한 튀김</v>
      </c>
      <c r="B16415" s="2" t="str">
        <f>IFERROR(__xludf.DUMMYFUNCTION("""COMPUTED_VALUE"""),"참기름")</f>
        <v>참기름</v>
      </c>
    </row>
    <row r="16416">
      <c r="A16416" s="2" t="str">
        <f>IFERROR(__xludf.DUMMYFUNCTION("""COMPUTED_VALUE"""),"수상한 튀김")</f>
        <v>수상한 튀김</v>
      </c>
      <c r="B16416" s="2" t="str">
        <f>IFERROR(__xludf.DUMMYFUNCTION("""COMPUTED_VALUE"""),"참깨")</f>
        <v>참깨</v>
      </c>
    </row>
    <row r="16417">
      <c r="A16417" s="2" t="str">
        <f>IFERROR(__xludf.DUMMYFUNCTION("""COMPUTED_VALUE"""),"수상한 튀김")</f>
        <v>수상한 튀김</v>
      </c>
      <c r="B16417" s="2" t="str">
        <f>IFERROR(__xludf.DUMMYFUNCTION("""COMPUTED_VALUE"""),"밀가루")</f>
        <v>밀가루</v>
      </c>
    </row>
    <row r="16418">
      <c r="A16418" s="2" t="str">
        <f>IFERROR(__xludf.DUMMYFUNCTION("""COMPUTED_VALUE"""),"수상한 튀김")</f>
        <v>수상한 튀김</v>
      </c>
      <c r="B16418" s="2" t="str">
        <f>IFERROR(__xludf.DUMMYFUNCTION("""COMPUTED_VALUE"""),"전분")</f>
        <v>전분</v>
      </c>
    </row>
    <row r="16419">
      <c r="A16419" s="2" t="str">
        <f>IFERROR(__xludf.DUMMYFUNCTION("""COMPUTED_VALUE"""),"수상한 튀김")</f>
        <v>수상한 튀김</v>
      </c>
      <c r="B16419" s="2" t="str">
        <f>IFERROR(__xludf.DUMMYFUNCTION("""COMPUTED_VALUE"""),"튀김가루")</f>
        <v>튀김가루</v>
      </c>
    </row>
    <row r="16420">
      <c r="A16420" s="2" t="str">
        <f>IFERROR(__xludf.DUMMYFUNCTION("""COMPUTED_VALUE"""),"수상한 튀김")</f>
        <v>수상한 튀김</v>
      </c>
      <c r="B16420" s="2" t="str">
        <f>IFERROR(__xludf.DUMMYFUNCTION("""COMPUTED_VALUE"""),"올리브오일")</f>
        <v>올리브오일</v>
      </c>
    </row>
    <row r="16421">
      <c r="A16421" s="2" t="str">
        <f>IFERROR(__xludf.DUMMYFUNCTION("""COMPUTED_VALUE"""),"수상한 튀김")</f>
        <v>수상한 튀김</v>
      </c>
      <c r="B16421" s="2" t="str">
        <f>IFERROR(__xludf.DUMMYFUNCTION("""COMPUTED_VALUE"""),"청양고추")</f>
        <v>청양고추</v>
      </c>
    </row>
    <row r="16422">
      <c r="A16422" s="2" t="str">
        <f>IFERROR(__xludf.DUMMYFUNCTION("""COMPUTED_VALUE"""),"수상한 튀김")</f>
        <v>수상한 튀김</v>
      </c>
      <c r="B16422" s="2" t="str">
        <f>IFERROR(__xludf.DUMMYFUNCTION("""COMPUTED_VALUE"""),"양파")</f>
        <v>양파</v>
      </c>
    </row>
    <row r="16423">
      <c r="A16423" s="2" t="str">
        <f>IFERROR(__xludf.DUMMYFUNCTION("""COMPUTED_VALUE"""),"튀김의 신")</f>
        <v>튀김의 신</v>
      </c>
      <c r="B16423" s="2" t="str">
        <f>IFERROR(__xludf.DUMMYFUNCTION("""COMPUTED_VALUE"""),"돼지 목살")</f>
        <v>돼지 목살</v>
      </c>
    </row>
    <row r="16424">
      <c r="A16424" s="2" t="str">
        <f>IFERROR(__xludf.DUMMYFUNCTION("""COMPUTED_VALUE"""),"튀김의 신")</f>
        <v>튀김의 신</v>
      </c>
      <c r="B16424" s="2" t="str">
        <f>IFERROR(__xludf.DUMMYFUNCTION("""COMPUTED_VALUE"""),"소 등심")</f>
        <v>소 등심</v>
      </c>
    </row>
    <row r="16425">
      <c r="A16425" s="2" t="str">
        <f>IFERROR(__xludf.DUMMYFUNCTION("""COMPUTED_VALUE"""),"튀김의 신")</f>
        <v>튀김의 신</v>
      </c>
      <c r="B16425" s="2" t="str">
        <f>IFERROR(__xludf.DUMMYFUNCTION("""COMPUTED_VALUE"""),"송이버섯")</f>
        <v>송이버섯</v>
      </c>
    </row>
    <row r="16426">
      <c r="A16426" s="2" t="str">
        <f>IFERROR(__xludf.DUMMYFUNCTION("""COMPUTED_VALUE"""),"튀김의 신")</f>
        <v>튀김의 신</v>
      </c>
      <c r="B16426" s="2" t="str">
        <f>IFERROR(__xludf.DUMMYFUNCTION("""COMPUTED_VALUE"""),"배추김치")</f>
        <v>배추김치</v>
      </c>
    </row>
    <row r="16427">
      <c r="A16427" s="2" t="str">
        <f>IFERROR(__xludf.DUMMYFUNCTION("""COMPUTED_VALUE"""),"튀김의 신")</f>
        <v>튀김의 신</v>
      </c>
      <c r="B16427" s="2" t="str">
        <f>IFERROR(__xludf.DUMMYFUNCTION("""COMPUTED_VALUE"""),"애호박")</f>
        <v>애호박</v>
      </c>
    </row>
    <row r="16428">
      <c r="A16428" s="2" t="str">
        <f>IFERROR(__xludf.DUMMYFUNCTION("""COMPUTED_VALUE"""),"튀김의 신")</f>
        <v>튀김의 신</v>
      </c>
      <c r="B16428" s="2" t="str">
        <f>IFERROR(__xludf.DUMMYFUNCTION("""COMPUTED_VALUE"""),"양배추")</f>
        <v>양배추</v>
      </c>
    </row>
    <row r="16429">
      <c r="A16429" s="2" t="str">
        <f>IFERROR(__xludf.DUMMYFUNCTION("""COMPUTED_VALUE"""),"튀김의 신")</f>
        <v>튀김의 신</v>
      </c>
      <c r="B16429" s="2" t="str">
        <f>IFERROR(__xludf.DUMMYFUNCTION("""COMPUTED_VALUE"""),"짜장라면 수프")</f>
        <v>짜장라면 수프</v>
      </c>
    </row>
    <row r="16430">
      <c r="A16430" s="2" t="str">
        <f>IFERROR(__xludf.DUMMYFUNCTION("""COMPUTED_VALUE"""),"튀김의 신")</f>
        <v>튀김의 신</v>
      </c>
      <c r="B16430" s="2" t="str">
        <f>IFERROR(__xludf.DUMMYFUNCTION("""COMPUTED_VALUE"""),"아이용 간장")</f>
        <v>아이용 간장</v>
      </c>
    </row>
    <row r="16431">
      <c r="A16431" s="2" t="str">
        <f>IFERROR(__xludf.DUMMYFUNCTION("""COMPUTED_VALUE"""),"튀김의 신")</f>
        <v>튀김의 신</v>
      </c>
      <c r="B16431" s="2" t="str">
        <f>IFERROR(__xludf.DUMMYFUNCTION("""COMPUTED_VALUE"""),"밀가루")</f>
        <v>밀가루</v>
      </c>
    </row>
    <row r="16432">
      <c r="A16432" s="2" t="str">
        <f>IFERROR(__xludf.DUMMYFUNCTION("""COMPUTED_VALUE"""),"튀김의 신")</f>
        <v>튀김의 신</v>
      </c>
      <c r="B16432" s="2" t="str">
        <f>IFERROR(__xludf.DUMMYFUNCTION("""COMPUTED_VALUE"""),"소금")</f>
        <v>소금</v>
      </c>
    </row>
    <row r="16433">
      <c r="A16433" s="2" t="str">
        <f>IFERROR(__xludf.DUMMYFUNCTION("""COMPUTED_VALUE"""),"튀김의 신")</f>
        <v>튀김의 신</v>
      </c>
      <c r="B16433" s="2" t="str">
        <f>IFERROR(__xludf.DUMMYFUNCTION("""COMPUTED_VALUE"""),"다진 생강")</f>
        <v>다진 생강</v>
      </c>
    </row>
    <row r="16434">
      <c r="A16434" s="2" t="str">
        <f>IFERROR(__xludf.DUMMYFUNCTION("""COMPUTED_VALUE"""),"튀김의 신")</f>
        <v>튀김의 신</v>
      </c>
      <c r="B16434" s="2" t="str">
        <f>IFERROR(__xludf.DUMMYFUNCTION("""COMPUTED_VALUE"""),"올리브오일")</f>
        <v>올리브오일</v>
      </c>
    </row>
    <row r="16435">
      <c r="A16435" s="2" t="str">
        <f>IFERROR(__xludf.DUMMYFUNCTION("""COMPUTED_VALUE"""),"튀김의 신")</f>
        <v>튀김의 신</v>
      </c>
      <c r="B16435" s="2" t="str">
        <f>IFERROR(__xludf.DUMMYFUNCTION("""COMPUTED_VALUE"""),"대파")</f>
        <v>대파</v>
      </c>
    </row>
    <row r="16436">
      <c r="A16436" s="2" t="str">
        <f>IFERROR(__xludf.DUMMYFUNCTION("""COMPUTED_VALUE"""),"튀김의 신")</f>
        <v>튀김의 신</v>
      </c>
      <c r="B16436" s="2" t="str">
        <f>IFERROR(__xludf.DUMMYFUNCTION("""COMPUTED_VALUE"""),"후추")</f>
        <v>후추</v>
      </c>
    </row>
    <row r="16437">
      <c r="A16437" s="2" t="str">
        <f>IFERROR(__xludf.DUMMYFUNCTION("""COMPUTED_VALUE"""),"튀김의 신")</f>
        <v>튀김의 신</v>
      </c>
      <c r="B16437" s="2" t="str">
        <f>IFERROR(__xludf.DUMMYFUNCTION("""COMPUTED_VALUE"""),"전분")</f>
        <v>전분</v>
      </c>
    </row>
    <row r="16438">
      <c r="A16438" s="2" t="str">
        <f>IFERROR(__xludf.DUMMYFUNCTION("""COMPUTED_VALUE"""),"튀김의 신")</f>
        <v>튀김의 신</v>
      </c>
      <c r="B16438" s="2" t="str">
        <f>IFERROR(__xludf.DUMMYFUNCTION("""COMPUTED_VALUE"""),"달걀")</f>
        <v>달걀</v>
      </c>
    </row>
    <row r="16439">
      <c r="A16439" s="2" t="str">
        <f>IFERROR(__xludf.DUMMYFUNCTION("""COMPUTED_VALUE"""),"튀김의 신")</f>
        <v>튀김의 신</v>
      </c>
      <c r="B16439" s="2" t="str">
        <f>IFERROR(__xludf.DUMMYFUNCTION("""COMPUTED_VALUE"""),"식용유")</f>
        <v>식용유</v>
      </c>
    </row>
    <row r="16440">
      <c r="A16440" s="2" t="str">
        <f>IFERROR(__xludf.DUMMYFUNCTION("""COMPUTED_VALUE"""),"튀김의 신")</f>
        <v>튀김의 신</v>
      </c>
      <c r="B16440" s="2" t="str">
        <f>IFERROR(__xludf.DUMMYFUNCTION("""COMPUTED_VALUE"""),"청양고추")</f>
        <v>청양고추</v>
      </c>
    </row>
    <row r="16441">
      <c r="A16441" s="2" t="str">
        <f>IFERROR(__xludf.DUMMYFUNCTION("""COMPUTED_VALUE"""),"튀김의 신")</f>
        <v>튀김의 신</v>
      </c>
      <c r="B16441" s="2" t="str">
        <f>IFERROR(__xludf.DUMMYFUNCTION("""COMPUTED_VALUE"""),"식초")</f>
        <v>식초</v>
      </c>
    </row>
    <row r="16442">
      <c r="A16442" s="2" t="str">
        <f>IFERROR(__xludf.DUMMYFUNCTION("""COMPUTED_VALUE"""),"튀김의 신")</f>
        <v>튀김의 신</v>
      </c>
      <c r="B16442" s="2" t="str">
        <f>IFERROR(__xludf.DUMMYFUNCTION("""COMPUTED_VALUE"""),"참기름")</f>
        <v>참기름</v>
      </c>
    </row>
    <row r="16443">
      <c r="A16443" s="2" t="str">
        <f>IFERROR(__xludf.DUMMYFUNCTION("""COMPUTED_VALUE"""),"튀김의 신")</f>
        <v>튀김의 신</v>
      </c>
      <c r="B16443" s="2" t="str">
        <f>IFERROR(__xludf.DUMMYFUNCTION("""COMPUTED_VALUE"""),"고춧가루")</f>
        <v>고춧가루</v>
      </c>
    </row>
    <row r="16444">
      <c r="A16444" s="2" t="str">
        <f>IFERROR(__xludf.DUMMYFUNCTION("""COMPUTED_VALUE"""),"맵지호?")</f>
        <v>맵지호?</v>
      </c>
      <c r="B16444" s="2" t="str">
        <f>IFERROR(__xludf.DUMMYFUNCTION("""COMPUTED_VALUE"""),"대패삼겹살")</f>
        <v>대패삼겹살</v>
      </c>
    </row>
    <row r="16445">
      <c r="A16445" s="2" t="str">
        <f>IFERROR(__xludf.DUMMYFUNCTION("""COMPUTED_VALUE"""),"맵지호?")</f>
        <v>맵지호?</v>
      </c>
      <c r="B16445" s="2" t="str">
        <f>IFERROR(__xludf.DUMMYFUNCTION("""COMPUTED_VALUE"""),"표고버섯")</f>
        <v>표고버섯</v>
      </c>
    </row>
    <row r="16446">
      <c r="A16446" s="2" t="str">
        <f>IFERROR(__xludf.DUMMYFUNCTION("""COMPUTED_VALUE"""),"맵지호?")</f>
        <v>맵지호?</v>
      </c>
      <c r="B16446" s="2" t="str">
        <f>IFERROR(__xludf.DUMMYFUNCTION("""COMPUTED_VALUE"""),"송이버섯")</f>
        <v>송이버섯</v>
      </c>
    </row>
    <row r="16447">
      <c r="A16447" s="2" t="str">
        <f>IFERROR(__xludf.DUMMYFUNCTION("""COMPUTED_VALUE"""),"맵지호?")</f>
        <v>맵지호?</v>
      </c>
      <c r="B16447" s="2" t="str">
        <f>IFERROR(__xludf.DUMMYFUNCTION("""COMPUTED_VALUE"""),"낙지젓")</f>
        <v>낙지젓</v>
      </c>
    </row>
    <row r="16448">
      <c r="A16448" s="2" t="str">
        <f>IFERROR(__xludf.DUMMYFUNCTION("""COMPUTED_VALUE"""),"맵지호?")</f>
        <v>맵지호?</v>
      </c>
      <c r="B16448" s="2" t="str">
        <f>IFERROR(__xludf.DUMMYFUNCTION("""COMPUTED_VALUE"""),"마른오징어")</f>
        <v>마른오징어</v>
      </c>
    </row>
    <row r="16449">
      <c r="A16449" s="2" t="str">
        <f>IFERROR(__xludf.DUMMYFUNCTION("""COMPUTED_VALUE"""),"맵지호?")</f>
        <v>맵지호?</v>
      </c>
      <c r="B16449" s="2" t="str">
        <f>IFERROR(__xludf.DUMMYFUNCTION("""COMPUTED_VALUE"""),"애호박")</f>
        <v>애호박</v>
      </c>
    </row>
    <row r="16450">
      <c r="A16450" s="2" t="str">
        <f>IFERROR(__xludf.DUMMYFUNCTION("""COMPUTED_VALUE"""),"맵지호?")</f>
        <v>맵지호?</v>
      </c>
      <c r="B16450" s="2" t="str">
        <f>IFERROR(__xludf.DUMMYFUNCTION("""COMPUTED_VALUE"""),"양배추")</f>
        <v>양배추</v>
      </c>
    </row>
    <row r="16451">
      <c r="A16451" s="2" t="str">
        <f>IFERROR(__xludf.DUMMYFUNCTION("""COMPUTED_VALUE"""),"맵지호?")</f>
        <v>맵지호?</v>
      </c>
      <c r="B16451" s="2" t="str">
        <f>IFERROR(__xludf.DUMMYFUNCTION("""COMPUTED_VALUE"""),"콩나물")</f>
        <v>콩나물</v>
      </c>
    </row>
    <row r="16452">
      <c r="A16452" s="2" t="str">
        <f>IFERROR(__xludf.DUMMYFUNCTION("""COMPUTED_VALUE"""),"맵지호?")</f>
        <v>맵지호?</v>
      </c>
      <c r="B16452" s="2" t="str">
        <f>IFERROR(__xludf.DUMMYFUNCTION("""COMPUTED_VALUE"""),"새우가루")</f>
        <v>새우가루</v>
      </c>
    </row>
    <row r="16453">
      <c r="A16453" s="2" t="str">
        <f>IFERROR(__xludf.DUMMYFUNCTION("""COMPUTED_VALUE"""),"맵지호?")</f>
        <v>맵지호?</v>
      </c>
      <c r="B16453" s="2" t="str">
        <f>IFERROR(__xludf.DUMMYFUNCTION("""COMPUTED_VALUE"""),"게맛살")</f>
        <v>게맛살</v>
      </c>
    </row>
    <row r="16454">
      <c r="A16454" s="2" t="str">
        <f>IFERROR(__xludf.DUMMYFUNCTION("""COMPUTED_VALUE"""),"맵지호?")</f>
        <v>맵지호?</v>
      </c>
      <c r="B16454" s="2" t="str">
        <f>IFERROR(__xludf.DUMMYFUNCTION("""COMPUTED_VALUE"""),"브로콜리")</f>
        <v>브로콜리</v>
      </c>
    </row>
    <row r="16455">
      <c r="A16455" s="2" t="str">
        <f>IFERROR(__xludf.DUMMYFUNCTION("""COMPUTED_VALUE"""),"맵지호?")</f>
        <v>맵지호?</v>
      </c>
      <c r="B16455" s="2" t="str">
        <f>IFERROR(__xludf.DUMMYFUNCTION("""COMPUTED_VALUE"""),"새우장")</f>
        <v>새우장</v>
      </c>
    </row>
    <row r="16456">
      <c r="A16456" s="2" t="str">
        <f>IFERROR(__xludf.DUMMYFUNCTION("""COMPUTED_VALUE"""),"맵지호?")</f>
        <v>맵지호?</v>
      </c>
      <c r="B16456" s="2" t="str">
        <f>IFERROR(__xludf.DUMMYFUNCTION("""COMPUTED_VALUE"""),"홍고추")</f>
        <v>홍고추</v>
      </c>
    </row>
    <row r="16457">
      <c r="A16457" s="2" t="str">
        <f>IFERROR(__xludf.DUMMYFUNCTION("""COMPUTED_VALUE"""),"맵지호?")</f>
        <v>맵지호?</v>
      </c>
      <c r="B16457" s="2" t="str">
        <f>IFERROR(__xludf.DUMMYFUNCTION("""COMPUTED_VALUE"""),"청양고추")</f>
        <v>청양고추</v>
      </c>
    </row>
    <row r="16458">
      <c r="A16458" s="2" t="str">
        <f>IFERROR(__xludf.DUMMYFUNCTION("""COMPUTED_VALUE"""),"맵지호?")</f>
        <v>맵지호?</v>
      </c>
      <c r="B16458" s="2" t="str">
        <f>IFERROR(__xludf.DUMMYFUNCTION("""COMPUTED_VALUE"""),"밀가루 강력분")</f>
        <v>밀가루 강력분</v>
      </c>
    </row>
    <row r="16459">
      <c r="A16459" s="2" t="str">
        <f>IFERROR(__xludf.DUMMYFUNCTION("""COMPUTED_VALUE"""),"맵지호?")</f>
        <v>맵지호?</v>
      </c>
      <c r="B16459" s="2" t="str">
        <f>IFERROR(__xludf.DUMMYFUNCTION("""COMPUTED_VALUE"""),"밀가루 중력분")</f>
        <v>밀가루 중력분</v>
      </c>
    </row>
    <row r="16460">
      <c r="A16460" s="2" t="str">
        <f>IFERROR(__xludf.DUMMYFUNCTION("""COMPUTED_VALUE"""),"맵지호?")</f>
        <v>맵지호?</v>
      </c>
      <c r="B16460" s="2" t="str">
        <f>IFERROR(__xludf.DUMMYFUNCTION("""COMPUTED_VALUE"""),"양파")</f>
        <v>양파</v>
      </c>
    </row>
    <row r="16461">
      <c r="A16461" s="2" t="str">
        <f>IFERROR(__xludf.DUMMYFUNCTION("""COMPUTED_VALUE"""),"맵지호?")</f>
        <v>맵지호?</v>
      </c>
      <c r="B16461" s="2" t="str">
        <f>IFERROR(__xludf.DUMMYFUNCTION("""COMPUTED_VALUE"""),"고춧가루")</f>
        <v>고춧가루</v>
      </c>
    </row>
    <row r="16462">
      <c r="A16462" s="2" t="str">
        <f>IFERROR(__xludf.DUMMYFUNCTION("""COMPUTED_VALUE"""),"맵지호?")</f>
        <v>맵지호?</v>
      </c>
      <c r="B16462" s="2" t="str">
        <f>IFERROR(__xludf.DUMMYFUNCTION("""COMPUTED_VALUE"""),"다진 마늘")</f>
        <v>다진 마늘</v>
      </c>
    </row>
    <row r="16463">
      <c r="A16463" s="2" t="str">
        <f>IFERROR(__xludf.DUMMYFUNCTION("""COMPUTED_VALUE"""),"맵지호?")</f>
        <v>맵지호?</v>
      </c>
      <c r="B16463" s="2" t="str">
        <f>IFERROR(__xludf.DUMMYFUNCTION("""COMPUTED_VALUE"""),"간장")</f>
        <v>간장</v>
      </c>
    </row>
    <row r="16464">
      <c r="A16464" s="2" t="str">
        <f>IFERROR(__xludf.DUMMYFUNCTION("""COMPUTED_VALUE"""),"맵지호?")</f>
        <v>맵지호?</v>
      </c>
      <c r="B16464" s="2" t="str">
        <f>IFERROR(__xludf.DUMMYFUNCTION("""COMPUTED_VALUE"""),"맛술")</f>
        <v>맛술</v>
      </c>
    </row>
    <row r="16465">
      <c r="A16465" s="2" t="str">
        <f>IFERROR(__xludf.DUMMYFUNCTION("""COMPUTED_VALUE"""),"매워서 놀라지 마라")</f>
        <v>매워서 놀라지 마라</v>
      </c>
      <c r="B16465" s="2" t="str">
        <f>IFERROR(__xludf.DUMMYFUNCTION("""COMPUTED_VALUE"""),"국거리용 소고기")</f>
        <v>국거리용 소고기</v>
      </c>
    </row>
    <row r="16466">
      <c r="A16466" s="2" t="str">
        <f>IFERROR(__xludf.DUMMYFUNCTION("""COMPUTED_VALUE"""),"매워서 놀라지 마라")</f>
        <v>매워서 놀라지 마라</v>
      </c>
      <c r="B16466" s="2" t="str">
        <f>IFERROR(__xludf.DUMMYFUNCTION("""COMPUTED_VALUE"""),"대패삼겹살")</f>
        <v>대패삼겹살</v>
      </c>
    </row>
    <row r="16467">
      <c r="A16467" s="2" t="str">
        <f>IFERROR(__xludf.DUMMYFUNCTION("""COMPUTED_VALUE"""),"매워서 놀라지 마라")</f>
        <v>매워서 놀라지 마라</v>
      </c>
      <c r="B16467" s="2" t="str">
        <f>IFERROR(__xludf.DUMMYFUNCTION("""COMPUTED_VALUE"""),"양송이버섯")</f>
        <v>양송이버섯</v>
      </c>
    </row>
    <row r="16468">
      <c r="A16468" s="2" t="str">
        <f>IFERROR(__xludf.DUMMYFUNCTION("""COMPUTED_VALUE"""),"매워서 놀라지 마라")</f>
        <v>매워서 놀라지 마라</v>
      </c>
      <c r="B16468" s="2" t="str">
        <f>IFERROR(__xludf.DUMMYFUNCTION("""COMPUTED_VALUE"""),"표고버섯")</f>
        <v>표고버섯</v>
      </c>
    </row>
    <row r="16469">
      <c r="A16469" s="2" t="str">
        <f>IFERROR(__xludf.DUMMYFUNCTION("""COMPUTED_VALUE"""),"매워서 놀라지 마라")</f>
        <v>매워서 놀라지 마라</v>
      </c>
      <c r="B16469" s="2" t="str">
        <f>IFERROR(__xludf.DUMMYFUNCTION("""COMPUTED_VALUE"""),"방울토마토")</f>
        <v>방울토마토</v>
      </c>
    </row>
    <row r="16470">
      <c r="A16470" s="2" t="str">
        <f>IFERROR(__xludf.DUMMYFUNCTION("""COMPUTED_VALUE"""),"매워서 놀라지 마라")</f>
        <v>매워서 놀라지 마라</v>
      </c>
      <c r="B16470" s="2" t="str">
        <f>IFERROR(__xludf.DUMMYFUNCTION("""COMPUTED_VALUE"""),"콩나물")</f>
        <v>콩나물</v>
      </c>
    </row>
    <row r="16471">
      <c r="A16471" s="2" t="str">
        <f>IFERROR(__xludf.DUMMYFUNCTION("""COMPUTED_VALUE"""),"매워서 놀라지 마라")</f>
        <v>매워서 놀라지 마라</v>
      </c>
      <c r="B16471" s="2" t="str">
        <f>IFERROR(__xludf.DUMMYFUNCTION("""COMPUTED_VALUE"""),"된장")</f>
        <v>된장</v>
      </c>
    </row>
    <row r="16472">
      <c r="A16472" s="2" t="str">
        <f>IFERROR(__xludf.DUMMYFUNCTION("""COMPUTED_VALUE"""),"매워서 놀라지 마라")</f>
        <v>매워서 놀라지 마라</v>
      </c>
      <c r="B16472" s="2" t="str">
        <f>IFERROR(__xludf.DUMMYFUNCTION("""COMPUTED_VALUE"""),"옥수수")</f>
        <v>옥수수</v>
      </c>
    </row>
    <row r="16473">
      <c r="A16473" s="2" t="str">
        <f>IFERROR(__xludf.DUMMYFUNCTION("""COMPUTED_VALUE"""),"매워서 놀라지 마라")</f>
        <v>매워서 놀라지 마라</v>
      </c>
      <c r="B16473" s="2" t="str">
        <f>IFERROR(__xludf.DUMMYFUNCTION("""COMPUTED_VALUE"""),"게맛살")</f>
        <v>게맛살</v>
      </c>
    </row>
    <row r="16474">
      <c r="A16474" s="2" t="str">
        <f>IFERROR(__xludf.DUMMYFUNCTION("""COMPUTED_VALUE"""),"매워서 놀라지 마라")</f>
        <v>매워서 놀라지 마라</v>
      </c>
      <c r="B16474" s="2" t="str">
        <f>IFERROR(__xludf.DUMMYFUNCTION("""COMPUTED_VALUE"""),"스리라차소스")</f>
        <v>스리라차소스</v>
      </c>
    </row>
    <row r="16475">
      <c r="A16475" s="2" t="str">
        <f>IFERROR(__xludf.DUMMYFUNCTION("""COMPUTED_VALUE"""),"매워서 놀라지 마라")</f>
        <v>매워서 놀라지 마라</v>
      </c>
      <c r="B16475" s="2" t="str">
        <f>IFERROR(__xludf.DUMMYFUNCTION("""COMPUTED_VALUE"""),"핫소스")</f>
        <v>핫소스</v>
      </c>
    </row>
    <row r="16476">
      <c r="A16476" s="2" t="str">
        <f>IFERROR(__xludf.DUMMYFUNCTION("""COMPUTED_VALUE"""),"매워서 놀라지 마라")</f>
        <v>매워서 놀라지 마라</v>
      </c>
      <c r="B16476" s="2" t="str">
        <f>IFERROR(__xludf.DUMMYFUNCTION("""COMPUTED_VALUE"""),"건새우")</f>
        <v>건새우</v>
      </c>
    </row>
    <row r="16477">
      <c r="A16477" s="2" t="str">
        <f>IFERROR(__xludf.DUMMYFUNCTION("""COMPUTED_VALUE"""),"매워서 놀라지 마라")</f>
        <v>매워서 놀라지 마라</v>
      </c>
      <c r="B16477" s="2" t="str">
        <f>IFERROR(__xludf.DUMMYFUNCTION("""COMPUTED_VALUE"""),"무")</f>
        <v>무</v>
      </c>
    </row>
    <row r="16478">
      <c r="A16478" s="2" t="str">
        <f>IFERROR(__xludf.DUMMYFUNCTION("""COMPUTED_VALUE"""),"매워서 놀라지 마라")</f>
        <v>매워서 놀라지 마라</v>
      </c>
      <c r="B16478" s="2" t="str">
        <f>IFERROR(__xludf.DUMMYFUNCTION("""COMPUTED_VALUE"""),"대파")</f>
        <v>대파</v>
      </c>
    </row>
    <row r="16479">
      <c r="A16479" s="2" t="str">
        <f>IFERROR(__xludf.DUMMYFUNCTION("""COMPUTED_VALUE"""),"매워서 놀라지 마라")</f>
        <v>매워서 놀라지 마라</v>
      </c>
      <c r="B16479" s="2" t="str">
        <f>IFERROR(__xludf.DUMMYFUNCTION("""COMPUTED_VALUE"""),"청양고추")</f>
        <v>청양고추</v>
      </c>
    </row>
    <row r="16480">
      <c r="A16480" s="2" t="str">
        <f>IFERROR(__xludf.DUMMYFUNCTION("""COMPUTED_VALUE"""),"매워서 놀라지 마라")</f>
        <v>매워서 놀라지 마라</v>
      </c>
      <c r="B16480" s="2" t="str">
        <f>IFERROR(__xludf.DUMMYFUNCTION("""COMPUTED_VALUE"""),"마늘")</f>
        <v>마늘</v>
      </c>
    </row>
    <row r="16481">
      <c r="A16481" s="2" t="str">
        <f>IFERROR(__xludf.DUMMYFUNCTION("""COMPUTED_VALUE"""),"매워서 놀라지 마라")</f>
        <v>매워서 놀라지 마라</v>
      </c>
      <c r="B16481" s="2" t="str">
        <f>IFERROR(__xludf.DUMMYFUNCTION("""COMPUTED_VALUE"""),"고춧가루")</f>
        <v>고춧가루</v>
      </c>
    </row>
    <row r="16482">
      <c r="A16482" s="2" t="str">
        <f>IFERROR(__xludf.DUMMYFUNCTION("""COMPUTED_VALUE"""),"매워서 놀라지 마라")</f>
        <v>매워서 놀라지 마라</v>
      </c>
      <c r="B16482" s="2" t="str">
        <f>IFERROR(__xludf.DUMMYFUNCTION("""COMPUTED_VALUE"""),"버터")</f>
        <v>버터</v>
      </c>
    </row>
    <row r="16483">
      <c r="A16483" s="2" t="str">
        <f>IFERROR(__xludf.DUMMYFUNCTION("""COMPUTED_VALUE"""),"매워서 놀라지 마라")</f>
        <v>매워서 놀라지 마라</v>
      </c>
      <c r="B16483" s="2" t="str">
        <f>IFERROR(__xludf.DUMMYFUNCTION("""COMPUTED_VALUE"""),"다진 생강")</f>
        <v>다진 생강</v>
      </c>
    </row>
    <row r="16484">
      <c r="A16484" s="2" t="str">
        <f>IFERROR(__xludf.DUMMYFUNCTION("""COMPUTED_VALUE"""),"매워서 놀라지 마라")</f>
        <v>매워서 놀라지 마라</v>
      </c>
      <c r="B16484" s="2" t="str">
        <f>IFERROR(__xludf.DUMMYFUNCTION("""COMPUTED_VALUE"""),"전분")</f>
        <v>전분</v>
      </c>
    </row>
    <row r="16485">
      <c r="A16485" s="2" t="str">
        <f>IFERROR(__xludf.DUMMYFUNCTION("""COMPUTED_VALUE"""),"매워서 놀라지 마라")</f>
        <v>매워서 놀라지 마라</v>
      </c>
      <c r="B16485" s="2" t="str">
        <f>IFERROR(__xludf.DUMMYFUNCTION("""COMPUTED_VALUE"""),"밀가루")</f>
        <v>밀가루</v>
      </c>
    </row>
    <row r="16486">
      <c r="A16486" s="2" t="str">
        <f>IFERROR(__xludf.DUMMYFUNCTION("""COMPUTED_VALUE"""),"매워서 놀라지 마라")</f>
        <v>매워서 놀라지 마라</v>
      </c>
      <c r="B16486" s="2" t="str">
        <f>IFERROR(__xludf.DUMMYFUNCTION("""COMPUTED_VALUE"""),"식용유")</f>
        <v>식용유</v>
      </c>
    </row>
    <row r="16487">
      <c r="A16487" s="2" t="str">
        <f>IFERROR(__xludf.DUMMYFUNCTION("""COMPUTED_VALUE"""),"알 Killer♬")</f>
        <v>알 Killer♬</v>
      </c>
      <c r="B16487" s="2" t="str">
        <f>IFERROR(__xludf.DUMMYFUNCTION("""COMPUTED_VALUE"""),"열빙어")</f>
        <v>열빙어</v>
      </c>
    </row>
    <row r="16488">
      <c r="A16488" s="2" t="str">
        <f>IFERROR(__xludf.DUMMYFUNCTION("""COMPUTED_VALUE"""),"알 Killer♬")</f>
        <v>알 Killer♬</v>
      </c>
      <c r="B16488" s="2" t="str">
        <f>IFERROR(__xludf.DUMMYFUNCTION("""COMPUTED_VALUE"""),"명란젓")</f>
        <v>명란젓</v>
      </c>
    </row>
    <row r="16489">
      <c r="A16489" s="2" t="str">
        <f>IFERROR(__xludf.DUMMYFUNCTION("""COMPUTED_VALUE"""),"알 Killer♬")</f>
        <v>알 Killer♬</v>
      </c>
      <c r="B16489" s="2" t="str">
        <f>IFERROR(__xludf.DUMMYFUNCTION("""COMPUTED_VALUE"""),"날치알")</f>
        <v>날치알</v>
      </c>
    </row>
    <row r="16490">
      <c r="A16490" s="2" t="str">
        <f>IFERROR(__xludf.DUMMYFUNCTION("""COMPUTED_VALUE"""),"알 Killer♬")</f>
        <v>알 Killer♬</v>
      </c>
      <c r="B16490" s="2" t="str">
        <f>IFERROR(__xludf.DUMMYFUNCTION("""COMPUTED_VALUE"""),"소등심")</f>
        <v>소등심</v>
      </c>
    </row>
    <row r="16491">
      <c r="A16491" s="2" t="str">
        <f>IFERROR(__xludf.DUMMYFUNCTION("""COMPUTED_VALUE"""),"알 Killer♬")</f>
        <v>알 Killer♬</v>
      </c>
      <c r="B16491" s="2" t="str">
        <f>IFERROR(__xludf.DUMMYFUNCTION("""COMPUTED_VALUE"""),"킹크랩")</f>
        <v>킹크랩</v>
      </c>
    </row>
    <row r="16492">
      <c r="A16492" s="2" t="str">
        <f>IFERROR(__xludf.DUMMYFUNCTION("""COMPUTED_VALUE"""),"알 Killer♬")</f>
        <v>알 Killer♬</v>
      </c>
      <c r="B16492" s="2" t="str">
        <f>IFERROR(__xludf.DUMMYFUNCTION("""COMPUTED_VALUE"""),"두반장")</f>
        <v>두반장</v>
      </c>
    </row>
    <row r="16493">
      <c r="A16493" s="2" t="str">
        <f>IFERROR(__xludf.DUMMYFUNCTION("""COMPUTED_VALUE"""),"알 Killer♬")</f>
        <v>알 Killer♬</v>
      </c>
      <c r="B16493" s="2" t="str">
        <f>IFERROR(__xludf.DUMMYFUNCTION("""COMPUTED_VALUE"""),"굴소스")</f>
        <v>굴소스</v>
      </c>
    </row>
    <row r="16494">
      <c r="A16494" s="2" t="str">
        <f>IFERROR(__xludf.DUMMYFUNCTION("""COMPUTED_VALUE"""),"알 Killer♬")</f>
        <v>알 Killer♬</v>
      </c>
      <c r="B16494" s="2" t="str">
        <f>IFERROR(__xludf.DUMMYFUNCTION("""COMPUTED_VALUE"""),"라이스페이퍼")</f>
        <v>라이스페이퍼</v>
      </c>
    </row>
    <row r="16495">
      <c r="A16495" s="2" t="str">
        <f>IFERROR(__xludf.DUMMYFUNCTION("""COMPUTED_VALUE"""),"알 Killer♬")</f>
        <v>알 Killer♬</v>
      </c>
      <c r="B16495" s="2" t="str">
        <f>IFERROR(__xludf.DUMMYFUNCTION("""COMPUTED_VALUE"""),"마라소스")</f>
        <v>마라소스</v>
      </c>
    </row>
    <row r="16496">
      <c r="A16496" s="2" t="str">
        <f>IFERROR(__xludf.DUMMYFUNCTION("""COMPUTED_VALUE"""),"알 Killer♬")</f>
        <v>알 Killer♬</v>
      </c>
      <c r="B16496" s="2" t="str">
        <f>IFERROR(__xludf.DUMMYFUNCTION("""COMPUTED_VALUE"""),"대파")</f>
        <v>대파</v>
      </c>
    </row>
    <row r="16497">
      <c r="A16497" s="2" t="str">
        <f>IFERROR(__xludf.DUMMYFUNCTION("""COMPUTED_VALUE"""),"알 Killer♬")</f>
        <v>알 Killer♬</v>
      </c>
      <c r="B16497" s="2" t="str">
        <f>IFERROR(__xludf.DUMMYFUNCTION("""COMPUTED_VALUE"""),"고춧가루")</f>
        <v>고춧가루</v>
      </c>
    </row>
    <row r="16498">
      <c r="A16498" s="2" t="str">
        <f>IFERROR(__xludf.DUMMYFUNCTION("""COMPUTED_VALUE"""),"알 Killer♬")</f>
        <v>알 Killer♬</v>
      </c>
      <c r="B16498" s="2" t="str">
        <f>IFERROR(__xludf.DUMMYFUNCTION("""COMPUTED_VALUE"""),"식용유")</f>
        <v>식용유</v>
      </c>
    </row>
    <row r="16499">
      <c r="A16499" s="2" t="str">
        <f>IFERROR(__xludf.DUMMYFUNCTION("""COMPUTED_VALUE"""),"알 Killer♬")</f>
        <v>알 Killer♬</v>
      </c>
      <c r="B16499" s="2" t="str">
        <f>IFERROR(__xludf.DUMMYFUNCTION("""COMPUTED_VALUE"""),"마늘")</f>
        <v>마늘</v>
      </c>
    </row>
    <row r="16500">
      <c r="A16500" s="2" t="str">
        <f>IFERROR(__xludf.DUMMYFUNCTION("""COMPUTED_VALUE"""),"알 Killer♬")</f>
        <v>알 Killer♬</v>
      </c>
      <c r="B16500" s="2" t="str">
        <f>IFERROR(__xludf.DUMMYFUNCTION("""COMPUTED_VALUE"""),"밀가루")</f>
        <v>밀가루</v>
      </c>
    </row>
    <row r="16501">
      <c r="A16501" s="2" t="str">
        <f>IFERROR(__xludf.DUMMYFUNCTION("""COMPUTED_VALUE"""),"알 Killer♬")</f>
        <v>알 Killer♬</v>
      </c>
      <c r="B16501" s="2" t="str">
        <f>IFERROR(__xludf.DUMMYFUNCTION("""COMPUTED_VALUE"""),"양파")</f>
        <v>양파</v>
      </c>
    </row>
    <row r="16502">
      <c r="A16502" s="2" t="str">
        <f>IFERROR(__xludf.DUMMYFUNCTION("""COMPUTED_VALUE"""),"알 Killer♬")</f>
        <v>알 Killer♬</v>
      </c>
      <c r="B16502" s="2" t="str">
        <f>IFERROR(__xludf.DUMMYFUNCTION("""COMPUTED_VALUE"""),"설탕")</f>
        <v>설탕</v>
      </c>
    </row>
    <row r="16503">
      <c r="A16503" s="2" t="str">
        <f>IFERROR(__xludf.DUMMYFUNCTION("""COMPUTED_VALUE"""),"알 Killer♬")</f>
        <v>알 Killer♬</v>
      </c>
      <c r="B16503" s="2" t="str">
        <f>IFERROR(__xludf.DUMMYFUNCTION("""COMPUTED_VALUE"""),"맛술")</f>
        <v>맛술</v>
      </c>
    </row>
    <row r="16504">
      <c r="A16504" s="2" t="str">
        <f>IFERROR(__xludf.DUMMYFUNCTION("""COMPUTED_VALUE"""),"알 Killer♬")</f>
        <v>알 Killer♬</v>
      </c>
      <c r="B16504" s="2" t="str">
        <f>IFERROR(__xludf.DUMMYFUNCTION("""COMPUTED_VALUE"""),"전분")</f>
        <v>전분</v>
      </c>
    </row>
    <row r="16505">
      <c r="A16505" s="2" t="str">
        <f>IFERROR(__xludf.DUMMYFUNCTION("""COMPUTED_VALUE"""),"비주알 센터")</f>
        <v>비주알 센터</v>
      </c>
      <c r="B16505" s="2" t="str">
        <f>IFERROR(__xludf.DUMMYFUNCTION("""COMPUTED_VALUE"""),"열빙어")</f>
        <v>열빙어</v>
      </c>
    </row>
    <row r="16506">
      <c r="A16506" s="2" t="str">
        <f>IFERROR(__xludf.DUMMYFUNCTION("""COMPUTED_VALUE"""),"비주알 센터")</f>
        <v>비주알 센터</v>
      </c>
      <c r="B16506" s="2" t="str">
        <f>IFERROR(__xludf.DUMMYFUNCTION("""COMPUTED_VALUE"""),"명란젓")</f>
        <v>명란젓</v>
      </c>
    </row>
    <row r="16507">
      <c r="A16507" s="2" t="str">
        <f>IFERROR(__xludf.DUMMYFUNCTION("""COMPUTED_VALUE"""),"비주알 센터")</f>
        <v>비주알 센터</v>
      </c>
      <c r="B16507" s="2" t="str">
        <f>IFERROR(__xludf.DUMMYFUNCTION("""COMPUTED_VALUE"""),"날치알")</f>
        <v>날치알</v>
      </c>
    </row>
    <row r="16508">
      <c r="A16508" s="2" t="str">
        <f>IFERROR(__xludf.DUMMYFUNCTION("""COMPUTED_VALUE"""),"비주알 센터")</f>
        <v>비주알 센터</v>
      </c>
      <c r="B16508" s="2" t="str">
        <f>IFERROR(__xludf.DUMMYFUNCTION("""COMPUTED_VALUE"""),"파프리카가루")</f>
        <v>파프리카가루</v>
      </c>
    </row>
    <row r="16509">
      <c r="A16509" s="2" t="str">
        <f>IFERROR(__xludf.DUMMYFUNCTION("""COMPUTED_VALUE"""),"비주알 센터")</f>
        <v>비주알 센터</v>
      </c>
      <c r="B16509" s="2" t="str">
        <f>IFERROR(__xludf.DUMMYFUNCTION("""COMPUTED_VALUE"""),"파슬리가루")</f>
        <v>파슬리가루</v>
      </c>
    </row>
    <row r="16510">
      <c r="A16510" s="2" t="str">
        <f>IFERROR(__xludf.DUMMYFUNCTION("""COMPUTED_VALUE"""),"비주알 센터")</f>
        <v>비주알 센터</v>
      </c>
      <c r="B16510" s="2" t="str">
        <f>IFERROR(__xludf.DUMMYFUNCTION("""COMPUTED_VALUE"""),"잣")</f>
        <v>잣</v>
      </c>
    </row>
    <row r="16511">
      <c r="A16511" s="2" t="str">
        <f>IFERROR(__xludf.DUMMYFUNCTION("""COMPUTED_VALUE"""),"비주알 센터")</f>
        <v>비주알 센터</v>
      </c>
      <c r="B16511" s="2" t="str">
        <f>IFERROR(__xludf.DUMMYFUNCTION("""COMPUTED_VALUE"""),"고추장아찌")</f>
        <v>고추장아찌</v>
      </c>
    </row>
    <row r="16512">
      <c r="A16512" s="2" t="str">
        <f>IFERROR(__xludf.DUMMYFUNCTION("""COMPUTED_VALUE"""),"비주알 센터")</f>
        <v>비주알 센터</v>
      </c>
      <c r="B16512" s="2" t="str">
        <f>IFERROR(__xludf.DUMMYFUNCTION("""COMPUTED_VALUE"""),"깻잎")</f>
        <v>깻잎</v>
      </c>
    </row>
    <row r="16513">
      <c r="A16513" s="2" t="str">
        <f>IFERROR(__xludf.DUMMYFUNCTION("""COMPUTED_VALUE"""),"비주알 센터")</f>
        <v>비주알 센터</v>
      </c>
      <c r="B16513" s="2" t="str">
        <f>IFERROR(__xludf.DUMMYFUNCTION("""COMPUTED_VALUE"""),"아스파라거스")</f>
        <v>아스파라거스</v>
      </c>
    </row>
    <row r="16514">
      <c r="A16514" s="2" t="str">
        <f>IFERROR(__xludf.DUMMYFUNCTION("""COMPUTED_VALUE"""),"비주알 센터")</f>
        <v>비주알 센터</v>
      </c>
      <c r="B16514" s="2" t="str">
        <f>IFERROR(__xludf.DUMMYFUNCTION("""COMPUTED_VALUE"""),"라이스페이퍼")</f>
        <v>라이스페이퍼</v>
      </c>
    </row>
    <row r="16515">
      <c r="A16515" s="2" t="str">
        <f>IFERROR(__xludf.DUMMYFUNCTION("""COMPUTED_VALUE"""),"비주알 센터")</f>
        <v>비주알 센터</v>
      </c>
      <c r="B16515" s="2" t="str">
        <f>IFERROR(__xludf.DUMMYFUNCTION("""COMPUTED_VALUE"""),"요거트")</f>
        <v>요거트</v>
      </c>
    </row>
    <row r="16516">
      <c r="A16516" s="2" t="str">
        <f>IFERROR(__xludf.DUMMYFUNCTION("""COMPUTED_VALUE"""),"비주알 센터")</f>
        <v>비주알 센터</v>
      </c>
      <c r="B16516" s="2" t="str">
        <f>IFERROR(__xludf.DUMMYFUNCTION("""COMPUTED_VALUE"""),"말린 귤껍질")</f>
        <v>말린 귤껍질</v>
      </c>
    </row>
    <row r="16517">
      <c r="A16517" s="2" t="str">
        <f>IFERROR(__xludf.DUMMYFUNCTION("""COMPUTED_VALUE"""),"비주알 센터")</f>
        <v>비주알 센터</v>
      </c>
      <c r="B16517" s="2" t="str">
        <f>IFERROR(__xludf.DUMMYFUNCTION("""COMPUTED_VALUE"""),"식용유")</f>
        <v>식용유</v>
      </c>
    </row>
    <row r="16518">
      <c r="A16518" s="2" t="str">
        <f>IFERROR(__xludf.DUMMYFUNCTION("""COMPUTED_VALUE"""),"비주알 센터")</f>
        <v>비주알 센터</v>
      </c>
      <c r="B16518" s="2" t="str">
        <f>IFERROR(__xludf.DUMMYFUNCTION("""COMPUTED_VALUE"""),"홍고추")</f>
        <v>홍고추</v>
      </c>
    </row>
    <row r="16519">
      <c r="A16519" s="2" t="str">
        <f>IFERROR(__xludf.DUMMYFUNCTION("""COMPUTED_VALUE"""),"비주알 센터")</f>
        <v>비주알 센터</v>
      </c>
      <c r="B16519" s="2" t="str">
        <f>IFERROR(__xludf.DUMMYFUNCTION("""COMPUTED_VALUE"""),"올리브오일")</f>
        <v>올리브오일</v>
      </c>
    </row>
    <row r="16520">
      <c r="A16520" s="2" t="str">
        <f>IFERROR(__xludf.DUMMYFUNCTION("""COMPUTED_VALUE"""),"비주알 센터")</f>
        <v>비주알 센터</v>
      </c>
      <c r="B16520" s="2" t="str">
        <f>IFERROR(__xludf.DUMMYFUNCTION("""COMPUTED_VALUE"""),"소금")</f>
        <v>소금</v>
      </c>
    </row>
    <row r="16521">
      <c r="A16521" s="2" t="str">
        <f>IFERROR(__xludf.DUMMYFUNCTION("""COMPUTED_VALUE"""),"비주알 센터")</f>
        <v>비주알 센터</v>
      </c>
      <c r="B16521" s="2" t="str">
        <f>IFERROR(__xludf.DUMMYFUNCTION("""COMPUTED_VALUE"""),"후추")</f>
        <v>후추</v>
      </c>
    </row>
    <row r="16522">
      <c r="A16522" s="2" t="str">
        <f>IFERROR(__xludf.DUMMYFUNCTION("""COMPUTED_VALUE"""),"비주알 센터")</f>
        <v>비주알 센터</v>
      </c>
      <c r="B16522" s="2" t="str">
        <f>IFERROR(__xludf.DUMMYFUNCTION("""COMPUTED_VALUE"""),"레몬")</f>
        <v>레몬</v>
      </c>
    </row>
    <row r="16523">
      <c r="A16523" s="2" t="str">
        <f>IFERROR(__xludf.DUMMYFUNCTION("""COMPUTED_VALUE"""),"비주알 센터")</f>
        <v>비주알 센터</v>
      </c>
      <c r="B16523" s="2" t="str">
        <f>IFERROR(__xludf.DUMMYFUNCTION("""COMPUTED_VALUE"""),"청양고추")</f>
        <v>청양고추</v>
      </c>
    </row>
    <row r="16524">
      <c r="A16524" s="2" t="str">
        <f>IFERROR(__xludf.DUMMYFUNCTION("""COMPUTED_VALUE"""),"비주알 센터")</f>
        <v>비주알 센터</v>
      </c>
      <c r="B16524" s="2" t="str">
        <f>IFERROR(__xludf.DUMMYFUNCTION("""COMPUTED_VALUE"""),"마요네즈")</f>
        <v>마요네즈</v>
      </c>
    </row>
    <row r="16525">
      <c r="A16525" s="2" t="str">
        <f>IFERROR(__xludf.DUMMYFUNCTION("""COMPUTED_VALUE"""),"닭살돋자냐♡")</f>
        <v>닭살돋자냐♡</v>
      </c>
      <c r="B16525" s="2" t="str">
        <f>IFERROR(__xludf.DUMMYFUNCTION("""COMPUTED_VALUE"""),"토종닭")</f>
        <v>토종닭</v>
      </c>
    </row>
    <row r="16526">
      <c r="A16526" s="2" t="str">
        <f>IFERROR(__xludf.DUMMYFUNCTION("""COMPUTED_VALUE"""),"닭살돋자냐♡")</f>
        <v>닭살돋자냐♡</v>
      </c>
      <c r="B16526" s="2" t="str">
        <f>IFERROR(__xludf.DUMMYFUNCTION("""COMPUTED_VALUE"""),"닭 모래주머니")</f>
        <v>닭 모래주머니</v>
      </c>
    </row>
    <row r="16527">
      <c r="A16527" s="2" t="str">
        <f>IFERROR(__xludf.DUMMYFUNCTION("""COMPUTED_VALUE"""),"닭살돋자냐♡")</f>
        <v>닭살돋자냐♡</v>
      </c>
      <c r="B16527" s="2" t="str">
        <f>IFERROR(__xludf.DUMMYFUNCTION("""COMPUTED_VALUE"""),"깻잎")</f>
        <v>깻잎</v>
      </c>
    </row>
    <row r="16528">
      <c r="A16528" s="2" t="str">
        <f>IFERROR(__xludf.DUMMYFUNCTION("""COMPUTED_VALUE"""),"닭살돋자냐♡")</f>
        <v>닭살돋자냐♡</v>
      </c>
      <c r="B16528" s="2" t="str">
        <f>IFERROR(__xludf.DUMMYFUNCTION("""COMPUTED_VALUE"""),"애호박")</f>
        <v>애호박</v>
      </c>
    </row>
    <row r="16529">
      <c r="A16529" s="2" t="str">
        <f>IFERROR(__xludf.DUMMYFUNCTION("""COMPUTED_VALUE"""),"닭살돋자냐♡")</f>
        <v>닭살돋자냐♡</v>
      </c>
      <c r="B16529" s="2" t="str">
        <f>IFERROR(__xludf.DUMMYFUNCTION("""COMPUTED_VALUE"""),"스트링 치즈")</f>
        <v>스트링 치즈</v>
      </c>
    </row>
    <row r="16530">
      <c r="A16530" s="2" t="str">
        <f>IFERROR(__xludf.DUMMYFUNCTION("""COMPUTED_VALUE"""),"닭살돋자냐♡")</f>
        <v>닭살돋자냐♡</v>
      </c>
      <c r="B16530" s="2" t="str">
        <f>IFERROR(__xludf.DUMMYFUNCTION("""COMPUTED_VALUE"""),"볶음고추장")</f>
        <v>볶음고추장</v>
      </c>
    </row>
    <row r="16531">
      <c r="A16531" s="2" t="str">
        <f>IFERROR(__xludf.DUMMYFUNCTION("""COMPUTED_VALUE"""),"닭살돋자냐♡")</f>
        <v>닭살돋자냐♡</v>
      </c>
      <c r="B16531" s="2" t="str">
        <f>IFERROR(__xludf.DUMMYFUNCTION("""COMPUTED_VALUE"""),"흰 목이버섯")</f>
        <v>흰 목이버섯</v>
      </c>
    </row>
    <row r="16532">
      <c r="A16532" s="2" t="str">
        <f>IFERROR(__xludf.DUMMYFUNCTION("""COMPUTED_VALUE"""),"닭살돋자냐♡")</f>
        <v>닭살돋자냐♡</v>
      </c>
      <c r="B16532" s="2" t="str">
        <f>IFERROR(__xludf.DUMMYFUNCTION("""COMPUTED_VALUE"""),"가래떡")</f>
        <v>가래떡</v>
      </c>
    </row>
    <row r="16533">
      <c r="A16533" s="2" t="str">
        <f>IFERROR(__xludf.DUMMYFUNCTION("""COMPUTED_VALUE"""),"닭살돋자냐♡")</f>
        <v>닭살돋자냐♡</v>
      </c>
      <c r="B16533" s="2" t="str">
        <f>IFERROR(__xludf.DUMMYFUNCTION("""COMPUTED_VALUE"""),"얼갈이배추")</f>
        <v>얼갈이배추</v>
      </c>
    </row>
    <row r="16534">
      <c r="A16534" s="2" t="str">
        <f>IFERROR(__xludf.DUMMYFUNCTION("""COMPUTED_VALUE"""),"닭살돋자냐♡")</f>
        <v>닭살돋자냐♡</v>
      </c>
      <c r="B16534" s="2" t="str">
        <f>IFERROR(__xludf.DUMMYFUNCTION("""COMPUTED_VALUE"""),"소금")</f>
        <v>소금</v>
      </c>
    </row>
    <row r="16535">
      <c r="A16535" s="2" t="str">
        <f>IFERROR(__xludf.DUMMYFUNCTION("""COMPUTED_VALUE"""),"닭살돋자냐♡")</f>
        <v>닭살돋자냐♡</v>
      </c>
      <c r="B16535" s="2" t="str">
        <f>IFERROR(__xludf.DUMMYFUNCTION("""COMPUTED_VALUE"""),"후추")</f>
        <v>후추</v>
      </c>
    </row>
    <row r="16536">
      <c r="A16536" s="2" t="str">
        <f>IFERROR(__xludf.DUMMYFUNCTION("""COMPUTED_VALUE"""),"닭살돋자냐♡")</f>
        <v>닭살돋자냐♡</v>
      </c>
      <c r="B16536" s="2" t="str">
        <f>IFERROR(__xludf.DUMMYFUNCTION("""COMPUTED_VALUE"""),"올리브오일")</f>
        <v>올리브오일</v>
      </c>
    </row>
    <row r="16537">
      <c r="A16537" s="2" t="str">
        <f>IFERROR(__xludf.DUMMYFUNCTION("""COMPUTED_VALUE"""),"닭살돋자냐♡")</f>
        <v>닭살돋자냐♡</v>
      </c>
      <c r="B16537" s="2" t="str">
        <f>IFERROR(__xludf.DUMMYFUNCTION("""COMPUTED_VALUE"""),"양파")</f>
        <v>양파</v>
      </c>
    </row>
    <row r="16538">
      <c r="A16538" s="2" t="str">
        <f>IFERROR(__xludf.DUMMYFUNCTION("""COMPUTED_VALUE"""),"닭살돋자냐♡")</f>
        <v>닭살돋자냐♡</v>
      </c>
      <c r="B16538" s="2" t="str">
        <f>IFERROR(__xludf.DUMMYFUNCTION("""COMPUTED_VALUE"""),"대파")</f>
        <v>대파</v>
      </c>
    </row>
    <row r="16539">
      <c r="A16539" s="2" t="str">
        <f>IFERROR(__xludf.DUMMYFUNCTION("""COMPUTED_VALUE"""),"닭살돋자냐♡")</f>
        <v>닭살돋자냐♡</v>
      </c>
      <c r="B16539" s="2" t="str">
        <f>IFERROR(__xludf.DUMMYFUNCTION("""COMPUTED_VALUE"""),"청양고추")</f>
        <v>청양고추</v>
      </c>
    </row>
    <row r="16540">
      <c r="A16540" s="2" t="str">
        <f>IFERROR(__xludf.DUMMYFUNCTION("""COMPUTED_VALUE"""),"닭살돋자냐♡")</f>
        <v>닭살돋자냐♡</v>
      </c>
      <c r="B16540" s="2" t="str">
        <f>IFERROR(__xludf.DUMMYFUNCTION("""COMPUTED_VALUE"""),"홍고추")</f>
        <v>홍고추</v>
      </c>
    </row>
    <row r="16541">
      <c r="A16541" s="2" t="str">
        <f>IFERROR(__xludf.DUMMYFUNCTION("""COMPUTED_VALUE"""),"닭살돋자냐♡")</f>
        <v>닭살돋자냐♡</v>
      </c>
      <c r="B16541" s="2" t="str">
        <f>IFERROR(__xludf.DUMMYFUNCTION("""COMPUTED_VALUE"""),"다진마늘")</f>
        <v>다진마늘</v>
      </c>
    </row>
    <row r="16542">
      <c r="A16542" s="2" t="str">
        <f>IFERROR(__xludf.DUMMYFUNCTION("""COMPUTED_VALUE"""),"닭살돋자냐♡")</f>
        <v>닭살돋자냐♡</v>
      </c>
      <c r="B16542" s="2" t="str">
        <f>IFERROR(__xludf.DUMMYFUNCTION("""COMPUTED_VALUE"""),"고춧가루")</f>
        <v>고춧가루</v>
      </c>
    </row>
    <row r="16543">
      <c r="A16543" s="2" t="str">
        <f>IFERROR(__xludf.DUMMYFUNCTION("""COMPUTED_VALUE"""),"닭살돋자냐♡")</f>
        <v>닭살돋자냐♡</v>
      </c>
      <c r="B16543" s="2" t="str">
        <f>IFERROR(__xludf.DUMMYFUNCTION("""COMPUTED_VALUE"""),"설탕")</f>
        <v>설탕</v>
      </c>
    </row>
    <row r="16544">
      <c r="A16544" s="2" t="str">
        <f>IFERROR(__xludf.DUMMYFUNCTION("""COMPUTED_VALUE"""),"닭살돋자냐♡")</f>
        <v>닭살돋자냐♡</v>
      </c>
      <c r="B16544" s="2" t="str">
        <f>IFERROR(__xludf.DUMMYFUNCTION("""COMPUTED_VALUE"""),"물엿")</f>
        <v>물엿</v>
      </c>
    </row>
    <row r="16545">
      <c r="A16545" s="2" t="str">
        <f>IFERROR(__xludf.DUMMYFUNCTION("""COMPUTED_VALUE"""),"닭살돋자냐♡")</f>
        <v>닭살돋자냐♡</v>
      </c>
      <c r="B16545" s="2" t="str">
        <f>IFERROR(__xludf.DUMMYFUNCTION("""COMPUTED_VALUE"""),"전분")</f>
        <v>전분</v>
      </c>
    </row>
    <row r="16546">
      <c r="A16546" s="2" t="str">
        <f>IFERROR(__xludf.DUMMYFUNCTION("""COMPUTED_VALUE"""),"닭파라치♬")</f>
        <v>닭파라치♬</v>
      </c>
      <c r="B16546" s="2" t="str">
        <f>IFERROR(__xludf.DUMMYFUNCTION("""COMPUTED_VALUE"""),"토종닭")</f>
        <v>토종닭</v>
      </c>
    </row>
    <row r="16547">
      <c r="A16547" s="2" t="str">
        <f>IFERROR(__xludf.DUMMYFUNCTION("""COMPUTED_VALUE"""),"닭파라치♬")</f>
        <v>닭파라치♬</v>
      </c>
      <c r="B16547" s="2" t="str">
        <f>IFERROR(__xludf.DUMMYFUNCTION("""COMPUTED_VALUE"""),"말린 귤껍질")</f>
        <v>말린 귤껍질</v>
      </c>
    </row>
    <row r="16548">
      <c r="A16548" s="2" t="str">
        <f>IFERROR(__xludf.DUMMYFUNCTION("""COMPUTED_VALUE"""),"닭파라치♬")</f>
        <v>닭파라치♬</v>
      </c>
      <c r="B16548" s="2" t="str">
        <f>IFERROR(__xludf.DUMMYFUNCTION("""COMPUTED_VALUE"""),"삼발소스")</f>
        <v>삼발소스</v>
      </c>
    </row>
    <row r="16549">
      <c r="A16549" s="2" t="str">
        <f>IFERROR(__xludf.DUMMYFUNCTION("""COMPUTED_VALUE"""),"닭파라치♬")</f>
        <v>닭파라치♬</v>
      </c>
      <c r="B16549" s="2" t="str">
        <f>IFERROR(__xludf.DUMMYFUNCTION("""COMPUTED_VALUE"""),"피넛소스")</f>
        <v>피넛소스</v>
      </c>
    </row>
    <row r="16550">
      <c r="A16550" s="2" t="str">
        <f>IFERROR(__xludf.DUMMYFUNCTION("""COMPUTED_VALUE"""),"닭파라치♬")</f>
        <v>닭파라치♬</v>
      </c>
      <c r="B16550" s="2" t="str">
        <f>IFERROR(__xludf.DUMMYFUNCTION("""COMPUTED_VALUE"""),"파프리카 가루")</f>
        <v>파프리카 가루</v>
      </c>
    </row>
    <row r="16551">
      <c r="A16551" s="2" t="str">
        <f>IFERROR(__xludf.DUMMYFUNCTION("""COMPUTED_VALUE"""),"닭파라치♬")</f>
        <v>닭파라치♬</v>
      </c>
      <c r="B16551" s="2" t="str">
        <f>IFERROR(__xludf.DUMMYFUNCTION("""COMPUTED_VALUE"""),"호박잎")</f>
        <v>호박잎</v>
      </c>
    </row>
    <row r="16552">
      <c r="A16552" s="2" t="str">
        <f>IFERROR(__xludf.DUMMYFUNCTION("""COMPUTED_VALUE"""),"닭파라치♬")</f>
        <v>닭파라치♬</v>
      </c>
      <c r="B16552" s="2" t="str">
        <f>IFERROR(__xludf.DUMMYFUNCTION("""COMPUTED_VALUE"""),"얼갈이배추")</f>
        <v>얼갈이배추</v>
      </c>
    </row>
    <row r="16553">
      <c r="A16553" s="2" t="str">
        <f>IFERROR(__xludf.DUMMYFUNCTION("""COMPUTED_VALUE"""),"닭파라치♬")</f>
        <v>닭파라치♬</v>
      </c>
      <c r="B16553" s="2" t="str">
        <f>IFERROR(__xludf.DUMMYFUNCTION("""COMPUTED_VALUE"""),"잣")</f>
        <v>잣</v>
      </c>
    </row>
    <row r="16554">
      <c r="A16554" s="2" t="str">
        <f>IFERROR(__xludf.DUMMYFUNCTION("""COMPUTED_VALUE"""),"닭파라치♬")</f>
        <v>닭파라치♬</v>
      </c>
      <c r="B16554" s="2" t="str">
        <f>IFERROR(__xludf.DUMMYFUNCTION("""COMPUTED_VALUE"""),"밀가루")</f>
        <v>밀가루</v>
      </c>
    </row>
    <row r="16555">
      <c r="A16555" s="2" t="str">
        <f>IFERROR(__xludf.DUMMYFUNCTION("""COMPUTED_VALUE"""),"닭파라치♬")</f>
        <v>닭파라치♬</v>
      </c>
      <c r="B16555" s="2" t="str">
        <f>IFERROR(__xludf.DUMMYFUNCTION("""COMPUTED_VALUE"""),"식용유")</f>
        <v>식용유</v>
      </c>
    </row>
    <row r="16556">
      <c r="A16556" s="2" t="str">
        <f>IFERROR(__xludf.DUMMYFUNCTION("""COMPUTED_VALUE"""),"닭파라치♬")</f>
        <v>닭파라치♬</v>
      </c>
      <c r="B16556" s="2" t="str">
        <f>IFERROR(__xludf.DUMMYFUNCTION("""COMPUTED_VALUE"""),"청양고추")</f>
        <v>청양고추</v>
      </c>
    </row>
    <row r="16557">
      <c r="A16557" s="2" t="str">
        <f>IFERROR(__xludf.DUMMYFUNCTION("""COMPUTED_VALUE"""),"닭파라치♬")</f>
        <v>닭파라치♬</v>
      </c>
      <c r="B16557" s="2" t="str">
        <f>IFERROR(__xludf.DUMMYFUNCTION("""COMPUTED_VALUE"""),"홍고추")</f>
        <v>홍고추</v>
      </c>
    </row>
    <row r="16558">
      <c r="A16558" s="2" t="str">
        <f>IFERROR(__xludf.DUMMYFUNCTION("""COMPUTED_VALUE"""),"닭파라치♬")</f>
        <v>닭파라치♬</v>
      </c>
      <c r="B16558" s="2" t="str">
        <f>IFERROR(__xludf.DUMMYFUNCTION("""COMPUTED_VALUE"""),"다진마늘")</f>
        <v>다진마늘</v>
      </c>
    </row>
    <row r="16559">
      <c r="A16559" s="2" t="str">
        <f>IFERROR(__xludf.DUMMYFUNCTION("""COMPUTED_VALUE"""),"닭파라치♬")</f>
        <v>닭파라치♬</v>
      </c>
      <c r="B16559" s="2" t="str">
        <f>IFERROR(__xludf.DUMMYFUNCTION("""COMPUTED_VALUE"""),"레몬")</f>
        <v>레몬</v>
      </c>
    </row>
    <row r="16560">
      <c r="A16560" s="2" t="str">
        <f>IFERROR(__xludf.DUMMYFUNCTION("""COMPUTED_VALUE"""),"닭파라치♬")</f>
        <v>닭파라치♬</v>
      </c>
      <c r="B16560" s="2" t="str">
        <f>IFERROR(__xludf.DUMMYFUNCTION("""COMPUTED_VALUE"""),"설탕")</f>
        <v>설탕</v>
      </c>
    </row>
    <row r="16561">
      <c r="A16561" s="2" t="str">
        <f>IFERROR(__xludf.DUMMYFUNCTION("""COMPUTED_VALUE"""),"닭파라치♬")</f>
        <v>닭파라치♬</v>
      </c>
      <c r="B16561" s="2" t="str">
        <f>IFERROR(__xludf.DUMMYFUNCTION("""COMPUTED_VALUE"""),"후추")</f>
        <v>후추</v>
      </c>
    </row>
    <row r="16562">
      <c r="A16562" s="2" t="str">
        <f>IFERROR(__xludf.DUMMYFUNCTION("""COMPUTED_VALUE"""),"고등램지")</f>
        <v>고등램지</v>
      </c>
      <c r="B16562" s="2" t="str">
        <f>IFERROR(__xludf.DUMMYFUNCTION("""COMPUTED_VALUE"""),"통조림 꼬막")</f>
        <v>통조림 꼬막</v>
      </c>
    </row>
    <row r="16563">
      <c r="A16563" s="2" t="str">
        <f>IFERROR(__xludf.DUMMYFUNCTION("""COMPUTED_VALUE"""),"고등램지")</f>
        <v>고등램지</v>
      </c>
      <c r="B16563" s="2" t="str">
        <f>IFERROR(__xludf.DUMMYFUNCTION("""COMPUTED_VALUE"""),"황태채")</f>
        <v>황태채</v>
      </c>
    </row>
    <row r="16564">
      <c r="A16564" s="2" t="str">
        <f>IFERROR(__xludf.DUMMYFUNCTION("""COMPUTED_VALUE"""),"고등램지")</f>
        <v>고등램지</v>
      </c>
      <c r="B16564" s="2" t="str">
        <f>IFERROR(__xludf.DUMMYFUNCTION("""COMPUTED_VALUE"""),"스파게티")</f>
        <v>스파게티</v>
      </c>
    </row>
    <row r="16565">
      <c r="A16565" s="2" t="str">
        <f>IFERROR(__xludf.DUMMYFUNCTION("""COMPUTED_VALUE"""),"고등램지")</f>
        <v>고등램지</v>
      </c>
      <c r="B16565" s="2" t="str">
        <f>IFERROR(__xludf.DUMMYFUNCTION("""COMPUTED_VALUE"""),"애호박")</f>
        <v>애호박</v>
      </c>
    </row>
    <row r="16566">
      <c r="A16566" s="2" t="str">
        <f>IFERROR(__xludf.DUMMYFUNCTION("""COMPUTED_VALUE"""),"고등램지")</f>
        <v>고등램지</v>
      </c>
      <c r="B16566" s="2" t="str">
        <f>IFERROR(__xludf.DUMMYFUNCTION("""COMPUTED_VALUE"""),"고등어")</f>
        <v>고등어</v>
      </c>
    </row>
    <row r="16567">
      <c r="A16567" s="2" t="str">
        <f>IFERROR(__xludf.DUMMYFUNCTION("""COMPUTED_VALUE"""),"고등램지")</f>
        <v>고등램지</v>
      </c>
      <c r="B16567" s="2" t="str">
        <f>IFERROR(__xludf.DUMMYFUNCTION("""COMPUTED_VALUE"""),"느타리버섯")</f>
        <v>느타리버섯</v>
      </c>
    </row>
    <row r="16568">
      <c r="A16568" s="2" t="str">
        <f>IFERROR(__xludf.DUMMYFUNCTION("""COMPUTED_VALUE"""),"고등램지")</f>
        <v>고등램지</v>
      </c>
      <c r="B16568" s="2" t="str">
        <f>IFERROR(__xludf.DUMMYFUNCTION("""COMPUTED_VALUE"""),"고추장아찌")</f>
        <v>고추장아찌</v>
      </c>
    </row>
    <row r="16569">
      <c r="A16569" s="2" t="str">
        <f>IFERROR(__xludf.DUMMYFUNCTION("""COMPUTED_VALUE"""),"고등램지")</f>
        <v>고등램지</v>
      </c>
      <c r="B16569" s="2" t="str">
        <f>IFERROR(__xludf.DUMMYFUNCTION("""COMPUTED_VALUE"""),"우유")</f>
        <v>우유</v>
      </c>
    </row>
    <row r="16570">
      <c r="A16570" s="2" t="str">
        <f>IFERROR(__xludf.DUMMYFUNCTION("""COMPUTED_VALUE"""),"고등램지")</f>
        <v>고등램지</v>
      </c>
      <c r="B16570" s="2" t="str">
        <f>IFERROR(__xludf.DUMMYFUNCTION("""COMPUTED_VALUE"""),"페퍼론치노")</f>
        <v>페퍼론치노</v>
      </c>
    </row>
    <row r="16571">
      <c r="A16571" s="2" t="str">
        <f>IFERROR(__xludf.DUMMYFUNCTION("""COMPUTED_VALUE"""),"고등램지")</f>
        <v>고등램지</v>
      </c>
      <c r="B16571" s="2" t="str">
        <f>IFERROR(__xludf.DUMMYFUNCTION("""COMPUTED_VALUE"""),"통조림 게살장")</f>
        <v>통조림 게살장</v>
      </c>
    </row>
    <row r="16572">
      <c r="A16572" s="2" t="str">
        <f>IFERROR(__xludf.DUMMYFUNCTION("""COMPUTED_VALUE"""),"고등램지")</f>
        <v>고등램지</v>
      </c>
      <c r="B16572" s="2" t="str">
        <f>IFERROR(__xludf.DUMMYFUNCTION("""COMPUTED_VALUE"""),"베이컨")</f>
        <v>베이컨</v>
      </c>
    </row>
    <row r="16573">
      <c r="A16573" s="2" t="str">
        <f>IFERROR(__xludf.DUMMYFUNCTION("""COMPUTED_VALUE"""),"고등램지")</f>
        <v>고등램지</v>
      </c>
      <c r="B16573" s="2" t="str">
        <f>IFERROR(__xludf.DUMMYFUNCTION("""COMPUTED_VALUE"""),"파르메산 치즈가루")</f>
        <v>파르메산 치즈가루</v>
      </c>
    </row>
    <row r="16574">
      <c r="A16574" s="2" t="str">
        <f>IFERROR(__xludf.DUMMYFUNCTION("""COMPUTED_VALUE"""),"고등램지")</f>
        <v>고등램지</v>
      </c>
      <c r="B16574" s="2" t="str">
        <f>IFERROR(__xludf.DUMMYFUNCTION("""COMPUTED_VALUE"""),"시금치")</f>
        <v>시금치</v>
      </c>
    </row>
    <row r="16575">
      <c r="A16575" s="2" t="str">
        <f>IFERROR(__xludf.DUMMYFUNCTION("""COMPUTED_VALUE"""),"고등램지")</f>
        <v>고등램지</v>
      </c>
      <c r="B16575" s="2" t="str">
        <f>IFERROR(__xludf.DUMMYFUNCTION("""COMPUTED_VALUE"""),"빵가루")</f>
        <v>빵가루</v>
      </c>
    </row>
    <row r="16576">
      <c r="A16576" s="2" t="str">
        <f>IFERROR(__xludf.DUMMYFUNCTION("""COMPUTED_VALUE"""),"고등램지")</f>
        <v>고등램지</v>
      </c>
      <c r="B16576" s="2" t="str">
        <f>IFERROR(__xludf.DUMMYFUNCTION("""COMPUTED_VALUE"""),"이유식용 육수")</f>
        <v>이유식용 육수</v>
      </c>
    </row>
    <row r="16577">
      <c r="A16577" s="2" t="str">
        <f>IFERROR(__xludf.DUMMYFUNCTION("""COMPUTED_VALUE"""),"고등램지")</f>
        <v>고등램지</v>
      </c>
      <c r="B16577" s="2" t="str">
        <f>IFERROR(__xludf.DUMMYFUNCTION("""COMPUTED_VALUE"""),"올리브오일")</f>
        <v>올리브오일</v>
      </c>
    </row>
    <row r="16578">
      <c r="A16578" s="2" t="str">
        <f>IFERROR(__xludf.DUMMYFUNCTION("""COMPUTED_VALUE"""),"고등램지")</f>
        <v>고등램지</v>
      </c>
      <c r="B16578" s="2" t="str">
        <f>IFERROR(__xludf.DUMMYFUNCTION("""COMPUTED_VALUE"""),"후추")</f>
        <v>후추</v>
      </c>
    </row>
    <row r="16579">
      <c r="A16579" s="2" t="str">
        <f>IFERROR(__xludf.DUMMYFUNCTION("""COMPUTED_VALUE"""),"고등램지")</f>
        <v>고등램지</v>
      </c>
      <c r="B16579" s="2" t="str">
        <f>IFERROR(__xludf.DUMMYFUNCTION("""COMPUTED_VALUE"""),"소금")</f>
        <v>소금</v>
      </c>
    </row>
    <row r="16580">
      <c r="A16580" s="2" t="str">
        <f>IFERROR(__xludf.DUMMYFUNCTION("""COMPUTED_VALUE"""),"고등램지")</f>
        <v>고등램지</v>
      </c>
      <c r="B16580" s="2" t="str">
        <f>IFERROR(__xludf.DUMMYFUNCTION("""COMPUTED_VALUE"""),"대파")</f>
        <v>대파</v>
      </c>
    </row>
    <row r="16581">
      <c r="A16581" s="2" t="str">
        <f>IFERROR(__xludf.DUMMYFUNCTION("""COMPUTED_VALUE"""),"고등램지")</f>
        <v>고등램지</v>
      </c>
      <c r="B16581" s="2" t="str">
        <f>IFERROR(__xludf.DUMMYFUNCTION("""COMPUTED_VALUE"""),"마늘")</f>
        <v>마늘</v>
      </c>
    </row>
    <row r="16582">
      <c r="A16582" s="2" t="str">
        <f>IFERROR(__xludf.DUMMYFUNCTION("""COMPUTED_VALUE"""),"고등램지")</f>
        <v>고등램지</v>
      </c>
      <c r="B16582" s="2" t="str">
        <f>IFERROR(__xludf.DUMMYFUNCTION("""COMPUTED_VALUE"""),"청양고추")</f>
        <v>청양고추</v>
      </c>
    </row>
    <row r="16583">
      <c r="A16583" s="2" t="str">
        <f>IFERROR(__xludf.DUMMYFUNCTION("""COMPUTED_VALUE"""),"고등램지")</f>
        <v>고등램지</v>
      </c>
      <c r="B16583" s="2" t="str">
        <f>IFERROR(__xludf.DUMMYFUNCTION("""COMPUTED_VALUE"""),"케첩")</f>
        <v>케첩</v>
      </c>
    </row>
    <row r="16584">
      <c r="A16584" s="2" t="str">
        <f>IFERROR(__xludf.DUMMYFUNCTION("""COMPUTED_VALUE"""),"고등램지")</f>
        <v>고등램지</v>
      </c>
      <c r="B16584" s="2" t="str">
        <f>IFERROR(__xludf.DUMMYFUNCTION("""COMPUTED_VALUE"""),"고춧가루")</f>
        <v>고춧가루</v>
      </c>
    </row>
    <row r="16585">
      <c r="A16585" s="2" t="str">
        <f>IFERROR(__xludf.DUMMYFUNCTION("""COMPUTED_VALUE"""),"고등램지")</f>
        <v>고등램지</v>
      </c>
      <c r="B16585" s="2" t="str">
        <f>IFERROR(__xludf.DUMMYFUNCTION("""COMPUTED_VALUE"""),"화이트와인")</f>
        <v>화이트와인</v>
      </c>
    </row>
    <row r="16586">
      <c r="A16586" s="2" t="str">
        <f>IFERROR(__xludf.DUMMYFUNCTION("""COMPUTED_VALUE"""),"고등램지")</f>
        <v>고등램지</v>
      </c>
      <c r="B16586" s="2" t="str">
        <f>IFERROR(__xludf.DUMMYFUNCTION("""COMPUTED_VALUE"""),"레몬")</f>
        <v>레몬</v>
      </c>
    </row>
    <row r="16587">
      <c r="A16587" s="2" t="str">
        <f>IFERROR(__xludf.DUMMYFUNCTION("""COMPUTED_VALUE"""),"파스타 사랑해♬")</f>
        <v>파스타 사랑해♬</v>
      </c>
      <c r="B16587" s="2" t="str">
        <f>IFERROR(__xludf.DUMMYFUNCTION("""COMPUTED_VALUE"""),"에스카르고")</f>
        <v>에스카르고</v>
      </c>
    </row>
    <row r="16588">
      <c r="A16588" s="2" t="str">
        <f>IFERROR(__xludf.DUMMYFUNCTION("""COMPUTED_VALUE"""),"파스타 사랑해♬")</f>
        <v>파스타 사랑해♬</v>
      </c>
      <c r="B16588" s="2" t="str">
        <f>IFERROR(__xludf.DUMMYFUNCTION("""COMPUTED_VALUE"""),"느타리버섯")</f>
        <v>느타리버섯</v>
      </c>
    </row>
    <row r="16589">
      <c r="A16589" s="2" t="str">
        <f>IFERROR(__xludf.DUMMYFUNCTION("""COMPUTED_VALUE"""),"파스타 사랑해♬")</f>
        <v>파스타 사랑해♬</v>
      </c>
      <c r="B16589" s="2" t="str">
        <f>IFERROR(__xludf.DUMMYFUNCTION("""COMPUTED_VALUE"""),"애호박")</f>
        <v>애호박</v>
      </c>
    </row>
    <row r="16590">
      <c r="A16590" s="2" t="str">
        <f>IFERROR(__xludf.DUMMYFUNCTION("""COMPUTED_VALUE"""),"파스타 사랑해♬")</f>
        <v>파스타 사랑해♬</v>
      </c>
      <c r="B16590" s="2" t="str">
        <f>IFERROR(__xludf.DUMMYFUNCTION("""COMPUTED_VALUE"""),"트러플 치즈크림소스")</f>
        <v>트러플 치즈크림소스</v>
      </c>
    </row>
    <row r="16591">
      <c r="A16591" s="2" t="str">
        <f>IFERROR(__xludf.DUMMYFUNCTION("""COMPUTED_VALUE"""),"파스타 사랑해♬")</f>
        <v>파스타 사랑해♬</v>
      </c>
      <c r="B16591" s="2" t="str">
        <f>IFERROR(__xludf.DUMMYFUNCTION("""COMPUTED_VALUE"""),"스모크치즈")</f>
        <v>스모크치즈</v>
      </c>
    </row>
    <row r="16592">
      <c r="A16592" s="2" t="str">
        <f>IFERROR(__xludf.DUMMYFUNCTION("""COMPUTED_VALUE"""),"파스타 사랑해♬")</f>
        <v>파스타 사랑해♬</v>
      </c>
      <c r="B16592" s="2" t="str">
        <f>IFERROR(__xludf.DUMMYFUNCTION("""COMPUTED_VALUE"""),"완두콩")</f>
        <v>완두콩</v>
      </c>
    </row>
    <row r="16593">
      <c r="A16593" s="2" t="str">
        <f>IFERROR(__xludf.DUMMYFUNCTION("""COMPUTED_VALUE"""),"파스타 사랑해♬")</f>
        <v>파스타 사랑해♬</v>
      </c>
      <c r="B16593" s="2" t="str">
        <f>IFERROR(__xludf.DUMMYFUNCTION("""COMPUTED_VALUE"""),"빵가루")</f>
        <v>빵가루</v>
      </c>
    </row>
    <row r="16594">
      <c r="A16594" s="2" t="str">
        <f>IFERROR(__xludf.DUMMYFUNCTION("""COMPUTED_VALUE"""),"파스타 사랑해♬")</f>
        <v>파스타 사랑해♬</v>
      </c>
      <c r="B16594" s="2" t="str">
        <f>IFERROR(__xludf.DUMMYFUNCTION("""COMPUTED_VALUE"""),"우유")</f>
        <v>우유</v>
      </c>
    </row>
    <row r="16595">
      <c r="A16595" s="2" t="str">
        <f>IFERROR(__xludf.DUMMYFUNCTION("""COMPUTED_VALUE"""),"파스타 사랑해♬")</f>
        <v>파스타 사랑해♬</v>
      </c>
      <c r="B16595" s="2" t="str">
        <f>IFERROR(__xludf.DUMMYFUNCTION("""COMPUTED_VALUE"""),"통조림 꼬막")</f>
        <v>통조림 꼬막</v>
      </c>
    </row>
    <row r="16596">
      <c r="A16596" s="2" t="str">
        <f>IFERROR(__xludf.DUMMYFUNCTION("""COMPUTED_VALUE"""),"파스타 사랑해♬")</f>
        <v>파스타 사랑해♬</v>
      </c>
      <c r="B16596" s="2" t="str">
        <f>IFERROR(__xludf.DUMMYFUNCTION("""COMPUTED_VALUE"""),"다진 소고기")</f>
        <v>다진 소고기</v>
      </c>
    </row>
    <row r="16597">
      <c r="A16597" s="2" t="str">
        <f>IFERROR(__xludf.DUMMYFUNCTION("""COMPUTED_VALUE"""),"파스타 사랑해♬")</f>
        <v>파스타 사랑해♬</v>
      </c>
      <c r="B16597" s="2" t="str">
        <f>IFERROR(__xludf.DUMMYFUNCTION("""COMPUTED_VALUE"""),"깻잎의 순")</f>
        <v>깻잎의 순</v>
      </c>
    </row>
    <row r="16598">
      <c r="A16598" s="2" t="str">
        <f>IFERROR(__xludf.DUMMYFUNCTION("""COMPUTED_VALUE"""),"파스타 사랑해♬")</f>
        <v>파스타 사랑해♬</v>
      </c>
      <c r="B16598" s="2" t="str">
        <f>IFERROR(__xludf.DUMMYFUNCTION("""COMPUTED_VALUE"""),"블루베리")</f>
        <v>블루베리</v>
      </c>
    </row>
    <row r="16599">
      <c r="A16599" s="2" t="str">
        <f>IFERROR(__xludf.DUMMYFUNCTION("""COMPUTED_VALUE"""),"파스타 사랑해♬")</f>
        <v>파스타 사랑해♬</v>
      </c>
      <c r="B16599" s="2" t="str">
        <f>IFERROR(__xludf.DUMMYFUNCTION("""COMPUTED_VALUE"""),"파르메산 치즈가루")</f>
        <v>파르메산 치즈가루</v>
      </c>
    </row>
    <row r="16600">
      <c r="A16600" s="2" t="str">
        <f>IFERROR(__xludf.DUMMYFUNCTION("""COMPUTED_VALUE"""),"파스타 사랑해♬")</f>
        <v>파스타 사랑해♬</v>
      </c>
      <c r="B16600" s="2" t="str">
        <f>IFERROR(__xludf.DUMMYFUNCTION("""COMPUTED_VALUE"""),"올리브오일")</f>
        <v>올리브오일</v>
      </c>
    </row>
    <row r="16601">
      <c r="A16601" s="2" t="str">
        <f>IFERROR(__xludf.DUMMYFUNCTION("""COMPUTED_VALUE"""),"파스타 사랑해♬")</f>
        <v>파스타 사랑해♬</v>
      </c>
      <c r="B16601" s="2" t="str">
        <f>IFERROR(__xludf.DUMMYFUNCTION("""COMPUTED_VALUE"""),"소금")</f>
        <v>소금</v>
      </c>
    </row>
    <row r="16602">
      <c r="A16602" s="2" t="str">
        <f>IFERROR(__xludf.DUMMYFUNCTION("""COMPUTED_VALUE"""),"파스타 사랑해♬")</f>
        <v>파스타 사랑해♬</v>
      </c>
      <c r="B16602" s="2" t="str">
        <f>IFERROR(__xludf.DUMMYFUNCTION("""COMPUTED_VALUE"""),"밀가루")</f>
        <v>밀가루</v>
      </c>
    </row>
    <row r="16603">
      <c r="A16603" s="2" t="str">
        <f>IFERROR(__xludf.DUMMYFUNCTION("""COMPUTED_VALUE"""),"파스타 사랑해♬")</f>
        <v>파스타 사랑해♬</v>
      </c>
      <c r="B16603" s="2" t="str">
        <f>IFERROR(__xludf.DUMMYFUNCTION("""COMPUTED_VALUE"""),"달걀")</f>
        <v>달걀</v>
      </c>
    </row>
    <row r="16604">
      <c r="A16604" s="2" t="str">
        <f>IFERROR(__xludf.DUMMYFUNCTION("""COMPUTED_VALUE"""),"파스타 사랑해♬")</f>
        <v>파스타 사랑해♬</v>
      </c>
      <c r="B16604" s="2" t="str">
        <f>IFERROR(__xludf.DUMMYFUNCTION("""COMPUTED_VALUE"""),"마늘")</f>
        <v>마늘</v>
      </c>
    </row>
    <row r="16605">
      <c r="A16605" s="2" t="str">
        <f>IFERROR(__xludf.DUMMYFUNCTION("""COMPUTED_VALUE"""),"파스타 사랑해♬")</f>
        <v>파스타 사랑해♬</v>
      </c>
      <c r="B16605" s="2" t="str">
        <f>IFERROR(__xludf.DUMMYFUNCTION("""COMPUTED_VALUE"""),"버터")</f>
        <v>버터</v>
      </c>
    </row>
    <row r="16606">
      <c r="A16606" s="2" t="str">
        <f>IFERROR(__xludf.DUMMYFUNCTION("""COMPUTED_VALUE"""),"지구용사 산초맨")</f>
        <v>지구용사 산초맨</v>
      </c>
      <c r="B16606" s="2" t="str">
        <f>IFERROR(__xludf.DUMMYFUNCTION("""COMPUTED_VALUE"""),"산초가루")</f>
        <v>산초가루</v>
      </c>
    </row>
    <row r="16607">
      <c r="A16607" s="2" t="str">
        <f>IFERROR(__xludf.DUMMYFUNCTION("""COMPUTED_VALUE"""),"지구용사 산초맨")</f>
        <v>지구용사 산초맨</v>
      </c>
      <c r="B16607" s="2" t="str">
        <f>IFERROR(__xludf.DUMMYFUNCTION("""COMPUTED_VALUE"""),"어내토 시드")</f>
        <v>어내토 시드</v>
      </c>
    </row>
    <row r="16608">
      <c r="A16608" s="2" t="str">
        <f>IFERROR(__xludf.DUMMYFUNCTION("""COMPUTED_VALUE"""),"지구용사 산초맨")</f>
        <v>지구용사 산초맨</v>
      </c>
      <c r="B16608" s="2" t="str">
        <f>IFERROR(__xludf.DUMMYFUNCTION("""COMPUTED_VALUE"""),"소 등심")</f>
        <v>소 등심</v>
      </c>
    </row>
    <row r="16609">
      <c r="A16609" s="2" t="str">
        <f>IFERROR(__xludf.DUMMYFUNCTION("""COMPUTED_VALUE"""),"지구용사 산초맨")</f>
        <v>지구용사 산초맨</v>
      </c>
      <c r="B16609" s="2" t="str">
        <f>IFERROR(__xludf.DUMMYFUNCTION("""COMPUTED_VALUE"""),"페퍼론치노")</f>
        <v>페퍼론치노</v>
      </c>
    </row>
    <row r="16610">
      <c r="A16610" s="2" t="str">
        <f>IFERROR(__xludf.DUMMYFUNCTION("""COMPUTED_VALUE"""),"지구용사 산초맨")</f>
        <v>지구용사 산초맨</v>
      </c>
      <c r="B16610" s="2" t="str">
        <f>IFERROR(__xludf.DUMMYFUNCTION("""COMPUTED_VALUE"""),"새우살")</f>
        <v>새우살</v>
      </c>
    </row>
    <row r="16611">
      <c r="A16611" s="2" t="str">
        <f>IFERROR(__xludf.DUMMYFUNCTION("""COMPUTED_VALUE"""),"지구용사 산초맨")</f>
        <v>지구용사 산초맨</v>
      </c>
      <c r="B16611" s="2" t="str">
        <f>IFERROR(__xludf.DUMMYFUNCTION("""COMPUTED_VALUE"""),"느타리버섯")</f>
        <v>느타리버섯</v>
      </c>
    </row>
    <row r="16612">
      <c r="A16612" s="2" t="str">
        <f>IFERROR(__xludf.DUMMYFUNCTION("""COMPUTED_VALUE"""),"지구용사 산초맨")</f>
        <v>지구용사 산초맨</v>
      </c>
      <c r="B16612" s="2" t="str">
        <f>IFERROR(__xludf.DUMMYFUNCTION("""COMPUTED_VALUE"""),"새송이버섯")</f>
        <v>새송이버섯</v>
      </c>
    </row>
    <row r="16613">
      <c r="A16613" s="2" t="str">
        <f>IFERROR(__xludf.DUMMYFUNCTION("""COMPUTED_VALUE"""),"지구용사 산초맨")</f>
        <v>지구용사 산초맨</v>
      </c>
      <c r="B16613" s="2" t="str">
        <f>IFERROR(__xludf.DUMMYFUNCTION("""COMPUTED_VALUE"""),"청경채")</f>
        <v>청경채</v>
      </c>
    </row>
    <row r="16614">
      <c r="A16614" s="2" t="str">
        <f>IFERROR(__xludf.DUMMYFUNCTION("""COMPUTED_VALUE"""),"지구용사 산초맨")</f>
        <v>지구용사 산초맨</v>
      </c>
      <c r="B16614" s="2" t="str">
        <f>IFERROR(__xludf.DUMMYFUNCTION("""COMPUTED_VALUE"""),"굴소스")</f>
        <v>굴소스</v>
      </c>
    </row>
    <row r="16615">
      <c r="A16615" s="2" t="str">
        <f>IFERROR(__xludf.DUMMYFUNCTION("""COMPUTED_VALUE"""),"지구용사 산초맨")</f>
        <v>지구용사 산초맨</v>
      </c>
      <c r="B16615" s="2" t="str">
        <f>IFERROR(__xludf.DUMMYFUNCTION("""COMPUTED_VALUE"""),"생강")</f>
        <v>생강</v>
      </c>
    </row>
    <row r="16616">
      <c r="A16616" s="2" t="str">
        <f>IFERROR(__xludf.DUMMYFUNCTION("""COMPUTED_VALUE"""),"지구용사 산초맨")</f>
        <v>지구용사 산초맨</v>
      </c>
      <c r="B16616" s="2" t="str">
        <f>IFERROR(__xludf.DUMMYFUNCTION("""COMPUTED_VALUE"""),"대파")</f>
        <v>대파</v>
      </c>
    </row>
    <row r="16617">
      <c r="A16617" s="2" t="str">
        <f>IFERROR(__xludf.DUMMYFUNCTION("""COMPUTED_VALUE"""),"지구용사 산초맨")</f>
        <v>지구용사 산초맨</v>
      </c>
      <c r="B16617" s="2" t="str">
        <f>IFERROR(__xludf.DUMMYFUNCTION("""COMPUTED_VALUE"""),"고춧가루")</f>
        <v>고춧가루</v>
      </c>
    </row>
    <row r="16618">
      <c r="A16618" s="2" t="str">
        <f>IFERROR(__xludf.DUMMYFUNCTION("""COMPUTED_VALUE"""),"지구용사 산초맨")</f>
        <v>지구용사 산초맨</v>
      </c>
      <c r="B16618" s="2" t="str">
        <f>IFERROR(__xludf.DUMMYFUNCTION("""COMPUTED_VALUE"""),"맛술")</f>
        <v>맛술</v>
      </c>
    </row>
    <row r="16619">
      <c r="A16619" s="2" t="str">
        <f>IFERROR(__xludf.DUMMYFUNCTION("""COMPUTED_VALUE"""),"지구용사 산초맨")</f>
        <v>지구용사 산초맨</v>
      </c>
      <c r="B16619" s="2" t="str">
        <f>IFERROR(__xludf.DUMMYFUNCTION("""COMPUTED_VALUE"""),"간장")</f>
        <v>간장</v>
      </c>
    </row>
    <row r="16620">
      <c r="A16620" s="2" t="str">
        <f>IFERROR(__xludf.DUMMYFUNCTION("""COMPUTED_VALUE"""),"지구용사 산초맨")</f>
        <v>지구용사 산초맨</v>
      </c>
      <c r="B16620" s="2" t="str">
        <f>IFERROR(__xludf.DUMMYFUNCTION("""COMPUTED_VALUE"""),"설탕")</f>
        <v>설탕</v>
      </c>
    </row>
    <row r="16621">
      <c r="A16621" s="2" t="str">
        <f>IFERROR(__xludf.DUMMYFUNCTION("""COMPUTED_VALUE"""),"지구용사 산초맨")</f>
        <v>지구용사 산초맨</v>
      </c>
      <c r="B16621" s="2" t="str">
        <f>IFERROR(__xludf.DUMMYFUNCTION("""COMPUTED_VALUE"""),"참기름")</f>
        <v>참기름</v>
      </c>
    </row>
    <row r="16622">
      <c r="A16622" s="2" t="str">
        <f>IFERROR(__xludf.DUMMYFUNCTION("""COMPUTED_VALUE"""),"지구용사 산초맨")</f>
        <v>지구용사 산초맨</v>
      </c>
      <c r="B16622" s="2" t="str">
        <f>IFERROR(__xludf.DUMMYFUNCTION("""COMPUTED_VALUE"""),"청양고추")</f>
        <v>청양고추</v>
      </c>
    </row>
    <row r="16623">
      <c r="A16623" s="2" t="str">
        <f>IFERROR(__xludf.DUMMYFUNCTION("""COMPUTED_VALUE"""),"지구용사 산초맨")</f>
        <v>지구용사 산초맨</v>
      </c>
      <c r="B16623" s="2" t="str">
        <f>IFERROR(__xludf.DUMMYFUNCTION("""COMPUTED_VALUE"""),"홍고추")</f>
        <v>홍고추</v>
      </c>
    </row>
    <row r="16624">
      <c r="A16624" s="2" t="str">
        <f>IFERROR(__xludf.DUMMYFUNCTION("""COMPUTED_VALUE"""),"지구용사 산초맨")</f>
        <v>지구용사 산초맨</v>
      </c>
      <c r="B16624" s="2" t="str">
        <f>IFERROR(__xludf.DUMMYFUNCTION("""COMPUTED_VALUE"""),"양파")</f>
        <v>양파</v>
      </c>
    </row>
    <row r="16625">
      <c r="A16625" s="2" t="str">
        <f>IFERROR(__xludf.DUMMYFUNCTION("""COMPUTED_VALUE"""),"지구용사 산초맨")</f>
        <v>지구용사 산초맨</v>
      </c>
      <c r="B16625" s="2" t="str">
        <f>IFERROR(__xludf.DUMMYFUNCTION("""COMPUTED_VALUE"""),"버터")</f>
        <v>버터</v>
      </c>
    </row>
    <row r="16626">
      <c r="A16626" s="2" t="str">
        <f>IFERROR(__xludf.DUMMYFUNCTION("""COMPUTED_VALUE"""),"지구용사 산초맨")</f>
        <v>지구용사 산초맨</v>
      </c>
      <c r="B16626" s="2" t="str">
        <f>IFERROR(__xludf.DUMMYFUNCTION("""COMPUTED_VALUE"""),"즉석밥")</f>
        <v>즉석밥</v>
      </c>
    </row>
    <row r="16627">
      <c r="A16627" s="2" t="str">
        <f>IFERROR(__xludf.DUMMYFUNCTION("""COMPUTED_VALUE"""),"마라왕 복탁구")</f>
        <v>마라왕 복탁구</v>
      </c>
      <c r="B16627" s="2" t="str">
        <f>IFERROR(__xludf.DUMMYFUNCTION("""COMPUTED_VALUE"""),"산초가루")</f>
        <v>산초가루</v>
      </c>
    </row>
    <row r="16628">
      <c r="A16628" s="2" t="str">
        <f>IFERROR(__xludf.DUMMYFUNCTION("""COMPUTED_VALUE"""),"마라왕 복탁구")</f>
        <v>마라왕 복탁구</v>
      </c>
      <c r="B16628" s="2" t="str">
        <f>IFERROR(__xludf.DUMMYFUNCTION("""COMPUTED_VALUE"""),"시금치")</f>
        <v>시금치</v>
      </c>
    </row>
    <row r="16629">
      <c r="A16629" s="2" t="str">
        <f>IFERROR(__xludf.DUMMYFUNCTION("""COMPUTED_VALUE"""),"마라왕 복탁구")</f>
        <v>마라왕 복탁구</v>
      </c>
      <c r="B16629" s="2" t="str">
        <f>IFERROR(__xludf.DUMMYFUNCTION("""COMPUTED_VALUE"""),"청경채")</f>
        <v>청경채</v>
      </c>
    </row>
    <row r="16630">
      <c r="A16630" s="2" t="str">
        <f>IFERROR(__xludf.DUMMYFUNCTION("""COMPUTED_VALUE"""),"마라왕 복탁구")</f>
        <v>마라왕 복탁구</v>
      </c>
      <c r="B16630" s="2" t="str">
        <f>IFERROR(__xludf.DUMMYFUNCTION("""COMPUTED_VALUE"""),"콩나물")</f>
        <v>콩나물</v>
      </c>
    </row>
    <row r="16631">
      <c r="A16631" s="2" t="str">
        <f>IFERROR(__xludf.DUMMYFUNCTION("""COMPUTED_VALUE"""),"마라왕 복탁구")</f>
        <v>마라왕 복탁구</v>
      </c>
      <c r="B16631" s="2" t="str">
        <f>IFERROR(__xludf.DUMMYFUNCTION("""COMPUTED_VALUE"""),"에스카르고")</f>
        <v>에스카르고</v>
      </c>
    </row>
    <row r="16632">
      <c r="A16632" s="2" t="str">
        <f>IFERROR(__xludf.DUMMYFUNCTION("""COMPUTED_VALUE"""),"마라왕 복탁구")</f>
        <v>마라왕 복탁구</v>
      </c>
      <c r="B16632" s="2" t="str">
        <f>IFERROR(__xludf.DUMMYFUNCTION("""COMPUTED_VALUE"""),"국물용 멸치")</f>
        <v>국물용 멸치</v>
      </c>
    </row>
    <row r="16633">
      <c r="A16633" s="2" t="str">
        <f>IFERROR(__xludf.DUMMYFUNCTION("""COMPUTED_VALUE"""),"마라왕 복탁구")</f>
        <v>마라왕 복탁구</v>
      </c>
      <c r="B16633" s="2" t="str">
        <f>IFERROR(__xludf.DUMMYFUNCTION("""COMPUTED_VALUE"""),"황태채")</f>
        <v>황태채</v>
      </c>
    </row>
    <row r="16634">
      <c r="A16634" s="2" t="str">
        <f>IFERROR(__xludf.DUMMYFUNCTION("""COMPUTED_VALUE"""),"마라왕 복탁구")</f>
        <v>마라왕 복탁구</v>
      </c>
      <c r="B16634" s="2" t="str">
        <f>IFERROR(__xludf.DUMMYFUNCTION("""COMPUTED_VALUE"""),"건새우")</f>
        <v>건새우</v>
      </c>
    </row>
    <row r="16635">
      <c r="A16635" s="2" t="str">
        <f>IFERROR(__xludf.DUMMYFUNCTION("""COMPUTED_VALUE"""),"마라왕 복탁구")</f>
        <v>마라왕 복탁구</v>
      </c>
      <c r="B16635" s="2" t="str">
        <f>IFERROR(__xludf.DUMMYFUNCTION("""COMPUTED_VALUE"""),"페페론치노")</f>
        <v>페페론치노</v>
      </c>
    </row>
    <row r="16636">
      <c r="A16636" s="2" t="str">
        <f>IFERROR(__xludf.DUMMYFUNCTION("""COMPUTED_VALUE"""),"마라왕 복탁구")</f>
        <v>마라왕 복탁구</v>
      </c>
      <c r="B16636" s="2" t="str">
        <f>IFERROR(__xludf.DUMMYFUNCTION("""COMPUTED_VALUE"""),"돼지 안심")</f>
        <v>돼지 안심</v>
      </c>
    </row>
    <row r="16637">
      <c r="A16637" s="2" t="str">
        <f>IFERROR(__xludf.DUMMYFUNCTION("""COMPUTED_VALUE"""),"마라왕 복탁구")</f>
        <v>마라왕 복탁구</v>
      </c>
      <c r="B16637" s="2" t="str">
        <f>IFERROR(__xludf.DUMMYFUNCTION("""COMPUTED_VALUE"""),"연두부")</f>
        <v>연두부</v>
      </c>
    </row>
    <row r="16638">
      <c r="A16638" s="2" t="str">
        <f>IFERROR(__xludf.DUMMYFUNCTION("""COMPUTED_VALUE"""),"마라왕 복탁구")</f>
        <v>마라왕 복탁구</v>
      </c>
      <c r="B16638" s="2" t="str">
        <f>IFERROR(__xludf.DUMMYFUNCTION("""COMPUTED_VALUE"""),"새송이버섯")</f>
        <v>새송이버섯</v>
      </c>
    </row>
    <row r="16639">
      <c r="A16639" s="2" t="str">
        <f>IFERROR(__xludf.DUMMYFUNCTION("""COMPUTED_VALUE"""),"마라왕 복탁구")</f>
        <v>마라왕 복탁구</v>
      </c>
      <c r="B16639" s="2" t="str">
        <f>IFERROR(__xludf.DUMMYFUNCTION("""COMPUTED_VALUE"""),"고구마")</f>
        <v>고구마</v>
      </c>
    </row>
    <row r="16640">
      <c r="A16640" s="2" t="str">
        <f>IFERROR(__xludf.DUMMYFUNCTION("""COMPUTED_VALUE"""),"마라왕 복탁구")</f>
        <v>마라왕 복탁구</v>
      </c>
      <c r="B16640" s="2" t="str">
        <f>IFERROR(__xludf.DUMMYFUNCTION("""COMPUTED_VALUE"""),"새우살")</f>
        <v>새우살</v>
      </c>
    </row>
    <row r="16641">
      <c r="A16641" s="2" t="str">
        <f>IFERROR(__xludf.DUMMYFUNCTION("""COMPUTED_VALUE"""),"마라왕 복탁구")</f>
        <v>마라왕 복탁구</v>
      </c>
      <c r="B16641" s="2" t="str">
        <f>IFERROR(__xludf.DUMMYFUNCTION("""COMPUTED_VALUE"""),"대파")</f>
        <v>대파</v>
      </c>
    </row>
    <row r="16642">
      <c r="A16642" s="2" t="str">
        <f>IFERROR(__xludf.DUMMYFUNCTION("""COMPUTED_VALUE"""),"마라왕 복탁구")</f>
        <v>마라왕 복탁구</v>
      </c>
      <c r="B16642" s="2" t="str">
        <f>IFERROR(__xludf.DUMMYFUNCTION("""COMPUTED_VALUE"""),"고춧가루")</f>
        <v>고춧가루</v>
      </c>
    </row>
    <row r="16643">
      <c r="A16643" s="2" t="str">
        <f>IFERROR(__xludf.DUMMYFUNCTION("""COMPUTED_VALUE"""),"마라왕 복탁구")</f>
        <v>마라왕 복탁구</v>
      </c>
      <c r="B16643" s="2" t="str">
        <f>IFERROR(__xludf.DUMMYFUNCTION("""COMPUTED_VALUE"""),"맛술")</f>
        <v>맛술</v>
      </c>
    </row>
    <row r="16644">
      <c r="A16644" s="2" t="str">
        <f>IFERROR(__xludf.DUMMYFUNCTION("""COMPUTED_VALUE"""),"마라왕 복탁구")</f>
        <v>마라왕 복탁구</v>
      </c>
      <c r="B16644" s="2" t="str">
        <f>IFERROR(__xludf.DUMMYFUNCTION("""COMPUTED_VALUE"""),"소금")</f>
        <v>소금</v>
      </c>
    </row>
    <row r="16645">
      <c r="A16645" s="2" t="str">
        <f>IFERROR(__xludf.DUMMYFUNCTION("""COMPUTED_VALUE"""),"마라왕 복탁구")</f>
        <v>마라왕 복탁구</v>
      </c>
      <c r="B16645" s="2" t="str">
        <f>IFERROR(__xludf.DUMMYFUNCTION("""COMPUTED_VALUE"""),"전분")</f>
        <v>전분</v>
      </c>
    </row>
    <row r="16646">
      <c r="A16646" s="2" t="str">
        <f>IFERROR(__xludf.DUMMYFUNCTION("""COMPUTED_VALUE"""),"마라왕 복탁구")</f>
        <v>마라왕 복탁구</v>
      </c>
      <c r="B16646" s="2" t="str">
        <f>IFERROR(__xludf.DUMMYFUNCTION("""COMPUTED_VALUE"""),"달걀")</f>
        <v>달걀</v>
      </c>
    </row>
    <row r="16647">
      <c r="A16647" s="2" t="str">
        <f>IFERROR(__xludf.DUMMYFUNCTION("""COMPUTED_VALUE"""),"마라왕 복탁구")</f>
        <v>마라왕 복탁구</v>
      </c>
      <c r="B16647" s="2" t="str">
        <f>IFERROR(__xludf.DUMMYFUNCTION("""COMPUTED_VALUE"""),"양파")</f>
        <v>양파</v>
      </c>
    </row>
    <row r="16648">
      <c r="A16648" s="2" t="str">
        <f>IFERROR(__xludf.DUMMYFUNCTION("""COMPUTED_VALUE"""),"마라왕 복탁구")</f>
        <v>마라왕 복탁구</v>
      </c>
      <c r="B16648" s="2" t="str">
        <f>IFERROR(__xludf.DUMMYFUNCTION("""COMPUTED_VALUE"""),"마늘")</f>
        <v>마늘</v>
      </c>
    </row>
    <row r="16649">
      <c r="A16649" s="2" t="str">
        <f>IFERROR(__xludf.DUMMYFUNCTION("""COMPUTED_VALUE"""),"마라왕 복탁구")</f>
        <v>마라왕 복탁구</v>
      </c>
      <c r="B16649" s="2" t="str">
        <f>IFERROR(__xludf.DUMMYFUNCTION("""COMPUTED_VALUE"""),"간장")</f>
        <v>간장</v>
      </c>
    </row>
    <row r="16650">
      <c r="A16650" s="2" t="str">
        <f>IFERROR(__xludf.DUMMYFUNCTION("""COMPUTED_VALUE"""),"할리우드에서 미트볼을")</f>
        <v>할리우드에서 미트볼을</v>
      </c>
      <c r="B16650" s="2" t="str">
        <f>IFERROR(__xludf.DUMMYFUNCTION("""COMPUTED_VALUE"""),"소등심")</f>
        <v>소등심</v>
      </c>
    </row>
    <row r="16651">
      <c r="A16651" s="2" t="str">
        <f>IFERROR(__xludf.DUMMYFUNCTION("""COMPUTED_VALUE"""),"할리우드에서 미트볼을")</f>
        <v>할리우드에서 미트볼을</v>
      </c>
      <c r="B16651" s="2" t="str">
        <f>IFERROR(__xludf.DUMMYFUNCTION("""COMPUTED_VALUE"""),"드라이에이징 등심")</f>
        <v>드라이에이징 등심</v>
      </c>
    </row>
    <row r="16652">
      <c r="A16652" s="2" t="str">
        <f>IFERROR(__xludf.DUMMYFUNCTION("""COMPUTED_VALUE"""),"할리우드에서 미트볼을")</f>
        <v>할리우드에서 미트볼을</v>
      </c>
      <c r="B16652" s="2" t="str">
        <f>IFERROR(__xludf.DUMMYFUNCTION("""COMPUTED_VALUE"""),"소안심")</f>
        <v>소안심</v>
      </c>
    </row>
    <row r="16653">
      <c r="A16653" s="2" t="str">
        <f>IFERROR(__xludf.DUMMYFUNCTION("""COMPUTED_VALUE"""),"할리우드에서 미트볼을")</f>
        <v>할리우드에서 미트볼을</v>
      </c>
      <c r="B16653" s="2" t="str">
        <f>IFERROR(__xludf.DUMMYFUNCTION("""COMPUTED_VALUE"""),"바질가루")</f>
        <v>바질가루</v>
      </c>
    </row>
    <row r="16654">
      <c r="A16654" s="2" t="str">
        <f>IFERROR(__xludf.DUMMYFUNCTION("""COMPUTED_VALUE"""),"할리우드에서 미트볼을")</f>
        <v>할리우드에서 미트볼을</v>
      </c>
      <c r="B16654" s="2" t="str">
        <f>IFERROR(__xludf.DUMMYFUNCTION("""COMPUTED_VALUE"""),"크림파스타소스")</f>
        <v>크림파스타소스</v>
      </c>
    </row>
    <row r="16655">
      <c r="A16655" s="2" t="str">
        <f>IFERROR(__xludf.DUMMYFUNCTION("""COMPUTED_VALUE"""),"할리우드에서 미트볼을")</f>
        <v>할리우드에서 미트볼을</v>
      </c>
      <c r="B16655" s="2" t="str">
        <f>IFERROR(__xludf.DUMMYFUNCTION("""COMPUTED_VALUE"""),"리코타치즈 토마토소스")</f>
        <v>리코타치즈 토마토소스</v>
      </c>
    </row>
    <row r="16656">
      <c r="A16656" s="2" t="str">
        <f>IFERROR(__xludf.DUMMYFUNCTION("""COMPUTED_VALUE"""),"할리우드에서 미트볼을")</f>
        <v>할리우드에서 미트볼을</v>
      </c>
      <c r="B16656" s="2" t="str">
        <f>IFERROR(__xludf.DUMMYFUNCTION("""COMPUTED_VALUE"""),"체리토마토소스")</f>
        <v>체리토마토소스</v>
      </c>
    </row>
    <row r="16657">
      <c r="A16657" s="2" t="str">
        <f>IFERROR(__xludf.DUMMYFUNCTION("""COMPUTED_VALUE"""),"할리우드에서 미트볼을")</f>
        <v>할리우드에서 미트볼을</v>
      </c>
      <c r="B16657" s="2" t="str">
        <f>IFERROR(__xludf.DUMMYFUNCTION("""COMPUTED_VALUE"""),"스파게티면")</f>
        <v>스파게티면</v>
      </c>
    </row>
    <row r="16658">
      <c r="A16658" s="2" t="str">
        <f>IFERROR(__xludf.DUMMYFUNCTION("""COMPUTED_VALUE"""),"할리우드에서 미트볼을")</f>
        <v>할리우드에서 미트볼을</v>
      </c>
      <c r="B16658" s="2" t="str">
        <f>IFERROR(__xludf.DUMMYFUNCTION("""COMPUTED_VALUE"""),"그릴드치즈")</f>
        <v>그릴드치즈</v>
      </c>
    </row>
    <row r="16659">
      <c r="A16659" s="2" t="str">
        <f>IFERROR(__xludf.DUMMYFUNCTION("""COMPUTED_VALUE"""),"할리우드에서 미트볼을")</f>
        <v>할리우드에서 미트볼을</v>
      </c>
      <c r="B16659" s="2" t="str">
        <f>IFERROR(__xludf.DUMMYFUNCTION("""COMPUTED_VALUE"""),"화이트 체다치즈")</f>
        <v>화이트 체다치즈</v>
      </c>
    </row>
    <row r="16660">
      <c r="A16660" s="2" t="str">
        <f>IFERROR(__xludf.DUMMYFUNCTION("""COMPUTED_VALUE"""),"할리우드에서 미트볼을")</f>
        <v>할리우드에서 미트볼을</v>
      </c>
      <c r="B16660" s="2" t="str">
        <f>IFERROR(__xludf.DUMMYFUNCTION("""COMPUTED_VALUE"""),"스트링치즈")</f>
        <v>스트링치즈</v>
      </c>
    </row>
    <row r="16661">
      <c r="A16661" s="2" t="str">
        <f>IFERROR(__xludf.DUMMYFUNCTION("""COMPUTED_VALUE"""),"할리우드에서 미트볼을")</f>
        <v>할리우드에서 미트볼을</v>
      </c>
      <c r="B16661" s="2" t="str">
        <f>IFERROR(__xludf.DUMMYFUNCTION("""COMPUTED_VALUE"""),"베이컨")</f>
        <v>베이컨</v>
      </c>
    </row>
    <row r="16662">
      <c r="A16662" s="2" t="str">
        <f>IFERROR(__xludf.DUMMYFUNCTION("""COMPUTED_VALUE"""),"할리우드에서 미트볼을")</f>
        <v>할리우드에서 미트볼을</v>
      </c>
      <c r="B16662" s="2" t="str">
        <f>IFERROR(__xludf.DUMMYFUNCTION("""COMPUTED_VALUE"""),"아스파라거스")</f>
        <v>아스파라거스</v>
      </c>
    </row>
    <row r="16663">
      <c r="A16663" s="2" t="str">
        <f>IFERROR(__xludf.DUMMYFUNCTION("""COMPUTED_VALUE"""),"할리우드에서 미트볼을")</f>
        <v>할리우드에서 미트볼을</v>
      </c>
      <c r="B16663" s="2" t="str">
        <f>IFERROR(__xludf.DUMMYFUNCTION("""COMPUTED_VALUE"""),"살사소스")</f>
        <v>살사소스</v>
      </c>
    </row>
    <row r="16664">
      <c r="A16664" s="2" t="str">
        <f>IFERROR(__xludf.DUMMYFUNCTION("""COMPUTED_VALUE"""),"할리우드에서 미트볼을")</f>
        <v>할리우드에서 미트볼을</v>
      </c>
      <c r="B16664" s="2" t="str">
        <f>IFERROR(__xludf.DUMMYFUNCTION("""COMPUTED_VALUE"""),"홀그레인머스터드")</f>
        <v>홀그레인머스터드</v>
      </c>
    </row>
    <row r="16665">
      <c r="A16665" s="2" t="str">
        <f>IFERROR(__xludf.DUMMYFUNCTION("""COMPUTED_VALUE"""),"할리우드에서 미트볼을")</f>
        <v>할리우드에서 미트볼을</v>
      </c>
      <c r="B16665" s="2" t="str">
        <f>IFERROR(__xludf.DUMMYFUNCTION("""COMPUTED_VALUE"""),"열무김치")</f>
        <v>열무김치</v>
      </c>
    </row>
    <row r="16666">
      <c r="A16666" s="2" t="str">
        <f>IFERROR(__xludf.DUMMYFUNCTION("""COMPUTED_VALUE"""),"할리우드에서 미트볼을")</f>
        <v>할리우드에서 미트볼을</v>
      </c>
      <c r="B16666" s="2" t="str">
        <f>IFERROR(__xludf.DUMMYFUNCTION("""COMPUTED_VALUE"""),"비엔나소시지")</f>
        <v>비엔나소시지</v>
      </c>
    </row>
    <row r="16667">
      <c r="A16667" s="2" t="str">
        <f>IFERROR(__xludf.DUMMYFUNCTION("""COMPUTED_VALUE"""),"할리우드에서 미트볼을")</f>
        <v>할리우드에서 미트볼을</v>
      </c>
      <c r="B16667" s="2" t="str">
        <f>IFERROR(__xludf.DUMMYFUNCTION("""COMPUTED_VALUE"""),"다진마늘")</f>
        <v>다진마늘</v>
      </c>
    </row>
    <row r="16668">
      <c r="A16668" s="2" t="str">
        <f>IFERROR(__xludf.DUMMYFUNCTION("""COMPUTED_VALUE"""),"할리우드에서 미트볼을")</f>
        <v>할리우드에서 미트볼을</v>
      </c>
      <c r="B16668" s="2" t="str">
        <f>IFERROR(__xludf.DUMMYFUNCTION("""COMPUTED_VALUE"""),"후추")</f>
        <v>후추</v>
      </c>
    </row>
    <row r="16669">
      <c r="A16669" s="2" t="str">
        <f>IFERROR(__xludf.DUMMYFUNCTION("""COMPUTED_VALUE"""),"할리우드에서 미트볼을")</f>
        <v>할리우드에서 미트볼을</v>
      </c>
      <c r="B16669" s="2" t="str">
        <f>IFERROR(__xludf.DUMMYFUNCTION("""COMPUTED_VALUE"""),"부침가루")</f>
        <v>부침가루</v>
      </c>
    </row>
    <row r="16670">
      <c r="A16670" s="2" t="str">
        <f>IFERROR(__xludf.DUMMYFUNCTION("""COMPUTED_VALUE"""),"할리우드에서 미트볼을")</f>
        <v>할리우드에서 미트볼을</v>
      </c>
      <c r="B16670" s="2" t="str">
        <f>IFERROR(__xludf.DUMMYFUNCTION("""COMPUTED_VALUE"""),"양파")</f>
        <v>양파</v>
      </c>
    </row>
    <row r="16671">
      <c r="A16671" s="2" t="str">
        <f>IFERROR(__xludf.DUMMYFUNCTION("""COMPUTED_VALUE"""),"할리우드에서 미트볼을")</f>
        <v>할리우드에서 미트볼을</v>
      </c>
      <c r="B16671" s="2" t="str">
        <f>IFERROR(__xludf.DUMMYFUNCTION("""COMPUTED_VALUE"""),"마늘")</f>
        <v>마늘</v>
      </c>
    </row>
    <row r="16672">
      <c r="A16672" s="2" t="str">
        <f>IFERROR(__xludf.DUMMYFUNCTION("""COMPUTED_VALUE"""),"할리우드에서 미트볼을")</f>
        <v>할리우드에서 미트볼을</v>
      </c>
      <c r="B16672" s="2" t="str">
        <f>IFERROR(__xludf.DUMMYFUNCTION("""COMPUTED_VALUE"""),"올리브오일")</f>
        <v>올리브오일</v>
      </c>
    </row>
    <row r="16673">
      <c r="A16673" s="2" t="str">
        <f>IFERROR(__xludf.DUMMYFUNCTION("""COMPUTED_VALUE"""),"할리우드에서 미트볼을")</f>
        <v>할리우드에서 미트볼을</v>
      </c>
      <c r="B16673" s="2" t="str">
        <f>IFERROR(__xludf.DUMMYFUNCTION("""COMPUTED_VALUE"""),"간장")</f>
        <v>간장</v>
      </c>
    </row>
    <row r="16674">
      <c r="A16674" s="2" t="str">
        <f>IFERROR(__xludf.DUMMYFUNCTION("""COMPUTED_VALUE"""),"백 투 더 아메리카")</f>
        <v>백 투 더 아메리카</v>
      </c>
      <c r="B16674" s="2" t="str">
        <f>IFERROR(__xludf.DUMMYFUNCTION("""COMPUTED_VALUE"""),"소등심")</f>
        <v>소등심</v>
      </c>
    </row>
    <row r="16675">
      <c r="A16675" s="2" t="str">
        <f>IFERROR(__xludf.DUMMYFUNCTION("""COMPUTED_VALUE"""),"백 투 더 아메리카")</f>
        <v>백 투 더 아메리카</v>
      </c>
      <c r="B16675" s="2" t="str">
        <f>IFERROR(__xludf.DUMMYFUNCTION("""COMPUTED_VALUE"""),"소안심")</f>
        <v>소안심</v>
      </c>
    </row>
    <row r="16676">
      <c r="A16676" s="2" t="str">
        <f>IFERROR(__xludf.DUMMYFUNCTION("""COMPUTED_VALUE"""),"백 투 더 아메리카")</f>
        <v>백 투 더 아메리카</v>
      </c>
      <c r="B16676" s="2" t="str">
        <f>IFERROR(__xludf.DUMMYFUNCTION("""COMPUTED_VALUE"""),"베이컨")</f>
        <v>베이컨</v>
      </c>
    </row>
    <row r="16677">
      <c r="A16677" s="2" t="str">
        <f>IFERROR(__xludf.DUMMYFUNCTION("""COMPUTED_VALUE"""),"백 투 더 아메리카")</f>
        <v>백 투 더 아메리카</v>
      </c>
      <c r="B16677" s="2" t="str">
        <f>IFERROR(__xludf.DUMMYFUNCTION("""COMPUTED_VALUE"""),"바질가루")</f>
        <v>바질가루</v>
      </c>
    </row>
    <row r="16678">
      <c r="A16678" s="2" t="str">
        <f>IFERROR(__xludf.DUMMYFUNCTION("""COMPUTED_VALUE"""),"백 투 더 아메리카")</f>
        <v>백 투 더 아메리카</v>
      </c>
      <c r="B16678" s="2" t="str">
        <f>IFERROR(__xludf.DUMMYFUNCTION("""COMPUTED_VALUE"""),"베트남 간장")</f>
        <v>베트남 간장</v>
      </c>
    </row>
    <row r="16679">
      <c r="A16679" s="2" t="str">
        <f>IFERROR(__xludf.DUMMYFUNCTION("""COMPUTED_VALUE"""),"백 투 더 아메리카")</f>
        <v>백 투 더 아메리카</v>
      </c>
      <c r="B16679" s="2" t="str">
        <f>IFERROR(__xludf.DUMMYFUNCTION("""COMPUTED_VALUE"""),"홀그레인머스터드")</f>
        <v>홀그레인머스터드</v>
      </c>
    </row>
    <row r="16680">
      <c r="A16680" s="2" t="str">
        <f>IFERROR(__xludf.DUMMYFUNCTION("""COMPUTED_VALUE"""),"백 투 더 아메리카")</f>
        <v>백 투 더 아메리카</v>
      </c>
      <c r="B16680" s="2" t="str">
        <f>IFERROR(__xludf.DUMMYFUNCTION("""COMPUTED_VALUE"""),"목이버섯")</f>
        <v>목이버섯</v>
      </c>
    </row>
    <row r="16681">
      <c r="A16681" s="2" t="str">
        <f>IFERROR(__xludf.DUMMYFUNCTION("""COMPUTED_VALUE"""),"백 투 더 아메리카")</f>
        <v>백 투 더 아메리카</v>
      </c>
      <c r="B16681" s="2" t="str">
        <f>IFERROR(__xludf.DUMMYFUNCTION("""COMPUTED_VALUE"""),"체리토마토소스")</f>
        <v>체리토마토소스</v>
      </c>
    </row>
    <row r="16682">
      <c r="A16682" s="2" t="str">
        <f>IFERROR(__xludf.DUMMYFUNCTION("""COMPUTED_VALUE"""),"백 투 더 아메리카")</f>
        <v>백 투 더 아메리카</v>
      </c>
      <c r="B16682" s="2" t="str">
        <f>IFERROR(__xludf.DUMMYFUNCTION("""COMPUTED_VALUE"""),"인스턴트 삼계탕")</f>
        <v>인스턴트 삼계탕</v>
      </c>
    </row>
    <row r="16683">
      <c r="A16683" s="2" t="str">
        <f>IFERROR(__xludf.DUMMYFUNCTION("""COMPUTED_VALUE"""),"백 투 더 아메리카")</f>
        <v>백 투 더 아메리카</v>
      </c>
      <c r="B16683" s="2" t="str">
        <f>IFERROR(__xludf.DUMMYFUNCTION("""COMPUTED_VALUE"""),"크림파스타소스")</f>
        <v>크림파스타소스</v>
      </c>
    </row>
    <row r="16684">
      <c r="A16684" s="2" t="str">
        <f>IFERROR(__xludf.DUMMYFUNCTION("""COMPUTED_VALUE"""),"백 투 더 아메리카")</f>
        <v>백 투 더 아메리카</v>
      </c>
      <c r="B16684" s="2" t="str">
        <f>IFERROR(__xludf.DUMMYFUNCTION("""COMPUTED_VALUE"""),"토마토파스타소스")</f>
        <v>토마토파스타소스</v>
      </c>
    </row>
    <row r="16685">
      <c r="A16685" s="2" t="str">
        <f>IFERROR(__xludf.DUMMYFUNCTION("""COMPUTED_VALUE"""),"백 투 더 아메리카")</f>
        <v>백 투 더 아메리카</v>
      </c>
      <c r="B16685" s="2" t="str">
        <f>IFERROR(__xludf.DUMMYFUNCTION("""COMPUTED_VALUE"""),"파르펠레 면")</f>
        <v>파르펠레 면</v>
      </c>
    </row>
    <row r="16686">
      <c r="A16686" s="2" t="str">
        <f>IFERROR(__xludf.DUMMYFUNCTION("""COMPUTED_VALUE"""),"백 투 더 아메리카")</f>
        <v>백 투 더 아메리카</v>
      </c>
      <c r="B16686" s="2" t="str">
        <f>IFERROR(__xludf.DUMMYFUNCTION("""COMPUTED_VALUE"""),"우유")</f>
        <v>우유</v>
      </c>
    </row>
    <row r="16687">
      <c r="A16687" s="2" t="str">
        <f>IFERROR(__xludf.DUMMYFUNCTION("""COMPUTED_VALUE"""),"백 투 더 아메리카")</f>
        <v>백 투 더 아메리카</v>
      </c>
      <c r="B16687" s="2" t="str">
        <f>IFERROR(__xludf.DUMMYFUNCTION("""COMPUTED_VALUE"""),"아스파라거스")</f>
        <v>아스파라거스</v>
      </c>
    </row>
    <row r="16688">
      <c r="A16688" s="2" t="str">
        <f>IFERROR(__xludf.DUMMYFUNCTION("""COMPUTED_VALUE"""),"백 투 더 아메리카")</f>
        <v>백 투 더 아메리카</v>
      </c>
      <c r="B16688" s="2" t="str">
        <f>IFERROR(__xludf.DUMMYFUNCTION("""COMPUTED_VALUE"""),"그릴드치즈")</f>
        <v>그릴드치즈</v>
      </c>
    </row>
    <row r="16689">
      <c r="A16689" s="2" t="str">
        <f>IFERROR(__xludf.DUMMYFUNCTION("""COMPUTED_VALUE"""),"백 투 더 아메리카")</f>
        <v>백 투 더 아메리카</v>
      </c>
      <c r="B16689" s="2" t="str">
        <f>IFERROR(__xludf.DUMMYFUNCTION("""COMPUTED_VALUE"""),"화이트 체다치즈")</f>
        <v>화이트 체다치즈</v>
      </c>
    </row>
    <row r="16690">
      <c r="A16690" s="2" t="str">
        <f>IFERROR(__xludf.DUMMYFUNCTION("""COMPUTED_VALUE"""),"백 투 더 아메리카")</f>
        <v>백 투 더 아메리카</v>
      </c>
      <c r="B16690" s="2" t="str">
        <f>IFERROR(__xludf.DUMMYFUNCTION("""COMPUTED_VALUE"""),"스트링치즈")</f>
        <v>스트링치즈</v>
      </c>
    </row>
    <row r="16691">
      <c r="A16691" s="2" t="str">
        <f>IFERROR(__xludf.DUMMYFUNCTION("""COMPUTED_VALUE"""),"백 투 더 아메리카")</f>
        <v>백 투 더 아메리카</v>
      </c>
      <c r="B16691" s="2" t="str">
        <f>IFERROR(__xludf.DUMMYFUNCTION("""COMPUTED_VALUE"""),"올리브오일")</f>
        <v>올리브오일</v>
      </c>
    </row>
    <row r="16692">
      <c r="A16692" s="2" t="str">
        <f>IFERROR(__xludf.DUMMYFUNCTION("""COMPUTED_VALUE"""),"백 투 더 아메리카")</f>
        <v>백 투 더 아메리카</v>
      </c>
      <c r="B16692" s="2" t="str">
        <f>IFERROR(__xludf.DUMMYFUNCTION("""COMPUTED_VALUE"""),"양파")</f>
        <v>양파</v>
      </c>
    </row>
    <row r="16693">
      <c r="A16693" s="2" t="str">
        <f>IFERROR(__xludf.DUMMYFUNCTION("""COMPUTED_VALUE"""),"백 투 더 아메리카")</f>
        <v>백 투 더 아메리카</v>
      </c>
      <c r="B16693" s="2" t="str">
        <f>IFERROR(__xludf.DUMMYFUNCTION("""COMPUTED_VALUE"""),"버터")</f>
        <v>버터</v>
      </c>
    </row>
    <row r="16694">
      <c r="A16694" s="2" t="str">
        <f>IFERROR(__xludf.DUMMYFUNCTION("""COMPUTED_VALUE"""),"백 투 더 아메리카")</f>
        <v>백 투 더 아메리카</v>
      </c>
      <c r="B16694" s="2" t="str">
        <f>IFERROR(__xludf.DUMMYFUNCTION("""COMPUTED_VALUE"""),"청양고추")</f>
        <v>청양고추</v>
      </c>
    </row>
    <row r="16695">
      <c r="A16695" s="2" t="str">
        <f>IFERROR(__xludf.DUMMYFUNCTION("""COMPUTED_VALUE"""),"백 투 더 아메리카")</f>
        <v>백 투 더 아메리카</v>
      </c>
      <c r="B16695" s="2" t="str">
        <f>IFERROR(__xludf.DUMMYFUNCTION("""COMPUTED_VALUE"""),"소금")</f>
        <v>소금</v>
      </c>
    </row>
    <row r="16696">
      <c r="A16696" s="2" t="str">
        <f>IFERROR(__xludf.DUMMYFUNCTION("""COMPUTED_VALUE"""),"백 투 더 아메리카")</f>
        <v>백 투 더 아메리카</v>
      </c>
      <c r="B16696" s="2" t="str">
        <f>IFERROR(__xludf.DUMMYFUNCTION("""COMPUTED_VALUE"""),"달걀")</f>
        <v>달걀</v>
      </c>
    </row>
    <row r="16697">
      <c r="A16697" s="2" t="str">
        <f>IFERROR(__xludf.DUMMYFUNCTION("""COMPUTED_VALUE"""),"백 투 더 아메리카")</f>
        <v>백 투 더 아메리카</v>
      </c>
      <c r="B16697" s="2" t="str">
        <f>IFERROR(__xludf.DUMMYFUNCTION("""COMPUTED_VALUE"""),"밀가루")</f>
        <v>밀가루</v>
      </c>
    </row>
    <row r="16698">
      <c r="A16698" s="2" t="str">
        <f>IFERROR(__xludf.DUMMYFUNCTION("""COMPUTED_VALUE"""),"간장, 게 섰거라!")</f>
        <v>간장, 게 섰거라!</v>
      </c>
      <c r="B16698" s="2" t="str">
        <f>IFERROR(__xludf.DUMMYFUNCTION("""COMPUTED_VALUE"""),"꽃게")</f>
        <v>꽃게</v>
      </c>
    </row>
    <row r="16699">
      <c r="A16699" s="2" t="str">
        <f>IFERROR(__xludf.DUMMYFUNCTION("""COMPUTED_VALUE"""),"간장, 게 섰거라!")</f>
        <v>간장, 게 섰거라!</v>
      </c>
      <c r="B16699" s="2" t="str">
        <f>IFERROR(__xludf.DUMMYFUNCTION("""COMPUTED_VALUE"""),"소안심")</f>
        <v>소안심</v>
      </c>
    </row>
    <row r="16700">
      <c r="A16700" s="2" t="str">
        <f>IFERROR(__xludf.DUMMYFUNCTION("""COMPUTED_VALUE"""),"간장, 게 섰거라!")</f>
        <v>간장, 게 섰거라!</v>
      </c>
      <c r="B16700" s="2" t="str">
        <f>IFERROR(__xludf.DUMMYFUNCTION("""COMPUTED_VALUE"""),"전복")</f>
        <v>전복</v>
      </c>
    </row>
    <row r="16701">
      <c r="A16701" s="2" t="str">
        <f>IFERROR(__xludf.DUMMYFUNCTION("""COMPUTED_VALUE"""),"간장, 게 섰거라!")</f>
        <v>간장, 게 섰거라!</v>
      </c>
      <c r="B16701" s="2" t="str">
        <f>IFERROR(__xludf.DUMMYFUNCTION("""COMPUTED_VALUE"""),"감자")</f>
        <v>감자</v>
      </c>
    </row>
    <row r="16702">
      <c r="A16702" s="2" t="str">
        <f>IFERROR(__xludf.DUMMYFUNCTION("""COMPUTED_VALUE"""),"간장, 게 섰거라!")</f>
        <v>간장, 게 섰거라!</v>
      </c>
      <c r="B16702" s="2" t="str">
        <f>IFERROR(__xludf.DUMMYFUNCTION("""COMPUTED_VALUE"""),"반숙란")</f>
        <v>반숙란</v>
      </c>
    </row>
    <row r="16703">
      <c r="A16703" s="2" t="str">
        <f>IFERROR(__xludf.DUMMYFUNCTION("""COMPUTED_VALUE"""),"간장, 게 섰거라!")</f>
        <v>간장, 게 섰거라!</v>
      </c>
      <c r="B16703" s="2" t="str">
        <f>IFERROR(__xludf.DUMMYFUNCTION("""COMPUTED_VALUE"""),"아보카도")</f>
        <v>아보카도</v>
      </c>
    </row>
    <row r="16704">
      <c r="A16704" s="2" t="str">
        <f>IFERROR(__xludf.DUMMYFUNCTION("""COMPUTED_VALUE"""),"간장, 게 섰거라!")</f>
        <v>간장, 게 섰거라!</v>
      </c>
      <c r="B16704" s="2" t="str">
        <f>IFERROR(__xludf.DUMMYFUNCTION("""COMPUTED_VALUE"""),"고추장아찌")</f>
        <v>고추장아찌</v>
      </c>
    </row>
    <row r="16705">
      <c r="A16705" s="2" t="str">
        <f>IFERROR(__xludf.DUMMYFUNCTION("""COMPUTED_VALUE"""),"간장, 게 섰거라!")</f>
        <v>간장, 게 섰거라!</v>
      </c>
      <c r="B16705" s="2" t="str">
        <f>IFERROR(__xludf.DUMMYFUNCTION("""COMPUTED_VALUE"""),"쌀")</f>
        <v>쌀</v>
      </c>
    </row>
    <row r="16706">
      <c r="A16706" s="2" t="str">
        <f>IFERROR(__xludf.DUMMYFUNCTION("""COMPUTED_VALUE"""),"간장, 게 섰거라!")</f>
        <v>간장, 게 섰거라!</v>
      </c>
      <c r="B16706" s="2" t="str">
        <f>IFERROR(__xludf.DUMMYFUNCTION("""COMPUTED_VALUE"""),"올리브오일")</f>
        <v>올리브오일</v>
      </c>
    </row>
    <row r="16707">
      <c r="A16707" s="2" t="str">
        <f>IFERROR(__xludf.DUMMYFUNCTION("""COMPUTED_VALUE"""),"간장, 게 섰거라!")</f>
        <v>간장, 게 섰거라!</v>
      </c>
      <c r="B16707" s="2" t="str">
        <f>IFERROR(__xludf.DUMMYFUNCTION("""COMPUTED_VALUE"""),"양파")</f>
        <v>양파</v>
      </c>
    </row>
    <row r="16708">
      <c r="A16708" s="2" t="str">
        <f>IFERROR(__xludf.DUMMYFUNCTION("""COMPUTED_VALUE"""),"간장, 게 섰거라!")</f>
        <v>간장, 게 섰거라!</v>
      </c>
      <c r="B16708" s="2" t="str">
        <f>IFERROR(__xludf.DUMMYFUNCTION("""COMPUTED_VALUE"""),"당근")</f>
        <v>당근</v>
      </c>
    </row>
    <row r="16709">
      <c r="A16709" s="2" t="str">
        <f>IFERROR(__xludf.DUMMYFUNCTION("""COMPUTED_VALUE"""),"간장, 게 섰거라!")</f>
        <v>간장, 게 섰거라!</v>
      </c>
      <c r="B16709" s="2" t="str">
        <f>IFERROR(__xludf.DUMMYFUNCTION("""COMPUTED_VALUE"""),"설탕")</f>
        <v>설탕</v>
      </c>
    </row>
    <row r="16710">
      <c r="A16710" s="2" t="str">
        <f>IFERROR(__xludf.DUMMYFUNCTION("""COMPUTED_VALUE"""),"간장, 게 섰거라!")</f>
        <v>간장, 게 섰거라!</v>
      </c>
      <c r="B16710" s="2" t="str">
        <f>IFERROR(__xludf.DUMMYFUNCTION("""COMPUTED_VALUE"""),"청주")</f>
        <v>청주</v>
      </c>
    </row>
    <row r="16711">
      <c r="A16711" s="2" t="str">
        <f>IFERROR(__xludf.DUMMYFUNCTION("""COMPUTED_VALUE"""),"간장, 게 섰거라!")</f>
        <v>간장, 게 섰거라!</v>
      </c>
      <c r="B16711" s="2" t="str">
        <f>IFERROR(__xludf.DUMMYFUNCTION("""COMPUTED_VALUE"""),"맛술")</f>
        <v>맛술</v>
      </c>
    </row>
    <row r="16712">
      <c r="A16712" s="2" t="str">
        <f>IFERROR(__xludf.DUMMYFUNCTION("""COMPUTED_VALUE"""),"간장, 게 섰거라!")</f>
        <v>간장, 게 섰거라!</v>
      </c>
      <c r="B16712" s="2" t="str">
        <f>IFERROR(__xludf.DUMMYFUNCTION("""COMPUTED_VALUE"""),"간장")</f>
        <v>간장</v>
      </c>
    </row>
    <row r="16713">
      <c r="A16713" s="2" t="str">
        <f>IFERROR(__xludf.DUMMYFUNCTION("""COMPUTED_VALUE"""),"간장, 게 섰거라!")</f>
        <v>간장, 게 섰거라!</v>
      </c>
      <c r="B16713" s="2" t="str">
        <f>IFERROR(__xludf.DUMMYFUNCTION("""COMPUTED_VALUE"""),"후추")</f>
        <v>후추</v>
      </c>
    </row>
    <row r="16714">
      <c r="A16714" s="2" t="str">
        <f>IFERROR(__xludf.DUMMYFUNCTION("""COMPUTED_VALUE"""),"간장, 게 섰거라!")</f>
        <v>간장, 게 섰거라!</v>
      </c>
      <c r="B16714" s="2" t="str">
        <f>IFERROR(__xludf.DUMMYFUNCTION("""COMPUTED_VALUE"""),"버터")</f>
        <v>버터</v>
      </c>
    </row>
    <row r="16715">
      <c r="A16715" s="2" t="str">
        <f>IFERROR(__xludf.DUMMYFUNCTION("""COMPUTED_VALUE"""),"간장 보증수표")</f>
        <v>간장 보증수표</v>
      </c>
      <c r="B16715" s="2" t="str">
        <f>IFERROR(__xludf.DUMMYFUNCTION("""COMPUTED_VALUE"""),"무늬오징어")</f>
        <v>무늬오징어</v>
      </c>
    </row>
    <row r="16716">
      <c r="A16716" s="2" t="str">
        <f>IFERROR(__xludf.DUMMYFUNCTION("""COMPUTED_VALUE"""),"간장 보증수표")</f>
        <v>간장 보증수표</v>
      </c>
      <c r="B16716" s="2" t="str">
        <f>IFERROR(__xludf.DUMMYFUNCTION("""COMPUTED_VALUE"""),"전복")</f>
        <v>전복</v>
      </c>
    </row>
    <row r="16717">
      <c r="A16717" s="2" t="str">
        <f>IFERROR(__xludf.DUMMYFUNCTION("""COMPUTED_VALUE"""),"간장 보증수표")</f>
        <v>간장 보증수표</v>
      </c>
      <c r="B16717" s="2" t="str">
        <f>IFERROR(__xludf.DUMMYFUNCTION("""COMPUTED_VALUE"""),"새우")</f>
        <v>새우</v>
      </c>
    </row>
    <row r="16718">
      <c r="A16718" s="2" t="str">
        <f>IFERROR(__xludf.DUMMYFUNCTION("""COMPUTED_VALUE"""),"간장 보증수표")</f>
        <v>간장 보증수표</v>
      </c>
      <c r="B16718" s="2" t="str">
        <f>IFERROR(__xludf.DUMMYFUNCTION("""COMPUTED_VALUE"""),"목이버섯")</f>
        <v>목이버섯</v>
      </c>
    </row>
    <row r="16719">
      <c r="A16719" s="2" t="str">
        <f>IFERROR(__xludf.DUMMYFUNCTION("""COMPUTED_VALUE"""),"간장 보증수표")</f>
        <v>간장 보증수표</v>
      </c>
      <c r="B16719" s="2" t="str">
        <f>IFERROR(__xludf.DUMMYFUNCTION("""COMPUTED_VALUE"""),"백 목이버섯")</f>
        <v>백 목이버섯</v>
      </c>
    </row>
    <row r="16720">
      <c r="A16720" s="2" t="str">
        <f>IFERROR(__xludf.DUMMYFUNCTION("""COMPUTED_VALUE"""),"간장 보증수표")</f>
        <v>간장 보증수표</v>
      </c>
      <c r="B16720" s="2" t="str">
        <f>IFERROR(__xludf.DUMMYFUNCTION("""COMPUTED_VALUE"""),"애호박")</f>
        <v>애호박</v>
      </c>
    </row>
    <row r="16721">
      <c r="A16721" s="2" t="str">
        <f>IFERROR(__xludf.DUMMYFUNCTION("""COMPUTED_VALUE"""),"간장 보증수표")</f>
        <v>간장 보증수표</v>
      </c>
      <c r="B16721" s="2" t="str">
        <f>IFERROR(__xludf.DUMMYFUNCTION("""COMPUTED_VALUE"""),"아스파라거스")</f>
        <v>아스파라거스</v>
      </c>
    </row>
    <row r="16722">
      <c r="A16722" s="2" t="str">
        <f>IFERROR(__xludf.DUMMYFUNCTION("""COMPUTED_VALUE"""),"간장 보증수표")</f>
        <v>간장 보증수표</v>
      </c>
      <c r="B16722" s="2" t="str">
        <f>IFERROR(__xludf.DUMMYFUNCTION("""COMPUTED_VALUE"""),"불린 누룽지")</f>
        <v>불린 누룽지</v>
      </c>
    </row>
    <row r="16723">
      <c r="A16723" s="2" t="str">
        <f>IFERROR(__xludf.DUMMYFUNCTION("""COMPUTED_VALUE"""),"간장 보증수표")</f>
        <v>간장 보증수표</v>
      </c>
      <c r="B16723" s="2" t="str">
        <f>IFERROR(__xludf.DUMMYFUNCTION("""COMPUTED_VALUE"""),"브로콜리")</f>
        <v>브로콜리</v>
      </c>
    </row>
    <row r="16724">
      <c r="A16724" s="2" t="str">
        <f>IFERROR(__xludf.DUMMYFUNCTION("""COMPUTED_VALUE"""),"간장 보증수표")</f>
        <v>간장 보증수표</v>
      </c>
      <c r="B16724" s="2" t="str">
        <f>IFERROR(__xludf.DUMMYFUNCTION("""COMPUTED_VALUE"""),"표고버섯")</f>
        <v>표고버섯</v>
      </c>
    </row>
    <row r="16725">
      <c r="A16725" s="2" t="str">
        <f>IFERROR(__xludf.DUMMYFUNCTION("""COMPUTED_VALUE"""),"간장 보증수표")</f>
        <v>간장 보증수표</v>
      </c>
      <c r="B16725" s="2" t="str">
        <f>IFERROR(__xludf.DUMMYFUNCTION("""COMPUTED_VALUE"""),"우유")</f>
        <v>우유</v>
      </c>
    </row>
    <row r="16726">
      <c r="A16726" s="2" t="str">
        <f>IFERROR(__xludf.DUMMYFUNCTION("""COMPUTED_VALUE"""),"간장 보증수표")</f>
        <v>간장 보증수표</v>
      </c>
      <c r="B16726" s="2" t="str">
        <f>IFERROR(__xludf.DUMMYFUNCTION("""COMPUTED_VALUE"""),"화이트 체다치즈")</f>
        <v>화이트 체다치즈</v>
      </c>
    </row>
    <row r="16727">
      <c r="A16727" s="2" t="str">
        <f>IFERROR(__xludf.DUMMYFUNCTION("""COMPUTED_VALUE"""),"간장 보증수표")</f>
        <v>간장 보증수표</v>
      </c>
      <c r="B16727" s="2" t="str">
        <f>IFERROR(__xludf.DUMMYFUNCTION("""COMPUTED_VALUE"""),"베이컨")</f>
        <v>베이컨</v>
      </c>
    </row>
    <row r="16728">
      <c r="A16728" s="2" t="str">
        <f>IFERROR(__xludf.DUMMYFUNCTION("""COMPUTED_VALUE"""),"간장 보증수표")</f>
        <v>간장 보증수표</v>
      </c>
      <c r="B16728" s="2" t="str">
        <f>IFERROR(__xludf.DUMMYFUNCTION("""COMPUTED_VALUE"""),"버터")</f>
        <v>버터</v>
      </c>
    </row>
    <row r="16729">
      <c r="A16729" s="2" t="str">
        <f>IFERROR(__xludf.DUMMYFUNCTION("""COMPUTED_VALUE"""),"간장 보증수표")</f>
        <v>간장 보증수표</v>
      </c>
      <c r="B16729" s="2" t="str">
        <f>IFERROR(__xludf.DUMMYFUNCTION("""COMPUTED_VALUE"""),"밀가루")</f>
        <v>밀가루</v>
      </c>
    </row>
    <row r="16730">
      <c r="A16730" s="2" t="str">
        <f>IFERROR(__xludf.DUMMYFUNCTION("""COMPUTED_VALUE"""),"간장 보증수표")</f>
        <v>간장 보증수표</v>
      </c>
      <c r="B16730" s="2" t="str">
        <f>IFERROR(__xludf.DUMMYFUNCTION("""COMPUTED_VALUE"""),"마늘")</f>
        <v>마늘</v>
      </c>
    </row>
    <row r="16731">
      <c r="A16731" s="2" t="str">
        <f>IFERROR(__xludf.DUMMYFUNCTION("""COMPUTED_VALUE"""),"간장 보증수표")</f>
        <v>간장 보증수표</v>
      </c>
      <c r="B16731" s="2" t="str">
        <f>IFERROR(__xludf.DUMMYFUNCTION("""COMPUTED_VALUE"""),"맛술")</f>
        <v>맛술</v>
      </c>
    </row>
    <row r="16732">
      <c r="A16732" s="2" t="str">
        <f>IFERROR(__xludf.DUMMYFUNCTION("""COMPUTED_VALUE"""),"간장 보증수표")</f>
        <v>간장 보증수표</v>
      </c>
      <c r="B16732" s="2" t="str">
        <f>IFERROR(__xludf.DUMMYFUNCTION("""COMPUTED_VALUE"""),"간장")</f>
        <v>간장</v>
      </c>
    </row>
    <row r="16733">
      <c r="A16733" s="2" t="str">
        <f>IFERROR(__xludf.DUMMYFUNCTION("""COMPUTED_VALUE"""),"간장 보증수표")</f>
        <v>간장 보증수표</v>
      </c>
      <c r="B16733" s="2" t="str">
        <f>IFERROR(__xludf.DUMMYFUNCTION("""COMPUTED_VALUE"""),"후추")</f>
        <v>후추</v>
      </c>
    </row>
    <row r="16734">
      <c r="A16734" s="2" t="str">
        <f>IFERROR(__xludf.DUMMYFUNCTION("""COMPUTED_VALUE"""),"복고풍 샐러드")</f>
        <v>복고풍 샐러드</v>
      </c>
      <c r="B16734" s="2" t="str">
        <f>IFERROR(__xludf.DUMMYFUNCTION("""COMPUTED_VALUE"""),"인스턴트 핫도그")</f>
        <v>인스턴트 핫도그</v>
      </c>
    </row>
    <row r="16735">
      <c r="A16735" s="2" t="str">
        <f>IFERROR(__xludf.DUMMYFUNCTION("""COMPUTED_VALUE"""),"복고풍 샐러드")</f>
        <v>복고풍 샐러드</v>
      </c>
      <c r="B16735" s="2" t="str">
        <f>IFERROR(__xludf.DUMMYFUNCTION("""COMPUTED_VALUE"""),"닭가슴살 패티")</f>
        <v>닭가슴살 패티</v>
      </c>
    </row>
    <row r="16736">
      <c r="A16736" s="2" t="str">
        <f>IFERROR(__xludf.DUMMYFUNCTION("""COMPUTED_VALUE"""),"복고풍 샐러드")</f>
        <v>복고풍 샐러드</v>
      </c>
      <c r="B16736" s="2" t="str">
        <f>IFERROR(__xludf.DUMMYFUNCTION("""COMPUTED_VALUE"""),"슬라이스 치즈")</f>
        <v>슬라이스 치즈</v>
      </c>
    </row>
    <row r="16737">
      <c r="A16737" s="2" t="str">
        <f>IFERROR(__xludf.DUMMYFUNCTION("""COMPUTED_VALUE"""),"복고풍 샐러드")</f>
        <v>복고풍 샐러드</v>
      </c>
      <c r="B16737" s="2" t="str">
        <f>IFERROR(__xludf.DUMMYFUNCTION("""COMPUTED_VALUE"""),"모차렐라 치즈")</f>
        <v>모차렐라 치즈</v>
      </c>
    </row>
    <row r="16738">
      <c r="A16738" s="2" t="str">
        <f>IFERROR(__xludf.DUMMYFUNCTION("""COMPUTED_VALUE"""),"복고풍 샐러드")</f>
        <v>복고풍 샐러드</v>
      </c>
      <c r="B16738" s="2" t="str">
        <f>IFERROR(__xludf.DUMMYFUNCTION("""COMPUTED_VALUE"""),"인스턴트 미니핫도그")</f>
        <v>인스턴트 미니핫도그</v>
      </c>
    </row>
    <row r="16739">
      <c r="A16739" s="2" t="str">
        <f>IFERROR(__xludf.DUMMYFUNCTION("""COMPUTED_VALUE"""),"복고풍 샐러드")</f>
        <v>복고풍 샐러드</v>
      </c>
      <c r="B16739" s="2" t="str">
        <f>IFERROR(__xludf.DUMMYFUNCTION("""COMPUTED_VALUE"""),"훈제오리")</f>
        <v>훈제오리</v>
      </c>
    </row>
    <row r="16740">
      <c r="A16740" s="2" t="str">
        <f>IFERROR(__xludf.DUMMYFUNCTION("""COMPUTED_VALUE"""),"복고풍 샐러드")</f>
        <v>복고풍 샐러드</v>
      </c>
      <c r="B16740" s="2" t="str">
        <f>IFERROR(__xludf.DUMMYFUNCTION("""COMPUTED_VALUE"""),"무화과잼")</f>
        <v>무화과잼</v>
      </c>
    </row>
    <row r="16741">
      <c r="A16741" s="2" t="str">
        <f>IFERROR(__xludf.DUMMYFUNCTION("""COMPUTED_VALUE"""),"복고풍 샐러드")</f>
        <v>복고풍 샐러드</v>
      </c>
      <c r="B16741" s="2" t="str">
        <f>IFERROR(__xludf.DUMMYFUNCTION("""COMPUTED_VALUE"""),"오이")</f>
        <v>오이</v>
      </c>
    </row>
    <row r="16742">
      <c r="A16742" s="2" t="str">
        <f>IFERROR(__xludf.DUMMYFUNCTION("""COMPUTED_VALUE"""),"복고풍 샐러드")</f>
        <v>복고풍 샐러드</v>
      </c>
      <c r="B16742" s="2" t="str">
        <f>IFERROR(__xludf.DUMMYFUNCTION("""COMPUTED_VALUE"""),"로메인")</f>
        <v>로메인</v>
      </c>
    </row>
    <row r="16743">
      <c r="A16743" s="2" t="str">
        <f>IFERROR(__xludf.DUMMYFUNCTION("""COMPUTED_VALUE"""),"복고풍 샐러드")</f>
        <v>복고풍 샐러드</v>
      </c>
      <c r="B16743" s="2" t="str">
        <f>IFERROR(__xludf.DUMMYFUNCTION("""COMPUTED_VALUE"""),"사과")</f>
        <v>사과</v>
      </c>
    </row>
    <row r="16744">
      <c r="A16744" s="2" t="str">
        <f>IFERROR(__xludf.DUMMYFUNCTION("""COMPUTED_VALUE"""),"복고풍 샐러드")</f>
        <v>복고풍 샐러드</v>
      </c>
      <c r="B16744" s="2" t="str">
        <f>IFERROR(__xludf.DUMMYFUNCTION("""COMPUTED_VALUE"""),"우유")</f>
        <v>우유</v>
      </c>
    </row>
    <row r="16745">
      <c r="A16745" s="2" t="str">
        <f>IFERROR(__xludf.DUMMYFUNCTION("""COMPUTED_VALUE"""),"복고풍 샐러드")</f>
        <v>복고풍 샐러드</v>
      </c>
      <c r="B16745" s="2" t="str">
        <f>IFERROR(__xludf.DUMMYFUNCTION("""COMPUTED_VALUE"""),"청포도")</f>
        <v>청포도</v>
      </c>
    </row>
    <row r="16746">
      <c r="A16746" s="2" t="str">
        <f>IFERROR(__xludf.DUMMYFUNCTION("""COMPUTED_VALUE"""),"복고풍 샐러드")</f>
        <v>복고풍 샐러드</v>
      </c>
      <c r="B16746" s="2" t="str">
        <f>IFERROR(__xludf.DUMMYFUNCTION("""COMPUTED_VALUE"""),"소다맛 아이스크림")</f>
        <v>소다맛 아이스크림</v>
      </c>
    </row>
    <row r="16747">
      <c r="A16747" s="2" t="str">
        <f>IFERROR(__xludf.DUMMYFUNCTION("""COMPUTED_VALUE"""),"복고풍 샐러드")</f>
        <v>복고풍 샐러드</v>
      </c>
      <c r="B16747" s="2" t="str">
        <f>IFERROR(__xludf.DUMMYFUNCTION("""COMPUTED_VALUE"""),"딸기맛 아이스크림")</f>
        <v>딸기맛 아이스크림</v>
      </c>
    </row>
    <row r="16748">
      <c r="A16748" s="2" t="str">
        <f>IFERROR(__xludf.DUMMYFUNCTION("""COMPUTED_VALUE"""),"복고풍 샐러드")</f>
        <v>복고풍 샐러드</v>
      </c>
      <c r="B16748" s="2" t="str">
        <f>IFERROR(__xludf.DUMMYFUNCTION("""COMPUTED_VALUE"""),"딸기")</f>
        <v>딸기</v>
      </c>
    </row>
    <row r="16749">
      <c r="A16749" s="2" t="str">
        <f>IFERROR(__xludf.DUMMYFUNCTION("""COMPUTED_VALUE"""),"복고풍 샐러드")</f>
        <v>복고풍 샐러드</v>
      </c>
      <c r="B16749" s="2" t="str">
        <f>IFERROR(__xludf.DUMMYFUNCTION("""COMPUTED_VALUE"""),"달걀")</f>
        <v>달걀</v>
      </c>
    </row>
    <row r="16750">
      <c r="A16750" s="2" t="str">
        <f>IFERROR(__xludf.DUMMYFUNCTION("""COMPUTED_VALUE"""),"복고풍 샐러드")</f>
        <v>복고풍 샐러드</v>
      </c>
      <c r="B16750" s="2" t="str">
        <f>IFERROR(__xludf.DUMMYFUNCTION("""COMPUTED_VALUE"""),"소금")</f>
        <v>소금</v>
      </c>
    </row>
    <row r="16751">
      <c r="A16751" s="2" t="str">
        <f>IFERROR(__xludf.DUMMYFUNCTION("""COMPUTED_VALUE"""),"복고풍 샐러드")</f>
        <v>복고풍 샐러드</v>
      </c>
      <c r="B16751" s="2" t="str">
        <f>IFERROR(__xludf.DUMMYFUNCTION("""COMPUTED_VALUE"""),"식초")</f>
        <v>식초</v>
      </c>
    </row>
    <row r="16752">
      <c r="A16752" s="2" t="str">
        <f>IFERROR(__xludf.DUMMYFUNCTION("""COMPUTED_VALUE"""),"복고풍 샐러드")</f>
        <v>복고풍 샐러드</v>
      </c>
      <c r="B16752" s="2" t="str">
        <f>IFERROR(__xludf.DUMMYFUNCTION("""COMPUTED_VALUE"""),"양파")</f>
        <v>양파</v>
      </c>
    </row>
    <row r="16753">
      <c r="A16753" s="2" t="str">
        <f>IFERROR(__xludf.DUMMYFUNCTION("""COMPUTED_VALUE"""),"복고풍 샐러드")</f>
        <v>복고풍 샐러드</v>
      </c>
      <c r="B16753" s="2" t="str">
        <f>IFERROR(__xludf.DUMMYFUNCTION("""COMPUTED_VALUE"""),"다진마늘")</f>
        <v>다진마늘</v>
      </c>
    </row>
    <row r="16754">
      <c r="A16754" s="2" t="str">
        <f>IFERROR(__xludf.DUMMYFUNCTION("""COMPUTED_VALUE"""),"복고풍 샐러드")</f>
        <v>복고풍 샐러드</v>
      </c>
      <c r="B16754" s="2" t="str">
        <f>IFERROR(__xludf.DUMMYFUNCTION("""COMPUTED_VALUE"""),"버터")</f>
        <v>버터</v>
      </c>
    </row>
    <row r="16755">
      <c r="A16755" s="2" t="str">
        <f>IFERROR(__xludf.DUMMYFUNCTION("""COMPUTED_VALUE"""),"복고풍 샐러드")</f>
        <v>복고풍 샐러드</v>
      </c>
      <c r="B16755" s="2" t="str">
        <f>IFERROR(__xludf.DUMMYFUNCTION("""COMPUTED_VALUE"""),"연겨자")</f>
        <v>연겨자</v>
      </c>
    </row>
    <row r="16756">
      <c r="A16756" s="2" t="str">
        <f>IFERROR(__xludf.DUMMYFUNCTION("""COMPUTED_VALUE"""),"복고풍 샐러드")</f>
        <v>복고풍 샐러드</v>
      </c>
      <c r="B16756" s="2" t="str">
        <f>IFERROR(__xludf.DUMMYFUNCTION("""COMPUTED_VALUE"""),"물엿")</f>
        <v>물엿</v>
      </c>
    </row>
    <row r="16757">
      <c r="A16757" s="2" t="str">
        <f>IFERROR(__xludf.DUMMYFUNCTION("""COMPUTED_VALUE"""),"복고풍 샐러드")</f>
        <v>복고풍 샐러드</v>
      </c>
      <c r="B16757" s="2" t="str">
        <f>IFERROR(__xludf.DUMMYFUNCTION("""COMPUTED_VALUE"""),"설탕")</f>
        <v>설탕</v>
      </c>
    </row>
    <row r="16758">
      <c r="A16758" s="2" t="str">
        <f>IFERROR(__xludf.DUMMYFUNCTION("""COMPUTED_VALUE"""),"이연복Go 연복Go♬")</f>
        <v>이연복Go 연복Go♬</v>
      </c>
      <c r="B16758" s="2" t="str">
        <f>IFERROR(__xludf.DUMMYFUNCTION("""COMPUTED_VALUE"""),"삼겹살")</f>
        <v>삼겹살</v>
      </c>
    </row>
    <row r="16759">
      <c r="A16759" s="2" t="str">
        <f>IFERROR(__xludf.DUMMYFUNCTION("""COMPUTED_VALUE"""),"이연복Go 연복Go♬")</f>
        <v>이연복Go 연복Go♬</v>
      </c>
      <c r="B16759" s="2" t="str">
        <f>IFERROR(__xludf.DUMMYFUNCTION("""COMPUTED_VALUE"""),"돈가스소스")</f>
        <v>돈가스소스</v>
      </c>
    </row>
    <row r="16760">
      <c r="A16760" s="2" t="str">
        <f>IFERROR(__xludf.DUMMYFUNCTION("""COMPUTED_VALUE"""),"이연복Go 연복Go♬")</f>
        <v>이연복Go 연복Go♬</v>
      </c>
      <c r="B16760" s="2" t="str">
        <f>IFERROR(__xludf.DUMMYFUNCTION("""COMPUTED_VALUE"""),"굴소스")</f>
        <v>굴소스</v>
      </c>
    </row>
    <row r="16761">
      <c r="A16761" s="2" t="str">
        <f>IFERROR(__xludf.DUMMYFUNCTION("""COMPUTED_VALUE"""),"이연복Go 연복Go♬")</f>
        <v>이연복Go 연복Go♬</v>
      </c>
      <c r="B16761" s="2" t="str">
        <f>IFERROR(__xludf.DUMMYFUNCTION("""COMPUTED_VALUE"""),"새우살")</f>
        <v>새우살</v>
      </c>
    </row>
    <row r="16762">
      <c r="A16762" s="2" t="str">
        <f>IFERROR(__xludf.DUMMYFUNCTION("""COMPUTED_VALUE"""),"이연복Go 연복Go♬")</f>
        <v>이연복Go 연복Go♬</v>
      </c>
      <c r="B16762" s="2" t="str">
        <f>IFERROR(__xludf.DUMMYFUNCTION("""COMPUTED_VALUE"""),"오이")</f>
        <v>오이</v>
      </c>
    </row>
    <row r="16763">
      <c r="A16763" s="2" t="str">
        <f>IFERROR(__xludf.DUMMYFUNCTION("""COMPUTED_VALUE"""),"이연복Go 연복Go♬")</f>
        <v>이연복Go 연복Go♬</v>
      </c>
      <c r="B16763" s="2" t="str">
        <f>IFERROR(__xludf.DUMMYFUNCTION("""COMPUTED_VALUE"""),"로메인")</f>
        <v>로메인</v>
      </c>
    </row>
    <row r="16764">
      <c r="A16764" s="2" t="str">
        <f>IFERROR(__xludf.DUMMYFUNCTION("""COMPUTED_VALUE"""),"이연복Go 연복Go♬")</f>
        <v>이연복Go 연복Go♬</v>
      </c>
      <c r="B16764" s="2" t="str">
        <f>IFERROR(__xludf.DUMMYFUNCTION("""COMPUTED_VALUE"""),"전분")</f>
        <v>전분</v>
      </c>
    </row>
    <row r="16765">
      <c r="A16765" s="2" t="str">
        <f>IFERROR(__xludf.DUMMYFUNCTION("""COMPUTED_VALUE"""),"이연복Go 연복Go♬")</f>
        <v>이연복Go 연복Go♬</v>
      </c>
      <c r="B16765" s="2" t="str">
        <f>IFERROR(__xludf.DUMMYFUNCTION("""COMPUTED_VALUE"""),"달걀")</f>
        <v>달걀</v>
      </c>
    </row>
    <row r="16766">
      <c r="A16766" s="2" t="str">
        <f>IFERROR(__xludf.DUMMYFUNCTION("""COMPUTED_VALUE"""),"이연복Go 연복Go♬")</f>
        <v>이연복Go 연복Go♬</v>
      </c>
      <c r="B16766" s="2" t="str">
        <f>IFERROR(__xludf.DUMMYFUNCTION("""COMPUTED_VALUE"""),"소금")</f>
        <v>소금</v>
      </c>
    </row>
    <row r="16767">
      <c r="A16767" s="2" t="str">
        <f>IFERROR(__xludf.DUMMYFUNCTION("""COMPUTED_VALUE"""),"이연복Go 연복Go♬")</f>
        <v>이연복Go 연복Go♬</v>
      </c>
      <c r="B16767" s="2" t="str">
        <f>IFERROR(__xludf.DUMMYFUNCTION("""COMPUTED_VALUE"""),"양파")</f>
        <v>양파</v>
      </c>
    </row>
    <row r="16768">
      <c r="A16768" s="2" t="str">
        <f>IFERROR(__xludf.DUMMYFUNCTION("""COMPUTED_VALUE"""),"이연복Go 연복Go♬")</f>
        <v>이연복Go 연복Go♬</v>
      </c>
      <c r="B16768" s="2" t="str">
        <f>IFERROR(__xludf.DUMMYFUNCTION("""COMPUTED_VALUE"""),"당근")</f>
        <v>당근</v>
      </c>
    </row>
    <row r="16769">
      <c r="A16769" s="2" t="str">
        <f>IFERROR(__xludf.DUMMYFUNCTION("""COMPUTED_VALUE"""),"이연복Go 연복Go♬")</f>
        <v>이연복Go 연복Go♬</v>
      </c>
      <c r="B16769" s="2" t="str">
        <f>IFERROR(__xludf.DUMMYFUNCTION("""COMPUTED_VALUE"""),"튀김가루")</f>
        <v>튀김가루</v>
      </c>
    </row>
    <row r="16770">
      <c r="A16770" s="2" t="str">
        <f>IFERROR(__xludf.DUMMYFUNCTION("""COMPUTED_VALUE"""),"이연복Go 연복Go♬")</f>
        <v>이연복Go 연복Go♬</v>
      </c>
      <c r="B16770" s="2" t="str">
        <f>IFERROR(__xludf.DUMMYFUNCTION("""COMPUTED_VALUE"""),"대파")</f>
        <v>대파</v>
      </c>
    </row>
    <row r="16771">
      <c r="A16771" s="2" t="str">
        <f>IFERROR(__xludf.DUMMYFUNCTION("""COMPUTED_VALUE"""),"이연복Go 연복Go♬")</f>
        <v>이연복Go 연복Go♬</v>
      </c>
      <c r="B16771" s="2" t="str">
        <f>IFERROR(__xludf.DUMMYFUNCTION("""COMPUTED_VALUE"""),"즉석밥")</f>
        <v>즉석밥</v>
      </c>
    </row>
    <row r="16772">
      <c r="A16772" s="2" t="str">
        <f>IFERROR(__xludf.DUMMYFUNCTION("""COMPUTED_VALUE"""),"이연복Go 연복Go♬")</f>
        <v>이연복Go 연복Go♬</v>
      </c>
      <c r="B16772" s="2" t="str">
        <f>IFERROR(__xludf.DUMMYFUNCTION("""COMPUTED_VALUE"""),"케첩")</f>
        <v>케첩</v>
      </c>
    </row>
    <row r="16773">
      <c r="A16773" s="2" t="str">
        <f>IFERROR(__xludf.DUMMYFUNCTION("""COMPUTED_VALUE"""),"이연복Go 연복Go♬")</f>
        <v>이연복Go 연복Go♬</v>
      </c>
      <c r="B16773" s="2" t="str">
        <f>IFERROR(__xludf.DUMMYFUNCTION("""COMPUTED_VALUE"""),"마요네즈")</f>
        <v>마요네즈</v>
      </c>
    </row>
    <row r="16774">
      <c r="A16774" s="2" t="str">
        <f>IFERROR(__xludf.DUMMYFUNCTION("""COMPUTED_VALUE"""),"장칼국수는 장난이 아니야♬")</f>
        <v>장칼국수는 장난이 아니야♬</v>
      </c>
      <c r="B16774" s="2" t="str">
        <f>IFERROR(__xludf.DUMMYFUNCTION("""COMPUTED_VALUE"""),"취나물")</f>
        <v>취나물</v>
      </c>
    </row>
    <row r="16775">
      <c r="A16775" s="2" t="str">
        <f>IFERROR(__xludf.DUMMYFUNCTION("""COMPUTED_VALUE"""),"장칼국수는 장난이 아니야♬")</f>
        <v>장칼국수는 장난이 아니야♬</v>
      </c>
      <c r="B16775" s="2" t="str">
        <f>IFERROR(__xludf.DUMMYFUNCTION("""COMPUTED_VALUE"""),"루콜라")</f>
        <v>루콜라</v>
      </c>
    </row>
    <row r="16776">
      <c r="A16776" s="2" t="str">
        <f>IFERROR(__xludf.DUMMYFUNCTION("""COMPUTED_VALUE"""),"장칼국수는 장난이 아니야♬")</f>
        <v>장칼국수는 장난이 아니야♬</v>
      </c>
      <c r="B16776" s="2" t="str">
        <f>IFERROR(__xludf.DUMMYFUNCTION("""COMPUTED_VALUE"""),"시래기")</f>
        <v>시래기</v>
      </c>
    </row>
    <row r="16777">
      <c r="A16777" s="2" t="str">
        <f>IFERROR(__xludf.DUMMYFUNCTION("""COMPUTED_VALUE"""),"장칼국수는 장난이 아니야♬")</f>
        <v>장칼국수는 장난이 아니야♬</v>
      </c>
      <c r="B16777" s="2" t="str">
        <f>IFERROR(__xludf.DUMMYFUNCTION("""COMPUTED_VALUE"""),"감자")</f>
        <v>감자</v>
      </c>
    </row>
    <row r="16778">
      <c r="A16778" s="2" t="str">
        <f>IFERROR(__xludf.DUMMYFUNCTION("""COMPUTED_VALUE"""),"장칼국수는 장난이 아니야♬")</f>
        <v>장칼국수는 장난이 아니야♬</v>
      </c>
      <c r="B16778" s="2" t="str">
        <f>IFERROR(__xludf.DUMMYFUNCTION("""COMPUTED_VALUE"""),"건표고버섯")</f>
        <v>건표고버섯</v>
      </c>
    </row>
    <row r="16779">
      <c r="A16779" s="2" t="str">
        <f>IFERROR(__xludf.DUMMYFUNCTION("""COMPUTED_VALUE"""),"장칼국수는 장난이 아니야♬")</f>
        <v>장칼국수는 장난이 아니야♬</v>
      </c>
      <c r="B16779" s="2" t="str">
        <f>IFERROR(__xludf.DUMMYFUNCTION("""COMPUTED_VALUE"""),"국물용 멸치")</f>
        <v>국물용 멸치</v>
      </c>
    </row>
    <row r="16780">
      <c r="A16780" s="2" t="str">
        <f>IFERROR(__xludf.DUMMYFUNCTION("""COMPUTED_VALUE"""),"장칼국수는 장난이 아니야♬")</f>
        <v>장칼국수는 장난이 아니야♬</v>
      </c>
      <c r="B16780" s="2" t="str">
        <f>IFERROR(__xludf.DUMMYFUNCTION("""COMPUTED_VALUE"""),"무")</f>
        <v>무</v>
      </c>
    </row>
    <row r="16781">
      <c r="A16781" s="2" t="str">
        <f>IFERROR(__xludf.DUMMYFUNCTION("""COMPUTED_VALUE"""),"장칼국수는 장난이 아니야♬")</f>
        <v>장칼국수는 장난이 아니야♬</v>
      </c>
      <c r="B16781" s="2" t="str">
        <f>IFERROR(__xludf.DUMMYFUNCTION("""COMPUTED_VALUE"""),"건새우")</f>
        <v>건새우</v>
      </c>
    </row>
    <row r="16782">
      <c r="A16782" s="2" t="str">
        <f>IFERROR(__xludf.DUMMYFUNCTION("""COMPUTED_VALUE"""),"장칼국수는 장난이 아니야♬")</f>
        <v>장칼국수는 장난이 아니야♬</v>
      </c>
      <c r="B16782" s="2" t="str">
        <f>IFERROR(__xludf.DUMMYFUNCTION("""COMPUTED_VALUE"""),"다시마")</f>
        <v>다시마</v>
      </c>
    </row>
    <row r="16783">
      <c r="A16783" s="2" t="str">
        <f>IFERROR(__xludf.DUMMYFUNCTION("""COMPUTED_VALUE"""),"장칼국수는 장난이 아니야♬")</f>
        <v>장칼국수는 장난이 아니야♬</v>
      </c>
      <c r="B16783" s="2" t="str">
        <f>IFERROR(__xludf.DUMMYFUNCTION("""COMPUTED_VALUE"""),"열무김치")</f>
        <v>열무김치</v>
      </c>
    </row>
    <row r="16784">
      <c r="A16784" s="2" t="str">
        <f>IFERROR(__xludf.DUMMYFUNCTION("""COMPUTED_VALUE"""),"장칼국수는 장난이 아니야♬")</f>
        <v>장칼국수는 장난이 아니야♬</v>
      </c>
      <c r="B16784" s="2" t="str">
        <f>IFERROR(__xludf.DUMMYFUNCTION("""COMPUTED_VALUE"""),"바지락살. 된장")</f>
        <v>바지락살. 된장</v>
      </c>
    </row>
    <row r="16785">
      <c r="A16785" s="2" t="str">
        <f>IFERROR(__xludf.DUMMYFUNCTION("""COMPUTED_VALUE"""),"장칼국수는 장난이 아니야♬")</f>
        <v>장칼국수는 장난이 아니야♬</v>
      </c>
      <c r="B16785" s="2" t="str">
        <f>IFERROR(__xludf.DUMMYFUNCTION("""COMPUTED_VALUE"""),"참기름")</f>
        <v>참기름</v>
      </c>
    </row>
    <row r="16786">
      <c r="A16786" s="2" t="str">
        <f>IFERROR(__xludf.DUMMYFUNCTION("""COMPUTED_VALUE"""),"장칼국수는 장난이 아니야♬")</f>
        <v>장칼국수는 장난이 아니야♬</v>
      </c>
      <c r="B16786" s="2" t="str">
        <f>IFERROR(__xludf.DUMMYFUNCTION("""COMPUTED_VALUE"""),"들깨")</f>
        <v>들깨</v>
      </c>
    </row>
    <row r="16787">
      <c r="A16787" s="2" t="str">
        <f>IFERROR(__xludf.DUMMYFUNCTION("""COMPUTED_VALUE"""),"장칼국수는 장난이 아니야♬")</f>
        <v>장칼국수는 장난이 아니야♬</v>
      </c>
      <c r="B16787" s="2" t="str">
        <f>IFERROR(__xludf.DUMMYFUNCTION("""COMPUTED_VALUE"""),"고춧가루")</f>
        <v>고춧가루</v>
      </c>
    </row>
    <row r="16788">
      <c r="A16788" s="2" t="str">
        <f>IFERROR(__xludf.DUMMYFUNCTION("""COMPUTED_VALUE"""),"장칼국수는 장난이 아니야♬")</f>
        <v>장칼국수는 장난이 아니야♬</v>
      </c>
      <c r="B16788" s="2" t="str">
        <f>IFERROR(__xludf.DUMMYFUNCTION("""COMPUTED_VALUE"""),"검정들깨기름")</f>
        <v>검정들깨기름</v>
      </c>
    </row>
    <row r="16789">
      <c r="A16789" s="2" t="str">
        <f>IFERROR(__xludf.DUMMYFUNCTION("""COMPUTED_VALUE"""),"장칼국수는 장난이 아니야♬")</f>
        <v>장칼국수는 장난이 아니야♬</v>
      </c>
      <c r="B16789" s="2" t="str">
        <f>IFERROR(__xludf.DUMMYFUNCTION("""COMPUTED_VALUE"""),"밀가루")</f>
        <v>밀가루</v>
      </c>
    </row>
    <row r="16790">
      <c r="A16790" s="2" t="str">
        <f>IFERROR(__xludf.DUMMYFUNCTION("""COMPUTED_VALUE"""),"장칼국수는 장난이 아니야♬")</f>
        <v>장칼국수는 장난이 아니야♬</v>
      </c>
      <c r="B16790" s="2" t="str">
        <f>IFERROR(__xludf.DUMMYFUNCTION("""COMPUTED_VALUE"""),"소금")</f>
        <v>소금</v>
      </c>
    </row>
    <row r="16791">
      <c r="A16791" s="2" t="str">
        <f>IFERROR(__xludf.DUMMYFUNCTION("""COMPUTED_VALUE"""),"장칼국수는 장난이 아니야♬")</f>
        <v>장칼국수는 장난이 아니야♬</v>
      </c>
      <c r="B16791" s="2" t="str">
        <f>IFERROR(__xludf.DUMMYFUNCTION("""COMPUTED_VALUE"""),"고춧가루")</f>
        <v>고춧가루</v>
      </c>
    </row>
    <row r="16792">
      <c r="A16792" s="2" t="str">
        <f>IFERROR(__xludf.DUMMYFUNCTION("""COMPUTED_VALUE"""),"장칼국수는 장난이 아니야♬")</f>
        <v>장칼국수는 장난이 아니야♬</v>
      </c>
      <c r="B16792" s="2" t="str">
        <f>IFERROR(__xludf.DUMMYFUNCTION("""COMPUTED_VALUE"""),"청양고추")</f>
        <v>청양고추</v>
      </c>
    </row>
    <row r="16793">
      <c r="A16793" s="2" t="str">
        <f>IFERROR(__xludf.DUMMYFUNCTION("""COMPUTED_VALUE"""),"장칼국수는 장난이 아니야♬")</f>
        <v>장칼국수는 장난이 아니야♬</v>
      </c>
      <c r="B16793" s="2" t="str">
        <f>IFERROR(__xludf.DUMMYFUNCTION("""COMPUTED_VALUE"""),"들깨")</f>
        <v>들깨</v>
      </c>
    </row>
    <row r="16794">
      <c r="A16794" s="2" t="str">
        <f>IFERROR(__xludf.DUMMYFUNCTION("""COMPUTED_VALUE"""),"장칼국수는 장난이 아니야♬")</f>
        <v>장칼국수는 장난이 아니야♬</v>
      </c>
      <c r="B16794" s="2" t="str">
        <f>IFERROR(__xludf.DUMMYFUNCTION("""COMPUTED_VALUE"""),"간장")</f>
        <v>간장</v>
      </c>
    </row>
    <row r="16795">
      <c r="A16795" s="2" t="str">
        <f>IFERROR(__xludf.DUMMYFUNCTION("""COMPUTED_VALUE"""),"장칼국수는 장난이 아니야♬")</f>
        <v>장칼국수는 장난이 아니야♬</v>
      </c>
      <c r="B16795" s="2" t="str">
        <f>IFERROR(__xludf.DUMMYFUNCTION("""COMPUTED_VALUE"""),"참기름")</f>
        <v>참기름</v>
      </c>
    </row>
    <row r="16796">
      <c r="A16796" s="2" t="str">
        <f>IFERROR(__xludf.DUMMYFUNCTION("""COMPUTED_VALUE"""),"장칼국수는 장난이 아니야♬")</f>
        <v>장칼국수는 장난이 아니야♬</v>
      </c>
      <c r="B16796" s="2" t="str">
        <f>IFERROR(__xludf.DUMMYFUNCTION("""COMPUTED_VALUE"""),"홍고추")</f>
        <v>홍고추</v>
      </c>
    </row>
    <row r="16797">
      <c r="A16797" s="2" t="str">
        <f>IFERROR(__xludf.DUMMYFUNCTION("""COMPUTED_VALUE"""),"장칼국수는 장난이 아니야♬")</f>
        <v>장칼국수는 장난이 아니야♬</v>
      </c>
      <c r="B16797" s="2" t="str">
        <f>IFERROR(__xludf.DUMMYFUNCTION("""COMPUTED_VALUE"""),"마늘")</f>
        <v>마늘</v>
      </c>
    </row>
    <row r="16798">
      <c r="A16798" s="2" t="str">
        <f>IFERROR(__xludf.DUMMYFUNCTION("""COMPUTED_VALUE"""),"토르티야 먹을 사람 뉴~규?")</f>
        <v>토르티야 먹을 사람 뉴~규?</v>
      </c>
      <c r="B16798" s="2" t="str">
        <f>IFERROR(__xludf.DUMMYFUNCTION("""COMPUTED_VALUE"""),"취나물")</f>
        <v>취나물</v>
      </c>
    </row>
    <row r="16799">
      <c r="A16799" s="2" t="str">
        <f>IFERROR(__xludf.DUMMYFUNCTION("""COMPUTED_VALUE"""),"토르티야 먹을 사람 뉴~규?")</f>
        <v>토르티야 먹을 사람 뉴~규?</v>
      </c>
      <c r="B16799" s="2" t="str">
        <f>IFERROR(__xludf.DUMMYFUNCTION("""COMPUTED_VALUE"""),"루콜라")</f>
        <v>루콜라</v>
      </c>
    </row>
    <row r="16800">
      <c r="A16800" s="2" t="str">
        <f>IFERROR(__xludf.DUMMYFUNCTION("""COMPUTED_VALUE"""),"토르티야 먹을 사람 뉴~규?")</f>
        <v>토르티야 먹을 사람 뉴~규?</v>
      </c>
      <c r="B16800" s="2" t="str">
        <f>IFERROR(__xludf.DUMMYFUNCTION("""COMPUTED_VALUE"""),"새송이버섯")</f>
        <v>새송이버섯</v>
      </c>
    </row>
    <row r="16801">
      <c r="A16801" s="2" t="str">
        <f>IFERROR(__xludf.DUMMYFUNCTION("""COMPUTED_VALUE"""),"토르티야 먹을 사람 뉴~규?")</f>
        <v>토르티야 먹을 사람 뉴~규?</v>
      </c>
      <c r="B16801" s="2" t="str">
        <f>IFERROR(__xludf.DUMMYFUNCTION("""COMPUTED_VALUE"""),"발사믹식초")</f>
        <v>발사믹식초</v>
      </c>
    </row>
    <row r="16802">
      <c r="A16802" s="2" t="str">
        <f>IFERROR(__xludf.DUMMYFUNCTION("""COMPUTED_VALUE"""),"토르티야 먹을 사람 뉴~규?")</f>
        <v>토르티야 먹을 사람 뉴~규?</v>
      </c>
      <c r="B16802" s="2" t="str">
        <f>IFERROR(__xludf.DUMMYFUNCTION("""COMPUTED_VALUE"""),"낙지")</f>
        <v>낙지</v>
      </c>
    </row>
    <row r="16803">
      <c r="A16803" s="2" t="str">
        <f>IFERROR(__xludf.DUMMYFUNCTION("""COMPUTED_VALUE"""),"토르티야 먹을 사람 뉴~규?")</f>
        <v>토르티야 먹을 사람 뉴~규?</v>
      </c>
      <c r="B16803" s="2" t="str">
        <f>IFERROR(__xludf.DUMMYFUNCTION("""COMPUTED_VALUE"""),"시래기")</f>
        <v>시래기</v>
      </c>
    </row>
    <row r="16804">
      <c r="A16804" s="2" t="str">
        <f>IFERROR(__xludf.DUMMYFUNCTION("""COMPUTED_VALUE"""),"토르티야 먹을 사람 뉴~규?")</f>
        <v>토르티야 먹을 사람 뉴~규?</v>
      </c>
      <c r="B16804" s="2" t="str">
        <f>IFERROR(__xludf.DUMMYFUNCTION("""COMPUTED_VALUE"""),"토르티야")</f>
        <v>토르티야</v>
      </c>
    </row>
    <row r="16805">
      <c r="A16805" s="2" t="str">
        <f>IFERROR(__xludf.DUMMYFUNCTION("""COMPUTED_VALUE"""),"토르티야 먹을 사람 뉴~규?")</f>
        <v>토르티야 먹을 사람 뉴~규?</v>
      </c>
      <c r="B16805" s="2" t="str">
        <f>IFERROR(__xludf.DUMMYFUNCTION("""COMPUTED_VALUE"""),"로메인")</f>
        <v>로메인</v>
      </c>
    </row>
    <row r="16806">
      <c r="A16806" s="2" t="str">
        <f>IFERROR(__xludf.DUMMYFUNCTION("""COMPUTED_VALUE"""),"토르티야 먹을 사람 뉴~규?")</f>
        <v>토르티야 먹을 사람 뉴~규?</v>
      </c>
      <c r="B16806" s="2" t="str">
        <f>IFERROR(__xludf.DUMMYFUNCTION("""COMPUTED_VALUE"""),"트러플크림소스")</f>
        <v>트러플크림소스</v>
      </c>
    </row>
    <row r="16807">
      <c r="A16807" s="2" t="str">
        <f>IFERROR(__xludf.DUMMYFUNCTION("""COMPUTED_VALUE"""),"토르티야 먹을 사람 뉴~규?")</f>
        <v>토르티야 먹을 사람 뉴~규?</v>
      </c>
      <c r="B16807" s="2" t="str">
        <f>IFERROR(__xludf.DUMMYFUNCTION("""COMPUTED_VALUE"""),"마요네즈")</f>
        <v>마요네즈</v>
      </c>
    </row>
    <row r="16808">
      <c r="A16808" s="2" t="str">
        <f>IFERROR(__xludf.DUMMYFUNCTION("""COMPUTED_VALUE"""),"토르티야 먹을 사람 뉴~규?")</f>
        <v>토르티야 먹을 사람 뉴~규?</v>
      </c>
      <c r="B16808" s="2" t="str">
        <f>IFERROR(__xludf.DUMMYFUNCTION("""COMPUTED_VALUE"""),"피클")</f>
        <v>피클</v>
      </c>
    </row>
    <row r="16809">
      <c r="A16809" s="2" t="str">
        <f>IFERROR(__xludf.DUMMYFUNCTION("""COMPUTED_VALUE"""),"토르티야 먹을 사람 뉴~규?")</f>
        <v>토르티야 먹을 사람 뉴~규?</v>
      </c>
      <c r="B16809" s="2" t="str">
        <f>IFERROR(__xludf.DUMMYFUNCTION("""COMPUTED_VALUE"""),"마늘")</f>
        <v>마늘</v>
      </c>
    </row>
    <row r="16810">
      <c r="A16810" s="2" t="str">
        <f>IFERROR(__xludf.DUMMYFUNCTION("""COMPUTED_VALUE"""),"토르티야 먹을 사람 뉴~규?")</f>
        <v>토르티야 먹을 사람 뉴~규?</v>
      </c>
      <c r="B16810" s="2" t="str">
        <f>IFERROR(__xludf.DUMMYFUNCTION("""COMPUTED_VALUE"""),"올리브오일")</f>
        <v>올리브오일</v>
      </c>
    </row>
    <row r="16811">
      <c r="A16811" s="2" t="str">
        <f>IFERROR(__xludf.DUMMYFUNCTION("""COMPUTED_VALUE"""),"토르티야 먹을 사람 뉴~규?")</f>
        <v>토르티야 먹을 사람 뉴~규?</v>
      </c>
      <c r="B16811" s="2" t="str">
        <f>IFERROR(__xludf.DUMMYFUNCTION("""COMPUTED_VALUE"""),"양파")</f>
        <v>양파</v>
      </c>
    </row>
    <row r="16812">
      <c r="A16812" s="2" t="str">
        <f>IFERROR(__xludf.DUMMYFUNCTION("""COMPUTED_VALUE"""),"토르티야 먹을 사람 뉴~규?")</f>
        <v>토르티야 먹을 사람 뉴~규?</v>
      </c>
      <c r="B16812" s="2" t="str">
        <f>IFERROR(__xludf.DUMMYFUNCTION("""COMPUTED_VALUE"""),"소금")</f>
        <v>소금</v>
      </c>
    </row>
    <row r="16813">
      <c r="A16813" s="2" t="str">
        <f>IFERROR(__xludf.DUMMYFUNCTION("""COMPUTED_VALUE"""),"토르티야 먹을 사람 뉴~규?")</f>
        <v>토르티야 먹을 사람 뉴~규?</v>
      </c>
      <c r="B16813" s="2" t="str">
        <f>IFERROR(__xludf.DUMMYFUNCTION("""COMPUTED_VALUE"""),"후추")</f>
        <v>후추</v>
      </c>
    </row>
    <row r="16814">
      <c r="A16814" s="2" t="str">
        <f>IFERROR(__xludf.DUMMYFUNCTION("""COMPUTED_VALUE"""),"토르티야 먹을 사람 뉴~규?")</f>
        <v>토르티야 먹을 사람 뉴~규?</v>
      </c>
      <c r="B16814" s="2" t="str">
        <f>IFERROR(__xludf.DUMMYFUNCTION("""COMPUTED_VALUE"""),"마요네즈")</f>
        <v>마요네즈</v>
      </c>
    </row>
    <row r="16815">
      <c r="A16815" s="2" t="str">
        <f>IFERROR(__xludf.DUMMYFUNCTION("""COMPUTED_VALUE"""),"토르티야 먹을 사람 뉴~규?")</f>
        <v>토르티야 먹을 사람 뉴~규?</v>
      </c>
      <c r="B16815" s="2" t="str">
        <f>IFERROR(__xludf.DUMMYFUNCTION("""COMPUTED_VALUE"""),"레몬")</f>
        <v>레몬</v>
      </c>
    </row>
    <row r="16816">
      <c r="A16816" s="2" t="str">
        <f>IFERROR(__xludf.DUMMYFUNCTION("""COMPUTED_VALUE"""),"토르티야 먹을 사람 뉴~규?")</f>
        <v>토르티야 먹을 사람 뉴~규?</v>
      </c>
      <c r="B16816" s="2" t="str">
        <f>IFERROR(__xludf.DUMMYFUNCTION("""COMPUTED_VALUE"""),"물엿")</f>
        <v>물엿</v>
      </c>
    </row>
    <row r="16817">
      <c r="A16817" s="2" t="str">
        <f>IFERROR(__xludf.DUMMYFUNCTION("""COMPUTED_VALUE"""),"토르티야 먹을 사람 뉴~규?")</f>
        <v>토르티야 먹을 사람 뉴~규?</v>
      </c>
      <c r="B16817" s="2" t="str">
        <f>IFERROR(__xludf.DUMMYFUNCTION("""COMPUTED_VALUE"""),"대파")</f>
        <v>대파</v>
      </c>
    </row>
    <row r="16818">
      <c r="A16818" s="2" t="str">
        <f>IFERROR(__xludf.DUMMYFUNCTION("""COMPUTED_VALUE"""),"토르티야 먹을 사람 뉴~규?")</f>
        <v>토르티야 먹을 사람 뉴~규?</v>
      </c>
      <c r="B16818" s="2" t="str">
        <f>IFERROR(__xludf.DUMMYFUNCTION("""COMPUTED_VALUE"""),"밀가루")</f>
        <v>밀가루</v>
      </c>
    </row>
    <row r="16819">
      <c r="A16819" s="2" t="str">
        <f>IFERROR(__xludf.DUMMYFUNCTION("""COMPUTED_VALUE"""),"토르티야 먹을 사람 뉴~규?")</f>
        <v>토르티야 먹을 사람 뉴~규?</v>
      </c>
      <c r="B16819" s="2" t="str">
        <f>IFERROR(__xludf.DUMMYFUNCTION("""COMPUTED_VALUE"""),"달걀")</f>
        <v>달걀</v>
      </c>
    </row>
    <row r="16820">
      <c r="A16820" s="2" t="str">
        <f>IFERROR(__xludf.DUMMYFUNCTION("""COMPUTED_VALUE"""),"특수돼지 삼형제")</f>
        <v>특수돼지 삼형제</v>
      </c>
      <c r="B16820" s="2" t="str">
        <f>IFERROR(__xludf.DUMMYFUNCTION("""COMPUTED_VALUE"""),"모소리살")</f>
        <v>모소리살</v>
      </c>
    </row>
    <row r="16821">
      <c r="A16821" s="2" t="str">
        <f>IFERROR(__xludf.DUMMYFUNCTION("""COMPUTED_VALUE"""),"특수돼지 삼형제")</f>
        <v>특수돼지 삼형제</v>
      </c>
      <c r="B16821" s="2" t="str">
        <f>IFERROR(__xludf.DUMMYFUNCTION("""COMPUTED_VALUE"""),"가오리살")</f>
        <v>가오리살</v>
      </c>
    </row>
    <row r="16822">
      <c r="A16822" s="2" t="str">
        <f>IFERROR(__xludf.DUMMYFUNCTION("""COMPUTED_VALUE"""),"특수돼지 삼형제")</f>
        <v>특수돼지 삼형제</v>
      </c>
      <c r="B16822" s="2" t="str">
        <f>IFERROR(__xludf.DUMMYFUNCTION("""COMPUTED_VALUE"""),"삼각살")</f>
        <v>삼각살</v>
      </c>
    </row>
    <row r="16823">
      <c r="A16823" s="2" t="str">
        <f>IFERROR(__xludf.DUMMYFUNCTION("""COMPUTED_VALUE"""),"특수돼지 삼형제")</f>
        <v>특수돼지 삼형제</v>
      </c>
      <c r="B16823" s="2" t="str">
        <f>IFERROR(__xludf.DUMMYFUNCTION("""COMPUTED_VALUE"""),"표고버섯")</f>
        <v>표고버섯</v>
      </c>
    </row>
    <row r="16824">
      <c r="A16824" s="2" t="str">
        <f>IFERROR(__xludf.DUMMYFUNCTION("""COMPUTED_VALUE"""),"특수돼지 삼형제")</f>
        <v>특수돼지 삼형제</v>
      </c>
      <c r="B16824" s="2" t="str">
        <f>IFERROR(__xludf.DUMMYFUNCTION("""COMPUTED_VALUE"""),"아스파라거스")</f>
        <v>아스파라거스</v>
      </c>
    </row>
    <row r="16825">
      <c r="A16825" s="2" t="str">
        <f>IFERROR(__xludf.DUMMYFUNCTION("""COMPUTED_VALUE"""),"특수돼지 삼형제")</f>
        <v>특수돼지 삼형제</v>
      </c>
      <c r="B16825" s="2" t="str">
        <f>IFERROR(__xludf.DUMMYFUNCTION("""COMPUTED_VALUE"""),"고수")</f>
        <v>고수</v>
      </c>
    </row>
    <row r="16826">
      <c r="A16826" s="2" t="str">
        <f>IFERROR(__xludf.DUMMYFUNCTION("""COMPUTED_VALUE"""),"특수돼지 삼형제")</f>
        <v>특수돼지 삼형제</v>
      </c>
      <c r="B16826" s="2" t="str">
        <f>IFERROR(__xludf.DUMMYFUNCTION("""COMPUTED_VALUE"""),"맥주")</f>
        <v>맥주</v>
      </c>
    </row>
    <row r="16827">
      <c r="A16827" s="2" t="str">
        <f>IFERROR(__xludf.DUMMYFUNCTION("""COMPUTED_VALUE"""),"특수돼지 삼형제")</f>
        <v>특수돼지 삼형제</v>
      </c>
      <c r="B16827" s="2" t="str">
        <f>IFERROR(__xludf.DUMMYFUNCTION("""COMPUTED_VALUE"""),"표고버섯가루")</f>
        <v>표고버섯가루</v>
      </c>
    </row>
    <row r="16828">
      <c r="A16828" s="2" t="str">
        <f>IFERROR(__xludf.DUMMYFUNCTION("""COMPUTED_VALUE"""),"특수돼지 삼형제")</f>
        <v>특수돼지 삼형제</v>
      </c>
      <c r="B16828" s="2" t="str">
        <f>IFERROR(__xludf.DUMMYFUNCTION("""COMPUTED_VALUE"""),"월계수잎")</f>
        <v>월계수잎</v>
      </c>
    </row>
    <row r="16829">
      <c r="A16829" s="2" t="str">
        <f>IFERROR(__xludf.DUMMYFUNCTION("""COMPUTED_VALUE"""),"특수돼지 삼형제")</f>
        <v>특수돼지 삼형제</v>
      </c>
      <c r="B16829" s="2" t="str">
        <f>IFERROR(__xludf.DUMMYFUNCTION("""COMPUTED_VALUE"""),"꿀")</f>
        <v>꿀</v>
      </c>
    </row>
    <row r="16830">
      <c r="A16830" s="2" t="str">
        <f>IFERROR(__xludf.DUMMYFUNCTION("""COMPUTED_VALUE"""),"특수돼지 삼형제")</f>
        <v>특수돼지 삼형제</v>
      </c>
      <c r="B16830" s="2" t="str">
        <f>IFERROR(__xludf.DUMMYFUNCTION("""COMPUTED_VALUE"""),"고추냉이맛 아몬드")</f>
        <v>고추냉이맛 아몬드</v>
      </c>
    </row>
    <row r="16831">
      <c r="A16831" s="2" t="str">
        <f>IFERROR(__xludf.DUMMYFUNCTION("""COMPUTED_VALUE"""),"특수돼지 삼형제")</f>
        <v>특수돼지 삼형제</v>
      </c>
      <c r="B16831" s="2" t="str">
        <f>IFERROR(__xludf.DUMMYFUNCTION("""COMPUTED_VALUE"""),"적양파")</f>
        <v>적양파</v>
      </c>
    </row>
    <row r="16832">
      <c r="A16832" s="2" t="str">
        <f>IFERROR(__xludf.DUMMYFUNCTION("""COMPUTED_VALUE"""),"특수돼지 삼형제")</f>
        <v>특수돼지 삼형제</v>
      </c>
      <c r="B16832" s="2" t="str">
        <f>IFERROR(__xludf.DUMMYFUNCTION("""COMPUTED_VALUE"""),"청사과")</f>
        <v>청사과</v>
      </c>
    </row>
    <row r="16833">
      <c r="A16833" s="2" t="str">
        <f>IFERROR(__xludf.DUMMYFUNCTION("""COMPUTED_VALUE"""),"특수돼지 삼형제")</f>
        <v>특수돼지 삼형제</v>
      </c>
      <c r="B16833" s="2" t="str">
        <f>IFERROR(__xludf.DUMMYFUNCTION("""COMPUTED_VALUE"""),"사과")</f>
        <v>사과</v>
      </c>
    </row>
    <row r="16834">
      <c r="A16834" s="2" t="str">
        <f>IFERROR(__xludf.DUMMYFUNCTION("""COMPUTED_VALUE"""),"특수돼지 삼형제")</f>
        <v>특수돼지 삼형제</v>
      </c>
      <c r="B16834" s="2" t="str">
        <f>IFERROR(__xludf.DUMMYFUNCTION("""COMPUTED_VALUE"""),"믹스베리")</f>
        <v>믹스베리</v>
      </c>
    </row>
    <row r="16835">
      <c r="A16835" s="2" t="str">
        <f>IFERROR(__xludf.DUMMYFUNCTION("""COMPUTED_VALUE"""),"특수돼지 삼형제")</f>
        <v>특수돼지 삼형제</v>
      </c>
      <c r="B16835" s="2" t="str">
        <f>IFERROR(__xludf.DUMMYFUNCTION("""COMPUTED_VALUE"""),"대파")</f>
        <v>대파</v>
      </c>
    </row>
    <row r="16836">
      <c r="A16836" s="2" t="str">
        <f>IFERROR(__xludf.DUMMYFUNCTION("""COMPUTED_VALUE"""),"특수돼지 삼형제")</f>
        <v>특수돼지 삼형제</v>
      </c>
      <c r="B16836" s="2" t="str">
        <f>IFERROR(__xludf.DUMMYFUNCTION("""COMPUTED_VALUE"""),"마늘")</f>
        <v>마늘</v>
      </c>
    </row>
    <row r="16837">
      <c r="A16837" s="2" t="str">
        <f>IFERROR(__xludf.DUMMYFUNCTION("""COMPUTED_VALUE"""),"특수돼지 삼형제")</f>
        <v>특수돼지 삼형제</v>
      </c>
      <c r="B16837" s="2" t="str">
        <f>IFERROR(__xludf.DUMMYFUNCTION("""COMPUTED_VALUE"""),"청양고추")</f>
        <v>청양고추</v>
      </c>
    </row>
    <row r="16838">
      <c r="A16838" s="2" t="str">
        <f>IFERROR(__xludf.DUMMYFUNCTION("""COMPUTED_VALUE"""),"특수돼지 삼형제")</f>
        <v>특수돼지 삼형제</v>
      </c>
      <c r="B16838" s="2" t="str">
        <f>IFERROR(__xludf.DUMMYFUNCTION("""COMPUTED_VALUE"""),"후추")</f>
        <v>후추</v>
      </c>
    </row>
    <row r="16839">
      <c r="A16839" s="2" t="str">
        <f>IFERROR(__xludf.DUMMYFUNCTION("""COMPUTED_VALUE"""),"특수돼지 삼형제")</f>
        <v>특수돼지 삼형제</v>
      </c>
      <c r="B16839" s="2" t="str">
        <f>IFERROR(__xludf.DUMMYFUNCTION("""COMPUTED_VALUE"""),"소금")</f>
        <v>소금</v>
      </c>
    </row>
    <row r="16840">
      <c r="A16840" s="2" t="str">
        <f>IFERROR(__xludf.DUMMYFUNCTION("""COMPUTED_VALUE"""),"특수돼지 삼형제")</f>
        <v>특수돼지 삼형제</v>
      </c>
      <c r="B16840" s="2" t="str">
        <f>IFERROR(__xludf.DUMMYFUNCTION("""COMPUTED_VALUE"""),"설탕")</f>
        <v>설탕</v>
      </c>
    </row>
    <row r="16841">
      <c r="A16841" s="2" t="str">
        <f>IFERROR(__xludf.DUMMYFUNCTION("""COMPUTED_VALUE"""),"특수돼지 삼형제")</f>
        <v>특수돼지 삼형제</v>
      </c>
      <c r="B16841" s="2" t="str">
        <f>IFERROR(__xludf.DUMMYFUNCTION("""COMPUTED_VALUE"""),"레몬")</f>
        <v>레몬</v>
      </c>
    </row>
    <row r="16842">
      <c r="A16842" s="2" t="str">
        <f>IFERROR(__xludf.DUMMYFUNCTION("""COMPUTED_VALUE"""),"특수돼지 삼형제")</f>
        <v>특수돼지 삼형제</v>
      </c>
      <c r="B16842" s="2" t="str">
        <f>IFERROR(__xludf.DUMMYFUNCTION("""COMPUTED_VALUE"""),"된장")</f>
        <v>된장</v>
      </c>
    </row>
    <row r="16843">
      <c r="A16843" s="2" t="str">
        <f>IFERROR(__xludf.DUMMYFUNCTION("""COMPUTED_VALUE"""),"특수돼지 삼형제")</f>
        <v>특수돼지 삼형제</v>
      </c>
      <c r="B16843" s="2" t="str">
        <f>IFERROR(__xludf.DUMMYFUNCTION("""COMPUTED_VALUE"""),"다진 마늘")</f>
        <v>다진 마늘</v>
      </c>
    </row>
    <row r="16844">
      <c r="A16844" s="2" t="str">
        <f>IFERROR(__xludf.DUMMYFUNCTION("""COMPUTED_VALUE"""),"특수돼지 삼형제")</f>
        <v>특수돼지 삼형제</v>
      </c>
      <c r="B16844" s="2" t="str">
        <f>IFERROR(__xludf.DUMMYFUNCTION("""COMPUTED_VALUE"""),"맛술")</f>
        <v>맛술</v>
      </c>
    </row>
    <row r="16845">
      <c r="A16845" s="2" t="str">
        <f>IFERROR(__xludf.DUMMYFUNCTION("""COMPUTED_VALUE"""),"특수돼지 삼형제")</f>
        <v>특수돼지 삼형제</v>
      </c>
      <c r="B16845" s="2" t="str">
        <f>IFERROR(__xludf.DUMMYFUNCTION("""COMPUTED_VALUE"""),"올리브오일")</f>
        <v>올리브오일</v>
      </c>
    </row>
    <row r="16846">
      <c r="A16846" s="2" t="str">
        <f>IFERROR(__xludf.DUMMYFUNCTION("""COMPUTED_VALUE"""),"돼지가 스튜에 빠진 날")</f>
        <v>돼지가 스튜에 빠진 날</v>
      </c>
      <c r="B16846" s="2" t="str">
        <f>IFERROR(__xludf.DUMMYFUNCTION("""COMPUTED_VALUE"""),"모소리살")</f>
        <v>모소리살</v>
      </c>
    </row>
    <row r="16847">
      <c r="A16847" s="2" t="str">
        <f>IFERROR(__xludf.DUMMYFUNCTION("""COMPUTED_VALUE"""),"돼지가 스튜에 빠진 날")</f>
        <v>돼지가 스튜에 빠진 날</v>
      </c>
      <c r="B16847" s="2" t="str">
        <f>IFERROR(__xludf.DUMMYFUNCTION("""COMPUTED_VALUE"""),"삼각살")</f>
        <v>삼각살</v>
      </c>
    </row>
    <row r="16848">
      <c r="A16848" s="2" t="str">
        <f>IFERROR(__xludf.DUMMYFUNCTION("""COMPUTED_VALUE"""),"돼지가 스튜에 빠진 날")</f>
        <v>돼지가 스튜에 빠진 날</v>
      </c>
      <c r="B16848" s="2" t="str">
        <f>IFERROR(__xludf.DUMMYFUNCTION("""COMPUTED_VALUE"""),"가오리살")</f>
        <v>가오리살</v>
      </c>
    </row>
    <row r="16849">
      <c r="A16849" s="2" t="str">
        <f>IFERROR(__xludf.DUMMYFUNCTION("""COMPUTED_VALUE"""),"돼지가 스튜에 빠진 날")</f>
        <v>돼지가 스튜에 빠진 날</v>
      </c>
      <c r="B16849" s="2" t="str">
        <f>IFERROR(__xludf.DUMMYFUNCTION("""COMPUTED_VALUE"""),"표고버섯")</f>
        <v>표고버섯</v>
      </c>
    </row>
    <row r="16850">
      <c r="A16850" s="2" t="str">
        <f>IFERROR(__xludf.DUMMYFUNCTION("""COMPUTED_VALUE"""),"돼지가 스튜에 빠진 날")</f>
        <v>돼지가 스튜에 빠진 날</v>
      </c>
      <c r="B16850" s="2" t="str">
        <f>IFERROR(__xludf.DUMMYFUNCTION("""COMPUTED_VALUE"""),"표고버섯가루")</f>
        <v>표고버섯가루</v>
      </c>
    </row>
    <row r="16851">
      <c r="A16851" s="2" t="str">
        <f>IFERROR(__xludf.DUMMYFUNCTION("""COMPUTED_VALUE"""),"돼지가 스튜에 빠진 날")</f>
        <v>돼지가 스튜에 빠진 날</v>
      </c>
      <c r="B16851" s="2" t="str">
        <f>IFERROR(__xludf.DUMMYFUNCTION("""COMPUTED_VALUE"""),"발사믹식초")</f>
        <v>발사믹식초</v>
      </c>
    </row>
    <row r="16852">
      <c r="A16852" s="2" t="str">
        <f>IFERROR(__xludf.DUMMYFUNCTION("""COMPUTED_VALUE"""),"돼지가 스튜에 빠진 날")</f>
        <v>돼지가 스튜에 빠진 날</v>
      </c>
      <c r="B16852" s="2" t="str">
        <f>IFERROR(__xludf.DUMMYFUNCTION("""COMPUTED_VALUE"""),"트러플소스")</f>
        <v>트러플소스</v>
      </c>
    </row>
    <row r="16853">
      <c r="A16853" s="2" t="str">
        <f>IFERROR(__xludf.DUMMYFUNCTION("""COMPUTED_VALUE"""),"돼지가 스튜에 빠진 날")</f>
        <v>돼지가 스튜에 빠진 날</v>
      </c>
      <c r="B16853" s="2" t="str">
        <f>IFERROR(__xludf.DUMMYFUNCTION("""COMPUTED_VALUE"""),"닭다리")</f>
        <v>닭다리</v>
      </c>
    </row>
    <row r="16854">
      <c r="A16854" s="2" t="str">
        <f>IFERROR(__xludf.DUMMYFUNCTION("""COMPUTED_VALUE"""),"돼지가 스튜에 빠진 날")</f>
        <v>돼지가 스튜에 빠진 날</v>
      </c>
      <c r="B16854" s="2" t="str">
        <f>IFERROR(__xludf.DUMMYFUNCTION("""COMPUTED_VALUE"""),"아스파라거스")</f>
        <v>아스파라거스</v>
      </c>
    </row>
    <row r="16855">
      <c r="A16855" s="2" t="str">
        <f>IFERROR(__xludf.DUMMYFUNCTION("""COMPUTED_VALUE"""),"돼지가 스튜에 빠진 날")</f>
        <v>돼지가 스튜에 빠진 날</v>
      </c>
      <c r="B16855" s="2" t="str">
        <f>IFERROR(__xludf.DUMMYFUNCTION("""COMPUTED_VALUE"""),"고수")</f>
        <v>고수</v>
      </c>
    </row>
    <row r="16856">
      <c r="A16856" s="2" t="str">
        <f>IFERROR(__xludf.DUMMYFUNCTION("""COMPUTED_VALUE"""),"돼지가 스튜에 빠진 날")</f>
        <v>돼지가 스튜에 빠진 날</v>
      </c>
      <c r="B16856" s="2" t="str">
        <f>IFERROR(__xludf.DUMMYFUNCTION("""COMPUTED_VALUE"""),"적양파")</f>
        <v>적양파</v>
      </c>
    </row>
    <row r="16857">
      <c r="A16857" s="2" t="str">
        <f>IFERROR(__xludf.DUMMYFUNCTION("""COMPUTED_VALUE"""),"돼지가 스튜에 빠진 날")</f>
        <v>돼지가 스튜에 빠진 날</v>
      </c>
      <c r="B16857" s="2" t="str">
        <f>IFERROR(__xludf.DUMMYFUNCTION("""COMPUTED_VALUE"""),"월계수잎")</f>
        <v>월계수잎</v>
      </c>
    </row>
    <row r="16858">
      <c r="A16858" s="2" t="str">
        <f>IFERROR(__xludf.DUMMYFUNCTION("""COMPUTED_VALUE"""),"돼지가 스튜에 빠진 날")</f>
        <v>돼지가 스튜에 빠진 날</v>
      </c>
      <c r="B16858" s="2" t="str">
        <f>IFERROR(__xludf.DUMMYFUNCTION("""COMPUTED_VALUE"""),"그린올리브")</f>
        <v>그린올리브</v>
      </c>
    </row>
    <row r="16859">
      <c r="A16859" s="2" t="str">
        <f>IFERROR(__xludf.DUMMYFUNCTION("""COMPUTED_VALUE"""),"돼지가 스튜에 빠진 날")</f>
        <v>돼지가 스튜에 빠진 날</v>
      </c>
      <c r="B16859" s="2" t="str">
        <f>IFERROR(__xludf.DUMMYFUNCTION("""COMPUTED_VALUE"""),"양파")</f>
        <v>양파</v>
      </c>
    </row>
    <row r="16860">
      <c r="A16860" s="2" t="str">
        <f>IFERROR(__xludf.DUMMYFUNCTION("""COMPUTED_VALUE"""),"돼지가 스튜에 빠진 날")</f>
        <v>돼지가 스튜에 빠진 날</v>
      </c>
      <c r="B16860" s="2" t="str">
        <f>IFERROR(__xludf.DUMMYFUNCTION("""COMPUTED_VALUE"""),"마늘")</f>
        <v>마늘</v>
      </c>
    </row>
    <row r="16861">
      <c r="A16861" s="2" t="str">
        <f>IFERROR(__xludf.DUMMYFUNCTION("""COMPUTED_VALUE"""),"돼지가 스튜에 빠진 날")</f>
        <v>돼지가 스튜에 빠진 날</v>
      </c>
      <c r="B16861" s="2" t="str">
        <f>IFERROR(__xludf.DUMMYFUNCTION("""COMPUTED_VALUE"""),"당근")</f>
        <v>당근</v>
      </c>
    </row>
    <row r="16862">
      <c r="A16862" s="2" t="str">
        <f>IFERROR(__xludf.DUMMYFUNCTION("""COMPUTED_VALUE"""),"돼지가 스튜에 빠진 날")</f>
        <v>돼지가 스튜에 빠진 날</v>
      </c>
      <c r="B16862" s="2" t="str">
        <f>IFERROR(__xludf.DUMMYFUNCTION("""COMPUTED_VALUE"""),"대파")</f>
        <v>대파</v>
      </c>
    </row>
    <row r="16863">
      <c r="A16863" s="2" t="str">
        <f>IFERROR(__xludf.DUMMYFUNCTION("""COMPUTED_VALUE"""),"돼지가 스튜에 빠진 날")</f>
        <v>돼지가 스튜에 빠진 날</v>
      </c>
      <c r="B16863" s="2" t="str">
        <f>IFERROR(__xludf.DUMMYFUNCTION("""COMPUTED_VALUE"""),"후추")</f>
        <v>후추</v>
      </c>
    </row>
    <row r="16864">
      <c r="A16864" s="2" t="str">
        <f>IFERROR(__xludf.DUMMYFUNCTION("""COMPUTED_VALUE"""),"돼지가 스튜에 빠진 날")</f>
        <v>돼지가 스튜에 빠진 날</v>
      </c>
      <c r="B16864" s="2" t="str">
        <f>IFERROR(__xludf.DUMMYFUNCTION("""COMPUTED_VALUE"""),"올리브오일")</f>
        <v>올리브오일</v>
      </c>
    </row>
    <row r="16865">
      <c r="A16865" s="2" t="str">
        <f>IFERROR(__xludf.DUMMYFUNCTION("""COMPUTED_VALUE"""),"돼지가 스튜에 빠진 날")</f>
        <v>돼지가 스튜에 빠진 날</v>
      </c>
      <c r="B16865" s="2" t="str">
        <f>IFERROR(__xludf.DUMMYFUNCTION("""COMPUTED_VALUE"""),"소금")</f>
        <v>소금</v>
      </c>
    </row>
    <row r="16866">
      <c r="A16866" s="2" t="str">
        <f>IFERROR(__xludf.DUMMYFUNCTION("""COMPUTED_VALUE"""),"돼지가 스튜에 빠진 날")</f>
        <v>돼지가 스튜에 빠진 날</v>
      </c>
      <c r="B16866" s="2" t="str">
        <f>IFERROR(__xludf.DUMMYFUNCTION("""COMPUTED_VALUE"""),"간장")</f>
        <v>간장</v>
      </c>
    </row>
    <row r="16867">
      <c r="A16867" s="2" t="str">
        <f>IFERROR(__xludf.DUMMYFUNCTION("""COMPUTED_VALUE"""),"돼지가 스튜에 빠진 날")</f>
        <v>돼지가 스튜에 빠진 날</v>
      </c>
      <c r="B16867" s="2" t="str">
        <f>IFERROR(__xludf.DUMMYFUNCTION("""COMPUTED_VALUE"""),"버터")</f>
        <v>버터</v>
      </c>
    </row>
    <row r="16868">
      <c r="A16868" s="2" t="str">
        <f>IFERROR(__xludf.DUMMYFUNCTION("""COMPUTED_VALUE"""),"돼지가 스튜에 빠진 날")</f>
        <v>돼지가 스튜에 빠진 날</v>
      </c>
      <c r="B16868" s="2" t="str">
        <f>IFERROR(__xludf.DUMMYFUNCTION("""COMPUTED_VALUE"""),"레몬")</f>
        <v>레몬</v>
      </c>
    </row>
    <row r="16869">
      <c r="A16869" s="2" t="str">
        <f>IFERROR(__xludf.DUMMYFUNCTION("""COMPUTED_VALUE"""),"해산물 꼬치 피었습니다♬")</f>
        <v>해산물 꼬치 피었습니다♬</v>
      </c>
      <c r="B16869" s="2" t="str">
        <f>IFERROR(__xludf.DUMMYFUNCTION("""COMPUTED_VALUE"""),"전복")</f>
        <v>전복</v>
      </c>
    </row>
    <row r="16870">
      <c r="A16870" s="2" t="str">
        <f>IFERROR(__xludf.DUMMYFUNCTION("""COMPUTED_VALUE"""),"해산물 꼬치 피었습니다♬")</f>
        <v>해산물 꼬치 피었습니다♬</v>
      </c>
      <c r="B16870" s="2" t="str">
        <f>IFERROR(__xludf.DUMMYFUNCTION("""COMPUTED_VALUE"""),"새우")</f>
        <v>새우</v>
      </c>
    </row>
    <row r="16871">
      <c r="A16871" s="2" t="str">
        <f>IFERROR(__xludf.DUMMYFUNCTION("""COMPUTED_VALUE"""),"해산물 꼬치 피었습니다♬")</f>
        <v>해산물 꼬치 피었습니다♬</v>
      </c>
      <c r="B16871" s="2" t="str">
        <f>IFERROR(__xludf.DUMMYFUNCTION("""COMPUTED_VALUE"""),"가리비")</f>
        <v>가리비</v>
      </c>
    </row>
    <row r="16872">
      <c r="A16872" s="2" t="str">
        <f>IFERROR(__xludf.DUMMYFUNCTION("""COMPUTED_VALUE"""),"해산물 꼬치 피었습니다♬")</f>
        <v>해산물 꼬치 피었습니다♬</v>
      </c>
      <c r="B16872" s="2" t="str">
        <f>IFERROR(__xludf.DUMMYFUNCTION("""COMPUTED_VALUE"""),"아스파라거스")</f>
        <v>아스파라거스</v>
      </c>
    </row>
    <row r="16873">
      <c r="A16873" s="2" t="str">
        <f>IFERROR(__xludf.DUMMYFUNCTION("""COMPUTED_VALUE"""),"해산물 꼬치 피었습니다♬")</f>
        <v>해산물 꼬치 피었습니다♬</v>
      </c>
      <c r="B16873" s="2" t="str">
        <f>IFERROR(__xludf.DUMMYFUNCTION("""COMPUTED_VALUE"""),"아보카도")</f>
        <v>아보카도</v>
      </c>
    </row>
    <row r="16874">
      <c r="A16874" s="2" t="str">
        <f>IFERROR(__xludf.DUMMYFUNCTION("""COMPUTED_VALUE"""),"해산물 꼬치 피었습니다♬")</f>
        <v>해산물 꼬치 피었습니다♬</v>
      </c>
      <c r="B16874" s="2" t="str">
        <f>IFERROR(__xludf.DUMMYFUNCTION("""COMPUTED_VALUE"""),"그린올리브")</f>
        <v>그린올리브</v>
      </c>
    </row>
    <row r="16875">
      <c r="A16875" s="2" t="str">
        <f>IFERROR(__xludf.DUMMYFUNCTION("""COMPUTED_VALUE"""),"해산물 꼬치 피었습니다♬")</f>
        <v>해산물 꼬치 피었습니다♬</v>
      </c>
      <c r="B16875" s="2" t="str">
        <f>IFERROR(__xludf.DUMMYFUNCTION("""COMPUTED_VALUE"""),"트러플소스")</f>
        <v>트러플소스</v>
      </c>
    </row>
    <row r="16876">
      <c r="A16876" s="2" t="str">
        <f>IFERROR(__xludf.DUMMYFUNCTION("""COMPUTED_VALUE"""),"해산물 꼬치 피었습니다♬")</f>
        <v>해산물 꼬치 피었습니다♬</v>
      </c>
      <c r="B16876" s="2" t="str">
        <f>IFERROR(__xludf.DUMMYFUNCTION("""COMPUTED_VALUE"""),"청주")</f>
        <v>청주</v>
      </c>
    </row>
    <row r="16877">
      <c r="A16877" s="2" t="str">
        <f>IFERROR(__xludf.DUMMYFUNCTION("""COMPUTED_VALUE"""),"해산물 꼬치 피었습니다♬")</f>
        <v>해산물 꼬치 피었습니다♬</v>
      </c>
      <c r="B16877" s="2" t="str">
        <f>IFERROR(__xludf.DUMMYFUNCTION("""COMPUTED_VALUE"""),"대파")</f>
        <v>대파</v>
      </c>
    </row>
    <row r="16878">
      <c r="A16878" s="2" t="str">
        <f>IFERROR(__xludf.DUMMYFUNCTION("""COMPUTED_VALUE"""),"해산물 꼬치 피었습니다♬")</f>
        <v>해산물 꼬치 피었습니다♬</v>
      </c>
      <c r="B16878" s="2" t="str">
        <f>IFERROR(__xludf.DUMMYFUNCTION("""COMPUTED_VALUE"""),"설탕")</f>
        <v>설탕</v>
      </c>
    </row>
    <row r="16879">
      <c r="A16879" s="2" t="str">
        <f>IFERROR(__xludf.DUMMYFUNCTION("""COMPUTED_VALUE"""),"해산물 꼬치 피었습니다♬")</f>
        <v>해산물 꼬치 피었습니다♬</v>
      </c>
      <c r="B16879" s="2" t="str">
        <f>IFERROR(__xludf.DUMMYFUNCTION("""COMPUTED_VALUE"""),"달걀")</f>
        <v>달걀</v>
      </c>
    </row>
    <row r="16880">
      <c r="A16880" s="2" t="str">
        <f>IFERROR(__xludf.DUMMYFUNCTION("""COMPUTED_VALUE"""),"해산물 꼬치 피었습니다♬")</f>
        <v>해산물 꼬치 피었습니다♬</v>
      </c>
      <c r="B16880" s="2" t="str">
        <f>IFERROR(__xludf.DUMMYFUNCTION("""COMPUTED_VALUE"""),"식초")</f>
        <v>식초</v>
      </c>
    </row>
    <row r="16881">
      <c r="A16881" s="2" t="str">
        <f>IFERROR(__xludf.DUMMYFUNCTION("""COMPUTED_VALUE"""),"해산물 꼬치 피었습니다♬")</f>
        <v>해산물 꼬치 피었습니다♬</v>
      </c>
      <c r="B16881" s="2" t="str">
        <f>IFERROR(__xludf.DUMMYFUNCTION("""COMPUTED_VALUE"""),"소금")</f>
        <v>소금</v>
      </c>
    </row>
    <row r="16882">
      <c r="A16882" s="2" t="str">
        <f>IFERROR(__xludf.DUMMYFUNCTION("""COMPUTED_VALUE"""),"해산물 꼬치 피었습니다♬")</f>
        <v>해산물 꼬치 피었습니다♬</v>
      </c>
      <c r="B16882" s="2" t="str">
        <f>IFERROR(__xludf.DUMMYFUNCTION("""COMPUTED_VALUE"""),"올리브오일")</f>
        <v>올리브오일</v>
      </c>
    </row>
    <row r="16883">
      <c r="A16883" s="2" t="str">
        <f>IFERROR(__xludf.DUMMYFUNCTION("""COMPUTED_VALUE"""),"해산물 꼬치 피었습니다♬")</f>
        <v>해산물 꼬치 피었습니다♬</v>
      </c>
      <c r="B16883" s="2" t="str">
        <f>IFERROR(__xludf.DUMMYFUNCTION("""COMPUTED_VALUE"""),"마요네즈")</f>
        <v>마요네즈</v>
      </c>
    </row>
    <row r="16884">
      <c r="A16884" s="2" t="str">
        <f>IFERROR(__xludf.DUMMYFUNCTION("""COMPUTED_VALUE"""),"해산물 꼬치 피었습니다♬")</f>
        <v>해산물 꼬치 피었습니다♬</v>
      </c>
      <c r="B16884" s="2" t="str">
        <f>IFERROR(__xludf.DUMMYFUNCTION("""COMPUTED_VALUE"""),"간장")</f>
        <v>간장</v>
      </c>
    </row>
    <row r="16885">
      <c r="A16885" s="2" t="str">
        <f>IFERROR(__xludf.DUMMYFUNCTION("""COMPUTED_VALUE"""),"해산물 꼬치 피었습니다♬")</f>
        <v>해산물 꼬치 피었습니다♬</v>
      </c>
      <c r="B16885" s="2" t="str">
        <f>IFERROR(__xludf.DUMMYFUNCTION("""COMPUTED_VALUE"""),"버터")</f>
        <v>버터</v>
      </c>
    </row>
    <row r="16886">
      <c r="A16886" s="2" t="str">
        <f>IFERROR(__xludf.DUMMYFUNCTION("""COMPUTED_VALUE"""),"동고샤 돌격 앞으로!")</f>
        <v>동고샤 돌격 앞으로!</v>
      </c>
      <c r="B16886" s="2" t="str">
        <f>IFERROR(__xludf.DUMMYFUNCTION("""COMPUTED_VALUE"""),"전복")</f>
        <v>전복</v>
      </c>
    </row>
    <row r="16887">
      <c r="A16887" s="2" t="str">
        <f>IFERROR(__xludf.DUMMYFUNCTION("""COMPUTED_VALUE"""),"동고샤 돌격 앞으로!")</f>
        <v>동고샤 돌격 앞으로!</v>
      </c>
      <c r="B16887" s="2" t="str">
        <f>IFERROR(__xludf.DUMMYFUNCTION("""COMPUTED_VALUE"""),"새우")</f>
        <v>새우</v>
      </c>
    </row>
    <row r="16888">
      <c r="A16888" s="2" t="str">
        <f>IFERROR(__xludf.DUMMYFUNCTION("""COMPUTED_VALUE"""),"동고샤 돌격 앞으로!")</f>
        <v>동고샤 돌격 앞으로!</v>
      </c>
      <c r="B16888" s="2" t="str">
        <f>IFERROR(__xludf.DUMMYFUNCTION("""COMPUTED_VALUE"""),"오징어")</f>
        <v>오징어</v>
      </c>
    </row>
    <row r="16889">
      <c r="A16889" s="2" t="str">
        <f>IFERROR(__xludf.DUMMYFUNCTION("""COMPUTED_VALUE"""),"동고샤 돌격 앞으로!")</f>
        <v>동고샤 돌격 앞으로!</v>
      </c>
      <c r="B16889" s="2" t="str">
        <f>IFERROR(__xludf.DUMMYFUNCTION("""COMPUTED_VALUE"""),"낙지")</f>
        <v>낙지</v>
      </c>
    </row>
    <row r="16890">
      <c r="A16890" s="2" t="str">
        <f>IFERROR(__xludf.DUMMYFUNCTION("""COMPUTED_VALUE"""),"동고샤 돌격 앞으로!")</f>
        <v>동고샤 돌격 앞으로!</v>
      </c>
      <c r="B16890" s="2" t="str">
        <f>IFERROR(__xludf.DUMMYFUNCTION("""COMPUTED_VALUE"""),"관자")</f>
        <v>관자</v>
      </c>
    </row>
    <row r="16891">
      <c r="A16891" s="2" t="str">
        <f>IFERROR(__xludf.DUMMYFUNCTION("""COMPUTED_VALUE"""),"동고샤 돌격 앞으로!")</f>
        <v>동고샤 돌격 앞으로!</v>
      </c>
      <c r="B16891" s="2" t="str">
        <f>IFERROR(__xludf.DUMMYFUNCTION("""COMPUTED_VALUE"""),"통조림 골뱅이")</f>
        <v>통조림 골뱅이</v>
      </c>
    </row>
    <row r="16892">
      <c r="A16892" s="2" t="str">
        <f>IFERROR(__xludf.DUMMYFUNCTION("""COMPUTED_VALUE"""),"동고샤 돌격 앞으로!")</f>
        <v>동고샤 돌격 앞으로!</v>
      </c>
      <c r="B16892" s="2" t="str">
        <f>IFERROR(__xludf.DUMMYFUNCTION("""COMPUTED_VALUE"""),"소 등심")</f>
        <v>소 등심</v>
      </c>
    </row>
    <row r="16893">
      <c r="A16893" s="2" t="str">
        <f>IFERROR(__xludf.DUMMYFUNCTION("""COMPUTED_VALUE"""),"동고샤 돌격 앞으로!")</f>
        <v>동고샤 돌격 앞으로!</v>
      </c>
      <c r="B16893" s="2" t="str">
        <f>IFERROR(__xludf.DUMMYFUNCTION("""COMPUTED_VALUE"""),"아스파라거스")</f>
        <v>아스파라거스</v>
      </c>
    </row>
    <row r="16894">
      <c r="A16894" s="2" t="str">
        <f>IFERROR(__xludf.DUMMYFUNCTION("""COMPUTED_VALUE"""),"동고샤 돌격 앞으로!")</f>
        <v>동고샤 돌격 앞으로!</v>
      </c>
      <c r="B16894" s="2" t="str">
        <f>IFERROR(__xludf.DUMMYFUNCTION("""COMPUTED_VALUE"""),"고수")</f>
        <v>고수</v>
      </c>
    </row>
    <row r="16895">
      <c r="A16895" s="2" t="str">
        <f>IFERROR(__xludf.DUMMYFUNCTION("""COMPUTED_VALUE"""),"동고샤 돌격 앞으로!")</f>
        <v>동고샤 돌격 앞으로!</v>
      </c>
      <c r="B16895" s="2" t="str">
        <f>IFERROR(__xludf.DUMMYFUNCTION("""COMPUTED_VALUE"""),"표고버섯")</f>
        <v>표고버섯</v>
      </c>
    </row>
    <row r="16896">
      <c r="A16896" s="2" t="str">
        <f>IFERROR(__xludf.DUMMYFUNCTION("""COMPUTED_VALUE"""),"동고샤 돌격 앞으로!")</f>
        <v>동고샤 돌격 앞으로!</v>
      </c>
      <c r="B16896" s="2" t="str">
        <f>IFERROR(__xludf.DUMMYFUNCTION("""COMPUTED_VALUE"""),"월계수잎")</f>
        <v>월계수잎</v>
      </c>
    </row>
    <row r="16897">
      <c r="A16897" s="2" t="str">
        <f>IFERROR(__xludf.DUMMYFUNCTION("""COMPUTED_VALUE"""),"동고샤 돌격 앞으로!")</f>
        <v>동고샤 돌격 앞으로!</v>
      </c>
      <c r="B16897" s="2" t="str">
        <f>IFERROR(__xludf.DUMMYFUNCTION("""COMPUTED_VALUE"""),"표고버섯가루")</f>
        <v>표고버섯가루</v>
      </c>
    </row>
    <row r="16898">
      <c r="A16898" s="2" t="str">
        <f>IFERROR(__xludf.DUMMYFUNCTION("""COMPUTED_VALUE"""),"동고샤 돌격 앞으로!")</f>
        <v>동고샤 돌격 앞으로!</v>
      </c>
      <c r="B16898" s="2" t="str">
        <f>IFERROR(__xludf.DUMMYFUNCTION("""COMPUTED_VALUE"""),"황태채")</f>
        <v>황태채</v>
      </c>
    </row>
    <row r="16899">
      <c r="A16899" s="2" t="str">
        <f>IFERROR(__xludf.DUMMYFUNCTION("""COMPUTED_VALUE"""),"동고샤 돌격 앞으로!")</f>
        <v>동고샤 돌격 앞으로!</v>
      </c>
      <c r="B16899" s="2" t="str">
        <f>IFERROR(__xludf.DUMMYFUNCTION("""COMPUTED_VALUE"""),"대파")</f>
        <v>대파</v>
      </c>
    </row>
    <row r="16900">
      <c r="A16900" s="2" t="str">
        <f>IFERROR(__xludf.DUMMYFUNCTION("""COMPUTED_VALUE"""),"동고샤 돌격 앞으로!")</f>
        <v>동고샤 돌격 앞으로!</v>
      </c>
      <c r="B16900" s="2" t="str">
        <f>IFERROR(__xludf.DUMMYFUNCTION("""COMPUTED_VALUE"""),"생강")</f>
        <v>생강</v>
      </c>
    </row>
    <row r="16901">
      <c r="A16901" s="2" t="str">
        <f>IFERROR(__xludf.DUMMYFUNCTION("""COMPUTED_VALUE"""),"동고샤 돌격 앞으로!")</f>
        <v>동고샤 돌격 앞으로!</v>
      </c>
      <c r="B16901" s="2" t="str">
        <f>IFERROR(__xludf.DUMMYFUNCTION("""COMPUTED_VALUE"""),"고춧가루")</f>
        <v>고춧가루</v>
      </c>
    </row>
    <row r="16902">
      <c r="A16902" s="2" t="str">
        <f>IFERROR(__xludf.DUMMYFUNCTION("""COMPUTED_VALUE"""),"동고샤 돌격 앞으로!")</f>
        <v>동고샤 돌격 앞으로!</v>
      </c>
      <c r="B16902" s="2" t="str">
        <f>IFERROR(__xludf.DUMMYFUNCTION("""COMPUTED_VALUE"""),"맛술")</f>
        <v>맛술</v>
      </c>
    </row>
    <row r="16903">
      <c r="A16903" s="2" t="str">
        <f>IFERROR(__xludf.DUMMYFUNCTION("""COMPUTED_VALUE"""),"동고샤 돌격 앞으로!")</f>
        <v>동고샤 돌격 앞으로!</v>
      </c>
      <c r="B16903" s="2" t="str">
        <f>IFERROR(__xludf.DUMMYFUNCTION("""COMPUTED_VALUE"""),"마늘")</f>
        <v>마늘</v>
      </c>
    </row>
    <row r="16904">
      <c r="A16904" s="2" t="str">
        <f>IFERROR(__xludf.DUMMYFUNCTION("""COMPUTED_VALUE"""),"동고샤 돌격 앞으로!")</f>
        <v>동고샤 돌격 앞으로!</v>
      </c>
      <c r="B16904" s="2" t="str">
        <f>IFERROR(__xludf.DUMMYFUNCTION("""COMPUTED_VALUE"""),"소금")</f>
        <v>소금</v>
      </c>
    </row>
    <row r="16905">
      <c r="A16905" s="2" t="str">
        <f>IFERROR(__xludf.DUMMYFUNCTION("""COMPUTED_VALUE"""),"동고샤 돌격 앞으로!")</f>
        <v>동고샤 돌격 앞으로!</v>
      </c>
      <c r="B16905" s="2" t="str">
        <f>IFERROR(__xludf.DUMMYFUNCTION("""COMPUTED_VALUE"""),"밀가루")</f>
        <v>밀가루</v>
      </c>
    </row>
    <row r="16906">
      <c r="A16906" s="2" t="str">
        <f>IFERROR(__xludf.DUMMYFUNCTION("""COMPUTED_VALUE"""),"동고샤 돌격 앞으로!")</f>
        <v>동고샤 돌격 앞으로!</v>
      </c>
      <c r="B16906" s="2" t="str">
        <f>IFERROR(__xludf.DUMMYFUNCTION("""COMPUTED_VALUE"""),"달걀")</f>
        <v>달걀</v>
      </c>
    </row>
    <row r="16907">
      <c r="A16907" s="2" t="str">
        <f>IFERROR(__xludf.DUMMYFUNCTION("""COMPUTED_VALUE"""),"동고샤 돌격 앞으로!")</f>
        <v>동고샤 돌격 앞으로!</v>
      </c>
      <c r="B16907" s="2" t="str">
        <f>IFERROR(__xludf.DUMMYFUNCTION("""COMPUTED_VALUE"""),"전분")</f>
        <v>전분</v>
      </c>
    </row>
    <row r="16908">
      <c r="A16908" s="2" t="str">
        <f>IFERROR(__xludf.DUMMYFUNCTION("""COMPUTED_VALUE"""),"동고샤 돌격 앞으로!")</f>
        <v>동고샤 돌격 앞으로!</v>
      </c>
      <c r="B16908" s="2" t="str">
        <f>IFERROR(__xludf.DUMMYFUNCTION("""COMPUTED_VALUE"""),"간장")</f>
        <v>간장</v>
      </c>
    </row>
    <row r="16909">
      <c r="A16909" s="2" t="str">
        <f>IFERROR(__xludf.DUMMYFUNCTION("""COMPUTED_VALUE"""),"봉주르 캐비지")</f>
        <v>봉주르 캐비지</v>
      </c>
      <c r="B16909" s="2" t="str">
        <f>IFERROR(__xludf.DUMMYFUNCTION("""COMPUTED_VALUE"""),"소등심")</f>
        <v>소등심</v>
      </c>
    </row>
    <row r="16910">
      <c r="A16910" s="2" t="str">
        <f>IFERROR(__xludf.DUMMYFUNCTION("""COMPUTED_VALUE"""),"봉주르 캐비지")</f>
        <v>봉주르 캐비지</v>
      </c>
      <c r="B16910" s="2" t="str">
        <f>IFERROR(__xludf.DUMMYFUNCTION("""COMPUTED_VALUE"""),"양배추")</f>
        <v>양배추</v>
      </c>
    </row>
    <row r="16911">
      <c r="A16911" s="2" t="str">
        <f>IFERROR(__xludf.DUMMYFUNCTION("""COMPUTED_VALUE"""),"봉주르 캐비지")</f>
        <v>봉주르 캐비지</v>
      </c>
      <c r="B16911" s="2" t="str">
        <f>IFERROR(__xludf.DUMMYFUNCTION("""COMPUTED_VALUE"""),"적양배추")</f>
        <v>적양배추</v>
      </c>
    </row>
    <row r="16912">
      <c r="A16912" s="2" t="str">
        <f>IFERROR(__xludf.DUMMYFUNCTION("""COMPUTED_VALUE"""),"봉주르 캐비지")</f>
        <v>봉주르 캐비지</v>
      </c>
      <c r="B16912" s="2" t="str">
        <f>IFERROR(__xludf.DUMMYFUNCTION("""COMPUTED_VALUE"""),"인스턴트 만두")</f>
        <v>인스턴트 만두</v>
      </c>
    </row>
    <row r="16913">
      <c r="A16913" s="2" t="str">
        <f>IFERROR(__xludf.DUMMYFUNCTION("""COMPUTED_VALUE"""),"봉주르 캐비지")</f>
        <v>봉주르 캐비지</v>
      </c>
      <c r="B16913" s="2" t="str">
        <f>IFERROR(__xludf.DUMMYFUNCTION("""COMPUTED_VALUE"""),"애호박")</f>
        <v>애호박</v>
      </c>
    </row>
    <row r="16914">
      <c r="A16914" s="2" t="str">
        <f>IFERROR(__xludf.DUMMYFUNCTION("""COMPUTED_VALUE"""),"봉주르 캐비지")</f>
        <v>봉주르 캐비지</v>
      </c>
      <c r="B16914" s="2" t="str">
        <f>IFERROR(__xludf.DUMMYFUNCTION("""COMPUTED_VALUE"""),"어린잎채소")</f>
        <v>어린잎채소</v>
      </c>
    </row>
    <row r="16915">
      <c r="A16915" s="2" t="str">
        <f>IFERROR(__xludf.DUMMYFUNCTION("""COMPUTED_VALUE"""),"봉주르 캐비지")</f>
        <v>봉주르 캐비지</v>
      </c>
      <c r="B16915" s="2" t="str">
        <f>IFERROR(__xludf.DUMMYFUNCTION("""COMPUTED_VALUE"""),"소시지")</f>
        <v>소시지</v>
      </c>
    </row>
    <row r="16916">
      <c r="A16916" s="2" t="str">
        <f>IFERROR(__xludf.DUMMYFUNCTION("""COMPUTED_VALUE"""),"봉주르 캐비지")</f>
        <v>봉주르 캐비지</v>
      </c>
      <c r="B16916" s="2" t="str">
        <f>IFERROR(__xludf.DUMMYFUNCTION("""COMPUTED_VALUE"""),"부추")</f>
        <v>부추</v>
      </c>
    </row>
    <row r="16917">
      <c r="A16917" s="2" t="str">
        <f>IFERROR(__xludf.DUMMYFUNCTION("""COMPUTED_VALUE"""),"봉주르 캐비지")</f>
        <v>봉주르 캐비지</v>
      </c>
      <c r="B16917" s="2" t="str">
        <f>IFERROR(__xludf.DUMMYFUNCTION("""COMPUTED_VALUE"""),"꽈리고추")</f>
        <v>꽈리고추</v>
      </c>
    </row>
    <row r="16918">
      <c r="A16918" s="2" t="str">
        <f>IFERROR(__xludf.DUMMYFUNCTION("""COMPUTED_VALUE"""),"봉주르 캐비지")</f>
        <v>봉주르 캐비지</v>
      </c>
      <c r="B16918" s="2" t="str">
        <f>IFERROR(__xludf.DUMMYFUNCTION("""COMPUTED_VALUE"""),"깐호두")</f>
        <v>깐호두</v>
      </c>
    </row>
    <row r="16919">
      <c r="A16919" s="2" t="str">
        <f>IFERROR(__xludf.DUMMYFUNCTION("""COMPUTED_VALUE"""),"봉주르 캐비지")</f>
        <v>봉주르 캐비지</v>
      </c>
      <c r="B16919" s="2" t="str">
        <f>IFERROR(__xludf.DUMMYFUNCTION("""COMPUTED_VALUE"""),"방울토마토")</f>
        <v>방울토마토</v>
      </c>
    </row>
    <row r="16920">
      <c r="A16920" s="2" t="str">
        <f>IFERROR(__xludf.DUMMYFUNCTION("""COMPUTED_VALUE"""),"봉주르 캐비지")</f>
        <v>봉주르 캐비지</v>
      </c>
      <c r="B16920" s="2" t="str">
        <f>IFERROR(__xludf.DUMMYFUNCTION("""COMPUTED_VALUE"""),"통마늘장아찌")</f>
        <v>통마늘장아찌</v>
      </c>
    </row>
    <row r="16921">
      <c r="A16921" s="2" t="str">
        <f>IFERROR(__xludf.DUMMYFUNCTION("""COMPUTED_VALUE"""),"봉주르 캐비지")</f>
        <v>봉주르 캐비지</v>
      </c>
      <c r="B16921" s="2" t="str">
        <f>IFERROR(__xludf.DUMMYFUNCTION("""COMPUTED_VALUE"""),"미니 파프리카")</f>
        <v>미니 파프리카</v>
      </c>
    </row>
    <row r="16922">
      <c r="A16922" s="2" t="str">
        <f>IFERROR(__xludf.DUMMYFUNCTION("""COMPUTED_VALUE"""),"봉주르 캐비지")</f>
        <v>봉주르 캐비지</v>
      </c>
      <c r="B16922" s="2" t="str">
        <f>IFERROR(__xludf.DUMMYFUNCTION("""COMPUTED_VALUE"""),"꿀")</f>
        <v>꿀</v>
      </c>
    </row>
    <row r="16923">
      <c r="A16923" s="2" t="str">
        <f>IFERROR(__xludf.DUMMYFUNCTION("""COMPUTED_VALUE"""),"봉주르 캐비지")</f>
        <v>봉주르 캐비지</v>
      </c>
      <c r="B16923" s="2" t="str">
        <f>IFERROR(__xludf.DUMMYFUNCTION("""COMPUTED_VALUE"""),"통조림 옥수수")</f>
        <v>통조림 옥수수</v>
      </c>
    </row>
    <row r="16924">
      <c r="A16924" s="2" t="str">
        <f>IFERROR(__xludf.DUMMYFUNCTION("""COMPUTED_VALUE"""),"봉주르 캐비지")</f>
        <v>봉주르 캐비지</v>
      </c>
      <c r="B16924" s="2" t="str">
        <f>IFERROR(__xludf.DUMMYFUNCTION("""COMPUTED_VALUE"""),"양파")</f>
        <v>양파</v>
      </c>
    </row>
    <row r="16925">
      <c r="A16925" s="2" t="str">
        <f>IFERROR(__xludf.DUMMYFUNCTION("""COMPUTED_VALUE"""),"봉주르 캐비지")</f>
        <v>봉주르 캐비지</v>
      </c>
      <c r="B16925" s="2" t="str">
        <f>IFERROR(__xludf.DUMMYFUNCTION("""COMPUTED_VALUE"""),"대파")</f>
        <v>대파</v>
      </c>
    </row>
    <row r="16926">
      <c r="A16926" s="2" t="str">
        <f>IFERROR(__xludf.DUMMYFUNCTION("""COMPUTED_VALUE"""),"봉주르 캐비지")</f>
        <v>봉주르 캐비지</v>
      </c>
      <c r="B16926" s="2" t="str">
        <f>IFERROR(__xludf.DUMMYFUNCTION("""COMPUTED_VALUE"""),"마늘")</f>
        <v>마늘</v>
      </c>
    </row>
    <row r="16927">
      <c r="A16927" s="2" t="str">
        <f>IFERROR(__xludf.DUMMYFUNCTION("""COMPUTED_VALUE"""),"봉주르 캐비지")</f>
        <v>봉주르 캐비지</v>
      </c>
      <c r="B16927" s="2" t="str">
        <f>IFERROR(__xludf.DUMMYFUNCTION("""COMPUTED_VALUE"""),"버터")</f>
        <v>버터</v>
      </c>
    </row>
    <row r="16928">
      <c r="A16928" s="2" t="str">
        <f>IFERROR(__xludf.DUMMYFUNCTION("""COMPUTED_VALUE"""),"봉주르 캐비지")</f>
        <v>봉주르 캐비지</v>
      </c>
      <c r="B16928" s="2" t="str">
        <f>IFERROR(__xludf.DUMMYFUNCTION("""COMPUTED_VALUE"""),"레몬")</f>
        <v>레몬</v>
      </c>
    </row>
    <row r="16929">
      <c r="A16929" s="2" t="str">
        <f>IFERROR(__xludf.DUMMYFUNCTION("""COMPUTED_VALUE"""),"봉주르 캐비지")</f>
        <v>봉주르 캐비지</v>
      </c>
      <c r="B16929" s="2" t="str">
        <f>IFERROR(__xludf.DUMMYFUNCTION("""COMPUTED_VALUE"""),"올리브오일")</f>
        <v>올리브오일</v>
      </c>
    </row>
    <row r="16930">
      <c r="A16930" s="2" t="str">
        <f>IFERROR(__xludf.DUMMYFUNCTION("""COMPUTED_VALUE"""),"봉주르 캐비지")</f>
        <v>봉주르 캐비지</v>
      </c>
      <c r="B16930" s="2" t="str">
        <f>IFERROR(__xludf.DUMMYFUNCTION("""COMPUTED_VALUE"""),"고추")</f>
        <v>고추</v>
      </c>
    </row>
    <row r="16931">
      <c r="A16931" s="2" t="str">
        <f>IFERROR(__xludf.DUMMYFUNCTION("""COMPUTED_VALUE"""),"봉주르 캐비지")</f>
        <v>봉주르 캐비지</v>
      </c>
      <c r="B16931" s="2" t="str">
        <f>IFERROR(__xludf.DUMMYFUNCTION("""COMPUTED_VALUE"""),"소금")</f>
        <v>소금</v>
      </c>
    </row>
    <row r="16932">
      <c r="A16932" s="2" t="str">
        <f>IFERROR(__xludf.DUMMYFUNCTION("""COMPUTED_VALUE"""),"봉주르 캐비지")</f>
        <v>봉주르 캐비지</v>
      </c>
      <c r="B16932" s="2" t="str">
        <f>IFERROR(__xludf.DUMMYFUNCTION("""COMPUTED_VALUE"""),"후추")</f>
        <v>후추</v>
      </c>
    </row>
    <row r="16933">
      <c r="A16933" s="2" t="str">
        <f>IFERROR(__xludf.DUMMYFUNCTION("""COMPUTED_VALUE"""),"캐비지 돌풍!")</f>
        <v>캐비지 돌풍!</v>
      </c>
      <c r="B16933" s="2" t="str">
        <f>IFERROR(__xludf.DUMMYFUNCTION("""COMPUTED_VALUE"""),"채끝살")</f>
        <v>채끝살</v>
      </c>
    </row>
    <row r="16934">
      <c r="A16934" s="2" t="str">
        <f>IFERROR(__xludf.DUMMYFUNCTION("""COMPUTED_VALUE"""),"캐비지 돌풍!")</f>
        <v>캐비지 돌풍!</v>
      </c>
      <c r="B16934" s="2" t="str">
        <f>IFERROR(__xludf.DUMMYFUNCTION("""COMPUTED_VALUE"""),"양배추")</f>
        <v>양배추</v>
      </c>
    </row>
    <row r="16935">
      <c r="A16935" s="2" t="str">
        <f>IFERROR(__xludf.DUMMYFUNCTION("""COMPUTED_VALUE"""),"캐비지 돌풍!")</f>
        <v>캐비지 돌풍!</v>
      </c>
      <c r="B16935" s="2" t="str">
        <f>IFERROR(__xludf.DUMMYFUNCTION("""COMPUTED_VALUE"""),"방울토마토")</f>
        <v>방울토마토</v>
      </c>
    </row>
    <row r="16936">
      <c r="A16936" s="2" t="str">
        <f>IFERROR(__xludf.DUMMYFUNCTION("""COMPUTED_VALUE"""),"캐비지 돌풍!")</f>
        <v>캐비지 돌풍!</v>
      </c>
      <c r="B16936" s="2" t="str">
        <f>IFERROR(__xludf.DUMMYFUNCTION("""COMPUTED_VALUE"""),"슬라이스 체다치즈")</f>
        <v>슬라이스 체다치즈</v>
      </c>
    </row>
    <row r="16937">
      <c r="A16937" s="2" t="str">
        <f>IFERROR(__xludf.DUMMYFUNCTION("""COMPUTED_VALUE"""),"캐비지 돌풍!")</f>
        <v>캐비지 돌풍!</v>
      </c>
      <c r="B16937" s="2" t="str">
        <f>IFERROR(__xludf.DUMMYFUNCTION("""COMPUTED_VALUE"""),"굴소스")</f>
        <v>굴소스</v>
      </c>
    </row>
    <row r="16938">
      <c r="A16938" s="2" t="str">
        <f>IFERROR(__xludf.DUMMYFUNCTION("""COMPUTED_VALUE"""),"캐비지 돌풍!")</f>
        <v>캐비지 돌풍!</v>
      </c>
      <c r="B16938" s="2" t="str">
        <f>IFERROR(__xludf.DUMMYFUNCTION("""COMPUTED_VALUE"""),"부추")</f>
        <v>부추</v>
      </c>
    </row>
    <row r="16939">
      <c r="A16939" s="2" t="str">
        <f>IFERROR(__xludf.DUMMYFUNCTION("""COMPUTED_VALUE"""),"캐비지 돌풍!")</f>
        <v>캐비지 돌풍!</v>
      </c>
      <c r="B16939" s="2" t="str">
        <f>IFERROR(__xludf.DUMMYFUNCTION("""COMPUTED_VALUE"""),"파르메산 치즈")</f>
        <v>파르메산 치즈</v>
      </c>
    </row>
    <row r="16940">
      <c r="A16940" s="2" t="str">
        <f>IFERROR(__xludf.DUMMYFUNCTION("""COMPUTED_VALUE"""),"캐비지 돌풍!")</f>
        <v>캐비지 돌풍!</v>
      </c>
      <c r="B16940" s="2" t="str">
        <f>IFERROR(__xludf.DUMMYFUNCTION("""COMPUTED_VALUE"""),"표고버섯")</f>
        <v>표고버섯</v>
      </c>
    </row>
    <row r="16941">
      <c r="A16941" s="2" t="str">
        <f>IFERROR(__xludf.DUMMYFUNCTION("""COMPUTED_VALUE"""),"캐비지 돌풍!")</f>
        <v>캐비지 돌풍!</v>
      </c>
      <c r="B16941" s="2" t="str">
        <f>IFERROR(__xludf.DUMMYFUNCTION("""COMPUTED_VALUE"""),"소시지")</f>
        <v>소시지</v>
      </c>
    </row>
    <row r="16942">
      <c r="A16942" s="2" t="str">
        <f>IFERROR(__xludf.DUMMYFUNCTION("""COMPUTED_VALUE"""),"캐비지 돌풍!")</f>
        <v>캐비지 돌풍!</v>
      </c>
      <c r="B16942" s="2" t="str">
        <f>IFERROR(__xludf.DUMMYFUNCTION("""COMPUTED_VALUE"""),"스테이크소스")</f>
        <v>스테이크소스</v>
      </c>
    </row>
    <row r="16943">
      <c r="A16943" s="2" t="str">
        <f>IFERROR(__xludf.DUMMYFUNCTION("""COMPUTED_VALUE"""),"캐비지 돌풍!")</f>
        <v>캐비지 돌풍!</v>
      </c>
      <c r="B16943" s="2" t="str">
        <f>IFERROR(__xludf.DUMMYFUNCTION("""COMPUTED_VALUE"""),"꿀")</f>
        <v>꿀</v>
      </c>
    </row>
    <row r="16944">
      <c r="A16944" s="2" t="str">
        <f>IFERROR(__xludf.DUMMYFUNCTION("""COMPUTED_VALUE"""),"캐비지 돌풍!")</f>
        <v>캐비지 돌풍!</v>
      </c>
      <c r="B16944" s="2" t="str">
        <f>IFERROR(__xludf.DUMMYFUNCTION("""COMPUTED_VALUE"""),"밀가루")</f>
        <v>밀가루</v>
      </c>
    </row>
    <row r="16945">
      <c r="A16945" s="2" t="str">
        <f>IFERROR(__xludf.DUMMYFUNCTION("""COMPUTED_VALUE"""),"캐비지 돌풍!")</f>
        <v>캐비지 돌풍!</v>
      </c>
      <c r="B16945" s="2" t="str">
        <f>IFERROR(__xludf.DUMMYFUNCTION("""COMPUTED_VALUE"""),"버터")</f>
        <v>버터</v>
      </c>
    </row>
    <row r="16946">
      <c r="A16946" s="2" t="str">
        <f>IFERROR(__xludf.DUMMYFUNCTION("""COMPUTED_VALUE"""),"캐비지 돌풍!")</f>
        <v>캐비지 돌풍!</v>
      </c>
      <c r="B16946" s="2" t="str">
        <f>IFERROR(__xludf.DUMMYFUNCTION("""COMPUTED_VALUE"""),"다진마늘")</f>
        <v>다진마늘</v>
      </c>
    </row>
    <row r="16947">
      <c r="A16947" s="2" t="str">
        <f>IFERROR(__xludf.DUMMYFUNCTION("""COMPUTED_VALUE"""),"캐비지 돌풍!")</f>
        <v>캐비지 돌풍!</v>
      </c>
      <c r="B16947" s="2" t="str">
        <f>IFERROR(__xludf.DUMMYFUNCTION("""COMPUTED_VALUE"""),"소금")</f>
        <v>소금</v>
      </c>
    </row>
    <row r="16948">
      <c r="A16948" s="2" t="str">
        <f>IFERROR(__xludf.DUMMYFUNCTION("""COMPUTED_VALUE"""),"캐비지 돌풍!")</f>
        <v>캐비지 돌풍!</v>
      </c>
      <c r="B16948" s="2" t="str">
        <f>IFERROR(__xludf.DUMMYFUNCTION("""COMPUTED_VALUE"""),"후추")</f>
        <v>후추</v>
      </c>
    </row>
    <row r="16949">
      <c r="A16949" s="2" t="str">
        <f>IFERROR(__xludf.DUMMYFUNCTION("""COMPUTED_VALUE"""),"캐비지 돌풍!")</f>
        <v>캐비지 돌풍!</v>
      </c>
      <c r="B16949" s="2" t="str">
        <f>IFERROR(__xludf.DUMMYFUNCTION("""COMPUTED_VALUE"""),"전분")</f>
        <v>전분</v>
      </c>
    </row>
    <row r="16950">
      <c r="A16950" s="2" t="str">
        <f>IFERROR(__xludf.DUMMYFUNCTION("""COMPUTED_VALUE"""),"캐비지 돌풍!")</f>
        <v>캐비지 돌풍!</v>
      </c>
      <c r="B16950" s="2" t="str">
        <f>IFERROR(__xludf.DUMMYFUNCTION("""COMPUTED_VALUE"""),"달걀")</f>
        <v>달걀</v>
      </c>
    </row>
    <row r="16951">
      <c r="A16951" s="2" t="str">
        <f>IFERROR(__xludf.DUMMYFUNCTION("""COMPUTED_VALUE"""),"캐비지 돌풍!")</f>
        <v>캐비지 돌풍!</v>
      </c>
      <c r="B16951" s="2" t="str">
        <f>IFERROR(__xludf.DUMMYFUNCTION("""COMPUTED_VALUE"""),"대파")</f>
        <v>대파</v>
      </c>
    </row>
    <row r="16952">
      <c r="A16952" s="2" t="str">
        <f>IFERROR(__xludf.DUMMYFUNCTION("""COMPUTED_VALUE"""),"피시 앤 만두")</f>
        <v>피시 앤 만두</v>
      </c>
      <c r="B16952" s="2" t="str">
        <f>IFERROR(__xludf.DUMMYFUNCTION("""COMPUTED_VALUE"""),"조기")</f>
        <v>조기</v>
      </c>
    </row>
    <row r="16953">
      <c r="A16953" s="2" t="str">
        <f>IFERROR(__xludf.DUMMYFUNCTION("""COMPUTED_VALUE"""),"피시 앤 만두")</f>
        <v>피시 앤 만두</v>
      </c>
      <c r="B16953" s="2" t="str">
        <f>IFERROR(__xludf.DUMMYFUNCTION("""COMPUTED_VALUE"""),"가자미")</f>
        <v>가자미</v>
      </c>
    </row>
    <row r="16954">
      <c r="A16954" s="2" t="str">
        <f>IFERROR(__xludf.DUMMYFUNCTION("""COMPUTED_VALUE"""),"피시 앤 만두")</f>
        <v>피시 앤 만두</v>
      </c>
      <c r="B16954" s="2" t="str">
        <f>IFERROR(__xludf.DUMMYFUNCTION("""COMPUTED_VALUE"""),"자숙새우")</f>
        <v>자숙새우</v>
      </c>
    </row>
    <row r="16955">
      <c r="A16955" s="2" t="str">
        <f>IFERROR(__xludf.DUMMYFUNCTION("""COMPUTED_VALUE"""),"피시 앤 만두")</f>
        <v>피시 앤 만두</v>
      </c>
      <c r="B16955" s="2" t="str">
        <f>IFERROR(__xludf.DUMMYFUNCTION("""COMPUTED_VALUE"""),"부추")</f>
        <v>부추</v>
      </c>
    </row>
    <row r="16956">
      <c r="A16956" s="2" t="str">
        <f>IFERROR(__xludf.DUMMYFUNCTION("""COMPUTED_VALUE"""),"피시 앤 만두")</f>
        <v>피시 앤 만두</v>
      </c>
      <c r="B16956" s="2" t="str">
        <f>IFERROR(__xludf.DUMMYFUNCTION("""COMPUTED_VALUE"""),"김")</f>
        <v>김</v>
      </c>
    </row>
    <row r="16957">
      <c r="A16957" s="2" t="str">
        <f>IFERROR(__xludf.DUMMYFUNCTION("""COMPUTED_VALUE"""),"피시 앤 만두")</f>
        <v>피시 앤 만두</v>
      </c>
      <c r="B16957" s="2" t="str">
        <f>IFERROR(__xludf.DUMMYFUNCTION("""COMPUTED_VALUE"""),"굴소스")</f>
        <v>굴소스</v>
      </c>
    </row>
    <row r="16958">
      <c r="A16958" s="2" t="str">
        <f>IFERROR(__xludf.DUMMYFUNCTION("""COMPUTED_VALUE"""),"피시 앤 만두")</f>
        <v>피시 앤 만두</v>
      </c>
      <c r="B16958" s="2" t="str">
        <f>IFERROR(__xludf.DUMMYFUNCTION("""COMPUTED_VALUE"""),"표고버섯")</f>
        <v>표고버섯</v>
      </c>
    </row>
    <row r="16959">
      <c r="A16959" s="2" t="str">
        <f>IFERROR(__xludf.DUMMYFUNCTION("""COMPUTED_VALUE"""),"피시 앤 만두")</f>
        <v>피시 앤 만두</v>
      </c>
      <c r="B16959" s="2" t="str">
        <f>IFERROR(__xludf.DUMMYFUNCTION("""COMPUTED_VALUE"""),"파김치")</f>
        <v>파김치</v>
      </c>
    </row>
    <row r="16960">
      <c r="A16960" s="2" t="str">
        <f>IFERROR(__xludf.DUMMYFUNCTION("""COMPUTED_VALUE"""),"피시 앤 만두")</f>
        <v>피시 앤 만두</v>
      </c>
      <c r="B16960" s="2" t="str">
        <f>IFERROR(__xludf.DUMMYFUNCTION("""COMPUTED_VALUE"""),"양파")</f>
        <v>양파</v>
      </c>
    </row>
    <row r="16961">
      <c r="A16961" s="2" t="str">
        <f>IFERROR(__xludf.DUMMYFUNCTION("""COMPUTED_VALUE"""),"피시 앤 만두")</f>
        <v>피시 앤 만두</v>
      </c>
      <c r="B16961" s="2" t="str">
        <f>IFERROR(__xludf.DUMMYFUNCTION("""COMPUTED_VALUE"""),"밀가루")</f>
        <v>밀가루</v>
      </c>
    </row>
    <row r="16962">
      <c r="A16962" s="2" t="str">
        <f>IFERROR(__xludf.DUMMYFUNCTION("""COMPUTED_VALUE"""),"피시 앤 만두")</f>
        <v>피시 앤 만두</v>
      </c>
      <c r="B16962" s="2" t="str">
        <f>IFERROR(__xludf.DUMMYFUNCTION("""COMPUTED_VALUE"""),"대파")</f>
        <v>대파</v>
      </c>
    </row>
    <row r="16963">
      <c r="A16963" s="2" t="str">
        <f>IFERROR(__xludf.DUMMYFUNCTION("""COMPUTED_VALUE"""),"피시 앤 만두")</f>
        <v>피시 앤 만두</v>
      </c>
      <c r="B16963" s="2" t="str">
        <f>IFERROR(__xludf.DUMMYFUNCTION("""COMPUTED_VALUE"""),"마요네즈")</f>
        <v>마요네즈</v>
      </c>
    </row>
    <row r="16964">
      <c r="A16964" s="2" t="str">
        <f>IFERROR(__xludf.DUMMYFUNCTION("""COMPUTED_VALUE"""),"피시 앤 만두")</f>
        <v>피시 앤 만두</v>
      </c>
      <c r="B16964" s="2" t="str">
        <f>IFERROR(__xludf.DUMMYFUNCTION("""COMPUTED_VALUE"""),"다진 생강")</f>
        <v>다진 생강</v>
      </c>
    </row>
    <row r="16965">
      <c r="A16965" s="2" t="str">
        <f>IFERROR(__xludf.DUMMYFUNCTION("""COMPUTED_VALUE"""),"피시 앤 만두")</f>
        <v>피시 앤 만두</v>
      </c>
      <c r="B16965" s="2" t="str">
        <f>IFERROR(__xludf.DUMMYFUNCTION("""COMPUTED_VALUE"""),"고춧가루")</f>
        <v>고춧가루</v>
      </c>
    </row>
    <row r="16966">
      <c r="A16966" s="2" t="str">
        <f>IFERROR(__xludf.DUMMYFUNCTION("""COMPUTED_VALUE"""),"피시 앤 만두")</f>
        <v>피시 앤 만두</v>
      </c>
      <c r="B16966" s="2" t="str">
        <f>IFERROR(__xludf.DUMMYFUNCTION("""COMPUTED_VALUE"""),"다진 마늘")</f>
        <v>다진 마늘</v>
      </c>
    </row>
    <row r="16967">
      <c r="A16967" s="2" t="str">
        <f>IFERROR(__xludf.DUMMYFUNCTION("""COMPUTED_VALUE"""),"피시 앤 만두")</f>
        <v>피시 앤 만두</v>
      </c>
      <c r="B16967" s="2" t="str">
        <f>IFERROR(__xludf.DUMMYFUNCTION("""COMPUTED_VALUE"""),"참기름")</f>
        <v>참기름</v>
      </c>
    </row>
    <row r="16968">
      <c r="A16968" s="2" t="str">
        <f>IFERROR(__xludf.DUMMYFUNCTION("""COMPUTED_VALUE"""),"피시 앤 만두")</f>
        <v>피시 앤 만두</v>
      </c>
      <c r="B16968" s="2" t="str">
        <f>IFERROR(__xludf.DUMMYFUNCTION("""COMPUTED_VALUE"""),"간장")</f>
        <v>간장</v>
      </c>
    </row>
    <row r="16969">
      <c r="A16969" s="2" t="str">
        <f>IFERROR(__xludf.DUMMYFUNCTION("""COMPUTED_VALUE"""),"피시 앤 만두")</f>
        <v>피시 앤 만두</v>
      </c>
      <c r="B16969" s="2" t="str">
        <f>IFERROR(__xludf.DUMMYFUNCTION("""COMPUTED_VALUE"""),"식초")</f>
        <v>식초</v>
      </c>
    </row>
    <row r="16970">
      <c r="A16970" s="2" t="str">
        <f>IFERROR(__xludf.DUMMYFUNCTION("""COMPUTED_VALUE"""),"피시 앤 만두")</f>
        <v>피시 앤 만두</v>
      </c>
      <c r="B16970" s="2" t="str">
        <f>IFERROR(__xludf.DUMMYFUNCTION("""COMPUTED_VALUE"""),"홍고추")</f>
        <v>홍고추</v>
      </c>
    </row>
    <row r="16971">
      <c r="A16971" s="2" t="str">
        <f>IFERROR(__xludf.DUMMYFUNCTION("""COMPUTED_VALUE"""),"피시 앤 만두")</f>
        <v>피시 앤 만두</v>
      </c>
      <c r="B16971" s="2" t="str">
        <f>IFERROR(__xludf.DUMMYFUNCTION("""COMPUTED_VALUE"""),"고추")</f>
        <v>고추</v>
      </c>
    </row>
    <row r="16972">
      <c r="A16972" s="2" t="str">
        <f>IFERROR(__xludf.DUMMYFUNCTION("""COMPUTED_VALUE"""),"피시 앤 만두")</f>
        <v>피시 앤 만두</v>
      </c>
      <c r="B16972" s="2" t="str">
        <f>IFERROR(__xludf.DUMMYFUNCTION("""COMPUTED_VALUE"""),"설탕")</f>
        <v>설탕</v>
      </c>
    </row>
    <row r="16973">
      <c r="A16973" s="2" t="str">
        <f>IFERROR(__xludf.DUMMYFUNCTION("""COMPUTED_VALUE"""),"만두 만두 만두 눈꽃만두♬")</f>
        <v>만두 만두 만두 눈꽃만두♬</v>
      </c>
      <c r="B16973" s="2" t="str">
        <f>IFERROR(__xludf.DUMMYFUNCTION("""COMPUTED_VALUE"""),"소등심")</f>
        <v>소등심</v>
      </c>
    </row>
    <row r="16974">
      <c r="A16974" s="2" t="str">
        <f>IFERROR(__xludf.DUMMYFUNCTION("""COMPUTED_VALUE"""),"만두 만두 만두 눈꽃만두♬")</f>
        <v>만두 만두 만두 눈꽃만두♬</v>
      </c>
      <c r="B16974" s="2" t="str">
        <f>IFERROR(__xludf.DUMMYFUNCTION("""COMPUTED_VALUE"""),"인스턴트 만두")</f>
        <v>인스턴트 만두</v>
      </c>
    </row>
    <row r="16975">
      <c r="A16975" s="2" t="str">
        <f>IFERROR(__xludf.DUMMYFUNCTION("""COMPUTED_VALUE"""),"만두 만두 만두 눈꽃만두♬")</f>
        <v>만두 만두 만두 눈꽃만두♬</v>
      </c>
      <c r="B16975" s="2" t="str">
        <f>IFERROR(__xludf.DUMMYFUNCTION("""COMPUTED_VALUE"""),"팽이버섯")</f>
        <v>팽이버섯</v>
      </c>
    </row>
    <row r="16976">
      <c r="A16976" s="2" t="str">
        <f>IFERROR(__xludf.DUMMYFUNCTION("""COMPUTED_VALUE"""),"만두 만두 만두 눈꽃만두♬")</f>
        <v>만두 만두 만두 눈꽃만두♬</v>
      </c>
      <c r="B16976" s="2" t="str">
        <f>IFERROR(__xludf.DUMMYFUNCTION("""COMPUTED_VALUE"""),"부추")</f>
        <v>부추</v>
      </c>
    </row>
    <row r="16977">
      <c r="A16977" s="2" t="str">
        <f>IFERROR(__xludf.DUMMYFUNCTION("""COMPUTED_VALUE"""),"만두 만두 만두 눈꽃만두♬")</f>
        <v>만두 만두 만두 눈꽃만두♬</v>
      </c>
      <c r="B16977" s="2" t="str">
        <f>IFERROR(__xludf.DUMMYFUNCTION("""COMPUTED_VALUE"""),"파프리카")</f>
        <v>파프리카</v>
      </c>
    </row>
    <row r="16978">
      <c r="A16978" s="2" t="str">
        <f>IFERROR(__xludf.DUMMYFUNCTION("""COMPUTED_VALUE"""),"만두 만두 만두 눈꽃만두♬")</f>
        <v>만두 만두 만두 눈꽃만두♬</v>
      </c>
      <c r="B16978" s="2" t="str">
        <f>IFERROR(__xludf.DUMMYFUNCTION("""COMPUTED_VALUE"""),"애호박")</f>
        <v>애호박</v>
      </c>
    </row>
    <row r="16979">
      <c r="A16979" s="2" t="str">
        <f>IFERROR(__xludf.DUMMYFUNCTION("""COMPUTED_VALUE"""),"만두 만두 만두 눈꽃만두♬")</f>
        <v>만두 만두 만두 눈꽃만두♬</v>
      </c>
      <c r="B16979" s="2" t="str">
        <f>IFERROR(__xludf.DUMMYFUNCTION("""COMPUTED_VALUE"""),"새송이버섯")</f>
        <v>새송이버섯</v>
      </c>
    </row>
    <row r="16980">
      <c r="A16980" s="2" t="str">
        <f>IFERROR(__xludf.DUMMYFUNCTION("""COMPUTED_VALUE"""),"만두 만두 만두 눈꽃만두♬")</f>
        <v>만두 만두 만두 눈꽃만두♬</v>
      </c>
      <c r="B16980" s="2" t="str">
        <f>IFERROR(__xludf.DUMMYFUNCTION("""COMPUTED_VALUE"""),"아스파라거스")</f>
        <v>아스파라거스</v>
      </c>
    </row>
    <row r="16981">
      <c r="A16981" s="2" t="str">
        <f>IFERROR(__xludf.DUMMYFUNCTION("""COMPUTED_VALUE"""),"만두 만두 만두 눈꽃만두♬")</f>
        <v>만두 만두 만두 눈꽃만두♬</v>
      </c>
      <c r="B16981" s="2" t="str">
        <f>IFERROR(__xludf.DUMMYFUNCTION("""COMPUTED_VALUE"""),"가래떡")</f>
        <v>가래떡</v>
      </c>
    </row>
    <row r="16982">
      <c r="A16982" s="2" t="str">
        <f>IFERROR(__xludf.DUMMYFUNCTION("""COMPUTED_VALUE"""),"만두 만두 만두 눈꽃만두♬")</f>
        <v>만두 만두 만두 눈꽃만두♬</v>
      </c>
      <c r="B16982" s="2" t="str">
        <f>IFERROR(__xludf.DUMMYFUNCTION("""COMPUTED_VALUE"""),"트러플 소금")</f>
        <v>트러플 소금</v>
      </c>
    </row>
    <row r="16983">
      <c r="A16983" s="2" t="str">
        <f>IFERROR(__xludf.DUMMYFUNCTION("""COMPUTED_VALUE"""),"만두 만두 만두 눈꽃만두♬")</f>
        <v>만두 만두 만두 눈꽃만두♬</v>
      </c>
      <c r="B16983" s="2" t="str">
        <f>IFERROR(__xludf.DUMMYFUNCTION("""COMPUTED_VALUE"""),"트러플 오일")</f>
        <v>트러플 오일</v>
      </c>
    </row>
    <row r="16984">
      <c r="A16984" s="2" t="str">
        <f>IFERROR(__xludf.DUMMYFUNCTION("""COMPUTED_VALUE"""),"만두 만두 만두 눈꽃만두♬")</f>
        <v>만두 만두 만두 눈꽃만두♬</v>
      </c>
      <c r="B16984" s="2" t="str">
        <f>IFERROR(__xludf.DUMMYFUNCTION("""COMPUTED_VALUE"""),"참깨소스")</f>
        <v>참깨소스</v>
      </c>
    </row>
    <row r="16985">
      <c r="A16985" s="2" t="str">
        <f>IFERROR(__xludf.DUMMYFUNCTION("""COMPUTED_VALUE"""),"만두 만두 만두 눈꽃만두♬")</f>
        <v>만두 만두 만두 눈꽃만두♬</v>
      </c>
      <c r="B16985" s="2" t="str">
        <f>IFERROR(__xludf.DUMMYFUNCTION("""COMPUTED_VALUE"""),"배추김치")</f>
        <v>배추김치</v>
      </c>
    </row>
    <row r="16986">
      <c r="A16986" s="2" t="str">
        <f>IFERROR(__xludf.DUMMYFUNCTION("""COMPUTED_VALUE"""),"만두 만두 만두 눈꽃만두♬")</f>
        <v>만두 만두 만두 눈꽃만두♬</v>
      </c>
      <c r="B16986" s="2" t="str">
        <f>IFERROR(__xludf.DUMMYFUNCTION("""COMPUTED_VALUE"""),"고추장아찌")</f>
        <v>고추장아찌</v>
      </c>
    </row>
    <row r="16987">
      <c r="A16987" s="2" t="str">
        <f>IFERROR(__xludf.DUMMYFUNCTION("""COMPUTED_VALUE"""),"만두 만두 만두 눈꽃만두♬")</f>
        <v>만두 만두 만두 눈꽃만두♬</v>
      </c>
      <c r="B16987" s="2" t="str">
        <f>IFERROR(__xludf.DUMMYFUNCTION("""COMPUTED_VALUE"""),"밀가루")</f>
        <v>밀가루</v>
      </c>
    </row>
    <row r="16988">
      <c r="A16988" s="2" t="str">
        <f>IFERROR(__xludf.DUMMYFUNCTION("""COMPUTED_VALUE"""),"만두 만두 만두 눈꽃만두♬")</f>
        <v>만두 만두 만두 눈꽃만두♬</v>
      </c>
      <c r="B16988" s="2" t="str">
        <f>IFERROR(__xludf.DUMMYFUNCTION("""COMPUTED_VALUE"""),"설탕")</f>
        <v>설탕</v>
      </c>
    </row>
    <row r="16989">
      <c r="A16989" s="2" t="str">
        <f>IFERROR(__xludf.DUMMYFUNCTION("""COMPUTED_VALUE"""),"만두 만두 만두 눈꽃만두♬")</f>
        <v>만두 만두 만두 눈꽃만두♬</v>
      </c>
      <c r="B16989" s="2" t="str">
        <f>IFERROR(__xludf.DUMMYFUNCTION("""COMPUTED_VALUE"""),"맛술")</f>
        <v>맛술</v>
      </c>
    </row>
    <row r="16990">
      <c r="A16990" s="2" t="str">
        <f>IFERROR(__xludf.DUMMYFUNCTION("""COMPUTED_VALUE"""),"만두 만두 만두 눈꽃만두♬")</f>
        <v>만두 만두 만두 눈꽃만두♬</v>
      </c>
      <c r="B16990" s="2" t="str">
        <f>IFERROR(__xludf.DUMMYFUNCTION("""COMPUTED_VALUE"""),"후추")</f>
        <v>후추</v>
      </c>
    </row>
    <row r="16991">
      <c r="A16991" s="2" t="str">
        <f>IFERROR(__xludf.DUMMYFUNCTION("""COMPUTED_VALUE"""),"만두 만두 만두 눈꽃만두♬")</f>
        <v>만두 만두 만두 눈꽃만두♬</v>
      </c>
      <c r="B16991" s="2" t="str">
        <f>IFERROR(__xludf.DUMMYFUNCTION("""COMPUTED_VALUE"""),"양파")</f>
        <v>양파</v>
      </c>
    </row>
    <row r="16992">
      <c r="A16992" s="2" t="str">
        <f>IFERROR(__xludf.DUMMYFUNCTION("""COMPUTED_VALUE"""),"만두 만두 만두 눈꽃만두♬")</f>
        <v>만두 만두 만두 눈꽃만두♬</v>
      </c>
      <c r="B16992" s="2" t="str">
        <f>IFERROR(__xludf.DUMMYFUNCTION("""COMPUTED_VALUE"""),"전분")</f>
        <v>전분</v>
      </c>
    </row>
    <row r="16993">
      <c r="A16993" s="2" t="str">
        <f>IFERROR(__xludf.DUMMYFUNCTION("""COMPUTED_VALUE"""),"만두 만두 만두 눈꽃만두♬")</f>
        <v>만두 만두 만두 눈꽃만두♬</v>
      </c>
      <c r="B16993" s="2" t="str">
        <f>IFERROR(__xludf.DUMMYFUNCTION("""COMPUTED_VALUE"""),"물엿")</f>
        <v>물엿</v>
      </c>
    </row>
    <row r="16994">
      <c r="A16994" s="2" t="str">
        <f>IFERROR(__xludf.DUMMYFUNCTION("""COMPUTED_VALUE"""),"만두 만두 만두 눈꽃만두♬")</f>
        <v>만두 만두 만두 눈꽃만두♬</v>
      </c>
      <c r="B16994" s="2" t="str">
        <f>IFERROR(__xludf.DUMMYFUNCTION("""COMPUTED_VALUE"""),"깨")</f>
        <v>깨</v>
      </c>
    </row>
    <row r="16995">
      <c r="A16995" s="2" t="str">
        <f>IFERROR(__xludf.DUMMYFUNCTION("""COMPUTED_VALUE"""),"만두 만두 만두 눈꽃만두♬")</f>
        <v>만두 만두 만두 눈꽃만두♬</v>
      </c>
      <c r="B16995" s="2" t="str">
        <f>IFERROR(__xludf.DUMMYFUNCTION("""COMPUTED_VALUE"""),"다진 마늘")</f>
        <v>다진 마늘</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1270</v>
      </c>
      <c r="B1" s="1" t="s">
        <v>1274</v>
      </c>
    </row>
    <row r="2">
      <c r="A2" s="2" t="str">
        <f>recipe!C2
</f>
        <v>치킨 밀푀유</v>
      </c>
    </row>
    <row r="3">
      <c r="A3" s="2" t="str">
        <f>recipe!C3
</f>
        <v>취닭거리</v>
      </c>
    </row>
    <row r="4">
      <c r="A4" s="2" t="str">
        <f>recipe!C4
</f>
        <v>닭딸</v>
      </c>
    </row>
    <row r="5">
      <c r="A5" s="2" t="str">
        <f>recipe!C5
</f>
        <v>어머니 맛 풍족밥</v>
      </c>
    </row>
    <row r="6">
      <c r="A6" s="2" t="str">
        <f>recipe!C6
</f>
        <v>치킨 요로케</v>
      </c>
    </row>
    <row r="7">
      <c r="A7" s="2" t="str">
        <f>recipe!C7
</f>
        <v>포크 미트볼</v>
      </c>
    </row>
    <row r="8">
      <c r="A8" s="2" t="str">
        <f>recipe!C8
</f>
        <v>만두부인 육수터졌네</v>
      </c>
    </row>
    <row r="9">
      <c r="A9" s="2" t="str">
        <f>recipe!C9
</f>
        <v>심쿵 오믈렛</v>
      </c>
    </row>
    <row r="10">
      <c r="A10" s="2" t="str">
        <f>recipe!C10
</f>
        <v>엔초비 파스타</v>
      </c>
    </row>
    <row r="11">
      <c r="A11" s="2" t="str">
        <f>recipe!C11
</f>
        <v>고기와 썸타는 떡국떡 삼합</v>
      </c>
    </row>
    <row r="12">
      <c r="A12" s="2" t="str">
        <f>recipe!C12
</f>
        <v>와닭</v>
      </c>
    </row>
    <row r="13">
      <c r="A13" s="2" t="str">
        <f>recipe!C13
</f>
        <v>브로콜리 치킨</v>
      </c>
    </row>
    <row r="14">
      <c r="A14" s="2" t="str">
        <f>recipe!C14
</f>
        <v>삼겹살 플레이트</v>
      </c>
    </row>
    <row r="15">
      <c r="A15" s="2" t="str">
        <f>recipe!C15
</f>
        <v>강남비빔면</v>
      </c>
    </row>
    <row r="16">
      <c r="A16" s="2" t="str">
        <f>recipe!C16
</f>
        <v>나 또 브리또</v>
      </c>
    </row>
    <row r="17">
      <c r="A17" s="2" t="str">
        <f>recipe!C17
</f>
        <v>갸루상 케이크</v>
      </c>
    </row>
    <row r="18">
      <c r="A18" s="2" t="str">
        <f>recipe!C18
</f>
        <v>PLETKA</v>
      </c>
    </row>
    <row r="19">
      <c r="A19" s="2" t="str">
        <f>recipe!C19
</f>
        <v>다 줄게라면</v>
      </c>
    </row>
    <row r="20">
      <c r="A20" s="2" t="str">
        <f>recipe!C20
</f>
        <v>우리집에 오.새.요</v>
      </c>
    </row>
    <row r="21">
      <c r="A21" s="2" t="str">
        <f>recipe!C21
</f>
        <v>Mr.콩chu~♥</v>
      </c>
    </row>
    <row r="22">
      <c r="A22" s="2" t="str">
        <f>recipe!C22
</f>
        <v>For덕</v>
      </c>
    </row>
    <row r="23">
      <c r="A23" s="2" t="str">
        <f>recipe!C23
</f>
        <v>프로틴 스틱</v>
      </c>
    </row>
    <row r="24">
      <c r="A24" s="2" t="str">
        <f>recipe!C24
</f>
        <v>불닭 소시지</v>
      </c>
    </row>
    <row r="25">
      <c r="A25" s="2" t="str">
        <f>recipe!C25
</f>
        <v>매우면 참치 &amp; 쏘루아밀크</v>
      </c>
    </row>
    <row r="26">
      <c r="A26" s="2" t="str">
        <f>recipe!C26
</f>
        <v>삼층돈탑</v>
      </c>
    </row>
    <row r="27">
      <c r="A27" s="2" t="str">
        <f>recipe!C27
</f>
        <v>엠티 오후의 라면</v>
      </c>
    </row>
    <row r="28">
      <c r="A28" s="2" t="str">
        <f>recipe!C28
</f>
        <v>봉선아 시집가자미</v>
      </c>
    </row>
    <row r="29">
      <c r="A29" s="2" t="str">
        <f>recipe!C29
</f>
        <v>스키니 신</v>
      </c>
    </row>
    <row r="30">
      <c r="A30" s="2" t="str">
        <f>recipe!C30
</f>
        <v>파티비프</v>
      </c>
    </row>
    <row r="31">
      <c r="A31" s="2" t="str">
        <f>recipe!C31
</f>
        <v>아이러브유부</v>
      </c>
    </row>
    <row r="32">
      <c r="A32" s="2" t="str">
        <f>recipe!C32
</f>
        <v>곤약 봉골레 곤봉</v>
      </c>
    </row>
    <row r="33">
      <c r="A33" s="2" t="str">
        <f>recipe!C33
</f>
        <v>렛잇컵</v>
      </c>
    </row>
    <row r="34">
      <c r="A34" s="2" t="str">
        <f>recipe!C34
</f>
        <v>마이 러블리 튀밥</v>
      </c>
    </row>
    <row r="35">
      <c r="A35" s="2" t="str">
        <f>recipe!C35
</f>
        <v>자투리타타</v>
      </c>
    </row>
    <row r="36">
      <c r="A36" s="2" t="str">
        <f>recipe!C36
</f>
        <v>괜찮아, 목심이야</v>
      </c>
    </row>
    <row r="37">
      <c r="A37" s="2" t="str">
        <f>recipe!C37
</f>
        <v>마이 스위트 베이비</v>
      </c>
    </row>
    <row r="38">
      <c r="A38" s="2" t="str">
        <f>recipe!C38
</f>
        <v>어란대첩</v>
      </c>
    </row>
    <row r="39">
      <c r="A39" s="2" t="str">
        <f>recipe!C39
</f>
        <v>뉴타운 달팽이</v>
      </c>
    </row>
    <row r="40">
      <c r="A40" s="2" t="str">
        <f>recipe!C40
</f>
        <v>삼국회담</v>
      </c>
    </row>
    <row r="41">
      <c r="A41" s="2" t="str">
        <f>recipe!C41
</f>
        <v>로맨티스튜~♡</v>
      </c>
    </row>
    <row r="42">
      <c r="A42" s="2" t="str">
        <f>recipe!C42
</f>
        <v>섹시 한 컵</v>
      </c>
    </row>
    <row r="43">
      <c r="A43" s="2" t="str">
        <f>recipe!C43
</f>
        <v>가희에게 반하나</v>
      </c>
    </row>
    <row r="44">
      <c r="A44" s="2" t="str">
        <f>recipe!C44
</f>
        <v>엑소 떡볶이</v>
      </c>
    </row>
    <row r="45">
      <c r="A45" s="2" t="str">
        <f>recipe!C45
</f>
        <v>한 뚝볶이 하실래예?</v>
      </c>
    </row>
    <row r="46">
      <c r="A46" s="2" t="str">
        <f>recipe!C46
</f>
        <v>굴로장생</v>
      </c>
    </row>
    <row r="47">
      <c r="A47" s="2" t="str">
        <f>recipe!C47
</f>
        <v>낙지 호로록</v>
      </c>
    </row>
    <row r="48">
      <c r="A48" s="2" t="str">
        <f>recipe!C48
</f>
        <v>달.고.나</v>
      </c>
    </row>
    <row r="49">
      <c r="A49" s="2" t="str">
        <f>recipe!C49
</f>
        <v>오순도순</v>
      </c>
    </row>
    <row r="50">
      <c r="A50" s="2" t="str">
        <f>recipe!C50
</f>
        <v>굴링굴링</v>
      </c>
    </row>
    <row r="51">
      <c r="A51" s="2" t="str">
        <f>recipe!C51
</f>
        <v>보굴보굴</v>
      </c>
    </row>
    <row r="52">
      <c r="A52" s="2" t="str">
        <f>recipe!C52
</f>
        <v>허풍찜닭밥</v>
      </c>
    </row>
    <row r="53">
      <c r="A53" s="2" t="str">
        <f>recipe!C53
</f>
        <v>허달달</v>
      </c>
    </row>
    <row r="54">
      <c r="A54" s="2" t="str">
        <f>recipe!C54
</f>
        <v>파콘 투게더</v>
      </c>
    </row>
    <row r="55">
      <c r="A55" s="2" t="str">
        <f>recipe!C55
</f>
        <v>백 투 더 치킨</v>
      </c>
    </row>
    <row r="56">
      <c r="A56" s="2" t="str">
        <f>recipe!C56
</f>
        <v>멕시코 갓(god) 쌈?!</v>
      </c>
    </row>
    <row r="57">
      <c r="A57" s="2" t="str">
        <f>recipe!C57
</f>
        <v>타코 리턴</v>
      </c>
    </row>
    <row r="58">
      <c r="A58" s="2" t="str">
        <f>recipe!C58
</f>
        <v>냉장고탕</v>
      </c>
    </row>
    <row r="59">
      <c r="A59" s="2" t="str">
        <f>recipe!C59
</f>
        <v>고된 밀푀유</v>
      </c>
    </row>
    <row r="60">
      <c r="A60" s="2" t="str">
        <f>recipe!C60
</f>
        <v>안심하드라고~!</v>
      </c>
    </row>
    <row r="61">
      <c r="A61" s="2" t="str">
        <f>recipe!C61
</f>
        <v>미숫가루보나라</v>
      </c>
    </row>
    <row r="62">
      <c r="A62" s="2" t="str">
        <f>recipe!C62
</f>
        <v>미소볼</v>
      </c>
    </row>
    <row r="63">
      <c r="A63" s="2" t="str">
        <f>recipe!C63
</f>
        <v>와풍 주니어 버거</v>
      </c>
    </row>
    <row r="64">
      <c r="A64" s="2" t="str">
        <f>recipe!C64
</f>
        <v>트리퐁크라운</v>
      </c>
    </row>
    <row r="65">
      <c r="A65" s="2" t="str">
        <f>recipe!C65
</f>
        <v>라벤더숲</v>
      </c>
    </row>
    <row r="66">
      <c r="A66" s="2" t="str">
        <f>recipe!C66
</f>
        <v>살치는 매운 요리</v>
      </c>
    </row>
    <row r="67">
      <c r="A67" s="2" t="str">
        <f>recipe!C67
</f>
        <v>삼고마비</v>
      </c>
    </row>
    <row r="68">
      <c r="A68" s="2" t="str">
        <f>recipe!C68
</f>
        <v>가슴이 콩닭콩닭</v>
      </c>
    </row>
    <row r="69">
      <c r="A69" s="2" t="str">
        <f>recipe!C69
</f>
        <v>나 혼자 쓰리볼</v>
      </c>
    </row>
    <row r="70">
      <c r="A70" s="2" t="str">
        <f>recipe!C70
</f>
        <v>연양만점</v>
      </c>
    </row>
    <row r="71">
      <c r="A71" s="2" t="str">
        <f>recipe!C71
</f>
        <v>의기양양</v>
      </c>
    </row>
    <row r="72">
      <c r="A72" s="2" t="str">
        <f>recipe!C72
</f>
        <v>감자봤수란</v>
      </c>
    </row>
    <row r="73">
      <c r="A73" s="2" t="str">
        <f>recipe!C73
</f>
        <v>미치고 팔닭</v>
      </c>
    </row>
    <row r="74">
      <c r="A74" s="2" t="str">
        <f>recipe!C74
</f>
        <v>2연타</v>
      </c>
    </row>
    <row r="75">
      <c r="A75" s="2" t="str">
        <f>recipe!C75
</f>
        <v>홍런볼</v>
      </c>
    </row>
    <row r="76">
      <c r="A76" s="2" t="str">
        <f>recipe!C76
</f>
        <v>비어 쉬림프</v>
      </c>
    </row>
    <row r="77">
      <c r="A77" s="2" t="str">
        <f>recipe!C77
</f>
        <v>치튀치튀뱅뱅</v>
      </c>
    </row>
    <row r="78">
      <c r="A78" s="2" t="str">
        <f>recipe!C78
</f>
        <v>사우나 육국수</v>
      </c>
    </row>
    <row r="79">
      <c r="A79" s="2" t="str">
        <f>recipe!C79
</f>
        <v>완소짬뽕</v>
      </c>
    </row>
    <row r="80">
      <c r="A80" s="2" t="str">
        <f>recipe!C80
</f>
        <v>털업 샐러드</v>
      </c>
    </row>
    <row r="81">
      <c r="A81" s="2" t="str">
        <f>recipe!C81
</f>
        <v>하우 두 유두?</v>
      </c>
    </row>
    <row r="82">
      <c r="A82" s="2" t="str">
        <f>recipe!C82
</f>
        <v>치즈 듬풍 토스트</v>
      </c>
    </row>
    <row r="83">
      <c r="A83" s="2" t="str">
        <f>recipe!C83
</f>
        <v>샘 앤 치즈 그라탱</v>
      </c>
    </row>
    <row r="84">
      <c r="A84" s="2" t="str">
        <f>recipe!C84
</f>
        <v>베리베리 러블리걸</v>
      </c>
    </row>
    <row r="85">
      <c r="A85" s="2" t="str">
        <f>recipe!C85
</f>
        <v>LOL : The love of your life</v>
      </c>
    </row>
    <row r="86">
      <c r="A86" s="2" t="str">
        <f>recipe!C86
</f>
        <v>순결한 튀김</v>
      </c>
    </row>
    <row r="87">
      <c r="A87" s="2" t="str">
        <f>recipe!C87
</f>
        <v>고기 차이나</v>
      </c>
    </row>
    <row r="88">
      <c r="A88" s="2" t="str">
        <f>recipe!C88
</f>
        <v>힘을 내요 슈퍼 나베</v>
      </c>
    </row>
    <row r="89">
      <c r="A89" s="2" t="str">
        <f>recipe!C89
</f>
        <v>소테미너</v>
      </c>
    </row>
    <row r="90">
      <c r="A90" s="2" t="str">
        <f>recipe!C90
</f>
        <v>초코 모찌 맛있찌</v>
      </c>
    </row>
    <row r="91">
      <c r="A91" s="2" t="str">
        <f>recipe!C91
</f>
        <v>수플레가 머랭?</v>
      </c>
    </row>
    <row r="92">
      <c r="A92" s="2" t="str">
        <f>recipe!C92
</f>
        <v>그.레.요 (그대를 위한 레토르트 요리)</v>
      </c>
    </row>
    <row r="93">
      <c r="A93" s="2" t="str">
        <f>recipe!C93
</f>
        <v>수픈데 오믈렛</v>
      </c>
    </row>
    <row r="94">
      <c r="A94" s="2" t="str">
        <f>recipe!C94
</f>
        <v>빠리송로</v>
      </c>
    </row>
    <row r="95">
      <c r="A95" s="2" t="str">
        <f>recipe!C95
</f>
        <v>머라노</v>
      </c>
    </row>
    <row r="96">
      <c r="A96" s="2" t="str">
        <f>recipe!C96
</f>
        <v>파프리콘</v>
      </c>
    </row>
    <row r="97">
      <c r="A97" s="2" t="str">
        <f>recipe!C97
</f>
        <v>섬섬옥수수</v>
      </c>
    </row>
    <row r="98">
      <c r="A98" s="2" t="str">
        <f>recipe!C98
</f>
        <v>스푼 파스타</v>
      </c>
    </row>
    <row r="99">
      <c r="A99" s="2" t="str">
        <f>recipe!C99
</f>
        <v>연복쌈</v>
      </c>
    </row>
    <row r="100">
      <c r="A100" s="2" t="str">
        <f>recipe!C100
</f>
        <v>갈갈이 풍면</v>
      </c>
    </row>
    <row r="101">
      <c r="A101" s="2" t="str">
        <f>recipe!C101
</f>
        <v>한식 브런찜</v>
      </c>
    </row>
    <row r="102">
      <c r="A102" s="2" t="str">
        <f>recipe!C102
</f>
        <v>연복풍 덮밥</v>
      </c>
    </row>
    <row r="103">
      <c r="A103" s="2" t="str">
        <f>recipe!C103
</f>
        <v>윌나잇까스</v>
      </c>
    </row>
    <row r="104">
      <c r="A104" s="2" t="str">
        <f>recipe!C104
</f>
        <v>이것이 원윌이닭</v>
      </c>
    </row>
    <row r="105">
      <c r="A105" s="2" t="str">
        <f>recipe!C105
</f>
        <v>치킨 마요랑깨</v>
      </c>
    </row>
    <row r="106">
      <c r="A106" s="2" t="str">
        <f>recipe!C106
</f>
        <v>감동의 더가니</v>
      </c>
    </row>
    <row r="107">
      <c r="A107" s="2" t="str">
        <f>recipe!C107
</f>
        <v>치사의 사탑</v>
      </c>
    </row>
    <row r="108">
      <c r="A108" s="2" t="str">
        <f>recipe!C108
</f>
        <v>와인퐁당</v>
      </c>
    </row>
    <row r="109">
      <c r="A109" s="2" t="str">
        <f>recipe!C109
</f>
        <v>우와한 양갈비</v>
      </c>
    </row>
    <row r="110">
      <c r="A110" s="2" t="str">
        <f>recipe!C110
</f>
        <v>이길 만두 하자냐</v>
      </c>
    </row>
    <row r="111">
      <c r="A111" s="2" t="str">
        <f>recipe!C111
</f>
        <v>복꽃엔딩</v>
      </c>
    </row>
    <row r="112">
      <c r="A112" s="2" t="str">
        <f>recipe!C112
</f>
        <v>맹모닝</v>
      </c>
    </row>
    <row r="113">
      <c r="A113" s="2" t="str">
        <f>recipe!C113
</f>
        <v>LA 떡다져스</v>
      </c>
    </row>
    <row r="114">
      <c r="A114" s="2" t="str">
        <f>recipe!C114
</f>
        <v>혜.품.닭</v>
      </c>
    </row>
    <row r="115">
      <c r="A115" s="2" t="str">
        <f>recipe!C115
</f>
        <v>커룽지</v>
      </c>
    </row>
    <row r="116">
      <c r="A116" s="2" t="str">
        <f>recipe!C116
</f>
        <v>아빠손 피자</v>
      </c>
    </row>
    <row r="117">
      <c r="A117" s="2" t="str">
        <f>recipe!C117
</f>
        <v>따라미소</v>
      </c>
    </row>
    <row r="118">
      <c r="A118" s="2" t="str">
        <f>recipe!C118
</f>
        <v>흥.칩.풍</v>
      </c>
    </row>
    <row r="119">
      <c r="A119" s="2" t="str">
        <f>recipe!C119
</f>
        <v>이롤슈가</v>
      </c>
    </row>
    <row r="120">
      <c r="A120" s="2" t="str">
        <f>recipe!C120
</f>
        <v>나이스 춘권</v>
      </c>
    </row>
    <row r="121">
      <c r="A121" s="2" t="str">
        <f>recipe!C121
</f>
        <v>오리감자 너엇~!</v>
      </c>
    </row>
    <row r="122">
      <c r="A122" s="2" t="str">
        <f>recipe!C122
</f>
        <v>행사의 완자님</v>
      </c>
    </row>
    <row r="123">
      <c r="A123" s="2" t="str">
        <f>recipe!C123
</f>
        <v>막창 한 번 믿어봐~</v>
      </c>
    </row>
    <row r="124">
      <c r="A124" s="2" t="str">
        <f>recipe!C124
</f>
        <v>김마삼</v>
      </c>
    </row>
    <row r="125">
      <c r="A125" s="2" t="str">
        <f>recipe!C125
</f>
        <v>누르삼</v>
      </c>
    </row>
    <row r="126">
      <c r="A126" s="2" t="str">
        <f>recipe!C126
</f>
        <v>만두렀써니</v>
      </c>
    </row>
    <row r="127">
      <c r="A127" s="2" t="str">
        <f>recipe!C127
</f>
        <v>오겹시대</v>
      </c>
    </row>
    <row r="128">
      <c r="A128" s="2" t="str">
        <f>recipe!C128
</f>
        <v>코드네임 써니</v>
      </c>
    </row>
    <row r="129">
      <c r="A129" s="2" t="str">
        <f>recipe!C129
</f>
        <v>오시지</v>
      </c>
    </row>
    <row r="130">
      <c r="A130" s="2" t="str">
        <f>recipe!C130
</f>
        <v>나이스 투 미튜</v>
      </c>
    </row>
    <row r="131">
      <c r="A131" s="2" t="str">
        <f>recipe!C131
</f>
        <v>복침개</v>
      </c>
    </row>
    <row r="132">
      <c r="A132" s="2" t="str">
        <f>recipe!C132
</f>
        <v>토달토달</v>
      </c>
    </row>
    <row r="133">
      <c r="A133" s="2" t="str">
        <f>recipe!C133
</f>
        <v>아육동</v>
      </c>
    </row>
    <row r="134">
      <c r="A134" s="2" t="str">
        <f>recipe!C134
</f>
        <v>뽀빠이롤</v>
      </c>
    </row>
    <row r="135">
      <c r="A135" s="2" t="str">
        <f>recipe!C135
</f>
        <v>부드러어</v>
      </c>
    </row>
    <row r="136">
      <c r="A136" s="2" t="str">
        <f>recipe!C136
</f>
        <v>오린기</v>
      </c>
    </row>
    <row r="137">
      <c r="A137" s="2" t="str">
        <f>recipe!C137
</f>
        <v>허니버터징</v>
      </c>
    </row>
    <row r="138">
      <c r="A138" s="2" t="str">
        <f>recipe!C138
</f>
        <v>납작 탕수육</v>
      </c>
    </row>
    <row r="139">
      <c r="A139" s="2" t="str">
        <f>recipe!C139
</f>
        <v>샐러드 올리오</v>
      </c>
    </row>
    <row r="140">
      <c r="A140" s="2" t="str">
        <f>recipe!C140
</f>
        <v>소고기 냉부</v>
      </c>
    </row>
    <row r="141">
      <c r="A141" s="2" t="str">
        <f>recipe!C141
</f>
        <v>채면차림</v>
      </c>
    </row>
    <row r="142">
      <c r="A142" s="2" t="str">
        <f>recipe!C142
</f>
        <v>보아 씨, 초면입니다</v>
      </c>
    </row>
    <row r="143">
      <c r="A143" s="2" t="str">
        <f>recipe!C143
</f>
        <v>최.면.석</v>
      </c>
    </row>
    <row r="144">
      <c r="A144" s="2" t="str">
        <f>recipe!C144
</f>
        <v>맛있게 자시오</v>
      </c>
    </row>
    <row r="145">
      <c r="A145" s="2" t="str">
        <f>recipe!C145
</f>
        <v>옥돔이 맛있돔</v>
      </c>
    </row>
    <row r="146">
      <c r="A146" s="2" t="str">
        <f>recipe!C146
</f>
        <v>키스 버거</v>
      </c>
    </row>
    <row r="147">
      <c r="A147" s="2" t="str">
        <f>recipe!C147
</f>
        <v>소시지 달콤하시지</v>
      </c>
    </row>
    <row r="148">
      <c r="A148" s="2" t="str">
        <f>recipe!C148
</f>
        <v>소고기가 살아있네~</v>
      </c>
    </row>
    <row r="149">
      <c r="A149" s="2" t="str">
        <f>recipe!C149
</f>
        <v>족발 먹을 곤약?</v>
      </c>
    </row>
    <row r="150">
      <c r="A150" s="2" t="str">
        <f>recipe!C150
</f>
        <v>술푸자냐</v>
      </c>
    </row>
    <row r="151">
      <c r="A151" s="2" t="str">
        <f>recipe!C151
</f>
        <v>새로운 샐러드와 수란잔</v>
      </c>
    </row>
    <row r="152">
      <c r="A152" s="2" t="str">
        <f>recipe!C152
</f>
        <v>별미 리소토</v>
      </c>
    </row>
    <row r="153">
      <c r="A153" s="2" t="str">
        <f>recipe!C153
</f>
        <v>이 참외 비빔면</v>
      </c>
    </row>
    <row r="154">
      <c r="A154" s="2" t="str">
        <f>recipe!C154
</f>
        <v>넘사복</v>
      </c>
    </row>
    <row r="155">
      <c r="A155" s="2" t="str">
        <f>recipe!C155
</f>
        <v>풍살기</v>
      </c>
    </row>
    <row r="156">
      <c r="A156" s="2" t="str">
        <f>recipe!C156
</f>
        <v>요거닭</v>
      </c>
    </row>
    <row r="157">
      <c r="A157" s="2" t="str">
        <f>recipe!C157
</f>
        <v>가지가지 한다</v>
      </c>
    </row>
    <row r="158">
      <c r="A158" s="2" t="str">
        <f>recipe!C158
</f>
        <v>명란 한주먹</v>
      </c>
    </row>
    <row r="159">
      <c r="A159" s="2" t="str">
        <f>recipe!C159
</f>
        <v>다 이 김</v>
      </c>
    </row>
    <row r="160">
      <c r="A160" s="2" t="str">
        <f>recipe!C160
</f>
        <v>동파면</v>
      </c>
    </row>
    <row r="161">
      <c r="A161" s="2" t="str">
        <f>recipe!C161
</f>
        <v>커리업</v>
      </c>
    </row>
    <row r="162">
      <c r="A162" s="2" t="str">
        <f>recipe!C162
</f>
        <v>복면완자</v>
      </c>
    </row>
    <row r="163">
      <c r="A163" s="2" t="str">
        <f>recipe!C163
</f>
        <v>돈 워리 비 해피</v>
      </c>
    </row>
    <row r="164">
      <c r="A164" s="2" t="str">
        <f>recipe!C164
</f>
        <v>연어가 똠얌꽁냥</v>
      </c>
    </row>
    <row r="165">
      <c r="A165" s="2" t="str">
        <f>recipe!C165
</f>
        <v>삼겹살 팟티</v>
      </c>
    </row>
    <row r="166">
      <c r="A166" s="2" t="str">
        <f>recipe!C166
</f>
        <v>돔 샤카라카</v>
      </c>
    </row>
    <row r="167">
      <c r="A167" s="2" t="str">
        <f>recipe!C167
</f>
        <v>베스트 오브 베스튜</v>
      </c>
    </row>
    <row r="168">
      <c r="A168" s="2" t="str">
        <f>recipe!C168
</f>
        <v>화채 얼쑤</v>
      </c>
    </row>
    <row r="169">
      <c r="A169" s="2" t="str">
        <f>recipe!C169
</f>
        <v>오 마이 갓토</v>
      </c>
    </row>
    <row r="170">
      <c r="A170" s="2" t="str">
        <f>recipe!C170
</f>
        <v>갈쌈만두</v>
      </c>
    </row>
    <row r="171">
      <c r="A171" s="2" t="str">
        <f>recipe!C171
</f>
        <v>판타스틱 어묵</v>
      </c>
    </row>
    <row r="172">
      <c r="A172" s="2" t="str">
        <f>recipe!C172
</f>
        <v>분짜지용</v>
      </c>
    </row>
    <row r="173">
      <c r="A173" s="2" t="str">
        <f>recipe!C173
</f>
        <v>양싸퀴진</v>
      </c>
    </row>
    <row r="174">
      <c r="A174" s="2" t="str">
        <f>recipe!C174
</f>
        <v>텐미닛 수프</v>
      </c>
    </row>
    <row r="175">
      <c r="A175" s="2" t="str">
        <f>recipe!C175
</f>
        <v>10분 스테이크 맛있찬오</v>
      </c>
    </row>
    <row r="176">
      <c r="A176" s="2" t="str">
        <f>recipe!C176
</f>
        <v>영광의 바지락</v>
      </c>
    </row>
    <row r="177">
      <c r="A177" s="2" t="str">
        <f>recipe!C177
</f>
        <v>파워 비어 롤</v>
      </c>
    </row>
    <row r="178">
      <c r="A178" s="2" t="str">
        <f>recipe!C178
</f>
        <v>새로 깐풍치킨</v>
      </c>
    </row>
    <row r="179">
      <c r="A179" s="2" t="str">
        <f>recipe!C179
</f>
        <v>피자 말아또</v>
      </c>
    </row>
    <row r="180">
      <c r="A180" s="2" t="str">
        <f>recipe!C180
</f>
        <v>후룩국</v>
      </c>
    </row>
    <row r="181">
      <c r="A181" s="2" t="str">
        <f>recipe!C181
</f>
        <v>고새 한 그릇</v>
      </c>
    </row>
    <row r="182">
      <c r="A182" s="2" t="str">
        <f>recipe!C182
</f>
        <v>야밤엔 복쌈</v>
      </c>
    </row>
    <row r="183">
      <c r="A183" s="2" t="str">
        <f>recipe!C183
</f>
        <v>나물 버물 파스타</v>
      </c>
    </row>
    <row r="184">
      <c r="A184" s="2" t="str">
        <f>recipe!C184
</f>
        <v>스윗 펌킨</v>
      </c>
    </row>
    <row r="185">
      <c r="A185" s="2" t="str">
        <f>recipe!C185
</f>
        <v>해물 달라고 졸라</v>
      </c>
    </row>
    <row r="186">
      <c r="A186" s="2" t="str">
        <f>recipe!C186
</f>
        <v>낭만 시래기</v>
      </c>
    </row>
    <row r="187">
      <c r="A187" s="2" t="str">
        <f>recipe!C187
</f>
        <v>낙엽 두부</v>
      </c>
    </row>
    <row r="188">
      <c r="A188" s="2" t="str">
        <f>recipe!C188
</f>
        <v>쑥테이크</v>
      </c>
    </row>
    <row r="189">
      <c r="A189" s="2" t="str">
        <f>recipe!C189
</f>
        <v>최면육회</v>
      </c>
    </row>
    <row r="190">
      <c r="A190" s="2" t="str">
        <f>recipe!C190
</f>
        <v>터치 마이 주꾸미</v>
      </c>
    </row>
    <row r="191">
      <c r="A191" s="2" t="str">
        <f>recipe!C191
</f>
        <v>리소토 먹어보라</v>
      </c>
    </row>
    <row r="192">
      <c r="A192" s="2" t="str">
        <f>recipe!C192
</f>
        <v>기세등등갈비</v>
      </c>
    </row>
    <row r="193">
      <c r="A193" s="2" t="str">
        <f>recipe!C193
</f>
        <v>등갈빈</v>
      </c>
    </row>
    <row r="194">
      <c r="A194" s="2" t="str">
        <f>recipe!C194
</f>
        <v>짱짱면</v>
      </c>
    </row>
    <row r="195">
      <c r="A195" s="2" t="str">
        <f>recipe!C195
</f>
        <v>리소토 위~아래 곱창</v>
      </c>
    </row>
    <row r="196">
      <c r="A196" s="2" t="str">
        <f>recipe!C196
</f>
        <v>풍기명란 토스트</v>
      </c>
    </row>
    <row r="197">
      <c r="A197" s="2" t="str">
        <f>recipe!C197
</f>
        <v>창난하니?</v>
      </c>
    </row>
    <row r="198">
      <c r="A198" s="2" t="str">
        <f>recipe!C198
</f>
        <v>입에 불레리나</v>
      </c>
    </row>
    <row r="199">
      <c r="A199" s="2" t="str">
        <f>recipe!C199
</f>
        <v>불새닭</v>
      </c>
    </row>
    <row r="200">
      <c r="A200" s="2" t="str">
        <f>recipe!C200
</f>
        <v>유 캔 플라이롤</v>
      </c>
    </row>
    <row r="201">
      <c r="A201" s="2" t="str">
        <f>recipe!C201
</f>
        <v>연어 타다익선</v>
      </c>
    </row>
    <row r="202">
      <c r="A202" s="2" t="str">
        <f>recipe!C202
</f>
        <v>햄복한 밥</v>
      </c>
    </row>
    <row r="203">
      <c r="A203" s="2" t="str">
        <f>recipe!C203
</f>
        <v>불량식풍</v>
      </c>
    </row>
    <row r="204">
      <c r="A204" s="2" t="str">
        <f>recipe!C204
</f>
        <v>3점 슛테이크</v>
      </c>
    </row>
    <row r="205">
      <c r="A205" s="2" t="str">
        <f>recipe!C205
</f>
        <v>아이스테키</v>
      </c>
    </row>
    <row r="206">
      <c r="A206" s="2" t="str">
        <f>recipe!C206
</f>
        <v>가슴이 심쿵해</v>
      </c>
    </row>
    <row r="207">
      <c r="A207" s="2" t="str">
        <f>recipe!C207
</f>
        <v>돈달돈달 + 여보 밥 안 안치니?</v>
      </c>
    </row>
    <row r="208">
      <c r="A208" s="2" t="str">
        <f>recipe!C208
</f>
        <v>이런 돈장</v>
      </c>
    </row>
    <row r="209">
      <c r="A209" s="2" t="str">
        <f>recipe!C209
</f>
        <v>허세우</v>
      </c>
    </row>
    <row r="210">
      <c r="A210" s="2" t="str">
        <f>recipe!C210
</f>
        <v>단칼국수</v>
      </c>
    </row>
    <row r="211">
      <c r="A211" s="2" t="str">
        <f>recipe!C211
</f>
        <v>맛있소면</v>
      </c>
    </row>
    <row r="212">
      <c r="A212" s="2" t="str">
        <f>recipe!C212
</f>
        <v>갓김치치즈스마일</v>
      </c>
    </row>
    <row r="213">
      <c r="A213" s="2" t="str">
        <f>recipe!C213
</f>
        <v>고풍격 디저트</v>
      </c>
    </row>
    <row r="214">
      <c r="A214" s="2" t="str">
        <f>recipe!C214
</f>
        <v>배추 카르복나라</v>
      </c>
    </row>
    <row r="215">
      <c r="A215" s="2" t="str">
        <f>recipe!C215
</f>
        <v>샘(킴)표 탕수육</v>
      </c>
    </row>
    <row r="216">
      <c r="A216" s="2" t="str">
        <f>recipe!C216
</f>
        <v>쓰리스타 풍코스</v>
      </c>
    </row>
    <row r="217">
      <c r="A217" s="2" t="str">
        <f>recipe!C217
</f>
        <v>미슐랭 쓰리스타는 게뿔</v>
      </c>
    </row>
    <row r="218">
      <c r="A218" s="2" t="str">
        <f>recipe!C218
</f>
        <v>로맨티스타 케이크</v>
      </c>
    </row>
    <row r="219">
      <c r="A219" s="2" t="str">
        <f>recipe!C219
</f>
        <v>마이 ♥ 케이크</v>
      </c>
    </row>
    <row r="220">
      <c r="A220" s="2" t="str">
        <f>recipe!C220
</f>
        <v>크림 속에 비친 파프리카</v>
      </c>
    </row>
    <row r="221">
      <c r="A221" s="2" t="str">
        <f>recipe!C221
</f>
        <v>사장님 라이스 버거~</v>
      </c>
    </row>
    <row r="222">
      <c r="A222" s="2" t="str">
        <f>recipe!C222
</f>
        <v>이탈리안 특급 파스타</v>
      </c>
    </row>
    <row r="223">
      <c r="A223" s="2" t="str">
        <f>recipe!C223
</f>
        <v>당근 체인지업</v>
      </c>
    </row>
    <row r="224">
      <c r="A224" s="2" t="str">
        <f>recipe!C224
</f>
        <v>입이 떡~갈비</v>
      </c>
    </row>
    <row r="225">
      <c r="A225" s="2" t="str">
        <f>recipe!C225
</f>
        <v>콩나물 팍팍 무쳤돔</v>
      </c>
    </row>
    <row r="226">
      <c r="A226" s="2" t="str">
        <f>recipe!C226
</f>
        <v>토마토 쓴다고 놀리지 말아요</v>
      </c>
    </row>
    <row r="227">
      <c r="A227" s="2" t="str">
        <f>recipe!C227
</f>
        <v>밖으로 나가버리곤약</v>
      </c>
    </row>
    <row r="228">
      <c r="A228" s="2" t="str">
        <f>recipe!C228
</f>
        <v>안심하그라탱</v>
      </c>
    </row>
    <row r="229">
      <c r="A229" s="2" t="str">
        <f>recipe!C229
</f>
        <v>홍시 밭의 거위</v>
      </c>
    </row>
    <row r="230">
      <c r="A230" s="2" t="str">
        <f>recipe!C230
</f>
        <v>장어 팔복채</v>
      </c>
    </row>
    <row r="231">
      <c r="A231" s="2" t="str">
        <f>recipe!C231
</f>
        <v>트러플 메이커</v>
      </c>
    </row>
    <row r="232">
      <c r="A232" s="2" t="str">
        <f>recipe!C232
</f>
        <v>자연풍 주의보</v>
      </c>
    </row>
    <row r="233">
      <c r="A233" s="2" t="str">
        <f>recipe!C233
</f>
        <v>마성의 해물면</v>
      </c>
    </row>
    <row r="234">
      <c r="A234" s="2" t="str">
        <f>recipe!C234
</f>
        <v>라자냐는 나자냐</v>
      </c>
    </row>
    <row r="235">
      <c r="A235" s="2" t="str">
        <f>recipe!C235
</f>
        <v>사랑햄</v>
      </c>
    </row>
    <row r="236">
      <c r="A236" s="2" t="str">
        <f>recipe!C236
</f>
        <v>가지 싸움에 새우등 터진다</v>
      </c>
    </row>
    <row r="237">
      <c r="A237" s="2" t="str">
        <f>recipe!C237
</f>
        <v>대게 맛있는 따로 덮밥</v>
      </c>
    </row>
    <row r="238">
      <c r="A238" s="2" t="str">
        <f>recipe!C238
</f>
        <v>삼치렐라</v>
      </c>
    </row>
    <row r="239">
      <c r="A239" s="2" t="str">
        <f>recipe!C239
</f>
        <v>개천에서 용 났새우</v>
      </c>
    </row>
    <row r="240">
      <c r="A240" s="2" t="str">
        <f>recipe!C240
</f>
        <v>부드럽끼</v>
      </c>
    </row>
    <row r="241">
      <c r="A241" s="2" t="str">
        <f>recipe!C241
</f>
        <v>유아식망고땡!</v>
      </c>
    </row>
    <row r="242">
      <c r="A242" s="2" t="str">
        <f>recipe!C242
</f>
        <v>요기조기 탕수</v>
      </c>
    </row>
    <row r="243">
      <c r="A243" s="2" t="str">
        <f>recipe!C243
</f>
        <v>뒤집었닭</v>
      </c>
    </row>
    <row r="244">
      <c r="A244" s="2" t="str">
        <f>recipe!C244
</f>
        <v>명란 대파주이소</v>
      </c>
    </row>
    <row r="245">
      <c r="A245" s="2" t="str">
        <f>recipe!C245
</f>
        <v>채끝과 당근</v>
      </c>
    </row>
    <row r="246">
      <c r="A246" s="2" t="str">
        <f>recipe!C246
</f>
        <v>위풍닭닭</v>
      </c>
    </row>
    <row r="247">
      <c r="A247" s="2" t="str">
        <f>recipe!C247
</f>
        <v>미트볼그레</v>
      </c>
    </row>
    <row r="248">
      <c r="A248" s="2" t="str">
        <f>recipe!C248
</f>
        <v>장풍덮밥</v>
      </c>
    </row>
    <row r="249">
      <c r="A249" s="2" t="str">
        <f>recipe!C249
</f>
        <v>돼.새.김</v>
      </c>
    </row>
    <row r="250">
      <c r="A250" s="2" t="str">
        <f>recipe!C250
</f>
        <v>아! 추로스~</v>
      </c>
    </row>
    <row r="251">
      <c r="A251" s="2" t="str">
        <f>recipe!C251
</f>
        <v>퍼펙타르트</v>
      </c>
    </row>
    <row r="252">
      <c r="A252" s="2" t="str">
        <f>recipe!C252
</f>
        <v>한잔비어떡</v>
      </c>
    </row>
    <row r="253">
      <c r="A253" s="2" t="str">
        <f>recipe!C253
</f>
        <v>닭고치</v>
      </c>
    </row>
    <row r="254">
      <c r="A254" s="2" t="str">
        <f>recipe!C254
</f>
        <v>긴밤지새우콩</v>
      </c>
    </row>
    <row r="255">
      <c r="A255" s="2" t="str">
        <f>recipe!C255
</f>
        <v>살빠질톰얌</v>
      </c>
    </row>
    <row r="256">
      <c r="A256" s="2" t="str">
        <f>recipe!C256
</f>
        <v>한잔하새우</v>
      </c>
    </row>
    <row r="257">
      <c r="A257" s="2" t="str">
        <f>recipe!C257
</f>
        <v>뱅뱅뱅볶음</v>
      </c>
    </row>
    <row r="258">
      <c r="A258" s="2" t="str">
        <f>recipe!C258
</f>
        <v>소풍가는 닭</v>
      </c>
    </row>
    <row r="259">
      <c r="A259" s="2" t="str">
        <f>recipe!C259
</f>
        <v>함박웃음치~즈</v>
      </c>
    </row>
    <row r="260">
      <c r="A260" s="2" t="str">
        <f>recipe!C260
</f>
        <v>육해공 연볶이</v>
      </c>
    </row>
    <row r="261">
      <c r="A261" s="2" t="str">
        <f>recipe!C261
</f>
        <v>너는 힙합! 나는 햄팝!</v>
      </c>
    </row>
    <row r="262">
      <c r="A262" s="2" t="str">
        <f>recipe!C262
</f>
        <v>쌈삼한 리소토</v>
      </c>
    </row>
    <row r="263">
      <c r="A263" s="2" t="str">
        <f>recipe!C263
</f>
        <v>쌈닭 파스타</v>
      </c>
    </row>
    <row r="264">
      <c r="A264" s="2" t="str">
        <f>recipe!C264
</f>
        <v>소울 푸드의 고참</v>
      </c>
    </row>
    <row r="265">
      <c r="A265" s="2" t="str">
        <f>recipe!C265
</f>
        <v>옥수스웨그 팬케이크</v>
      </c>
    </row>
    <row r="266">
      <c r="A266" s="2" t="str">
        <f>recipe!C266
</f>
        <v>등심빵빵</v>
      </c>
    </row>
    <row r="267">
      <c r="A267" s="2" t="str">
        <f>recipe!C267
</f>
        <v>달콤하게 튀겼지우</v>
      </c>
    </row>
    <row r="268">
      <c r="A268" s="2" t="str">
        <f>recipe!C268
</f>
        <v>여심전복</v>
      </c>
    </row>
    <row r="269">
      <c r="A269" s="2" t="str">
        <f>recipe!C269
</f>
        <v>여식공략</v>
      </c>
    </row>
    <row r="270">
      <c r="A270" s="2" t="str">
        <f>recipe!C270
</f>
        <v>최후의 소보로</v>
      </c>
    </row>
    <row r="271">
      <c r="A271" s="2" t="str">
        <f>recipe!C271
</f>
        <v>봉주르마끼</v>
      </c>
    </row>
    <row r="272">
      <c r="A272" s="2" t="str">
        <f>recipe!C272
</f>
        <v>어무이라이스</v>
      </c>
    </row>
    <row r="273">
      <c r="A273" s="2" t="str">
        <f>recipe!C273
</f>
        <v>돼새찌개</v>
      </c>
    </row>
    <row r="274">
      <c r="A274" s="2" t="str">
        <f>recipe!C274
</f>
        <v>못 먹어도 고! 등어</v>
      </c>
    </row>
    <row r="275">
      <c r="A275" s="2" t="str">
        <f>recipe!C275
</f>
        <v>맛있을 고양</v>
      </c>
    </row>
    <row r="276">
      <c r="A276" s="2" t="str">
        <f>recipe!C276
</f>
        <v>싹쓸이 팬</v>
      </c>
    </row>
    <row r="277">
      <c r="A277" s="2" t="str">
        <f>recipe!C277
</f>
        <v>설레기 없수</v>
      </c>
    </row>
    <row r="278">
      <c r="A278" s="2" t="str">
        <f>recipe!C278
</f>
        <v>쌈싸시지</v>
      </c>
    </row>
    <row r="279">
      <c r="A279" s="2" t="str">
        <f>recipe!C279
</f>
        <v>살몬의 지혜</v>
      </c>
    </row>
    <row r="280">
      <c r="A280" s="2" t="str">
        <f>recipe!C280
</f>
        <v>알콜달콤</v>
      </c>
    </row>
    <row r="281">
      <c r="A281" s="2" t="str">
        <f>recipe!C281
</f>
        <v>우동 노 미</v>
      </c>
    </row>
    <row r="282">
      <c r="A282" s="2" t="str">
        <f>recipe!C282
</f>
        <v>천하젤면</v>
      </c>
    </row>
    <row r="283">
      <c r="A283" s="2" t="str">
        <f>recipe!C283
</f>
        <v>젤 맛있돔</v>
      </c>
    </row>
    <row r="284">
      <c r="A284" s="2" t="str">
        <f>recipe!C284
</f>
        <v>컵있슈</v>
      </c>
    </row>
    <row r="285">
      <c r="A285" s="2" t="str">
        <f>recipe!C285
</f>
        <v>버블버블버블밥!</v>
      </c>
    </row>
    <row r="286">
      <c r="A286" s="2" t="str">
        <f>recipe!C286
</f>
        <v>어머님이 샘이니</v>
      </c>
    </row>
    <row r="287">
      <c r="A287" s="2" t="str">
        <f>recipe!C287
</f>
        <v>버섯닭</v>
      </c>
    </row>
    <row r="288">
      <c r="A288" s="2" t="str">
        <f>recipe!C288
</f>
        <v>기절초(코)풍</v>
      </c>
    </row>
    <row r="289">
      <c r="A289" s="2" t="str">
        <f>recipe!C289
</f>
        <v>부티 귀티 싼티</v>
      </c>
    </row>
    <row r="290">
      <c r="A290" s="2" t="str">
        <f>recipe!C290
</f>
        <v>만두가 머랭?</v>
      </c>
    </row>
    <row r="291">
      <c r="A291" s="2" t="str">
        <f>recipe!C291
</f>
        <v>계이득</v>
      </c>
    </row>
    <row r="292">
      <c r="A292" s="2" t="str">
        <f>recipe!C292
</f>
        <v>김흥국</v>
      </c>
    </row>
    <row r="293">
      <c r="A293" s="2" t="str">
        <f>recipe!C293
</f>
        <v>앗싸~ 호랑나베!</v>
      </c>
    </row>
    <row r="294">
      <c r="A294" s="2" t="str">
        <f>recipe!C294
</f>
        <v>오필승 파에야</v>
      </c>
    </row>
    <row r="295">
      <c r="A295" s="2" t="str">
        <f>recipe!C295
</f>
        <v>레알 만두리드</v>
      </c>
    </row>
    <row r="296">
      <c r="A296" s="2" t="str">
        <f>recipe!C296
</f>
        <v>아따~ 조기찜 맛있다잉!</v>
      </c>
    </row>
    <row r="297">
      <c r="A297" s="2" t="str">
        <f>recipe!C297
</f>
        <v>민어는 축구선수를 좋아해</v>
      </c>
    </row>
    <row r="298">
      <c r="A298" s="2" t="str">
        <f>recipe!C298
</f>
        <v>다 털었Show!</v>
      </c>
    </row>
    <row r="299">
      <c r="A299" s="2" t="str">
        <f>recipe!C299
</f>
        <v>떡.고.치</v>
      </c>
    </row>
    <row r="300">
      <c r="A300" s="2" t="str">
        <f>recipe!C300
</f>
        <v>파니니 안파니</v>
      </c>
    </row>
    <row r="301">
      <c r="A301" s="2" t="str">
        <f>recipe!C301
</f>
        <v>검사외조</v>
      </c>
    </row>
    <row r="302">
      <c r="A302" s="2" t="str">
        <f>recipe!C302
</f>
        <v>샤부의 샐러드</v>
      </c>
    </row>
    <row r="303">
      <c r="A303" s="2" t="str">
        <f>recipe!C303
</f>
        <v>연어를 찾아~ 사바</v>
      </c>
    </row>
    <row r="304">
      <c r="A304" s="2" t="str">
        <f>recipe!C304
</f>
        <v>사와디캡 누들</v>
      </c>
    </row>
    <row r="305">
      <c r="A305" s="2" t="str">
        <f>recipe!C305
</f>
        <v>두부딥두부딥</v>
      </c>
    </row>
    <row r="306">
      <c r="A306" s="2" t="str">
        <f>recipe!C306
</f>
        <v>효도르</v>
      </c>
    </row>
    <row r="307">
      <c r="A307" s="2" t="str">
        <f>recipe!C307
</f>
        <v>아브라카부라무시</v>
      </c>
    </row>
    <row r="308">
      <c r="A308" s="2" t="str">
        <f>recipe!C308
</f>
        <v>이 만두는 모닝?</v>
      </c>
    </row>
    <row r="309">
      <c r="A309" s="2" t="str">
        <f>recipe!C309
</f>
        <v>사랑하지롤♡</v>
      </c>
    </row>
    <row r="310">
      <c r="A310" s="2" t="str">
        <f>recipe!C310
</f>
        <v>샐러드 바이블</v>
      </c>
    </row>
    <row r="311">
      <c r="A311" s="2" t="str">
        <f>recipe!C311
</f>
        <v>풍미풍미풍미 업</v>
      </c>
    </row>
    <row r="312">
      <c r="A312" s="2" t="str">
        <f>recipe!C312
</f>
        <v>채끝 인 더 대파</v>
      </c>
    </row>
    <row r="313">
      <c r="A313" s="2" t="str">
        <f>recipe!C313
</f>
        <v>퐁네프의 연어들</v>
      </c>
    </row>
    <row r="314">
      <c r="A314" s="2" t="str">
        <f>recipe!C314
</f>
        <v>아뵤~카도</v>
      </c>
    </row>
    <row r="315">
      <c r="A315" s="2" t="str">
        <f>recipe!C315
</f>
        <v>불량만쥬</v>
      </c>
    </row>
    <row r="316">
      <c r="A316" s="2" t="str">
        <f>recipe!C316
</f>
        <v>탄복면</v>
      </c>
    </row>
    <row r="317">
      <c r="A317" s="2" t="str">
        <f>recipe!C317
</f>
        <v>녹아내리면</v>
      </c>
    </row>
    <row r="318">
      <c r="A318" s="2" t="str">
        <f>recipe!C318
</f>
        <v>포켓몽</v>
      </c>
    </row>
    <row r="319">
      <c r="A319" s="2" t="str">
        <f>recipe!C319
</f>
        <v>무적 카레레인저</v>
      </c>
    </row>
    <row r="320">
      <c r="A320" s="2" t="str">
        <f>recipe!C320
</f>
        <v>민들레 만들래</v>
      </c>
    </row>
    <row r="321">
      <c r="A321" s="2" t="str">
        <f>recipe!C321
</f>
        <v>자반 방아를 돌려라</v>
      </c>
    </row>
    <row r="322">
      <c r="A322" s="2" t="str">
        <f>recipe!C322
</f>
        <v>다말았씨유</v>
      </c>
    </row>
    <row r="323">
      <c r="A323" s="2" t="str">
        <f>recipe!C323
</f>
        <v>닭.된.겨</v>
      </c>
    </row>
    <row r="324">
      <c r="A324" s="2" t="str">
        <f>recipe!C324
</f>
        <v>애플리케이크</v>
      </c>
    </row>
    <row r="325">
      <c r="A325" s="2" t="str">
        <f>recipe!C325
</f>
        <v>본능족으로</v>
      </c>
    </row>
    <row r="326">
      <c r="A326" s="2" t="str">
        <f>recipe!C326
</f>
        <v>오빤 채소스타일</v>
      </c>
    </row>
    <row r="327">
      <c r="A327" s="2" t="str">
        <f>recipe!C327
</f>
        <v>아임 소바</v>
      </c>
    </row>
    <row r="328">
      <c r="A328" s="2" t="str">
        <f>recipe!C328
</f>
        <v>바나나를 튀기면 반하나?</v>
      </c>
    </row>
    <row r="329">
      <c r="A329" s="2" t="str">
        <f>recipe!C329
</f>
        <v>렌틸콩그레츄레이션</v>
      </c>
    </row>
    <row r="330">
      <c r="A330" s="2" t="str">
        <f>recipe!C330
</f>
        <v>오늘도전</v>
      </c>
    </row>
    <row r="331">
      <c r="A331" s="2" t="str">
        <f>recipe!C331
</f>
        <v>풍볶이 말았소면</v>
      </c>
    </row>
    <row r="332">
      <c r="A332" s="2" t="str">
        <f>recipe!C332
</f>
        <v>오닭후면</v>
      </c>
    </row>
    <row r="333">
      <c r="A333" s="2" t="str">
        <f>recipe!C333
</f>
        <v>짬뽕의 순정</v>
      </c>
    </row>
    <row r="334">
      <c r="A334" s="2" t="str">
        <f>recipe!C334
</f>
        <v>터미네미트볼</v>
      </c>
    </row>
    <row r="335">
      <c r="A335" s="2" t="str">
        <f>recipe!C335
</f>
        <v>트랜스두부</v>
      </c>
    </row>
    <row r="336">
      <c r="A336" s="2" t="str">
        <f>recipe!C336
</f>
        <v>오트밀 맛있삼</v>
      </c>
    </row>
    <row r="337">
      <c r="A337" s="2" t="str">
        <f>recipe!C337
</f>
        <v>미카옐로</v>
      </c>
    </row>
    <row r="338">
      <c r="A338" s="2" t="str">
        <f>recipe!C338
</f>
        <v>하트비트</v>
      </c>
    </row>
    <row r="339">
      <c r="A339" s="2" t="str">
        <f>recipe!C339
</f>
        <v>내장풍 냉채</v>
      </c>
    </row>
    <row r="340">
      <c r="A340" s="2" t="str">
        <f>recipe!C340
</f>
        <v>염통이 바샤샤샤~</v>
      </c>
    </row>
    <row r="341">
      <c r="A341" s="2" t="str">
        <f>recipe!C341
</f>
        <v>초밥 베이베</v>
      </c>
    </row>
    <row r="342">
      <c r="A342" s="2" t="str">
        <f>recipe!C342
</f>
        <v>크레이지 크레페</v>
      </c>
    </row>
    <row r="343">
      <c r="A343" s="2" t="str">
        <f>recipe!C343
</f>
        <v>술이 깰랑말랑 몽블랑</v>
      </c>
    </row>
    <row r="344">
      <c r="A344" s="2" t="str">
        <f>recipe!C344
</f>
        <v>복차오루는 쌈</v>
      </c>
    </row>
    <row r="345">
      <c r="A345" s="2" t="str">
        <f>recipe!C345
</f>
        <v>일거양두</v>
      </c>
    </row>
    <row r="346">
      <c r="A346" s="2" t="str">
        <f>recipe!C346
</f>
        <v>나 혼자 먹게 낫토</v>
      </c>
    </row>
    <row r="347">
      <c r="A347" s="2" t="str">
        <f>recipe!C347
</f>
        <v>닭날두</v>
      </c>
    </row>
    <row r="348">
      <c r="A348" s="2" t="str">
        <f>recipe!C348
</f>
        <v>쉑쉑 파스타</v>
      </c>
    </row>
    <row r="349">
      <c r="A349" s="2" t="str">
        <f>recipe!C349
</f>
        <v>바로빵</v>
      </c>
    </row>
    <row r="350">
      <c r="A350" s="2" t="str">
        <f>recipe!C350
</f>
        <v>카우복이</v>
      </c>
    </row>
    <row r="351">
      <c r="A351" s="2" t="str">
        <f>recipe!C351
</f>
        <v>오! 가닉~ 고등어</v>
      </c>
    </row>
    <row r="352">
      <c r="A352" s="2" t="str">
        <f>recipe!C352
</f>
        <v>홀롤서기</v>
      </c>
    </row>
    <row r="353">
      <c r="A353" s="2" t="str">
        <f>recipe!C353
</f>
        <v>눈물회밥</v>
      </c>
    </row>
    <row r="354">
      <c r="A354" s="2" t="str">
        <f>recipe!C354
</f>
        <v>후덜덜이 김밥</v>
      </c>
    </row>
    <row r="355">
      <c r="A355" s="2" t="str">
        <f>recipe!C355
</f>
        <v>칼로이스</v>
      </c>
    </row>
    <row r="356">
      <c r="A356" s="2" t="str">
        <f>recipe!C356
</f>
        <v>중복냉면</v>
      </c>
    </row>
    <row r="357">
      <c r="A357" s="2" t="str">
        <f>recipe!C357
</f>
        <v>풍양냉면</v>
      </c>
    </row>
    <row r="358">
      <c r="A358" s="2" t="str">
        <f>recipe!C358
</f>
        <v>고기밀라노~</v>
      </c>
    </row>
    <row r="359">
      <c r="A359" s="2" t="str">
        <f>recipe!C359
</f>
        <v>볼로네제는 처음이제?</v>
      </c>
    </row>
    <row r="360">
      <c r="A360" s="2" t="str">
        <f>recipe!C360
</f>
        <v>웃음꼬치 피었습니다</v>
      </c>
    </row>
    <row r="361">
      <c r="A361" s="2" t="str">
        <f>recipe!C361
</f>
        <v>연장전</v>
      </c>
    </row>
    <row r="362">
      <c r="A362" s="2" t="str">
        <f>recipe!C362
</f>
        <v>발라버린닭</v>
      </c>
    </row>
    <row r="363">
      <c r="A363" s="2" t="str">
        <f>recipe!C363
</f>
        <v>포크볼</v>
      </c>
    </row>
    <row r="364">
      <c r="A364" s="2" t="str">
        <f>recipe!C364
</f>
        <v>긴급사테! 수박주의보!</v>
      </c>
    </row>
    <row r="365">
      <c r="A365" s="2" t="str">
        <f>recipe!C365
</f>
        <v>불타는 등심폭탄</v>
      </c>
    </row>
    <row r="366">
      <c r="A366" s="2" t="str">
        <f>recipe!C366
</f>
        <v>조전박살</v>
      </c>
    </row>
    <row r="367">
      <c r="A367" s="2" t="str">
        <f>recipe!C367
</f>
        <v>도미 살을 바를래</v>
      </c>
    </row>
    <row r="368">
      <c r="A368" s="2" t="str">
        <f>recipe!C368
</f>
        <v>우아한 프랑스튜</v>
      </c>
    </row>
    <row r="369">
      <c r="A369" s="2" t="str">
        <f>recipe!C369
</f>
        <v>나랑 너랑 게랑</v>
      </c>
    </row>
    <row r="370">
      <c r="A370" s="2" t="str">
        <f>recipe!C370
</f>
        <v>소스 하나면 돼</v>
      </c>
    </row>
    <row r="371">
      <c r="A371" s="2" t="str">
        <f>recipe!C371
</f>
        <v>전병 말아요~</v>
      </c>
    </row>
    <row r="372">
      <c r="A372" s="2" t="str">
        <f>recipe!C372
</f>
        <v>톰얌킹</v>
      </c>
    </row>
    <row r="373">
      <c r="A373" s="2" t="str">
        <f>recipe!C373
</f>
        <v>톰얌의 고수</v>
      </c>
    </row>
    <row r="374">
      <c r="A374" s="2" t="str">
        <f>recipe!C374
</f>
        <v>바쥐락펴락</v>
      </c>
    </row>
    <row r="375">
      <c r="A375" s="2" t="str">
        <f>recipe!C375
</f>
        <v>일탈 닭돼지락</v>
      </c>
    </row>
    <row r="376">
      <c r="A376" s="2" t="str">
        <f>recipe!C376
</f>
        <v>에그머니나</v>
      </c>
    </row>
    <row r="377">
      <c r="A377" s="2" t="str">
        <f>recipe!C377
</f>
        <v>달걀의 대시</v>
      </c>
    </row>
    <row r="378">
      <c r="A378" s="2" t="str">
        <f>recipe!C378
</f>
        <v>데워먹고 대어 낚는 낚시요리</v>
      </c>
    </row>
    <row r="379">
      <c r="A379" s="2" t="str">
        <f>recipe!C379
</f>
        <v>낚았찌개</v>
      </c>
    </row>
    <row r="380">
      <c r="A380" s="2" t="str">
        <f>recipe!C380
</f>
        <v>할아버지 최고닭!</v>
      </c>
    </row>
    <row r="381">
      <c r="A381" s="2" t="str">
        <f>recipe!C381
</f>
        <v>그랜드파더 젠틀롤</v>
      </c>
    </row>
    <row r="382">
      <c r="A382" s="2" t="str">
        <f>recipe!C382
</f>
        <v>제비 몰러 나간 알</v>
      </c>
    </row>
    <row r="383">
      <c r="A383" s="2" t="str">
        <f>recipe!C383
</f>
        <v>타임 투 새우굿</v>
      </c>
    </row>
    <row r="384">
      <c r="A384" s="2" t="str">
        <f>recipe!C384
</f>
        <v>묵은지 뚝배기</v>
      </c>
    </row>
    <row r="385">
      <c r="A385" s="2" t="str">
        <f>recipe!C385
</f>
        <v>부자 나초</v>
      </c>
    </row>
    <row r="386">
      <c r="A386" s="2" t="str">
        <f>recipe!C386
</f>
        <v>튀튀빵빵</v>
      </c>
    </row>
    <row r="387">
      <c r="A387" s="2" t="str">
        <f>recipe!C387
</f>
        <v>두밥두밥 두부두밥♬</v>
      </c>
    </row>
    <row r="388">
      <c r="A388" s="2" t="str">
        <f>recipe!C388
</f>
        <v>소주 한 잔 참치마</v>
      </c>
    </row>
    <row r="389">
      <c r="A389" s="2" t="str">
        <f>recipe!C389
</f>
        <v>두부세요~ 나야♬</v>
      </c>
    </row>
    <row r="390">
      <c r="A390" s="2" t="str">
        <f>recipe!C390
</f>
        <v>가위로 오리면</v>
      </c>
    </row>
    <row r="391">
      <c r="A391" s="2" t="str">
        <f>recipe!C391
</f>
        <v>오늘부터 오리는♬</v>
      </c>
    </row>
    <row r="392">
      <c r="A392" s="2" t="str">
        <f>recipe!C392
</f>
        <v>고등어가 놀라유</v>
      </c>
    </row>
    <row r="393">
      <c r="A393" s="2" t="str">
        <f>recipe!C393
</f>
        <v>고등어 하나만 허락해주소서♬</v>
      </c>
    </row>
    <row r="394">
      <c r="A394" s="2" t="str">
        <f>recipe!C394
</f>
        <v>블링토볼</v>
      </c>
    </row>
    <row r="395">
      <c r="A395" s="2" t="str">
        <f>recipe!C395
</f>
        <v>입맛다시징</v>
      </c>
    </row>
    <row r="396">
      <c r="A396" s="2" t="str">
        <f>recipe!C396
</f>
        <v>야들야들한~♬ 고추완자</v>
      </c>
    </row>
    <row r="397">
      <c r="A397" s="2" t="str">
        <f>recipe!C397
</f>
        <v>오징어 카니발♬</v>
      </c>
    </row>
    <row r="398">
      <c r="A398" s="2" t="str">
        <f>recipe!C398
</f>
        <v>짐승롤</v>
      </c>
    </row>
    <row r="399">
      <c r="A399" s="2" t="str">
        <f>recipe!C399
</f>
        <v>스바라시멘</v>
      </c>
    </row>
    <row r="400">
      <c r="A400" s="2" t="str">
        <f>recipe!C400
</f>
        <v>단결! 곰탕이지말입니다</v>
      </c>
    </row>
    <row r="401">
      <c r="A401" s="2" t="str">
        <f>recipe!C401
</f>
        <v>I'll be back♬</v>
      </c>
    </row>
    <row r="402">
      <c r="A402" s="2" t="str">
        <f>recipe!C402
</f>
        <v>하룻강아지 복 무서운 줄 알고 오삼</v>
      </c>
    </row>
    <row r="403">
      <c r="A403" s="2" t="str">
        <f>recipe!C403
</f>
        <v>황금탕수육</v>
      </c>
    </row>
    <row r="404">
      <c r="A404" s="2" t="str">
        <f>recipe!C404
</f>
        <v>청고마비</v>
      </c>
    </row>
    <row r="405">
      <c r="A405" s="2" t="str">
        <f>recipe!C405
</f>
        <v>나비효과</v>
      </c>
    </row>
    <row r="406">
      <c r="A406" s="2" t="str">
        <f>recipe!C406
</f>
        <v>샘통이다</v>
      </c>
    </row>
    <row r="407">
      <c r="A407" s="2" t="str">
        <f>recipe!C407
</f>
        <v>낙장불입</v>
      </c>
    </row>
    <row r="408">
      <c r="A408" s="2" t="str">
        <f>recipe!C408
</f>
        <v>깨지겠탕</v>
      </c>
    </row>
    <row r="409">
      <c r="A409" s="2" t="str">
        <f>recipe!C409
</f>
        <v>콩닭거렸쌈</v>
      </c>
    </row>
    <row r="410">
      <c r="A410" s="2" t="str">
        <f>recipe!C410
</f>
        <v>오마이갓코스</v>
      </c>
    </row>
    <row r="411">
      <c r="A411" s="2" t="str">
        <f>recipe!C411
</f>
        <v>미식풀코스</v>
      </c>
    </row>
    <row r="412">
      <c r="A412" s="2" t="str">
        <f>recipe!C412
</f>
        <v>잭슨 앤 치즈스테이크</v>
      </c>
    </row>
    <row r="413">
      <c r="A413" s="2" t="str">
        <f>recipe!C413
</f>
        <v>소울을 느끼소</v>
      </c>
    </row>
    <row r="414">
      <c r="A414" s="3" t="str">
        <f>recipe!C414
</f>
        <v>만두에 대한 경례</v>
      </c>
    </row>
    <row r="415">
      <c r="A415" s="2" t="str">
        <f>recipe!C415
</f>
        <v>복 잡으러 왔단닭</v>
      </c>
    </row>
    <row r="416">
      <c r="A416" s="2" t="str">
        <f>recipe!C416
</f>
        <v>풍절판</v>
      </c>
    </row>
    <row r="417">
      <c r="A417" s="2" t="str">
        <f>recipe!C417
</f>
        <v>으르렁 으르렁 돼지불백♬</v>
      </c>
    </row>
    <row r="418">
      <c r="A418" s="2" t="str">
        <f>recipe!C418
</f>
        <v>오빠 한번 믿어봐♬</v>
      </c>
    </row>
    <row r="419">
      <c r="A419" s="2" t="str">
        <f>recipe!C419
</f>
        <v>머랭둥둥</v>
      </c>
    </row>
    <row r="420">
      <c r="A420" s="2" t="str">
        <f>recipe!C420
</f>
        <v>식스센스</v>
      </c>
    </row>
    <row r="421">
      <c r="A421" s="2" t="str">
        <f>recipe!C421
</f>
        <v>리듬채소</v>
      </c>
    </row>
    <row r="422">
      <c r="A422" s="2" t="str">
        <f>recipe!C422
</f>
        <v>쉿테이크</v>
      </c>
    </row>
    <row r="423">
      <c r="A423" s="2" t="str">
        <f>recipe!C423
</f>
        <v>꼭꼭 숨겼디야</v>
      </c>
    </row>
    <row r="424">
      <c r="A424" s="2" t="str">
        <f>recipe!C424
</f>
        <v>복불복</v>
      </c>
    </row>
    <row r="425">
      <c r="A425" s="2" t="str">
        <f>recipe!C425
</f>
        <v>복어~싶다♬</v>
      </c>
    </row>
    <row r="426">
      <c r="A426" s="2" t="str">
        <f>recipe!C426
</f>
        <v>고르고 고른 파스타</v>
      </c>
    </row>
    <row r="427">
      <c r="A427" s="2" t="str">
        <f>recipe!C427
</f>
        <v>조선의 파스타자</v>
      </c>
    </row>
    <row r="428">
      <c r="A428" s="2" t="str">
        <f>recipe!C428
</f>
        <v>마이 무따아이가</v>
      </c>
    </row>
    <row r="429">
      <c r="A429" s="2" t="str">
        <f>recipe!C429
</f>
        <v>모시 돼진디?</v>
      </c>
    </row>
    <row r="430">
      <c r="A430" s="2" t="str">
        <f>recipe!C430
</f>
        <v>풍비박산</v>
      </c>
    </row>
    <row r="431">
      <c r="A431" s="2" t="str">
        <f>recipe!C431
</f>
        <v>치즈듬풍만두</v>
      </c>
    </row>
    <row r="432">
      <c r="A432" s="2" t="str">
        <f>recipe!C432
</f>
        <v>낫띵배럴~♬</v>
      </c>
    </row>
    <row r="433">
      <c r="A433" s="2" t="str">
        <f>recipe!C433
</f>
        <v>연게우동</v>
      </c>
    </row>
    <row r="434">
      <c r="A434" s="2" t="str">
        <f>recipe!C434
</f>
        <v>아돔케어</v>
      </c>
    </row>
    <row r="435">
      <c r="A435" s="2" t="str">
        <f>recipe!C435
</f>
        <v>아보카도롤모델</v>
      </c>
    </row>
    <row r="436">
      <c r="A436" s="2" t="str">
        <f>recipe!C436
</f>
        <v>귯갈~</v>
      </c>
    </row>
    <row r="437">
      <c r="A437" s="2" t="str">
        <f>recipe!C437
</f>
        <v>갈팡치팡</v>
      </c>
    </row>
    <row r="438">
      <c r="A438" s="2" t="str">
        <f>recipe!C438
</f>
        <v>똑같은 쌈을 강요하지마♬</v>
      </c>
    </row>
    <row r="439">
      <c r="A439" s="2" t="str">
        <f>recipe!C439
</f>
        <v>만두 널 사랑해~♬</v>
      </c>
    </row>
    <row r="440">
      <c r="A440" s="2" t="str">
        <f>recipe!C440
</f>
        <v>리소토가 차이나</v>
      </c>
    </row>
    <row r="441">
      <c r="A441" s="2" t="str">
        <f>recipe!C441
</f>
        <v>샘차이나</v>
      </c>
    </row>
    <row r="442">
      <c r="A442" s="2" t="str">
        <f>recipe!C442
</f>
        <v>풍당풍당면</v>
      </c>
    </row>
    <row r="443">
      <c r="A443" s="2" t="str">
        <f>recipe!C443
</f>
        <v>언더 더 씨♬</v>
      </c>
    </row>
    <row r="444">
      <c r="A444" s="2" t="str">
        <f>recipe!C444
</f>
        <v>완도풀 파티</v>
      </c>
    </row>
    <row r="445">
      <c r="A445" s="2" t="str">
        <f>recipe!C445
</f>
        <v>롤 is my everything♬</v>
      </c>
    </row>
    <row r="446">
      <c r="A446" s="2" t="str">
        <f>recipe!C446
</f>
        <v>완소 두부</v>
      </c>
    </row>
    <row r="447">
      <c r="A447" s="2" t="str">
        <f>recipe!C447
</f>
        <v>1등 가자~미!</v>
      </c>
    </row>
    <row r="448">
      <c r="A448" s="2" t="str">
        <f>recipe!C448
</f>
        <v>플라이 투 더 전복</v>
      </c>
    </row>
    <row r="449">
      <c r="A449" s="2" t="str">
        <f>recipe!C449
</f>
        <v>전복 미씽유♬</v>
      </c>
    </row>
    <row r="450">
      <c r="A450" s="2" t="str">
        <f>recipe!C450
</f>
        <v>복수전</v>
      </c>
    </row>
    <row r="451">
      <c r="A451" s="2" t="str">
        <f>recipe!C451
</f>
        <v>신데렐라 피자</v>
      </c>
    </row>
    <row r="452">
      <c r="A452" s="2" t="str">
        <f>recipe!C452
</f>
        <v>불량고기</v>
      </c>
    </row>
    <row r="453">
      <c r="A453" s="2" t="str">
        <f>recipe!C453
</f>
        <v>밥피자 심쿵해♬</v>
      </c>
    </row>
    <row r="454">
      <c r="A454" s="2" t="str">
        <f>recipe!C454
</f>
        <v>뚝닭뚝닭</v>
      </c>
    </row>
    <row r="455">
      <c r="A455" s="2" t="str">
        <f>recipe!C455
</f>
        <v>복된 짜장</v>
      </c>
    </row>
    <row r="456">
      <c r="A456" s="2" t="str">
        <f>recipe!C456
</f>
        <v>명풍튀김</v>
      </c>
    </row>
    <row r="457">
      <c r="A457" s="2" t="str">
        <f>recipe!C457
</f>
        <v>냉볶이</v>
      </c>
    </row>
    <row r="458">
      <c r="A458" s="2" t="str">
        <f>recipe!C458
</f>
        <v>부굴부굴</v>
      </c>
    </row>
    <row r="459">
      <c r="A459" s="2" t="str">
        <f>recipe!C459
</f>
        <v>월드스탕</v>
      </c>
    </row>
    <row r="460">
      <c r="A460" s="2" t="str">
        <f>recipe!C460
</f>
        <v>I'm 가리비 a bad boy♬</v>
      </c>
    </row>
    <row r="461">
      <c r="A461" s="2" t="str">
        <f>recipe!C461
</f>
        <v>두부로 피하고 싶어서♬</v>
      </c>
    </row>
    <row r="462">
      <c r="A462" s="2" t="str">
        <f>recipe!C462
</f>
        <v>알렉스테이크</v>
      </c>
    </row>
    <row r="463">
      <c r="A463" s="2" t="str">
        <f>recipe!C463
</f>
        <v>둘이서 한 덮밥</v>
      </c>
    </row>
    <row r="464">
      <c r="A464" s="2" t="str">
        <f>recipe!C464
</f>
        <v>파티가 오레가노</v>
      </c>
    </row>
    <row r="465">
      <c r="A465" s="2" t="str">
        <f>recipe!C465
</f>
        <v>팬타스틱</v>
      </c>
    </row>
    <row r="466">
      <c r="A466" s="2" t="str">
        <f>recipe!C466
</f>
        <v>200% 게살케이크</v>
      </c>
    </row>
    <row r="467">
      <c r="A467" s="2" t="str">
        <f>recipe!C467
</f>
        <v>갈치 너비아니</v>
      </c>
    </row>
    <row r="468">
      <c r="A468" s="2" t="str">
        <f>recipe!C468
</f>
        <v>케이밥스타</v>
      </c>
    </row>
    <row r="469">
      <c r="A469" s="2" t="str">
        <f>recipe!C469
</f>
        <v>레이면인건가♬</v>
      </c>
    </row>
    <row r="470">
      <c r="A470" s="2" t="str">
        <f>recipe!C470
</f>
        <v>시금치 나무에서 애벌레 쇼를♬</v>
      </c>
    </row>
    <row r="471">
      <c r="A471" s="2" t="str">
        <f>recipe!C471
</f>
        <v>신의 물고기</v>
      </c>
    </row>
    <row r="472">
      <c r="A472" s="2" t="str">
        <f>recipe!C472
</f>
        <v>시금치~즈</v>
      </c>
    </row>
    <row r="473">
      <c r="A473" s="2" t="str">
        <f>recipe!C473
</f>
        <v>미소 밀푀유</v>
      </c>
    </row>
    <row r="474">
      <c r="A474" s="2" t="str">
        <f>recipe!C474
</f>
        <v>everyday I 스테이크♬</v>
      </c>
    </row>
    <row r="475">
      <c r="A475" s="2" t="str">
        <f>recipe!C475
</f>
        <v>숲 속의 완자님</v>
      </c>
    </row>
    <row r="476">
      <c r="A476" s="2" t="str">
        <f>recipe!C476
</f>
        <v>미식이 오믈렛</v>
      </c>
    </row>
    <row r="477">
      <c r="A477" s="2" t="str">
        <f>recipe!C477
</f>
        <v>꿀먹었삼</v>
      </c>
    </row>
    <row r="478">
      <c r="A478" s="2" t="str">
        <f>recipe!C478
</f>
        <v>에라 모르겠닭♬</v>
      </c>
    </row>
    <row r="479">
      <c r="A479" s="2" t="str">
        <f>recipe!C479
</f>
        <v>쉬워서 오야코</v>
      </c>
    </row>
    <row r="480">
      <c r="A480" s="2" t="str">
        <f>recipe!C480
</f>
        <v>브레드 피그</v>
      </c>
    </row>
    <row r="481">
      <c r="A481" s="2" t="str">
        <f>recipe!C481
</f>
        <v>햄카츄~ 야키소바츄~♬</v>
      </c>
    </row>
    <row r="482">
      <c r="A482" s="2" t="str">
        <f>recipe!C482
</f>
        <v>비상식난</v>
      </c>
    </row>
    <row r="483">
      <c r="A483" s="2" t="str">
        <f>recipe!C483
</f>
        <v>죽지 않아~!</v>
      </c>
    </row>
    <row r="484">
      <c r="A484" s="2" t="str">
        <f>recipe!C484
</f>
        <v>굿럭탕</v>
      </c>
    </row>
    <row r="485">
      <c r="A485" s="2" t="str">
        <f>recipe!C485
</f>
        <v>솥태미나</v>
      </c>
    </row>
    <row r="486">
      <c r="A486" s="2" t="str">
        <f>recipe!C486
</f>
        <v>사랑의 초밥</v>
      </c>
    </row>
    <row r="487">
      <c r="A487" s="2" t="str">
        <f>recipe!C487
</f>
        <v>전복의 후예</v>
      </c>
    </row>
    <row r="488">
      <c r="A488" s="2" t="str">
        <f>recipe!C488
</f>
        <v>깐초이면</v>
      </c>
    </row>
    <row r="489">
      <c r="A489" s="2" t="str">
        <f>recipe!C489
</f>
        <v>갈크러쉬</v>
      </c>
    </row>
    <row r="490">
      <c r="A490" s="2" t="str">
        <f>recipe!C490
</f>
        <v>고기만두 먹으러 왜 안 왔어?</v>
      </c>
    </row>
    <row r="491">
      <c r="A491" s="2" t="str">
        <f>recipe!C491
</f>
        <v>안심펀치 쓰리강냉이</v>
      </c>
    </row>
    <row r="492">
      <c r="A492" s="2" t="str">
        <f>recipe!C492
</f>
        <v>긴풍면</v>
      </c>
    </row>
    <row r="493">
      <c r="A493" s="2" t="str">
        <f>recipe!C493
</f>
        <v>우동 튀튀♬</v>
      </c>
    </row>
    <row r="494">
      <c r="A494" s="2" t="str">
        <f>recipe!C494
</f>
        <v>산해딘미</v>
      </c>
    </row>
    <row r="495">
      <c r="A495" s="2" t="str">
        <f>recipe!C495
</f>
        <v>딘토불이 떡볶이</v>
      </c>
    </row>
    <row r="496">
      <c r="A496" s="2" t="str">
        <f>recipe!C496
</f>
        <v>Caesar Salad with Deep fried oyster</v>
      </c>
    </row>
    <row r="497">
      <c r="A497" s="2" t="str">
        <f>recipe!C497
</f>
        <v>돈코츠 드소</v>
      </c>
    </row>
    <row r="498">
      <c r="A498" s="2" t="str">
        <f>recipe!C498
</f>
        <v>장어튀겼쌈</v>
      </c>
    </row>
    <row r="499">
      <c r="A499" s="2" t="str">
        <f>recipe!C499
</f>
        <v>육회한 파튀</v>
      </c>
    </row>
    <row r="500">
      <c r="A500" s="2" t="str">
        <f>recipe!C500
</f>
        <v>피자하면 LA야~ LA야♬</v>
      </c>
    </row>
    <row r="501">
      <c r="A501" s="2" t="str">
        <f>recipe!C501
</f>
        <v>역시 피자는 시카고야~ 시카고야♬</v>
      </c>
    </row>
    <row r="502">
      <c r="A502" s="2" t="str">
        <f>recipe!C502
</f>
        <v>어차피 우승은 나자냐~</v>
      </c>
    </row>
    <row r="503">
      <c r="A503" s="2" t="str">
        <f>recipe!C503
</f>
        <v>크로켓 맛있찌</v>
      </c>
    </row>
    <row r="504">
      <c r="A504" s="2" t="str">
        <f>recipe!C504
</f>
        <v>제육과의 동침</v>
      </c>
    </row>
    <row r="505">
      <c r="A505" s="2" t="str">
        <f>recipe!C505
</f>
        <v>보쌈하새우</v>
      </c>
    </row>
    <row r="506">
      <c r="A506" s="2" t="str">
        <f>recipe!C506
</f>
        <v>돔비지마</v>
      </c>
    </row>
    <row r="507">
      <c r="A507" s="2" t="str">
        <f>recipe!C507
</f>
        <v>마파 돔돔돔돔♬</v>
      </c>
    </row>
    <row r="508">
      <c r="A508" s="2" t="str">
        <f>recipe!C508
</f>
        <v>짜장과 정열을 그대에게</v>
      </c>
    </row>
    <row r="509">
      <c r="A509" s="2" t="str">
        <f>recipe!C509
</f>
        <v>낙지엄지척♬</v>
      </c>
    </row>
    <row r="510">
      <c r="A510" s="2" t="str">
        <f>recipe!C510
</f>
        <v>무빙스타</v>
      </c>
    </row>
    <row r="511">
      <c r="A511" s="2" t="str">
        <f>recipe!C511
</f>
        <v>퍼펙트 스튜</v>
      </c>
    </row>
    <row r="512">
      <c r="A512" s="2" t="str">
        <f>recipe!C512
</f>
        <v>소면이 술술</v>
      </c>
    </row>
    <row r="513">
      <c r="A513" s="2" t="str">
        <f>recipe!C513
</f>
        <v>박살면</v>
      </c>
    </row>
    <row r="514">
      <c r="A514" s="2" t="str">
        <f>recipe!C514
</f>
        <v>아빠의 바다</v>
      </c>
    </row>
    <row r="515">
      <c r="A515" s="2" t="str">
        <f>recipe!C515
</f>
        <v>엄마의 바다</v>
      </c>
    </row>
    <row r="516">
      <c r="A516" s="2" t="str">
        <f>recipe!C516
</f>
        <v>믿어주길 바라♬</v>
      </c>
    </row>
    <row r="517">
      <c r="A517" s="2" t="str">
        <f>recipe!C517
</f>
        <v>아임 쇼 맨♬</v>
      </c>
    </row>
    <row r="518">
      <c r="A518" s="2" t="str">
        <f>recipe!C518
</f>
        <v>골뱅이 완전히 새됐어♬</v>
      </c>
    </row>
    <row r="519">
      <c r="A519" s="2" t="str">
        <f>recipe!C519
</f>
        <v>골뱅이 프린세스</v>
      </c>
    </row>
    <row r="520">
      <c r="A520" s="2" t="str">
        <f>recipe!C520
</f>
        <v>맵단세트</v>
      </c>
    </row>
    <row r="521">
      <c r="A521" s="2" t="str">
        <f>recipe!C521
</f>
        <v>니가 젓소</v>
      </c>
    </row>
    <row r="522">
      <c r="A522" s="2" t="str">
        <f>recipe!C522
</f>
        <v>오늘 밤 안주는 나야 나♬</v>
      </c>
    </row>
    <row r="523">
      <c r="A523" s="2" t="str">
        <f>recipe!C523
</f>
        <v>안심하고 드세요</v>
      </c>
    </row>
    <row r="524">
      <c r="A524" s="2" t="str">
        <f>recipe!C524
</f>
        <v>울면 안 돼♬</v>
      </c>
    </row>
    <row r="525">
      <c r="A525" s="2" t="str">
        <f>recipe!C525
</f>
        <v>수프 원샷</v>
      </c>
    </row>
    <row r="526">
      <c r="A526" s="2" t="str">
        <f>recipe!C526
</f>
        <v>에너지닭</v>
      </c>
    </row>
    <row r="527">
      <c r="A527" s="2" t="str">
        <f>recipe!C527
</f>
        <v>오삼포테이토</v>
      </c>
    </row>
    <row r="528">
      <c r="A528" s="2" t="str">
        <f>recipe!C528
</f>
        <v>shake it♬ 버거</v>
      </c>
    </row>
    <row r="529">
      <c r="A529" s="2" t="str">
        <f>recipe!C529
</f>
        <v>무~보이♬</v>
      </c>
    </row>
    <row r="530">
      <c r="A530" s="2" t="str">
        <f>recipe!C530
</f>
        <v>미스동파육</v>
      </c>
    </row>
    <row r="531">
      <c r="A531" s="2" t="str">
        <f>recipe!C531
</f>
        <v>미트코리아 진</v>
      </c>
    </row>
    <row r="532">
      <c r="A532" s="2" t="str">
        <f>recipe!C532
</f>
        <v>가지에 빠져빠져♬</v>
      </c>
    </row>
    <row r="533">
      <c r="A533" s="2" t="str">
        <f>recipe!C533
</f>
        <v>난 이제 더 이상 찌개가 아니에요♬</v>
      </c>
    </row>
    <row r="534">
      <c r="A534" s="2" t="str">
        <f>recipe!C534
</f>
        <v>미식이볼 맛있당께</v>
      </c>
    </row>
    <row r="535">
      <c r="A535" s="2" t="str">
        <f>recipe!C535
</f>
        <v>이런 안주 파쌈?</v>
      </c>
    </row>
    <row r="536">
      <c r="A536" s="2" t="str">
        <f>recipe!C536
</f>
        <v>국밥 맞고등?</v>
      </c>
    </row>
    <row r="537">
      <c r="A537" s="2" t="str">
        <f>recipe!C537
</f>
        <v>소박한 국밥</v>
      </c>
    </row>
    <row r="538">
      <c r="A538" s="2" t="str">
        <f>recipe!C538
</f>
        <v>숙모닝</v>
      </c>
    </row>
    <row r="539">
      <c r="A539" s="2" t="str">
        <f>recipe!C539
</f>
        <v>숙나잇</v>
      </c>
    </row>
    <row r="540">
      <c r="A540" s="2" t="str">
        <f>recipe!C540
</f>
        <v>이길 만두 하지? 당근!</v>
      </c>
    </row>
    <row r="541">
      <c r="A541" s="2" t="str">
        <f>recipe!C541
</f>
        <v>오늘 나~ 이길 거 맞지♬</v>
      </c>
    </row>
    <row r="542">
      <c r="A542" s="2" t="str">
        <f>recipe!C542
</f>
        <v>해산물이 맛있셧업♬</v>
      </c>
    </row>
    <row r="543">
      <c r="A543" s="2" t="str">
        <f>recipe!C543
</f>
        <v>잉글리쉿</v>
      </c>
    </row>
    <row r="544">
      <c r="A544" s="2" t="str">
        <f>recipe!C544
</f>
        <v>지천명 반상</v>
      </c>
    </row>
    <row r="545">
      <c r="A545" s="2" t="str">
        <f>recipe!C545
</f>
        <v>따르릉~ 내가 니 문어야♬</v>
      </c>
    </row>
    <row r="546">
      <c r="A546" s="2" t="str">
        <f>recipe!C546
</f>
        <v>M.S.G</v>
      </c>
    </row>
    <row r="547">
      <c r="A547" s="2" t="str">
        <f>recipe!C547
</f>
        <v>샘희태닭</v>
      </c>
    </row>
    <row r="548">
      <c r="A548" s="2" t="str">
        <f>recipe!C548
</f>
        <v>복면라왕</v>
      </c>
    </row>
    <row r="549">
      <c r="A549" s="2" t="str">
        <f>recipe!C549
</f>
        <v>렛츠고 짬짜면</v>
      </c>
    </row>
    <row r="550">
      <c r="A550" s="2" t="str">
        <f>recipe!C550
</f>
        <v>떡이라자냐</v>
      </c>
    </row>
    <row r="551">
      <c r="A551" s="2" t="str">
        <f>recipe!C551
</f>
        <v>육떡진 롤</v>
      </c>
    </row>
    <row r="552">
      <c r="A552" s="2" t="str">
        <f>recipe!C552
</f>
        <v>조동아리 샌드</v>
      </c>
    </row>
    <row r="553">
      <c r="A553" s="2" t="str">
        <f>recipe!C553
</f>
        <v>김치브레이커♬</v>
      </c>
    </row>
    <row r="554">
      <c r="A554" s="2" t="str">
        <f>recipe!C554
</f>
        <v>복면닭호</v>
      </c>
    </row>
    <row r="555">
      <c r="A555" s="2" t="str">
        <f>recipe!C555
</f>
        <v>면들에게 물어봐♬</v>
      </c>
    </row>
    <row r="556">
      <c r="A556" s="2" t="str">
        <f>recipe!C556
</f>
        <v>외할머니의 집으로~ 이경규가 간닭!</v>
      </c>
    </row>
    <row r="557">
      <c r="A557" s="2" t="str">
        <f>recipe!C557
</f>
        <v>꼬꼬탕</v>
      </c>
    </row>
    <row r="558">
      <c r="A558" s="2" t="str">
        <f>recipe!C558
</f>
        <v>이건 닭도 아니고 빵도 아니여</v>
      </c>
    </row>
    <row r="559">
      <c r="A559" s="2" t="str">
        <f>recipe!C559
</f>
        <v>공갈협빵</v>
      </c>
    </row>
    <row r="560">
      <c r="A560" s="2" t="str">
        <f>recipe!C560
</f>
        <v>어젯밤 시킨 닭</v>
      </c>
    </row>
    <row r="561">
      <c r="A561" s="2" t="str">
        <f>recipe!C561
</f>
        <v>1닭 2일</v>
      </c>
    </row>
    <row r="562">
      <c r="A562" s="2" t="str">
        <f>recipe!C562
</f>
        <v>소미양~ 스테이크양</v>
      </c>
    </row>
    <row r="563">
      <c r="A563" s="2" t="str">
        <f>recipe!C563
</f>
        <v>케사디양</v>
      </c>
    </row>
    <row r="564">
      <c r="A564" s="2" t="str">
        <f>recipe!C564
</f>
        <v>오늘 밤 상남자는 나야 나♬</v>
      </c>
    </row>
    <row r="565">
      <c r="A565" s="2" t="str">
        <f>recipe!C565
</f>
        <v>마초세트</v>
      </c>
    </row>
    <row r="566">
      <c r="A566" s="2" t="str">
        <f>recipe!C566
</f>
        <v>참돔이시여</v>
      </c>
    </row>
    <row r="567">
      <c r="A567" s="2" t="str">
        <f>recipe!C567
</f>
        <v>잘 구운 참돔 하나</v>
      </c>
    </row>
    <row r="568">
      <c r="A568" s="2" t="str">
        <f>recipe!C568
</f>
        <v>월하조어탕수</v>
      </c>
    </row>
    <row r="569">
      <c r="A569" s="2" t="str">
        <f>recipe!C569
</f>
        <v>면 때무늬야♬</v>
      </c>
    </row>
    <row r="570">
      <c r="A570" s="2" t="str">
        <f>recipe!C570
</f>
        <v>깜짝놀랄게닭</v>
      </c>
    </row>
    <row r="571">
      <c r="A571" s="2" t="str">
        <f>recipe!C571
</f>
        <v>거북전</v>
      </c>
    </row>
    <row r="572">
      <c r="A572" s="2" t="str">
        <f>recipe!C572
</f>
        <v>대세는 낙.돼.새</v>
      </c>
    </row>
    <row r="573">
      <c r="A573" s="2" t="str">
        <f>recipe!C573
</f>
        <v>오코노미~야키를 사랑해♬</v>
      </c>
    </row>
    <row r="574">
      <c r="A574" s="2" t="str">
        <f>recipe!C574
</f>
        <v>이겨도 돼지?</v>
      </c>
    </row>
    <row r="575">
      <c r="A575" s="2" t="str">
        <f>recipe!C575
</f>
        <v>오~ 쌈젤리제♬</v>
      </c>
    </row>
    <row r="576">
      <c r="A576" s="2" t="str">
        <f>recipe!C576
</f>
        <v>명백한 짬뽕</v>
      </c>
    </row>
    <row r="577">
      <c r="A577" s="2" t="str">
        <f>recipe!C577
</f>
        <v>명카엘</v>
      </c>
    </row>
    <row r="578">
      <c r="A578" s="2" t="str">
        <f>recipe!C578
</f>
        <v>복정식</v>
      </c>
    </row>
    <row r="579">
      <c r="A579" s="2" t="str">
        <f>recipe!C579
</f>
        <v>덕윤백반</v>
      </c>
    </row>
    <row r="580">
      <c r="A580" s="2" t="str">
        <f>recipe!C580
</f>
        <v>할매 라면</v>
      </c>
    </row>
    <row r="581">
      <c r="A581" s="2" t="str">
        <f>recipe!C581
</f>
        <v>중국식 냉면냉면냉면♬</v>
      </c>
    </row>
    <row r="582">
      <c r="A582" s="2" t="str">
        <f>recipe!C582
</f>
        <v>피치 못할 타르트</v>
      </c>
    </row>
    <row r="583">
      <c r="A583" s="2" t="str">
        <f>recipe!C583
</f>
        <v>최애 컵케이크</v>
      </c>
    </row>
    <row r="584">
      <c r="A584" s="2" t="str">
        <f>recipe!C584
</f>
        <v>쓰촨으로 갈 찬스</v>
      </c>
    </row>
    <row r="585">
      <c r="A585" s="2" t="str">
        <f>recipe!C585
</f>
        <v>어디에스파냐?</v>
      </c>
    </row>
    <row r="586">
      <c r="A586" s="2" t="str">
        <f>recipe!C586
</f>
        <v>햄버거 떠머거</v>
      </c>
    </row>
    <row r="587">
      <c r="A587" s="2" t="str">
        <f>recipe!C587
</f>
        <v>오븐 백반 피자</v>
      </c>
    </row>
    <row r="588">
      <c r="A588" s="2" t="str">
        <f>recipe!C588
</f>
        <v>브런치 도둑님</v>
      </c>
    </row>
    <row r="589">
      <c r="A589" s="2" t="str">
        <f>recipe!C589
</f>
        <v>불런치</v>
      </c>
    </row>
    <row r="590">
      <c r="A590" s="2" t="str">
        <f>recipe!C590
</f>
        <v>귀한 만찬</v>
      </c>
    </row>
    <row r="591">
      <c r="A591" s="2" t="str">
        <f>recipe!C591
</f>
        <v>데리만족</v>
      </c>
    </row>
    <row r="592">
      <c r="A592" s="2" t="str">
        <f>recipe!C592
</f>
        <v>장금이 브런치</v>
      </c>
    </row>
    <row r="593">
      <c r="A593" s="2" t="str">
        <f>recipe!C593
</f>
        <v>거침없이 불고기</v>
      </c>
    </row>
    <row r="594">
      <c r="A594" s="2" t="str">
        <f>recipe!C594
</f>
        <v>젓갈볶음밥을 잘 만드는 남자♬</v>
      </c>
    </row>
    <row r="595">
      <c r="A595" s="2" t="str">
        <f>recipe!C595
</f>
        <v>갈치 많이 먹어도 배 안 나오는 남자♬</v>
      </c>
    </row>
    <row r="596">
      <c r="A596" s="2" t="str">
        <f>recipe!C596
</f>
        <v>바람은 널 살치게 하네♬</v>
      </c>
    </row>
    <row r="597">
      <c r="A597" s="2" t="str">
        <f>recipe!C597
</f>
        <v>난 돼지고기가 좋더라♬</v>
      </c>
    </row>
    <row r="598">
      <c r="A598" s="2" t="str">
        <f>recipe!C598
</f>
        <v>채소를 말아요♬</v>
      </c>
    </row>
    <row r="599">
      <c r="A599" s="2" t="str">
        <f>recipe!C599
</f>
        <v>채소퀸</v>
      </c>
    </row>
    <row r="600">
      <c r="A600" s="2" t="str">
        <f>recipe!C600
</f>
        <v>완선이는 이걸 먹고 웃지</v>
      </c>
    </row>
    <row r="601">
      <c r="A601" s="2" t="str">
        <f>recipe!C601
</f>
        <v>김완섬</v>
      </c>
    </row>
    <row r="602">
      <c r="A602" s="2" t="str">
        <f>recipe!C602
</f>
        <v>낙낙낙낙 낙지호롱♬</v>
      </c>
    </row>
    <row r="603">
      <c r="A603" s="2" t="str">
        <f>recipe!C603
</f>
        <v>유러피안 낙지</v>
      </c>
    </row>
    <row r="604">
      <c r="A604" s="2" t="str">
        <f>recipe!C604
</f>
        <v>복사부일체</v>
      </c>
    </row>
    <row r="605">
      <c r="A605" s="2" t="str">
        <f>recipe!C605
</f>
        <v>넌 학생이고 난 샘이야</v>
      </c>
    </row>
    <row r="606">
      <c r="A606" s="2" t="str">
        <f>recipe!C606
</f>
        <v>조기 이즈 베리 임폴턴트</v>
      </c>
    </row>
    <row r="607">
      <c r="A607" s="2" t="str">
        <f>recipe!C607
</f>
        <v>돈테크만</v>
      </c>
    </row>
    <row r="608">
      <c r="A608" s="2" t="str">
        <f>recipe!C608
</f>
        <v>출발! 짜글이 여행</v>
      </c>
    </row>
    <row r="609">
      <c r="A609" s="2" t="str">
        <f>recipe!C609
</f>
        <v>명불허전 그뤠잇!</v>
      </c>
    </row>
    <row r="610">
      <c r="A610" s="2" t="str">
        <f>recipe!C610
</f>
        <v>HOT한 갈비찜</v>
      </c>
    </row>
    <row r="611">
      <c r="A611" s="2" t="str">
        <f>recipe!C611
</f>
        <v>입덕볶이</v>
      </c>
    </row>
    <row r="612">
      <c r="A612" s="2" t="str">
        <f>recipe!C612
</f>
        <v>소생소사</v>
      </c>
    </row>
    <row r="613">
      <c r="A613" s="2" t="str">
        <f>recipe!C613
</f>
        <v>닭스키스</v>
      </c>
    </row>
    <row r="614">
      <c r="A614" s="2" t="str">
        <f>recipe!C614
</f>
        <v>삼겹살~ 왜 내 맘을 흔드는 건데♬</v>
      </c>
    </row>
    <row r="615">
      <c r="A615" s="2" t="str">
        <f>recipe!C615
</f>
        <v>삼겹살DNA</v>
      </c>
    </row>
    <row r="616">
      <c r="A616" s="2" t="str">
        <f>recipe!C616
</f>
        <v>골풍기</v>
      </c>
    </row>
    <row r="617">
      <c r="A617" s="3" t="str">
        <f>recipe!C617
</f>
        <v>김치 곱빼기</v>
      </c>
    </row>
    <row r="618">
      <c r="A618" s="2" t="str">
        <f>recipe!C618
</f>
        <v>레이먼킴치</v>
      </c>
    </row>
    <row r="619">
      <c r="A619" s="2" t="str">
        <f>recipe!C619
</f>
        <v>김치 곱빼기</v>
      </c>
    </row>
    <row r="620">
      <c r="A620" s="2" t="str">
        <f>recipe!C620
</f>
        <v>복스테이크</v>
      </c>
    </row>
    <row r="621">
      <c r="A621" s="2" t="str">
        <f>recipe!C621
</f>
        <v>펌킨 치킨</v>
      </c>
    </row>
    <row r="622">
      <c r="A622" s="2" t="str">
        <f>recipe!C622
</f>
        <v>칼로리 듬풍 샌드위치</v>
      </c>
    </row>
    <row r="623">
      <c r="A623" s="2" t="str">
        <f>recipe!C623
</f>
        <v>슈퍼헤비급 플래터</v>
      </c>
    </row>
    <row r="624">
      <c r="A624" s="2" t="str">
        <f>recipe!C624
</f>
        <v>아모르팟타이♬</v>
      </c>
    </row>
    <row r="625">
      <c r="A625" s="2" t="str">
        <f>recipe!C625
</f>
        <v>카츠우동♬</v>
      </c>
    </row>
    <row r="626">
      <c r="A626" s="2" t="str">
        <f>recipe!C626
</f>
        <v>연복풍 탕수육</v>
      </c>
    </row>
    <row r="627">
      <c r="A627" s="2" t="str">
        <f>recipe!C627
</f>
        <v>테리우스테이크</v>
      </c>
    </row>
    <row r="628">
      <c r="A628" s="2" t="str">
        <f>recipe!C628
</f>
        <v>레복만두</v>
      </c>
    </row>
    <row r="629">
      <c r="A629" s="2" t="str">
        <f>recipe!C629
</f>
        <v>야관문 장어</v>
      </c>
    </row>
    <row r="630">
      <c r="A630" s="2" t="str">
        <f>recipe!C630
</f>
        <v>봉골레 안 먹고 가시나♬</v>
      </c>
    </row>
    <row r="631">
      <c r="A631" s="2" t="str">
        <f>recipe!C631
</f>
        <v>제비~ 복 먹으러 나간다</v>
      </c>
    </row>
    <row r="632">
      <c r="A632" s="2" t="str">
        <f>recipe!C632
</f>
        <v>마성의 분짜조</v>
      </c>
    </row>
    <row r="633">
      <c r="A633" s="2" t="str">
        <f>recipe!C633
</f>
        <v>칼제비전</v>
      </c>
    </row>
    <row r="634">
      <c r="A634" s="2" t="str">
        <f>recipe!C634
</f>
        <v>아모르 패티</v>
      </c>
    </row>
    <row r="635">
      <c r="A635" s="2" t="str">
        <f>recipe!C635
</f>
        <v>뜯고 씹고 호로록</v>
      </c>
    </row>
    <row r="636">
      <c r="A636" s="2" t="str">
        <f>recipe!C636
</f>
        <v>역전만루홍런</v>
      </c>
    </row>
    <row r="637">
      <c r="A637" s="2" t="str">
        <f>recipe!C637
</f>
        <v>샌디에이고 짜그리스</v>
      </c>
    </row>
    <row r="638">
      <c r="A638" s="2" t="str">
        <f>recipe!C638
</f>
        <v>월드시리즈 간닭!</v>
      </c>
    </row>
    <row r="639">
      <c r="A639" s="2" t="str">
        <f>recipe!C639
</f>
        <v>홍~치킨!</v>
      </c>
    </row>
    <row r="640">
      <c r="A640" s="2" t="str">
        <f>recipe!C640
</f>
        <v>사바사바♬</v>
      </c>
    </row>
    <row r="641">
      <c r="A641" s="2" t="str">
        <f>recipe!C641
</f>
        <v>마무리고등어</v>
      </c>
    </row>
    <row r="642">
      <c r="A642" s="2" t="str">
        <f>recipe!C642
</f>
        <v>퀵! 차돌박이 볶음 말이</v>
      </c>
    </row>
    <row r="643">
      <c r="A643" s="2" t="str">
        <f>recipe!C643
</f>
        <v>파이널복스</v>
      </c>
    </row>
    <row r="644">
      <c r="A644" s="2" t="str">
        <f>recipe!C644
</f>
        <v>승수를 올릴 어향가지</v>
      </c>
    </row>
    <row r="645">
      <c r="A645" s="2" t="str">
        <f>recipe!C645
</f>
        <v>이태공 스테이크</v>
      </c>
    </row>
    <row r="646">
      <c r="A646" s="2" t="str">
        <f>recipe!C646
</f>
        <v>승수나르도 파스타리오</v>
      </c>
    </row>
    <row r="647">
      <c r="A647" s="2" t="str">
        <f>recipe!C647
</f>
        <v>파스타랑깨</v>
      </c>
    </row>
    <row r="648">
      <c r="A648" s="2" t="str">
        <f>recipe!C648
</f>
        <v>벵에돔이시여</v>
      </c>
    </row>
    <row r="649">
      <c r="A649" s="2" t="str">
        <f>recipe!C649
</f>
        <v>레이먼킹돔</v>
      </c>
    </row>
    <row r="650">
      <c r="A650" s="2" t="str">
        <f>recipe!C650
</f>
        <v>이건 태곤스타일♬</v>
      </c>
    </row>
    <row r="651">
      <c r="A651" s="2" t="str">
        <f>recipe!C651
</f>
        <v>무소유</v>
      </c>
    </row>
    <row r="652">
      <c r="A652" s="2" t="str">
        <f>recipe!C652
</f>
        <v>홍시 연볶이</v>
      </c>
    </row>
    <row r="653">
      <c r="A653" s="2" t="str">
        <f>recipe!C653
</f>
        <v>완벽한 라볶이에 대한 사랑</v>
      </c>
    </row>
    <row r="654">
      <c r="A654" s="2" t="str">
        <f>recipe!C654
</f>
        <v>승소 파스타</v>
      </c>
    </row>
    <row r="655">
      <c r="A655" s="2" t="str">
        <f>recipe!C655
</f>
        <v>머쉬 치윤디~!</v>
      </c>
    </row>
    <row r="656">
      <c r="A656" s="2" t="str">
        <f>recipe!C656
</f>
        <v>풍카소</v>
      </c>
    </row>
    <row r="657">
      <c r="A657" s="2" t="str">
        <f>recipe!C657
</f>
        <v>브런치의 유혹</v>
      </c>
    </row>
    <row r="658">
      <c r="A658" s="2" t="str">
        <f>recipe!C658
</f>
        <v>감자로 유혹하자냐</v>
      </c>
    </row>
    <row r="659">
      <c r="A659" s="2" t="str">
        <f>recipe!C659
</f>
        <v>호감이야</v>
      </c>
    </row>
    <row r="660">
      <c r="A660" s="2" t="str">
        <f>recipe!C660
</f>
        <v>1파 2일</v>
      </c>
    </row>
    <row r="661">
      <c r="A661" s="2" t="str">
        <f>recipe!C661
</f>
        <v>스테이콘</v>
      </c>
    </row>
    <row r="662">
      <c r="A662" s="2" t="str">
        <f>recipe!C662
</f>
        <v>골뱅이 에스카르고</v>
      </c>
    </row>
    <row r="663">
      <c r="A663" s="2" t="str">
        <f>recipe!C663
</f>
        <v>혼술 빠라삐</v>
      </c>
    </row>
    <row r="664">
      <c r="A664" s="2" t="str">
        <f>recipe!C664
</f>
        <v>레이먼 스테이크</v>
      </c>
    </row>
    <row r="665">
      <c r="A665" s="2" t="str">
        <f>recipe!C665
</f>
        <v>안질리나 딤섬</v>
      </c>
    </row>
    <row r="666">
      <c r="A666" s="2" t="str">
        <f>recipe!C666
</f>
        <v>샨티샨티~ 카레 라자냐♬</v>
      </c>
    </row>
    <row r="667">
      <c r="A667" s="2" t="str">
        <f>recipe!C667
</f>
        <v>카레맛~ 궁금해 혀니♬</v>
      </c>
    </row>
    <row r="668">
      <c r="A668" s="2" t="str">
        <f>recipe!C668
</f>
        <v>너마늘 위한 치킨</v>
      </c>
    </row>
    <row r="669">
      <c r="A669" s="2" t="str">
        <f>recipe!C669
</f>
        <v>Touch 닭 body~♬</v>
      </c>
    </row>
    <row r="670">
      <c r="A670" s="2" t="str">
        <f>recipe!C670
</f>
        <v>입맛 잡어</v>
      </c>
    </row>
    <row r="671">
      <c r="A671" s="2" t="str">
        <f>recipe!C671
</f>
        <v>돔레이더</v>
      </c>
    </row>
    <row r="672">
      <c r="A672" s="2" t="str">
        <f>recipe!C672
</f>
        <v>울금 캐비지</v>
      </c>
    </row>
    <row r="673">
      <c r="A673" s="2" t="str">
        <f>recipe!C673
</f>
        <v>시나몬 아로니아 비스킷</v>
      </c>
    </row>
    <row r="674">
      <c r="A674" s="2" t="str">
        <f>recipe!C674
</f>
        <v>고기말이~ 히트다 히트!</v>
      </c>
    </row>
    <row r="675">
      <c r="A675" s="2" t="str">
        <f>recipe!C675
</f>
        <v>버거킴</v>
      </c>
    </row>
    <row r="676">
      <c r="A676" s="2" t="str">
        <f>recipe!C676
</f>
        <v>어서 와~ 이런 바칼라는 처음이지?</v>
      </c>
    </row>
    <row r="677">
      <c r="A677" s="2" t="str">
        <f>recipe!C677
</f>
        <v>알파고</v>
      </c>
    </row>
    <row r="678">
      <c r="A678" s="2" t="str">
        <f>recipe!C678
</f>
        <v>알짜배기 두부</v>
      </c>
    </row>
    <row r="679">
      <c r="A679" s="2" t="str">
        <f>recipe!C679
</f>
        <v>두부 맛있또</v>
      </c>
    </row>
    <row r="680">
      <c r="A680" s="2" t="str">
        <f>recipe!C680
</f>
        <v>생오취리</v>
      </c>
    </row>
    <row r="681">
      <c r="A681" s="2" t="str">
        <f>recipe!C681
</f>
        <v>맛있는 소고기렌당</v>
      </c>
    </row>
    <row r="682">
      <c r="A682" s="2" t="str">
        <f>recipe!C682
</f>
        <v>가나 가즈아~</v>
      </c>
    </row>
    <row r="683">
      <c r="A683" s="2" t="str">
        <f>recipe!C683
</f>
        <v>나이스! 라이스~</v>
      </c>
    </row>
    <row r="684">
      <c r="A684" s="2" t="str">
        <f>recipe!C684
</f>
        <v>죽빙</v>
      </c>
    </row>
    <row r="685">
      <c r="A685" s="2" t="str">
        <f>recipe!C685
</f>
        <v>수비드 레이서</v>
      </c>
    </row>
    <row r="686">
      <c r="A686" s="2" t="str">
        <f>recipe!C686
</f>
        <v>베리베리 맛있게</v>
      </c>
    </row>
    <row r="687">
      <c r="A687" s="2" t="str">
        <f>recipe!C687
</f>
        <v>골든 크랩</v>
      </c>
    </row>
    <row r="688">
      <c r="A688" s="2" t="str">
        <f>recipe!C688
</f>
        <v>샘표 한상</v>
      </c>
    </row>
    <row r="689">
      <c r="A689" s="2" t="str">
        <f>recipe!C689
</f>
        <v>맘스텔라</v>
      </c>
    </row>
    <row r="690">
      <c r="A690" s="2" t="str">
        <f>recipe!C690
</f>
        <v>허니버터치</v>
      </c>
    </row>
    <row r="691">
      <c r="A691" s="2" t="str">
        <f>recipe!C691
</f>
        <v>차이나는 비빔면</v>
      </c>
    </row>
    <row r="692">
      <c r="A692" s="2" t="str">
        <f>recipe!C692
</f>
        <v>참치 언더파~</v>
      </c>
    </row>
    <row r="693">
      <c r="A693" s="2" t="str">
        <f>recipe!C693
</f>
        <v>스피드 스퀴드</v>
      </c>
    </row>
    <row r="694">
      <c r="A694" s="2" t="str">
        <f>recipe!C694
</f>
        <v>월드클래스 삼합</v>
      </c>
    </row>
    <row r="695">
      <c r="A695" s="2" t="str">
        <f>recipe!C695
</f>
        <v>세리볼 나이스샷</v>
      </c>
    </row>
    <row r="696">
      <c r="A696" s="2" t="str">
        <f>recipe!C696
</f>
        <v>연복풍 완자</v>
      </c>
    </row>
    <row r="697">
      <c r="A697" s="2" t="str">
        <f>recipe!C697
</f>
        <v>추바라시</v>
      </c>
    </row>
    <row r="698">
      <c r="A698" s="2" t="str">
        <f>recipe!C698
</f>
        <v>추추테일러</v>
      </c>
    </row>
    <row r="699">
      <c r="A699" s="2" t="str">
        <f>recipe!C699
</f>
        <v>K.F.C.(Korean Fried Chicken)</v>
      </c>
    </row>
    <row r="700">
      <c r="A700" s="2" t="str">
        <f>recipe!C700
</f>
        <v>투가스</v>
      </c>
    </row>
    <row r="701">
      <c r="A701" s="2" t="str">
        <f>recipe!C701
</f>
        <v>프리하새우</v>
      </c>
    </row>
    <row r="702">
      <c r="A702" s="2" t="str">
        <f>recipe!C702
</f>
        <v>폼나는 조식</v>
      </c>
    </row>
    <row r="703">
      <c r="A703" s="2" t="str">
        <f>recipe!C703
</f>
        <v>수플레가 모닝?</v>
      </c>
    </row>
    <row r="704">
      <c r="A704" s="2" t="str">
        <f>recipe!C704
</f>
        <v>나도 어디서 꿀리진 않魚</v>
      </c>
    </row>
    <row r="705">
      <c r="A705" s="2" t="str">
        <f>recipe!C705
</f>
        <v>치즈 쇼타임~마!</v>
      </c>
    </row>
    <row r="706">
      <c r="A706" s="2" t="str">
        <f>recipe!C706
</f>
        <v>곤짜장</v>
      </c>
    </row>
    <row r="707">
      <c r="A707" s="2" t="str">
        <f>recipe!C707
</f>
        <v>치킨 치즈 스마일</v>
      </c>
    </row>
    <row r="708">
      <c r="A708" s="2" t="str">
        <f>recipe!C708
</f>
        <v>연볶면</v>
      </c>
    </row>
    <row r="709">
      <c r="A709" s="2" t="str">
        <f>recipe!C709
</f>
        <v>볶출어람</v>
      </c>
    </row>
    <row r="710">
      <c r="A710" s="2" t="str">
        <f>recipe!C710
</f>
        <v>안심하고 튀겼새우</v>
      </c>
    </row>
    <row r="711">
      <c r="A711" s="2" t="str">
        <f>recipe!C711
</f>
        <v>두고보샤</v>
      </c>
    </row>
    <row r="712">
      <c r="A712" s="2" t="str">
        <f>recipe!C712
</f>
        <v>파스타가 캐비아</v>
      </c>
    </row>
    <row r="713">
      <c r="A713" s="2" t="str">
        <f>recipe!C713
</f>
        <v>돈 코스</v>
      </c>
    </row>
    <row r="714">
      <c r="A714" s="2" t="str">
        <f>recipe!C714
</f>
        <v>타조가 조타</v>
      </c>
    </row>
    <row r="715">
      <c r="A715" s="2" t="str">
        <f>recipe!C715
</f>
        <v>돈스테이크</v>
      </c>
    </row>
    <row r="716">
      <c r="A716" s="2" t="str">
        <f>recipe!C716
</f>
        <v>비먹부먹</v>
      </c>
    </row>
    <row r="717">
      <c r="A717" s="2" t="str">
        <f>recipe!C717
</f>
        <v>팟타이가 맛있돔</v>
      </c>
    </row>
    <row r="718">
      <c r="A718" s="2" t="str">
        <f>recipe!C718
</f>
        <v>고기의 품격</v>
      </c>
    </row>
    <row r="719">
      <c r="A719" s="2" t="str">
        <f>recipe!C719
</f>
        <v>파이팅롤</v>
      </c>
    </row>
    <row r="720">
      <c r="A720" s="2" t="str">
        <f>recipe!C720
</f>
        <v>푸딩이 최고당</v>
      </c>
    </row>
    <row r="721">
      <c r="A721" s="2" t="str">
        <f>recipe!C721
</f>
        <v>티라미수코리아</v>
      </c>
    </row>
    <row r="722">
      <c r="A722" s="2" t="str">
        <f>recipe!C722
</f>
        <v>나이스~튜</v>
      </c>
    </row>
    <row r="723">
      <c r="A723" s="2" t="str">
        <f>recipe!C723
</f>
        <v>라돌체비타</v>
      </c>
    </row>
    <row r="724">
      <c r="A724" s="2" t="str">
        <f>recipe!C724
</f>
        <v>술 당길 만두 하지</v>
      </c>
    </row>
    <row r="725">
      <c r="A725" s="2" t="str">
        <f>recipe!C725
</f>
        <v>불금 가즈아!</v>
      </c>
    </row>
    <row r="726">
      <c r="A726" s="2" t="str">
        <f>recipe!C726
</f>
        <v>냉쌈온쌈</v>
      </c>
    </row>
    <row r="727">
      <c r="A727" s="2" t="str">
        <f>recipe!C727
</f>
        <v>오윤기 쌈밥</v>
      </c>
    </row>
    <row r="728">
      <c r="A728" s="2" t="str">
        <f>recipe!C728
</f>
        <v>복칼로리 피자</v>
      </c>
    </row>
    <row r="729">
      <c r="A729" s="2" t="str">
        <f>recipe!C729
</f>
        <v>도리아랑</v>
      </c>
    </row>
    <row r="730">
      <c r="A730" s="2" t="str">
        <f>recipe!C730
</f>
        <v>전주행</v>
      </c>
    </row>
    <row r="731">
      <c r="A731" s="2" t="str">
        <f>recipe!C731
</f>
        <v>집밥 정선생</v>
      </c>
    </row>
    <row r="732">
      <c r="A732" s="2" t="str">
        <f>recipe!C732
</f>
        <v>이츠 대파타임</v>
      </c>
    </row>
    <row r="733">
      <c r="A733" s="2" t="str">
        <f>recipe!C733
</f>
        <v>갓다니엘 정식</v>
      </c>
    </row>
    <row r="734">
      <c r="A734" s="2" t="str">
        <f>recipe!C734
</f>
        <v>레옹 정식</v>
      </c>
    </row>
    <row r="735">
      <c r="A735" s="2" t="str">
        <f>recipe!C735
</f>
        <v>카르옹나라</v>
      </c>
    </row>
    <row r="736">
      <c r="A736" s="2" t="str">
        <f>recipe!C736
</f>
        <v>게 섞어라</v>
      </c>
    </row>
    <row r="737">
      <c r="A737" s="2" t="str">
        <f>recipe!C737
</f>
        <v>꽃게를 든 남자</v>
      </c>
    </row>
    <row r="738">
      <c r="A738" s="2" t="str">
        <f>recipe!C738
</f>
        <v>꽃게길만 걷자</v>
      </c>
    </row>
    <row r="739">
      <c r="A739" s="2" t="str">
        <f>recipe!C739
</f>
        <v>구구닭</v>
      </c>
    </row>
    <row r="740">
      <c r="A740" s="2" t="str">
        <f>recipe!C740
</f>
        <v>최용수테이크</v>
      </c>
    </row>
    <row r="741">
      <c r="A741" s="2" t="str">
        <f>recipe!C741
</f>
        <v>테린우스</v>
      </c>
    </row>
    <row r="742">
      <c r="A742" s="2" t="str">
        <f>recipe!C742
</f>
        <v>독수리 세트</v>
      </c>
    </row>
    <row r="743">
      <c r="A743" s="2" t="str">
        <f>recipe!C743
</f>
        <v>오복쟁반</v>
      </c>
    </row>
    <row r="744">
      <c r="A744" s="2" t="str">
        <f>recipe!C744
</f>
        <v>불닭 카리스마</v>
      </c>
    </row>
    <row r="745">
      <c r="A745" s="2" t="str">
        <f>recipe!C745
</f>
        <v>오~ 야식 코리아♬</v>
      </c>
    </row>
    <row r="746">
      <c r="A746" s="2" t="str">
        <f>recipe!C746
</f>
        <v>입에 불나게</v>
      </c>
    </row>
    <row r="747">
      <c r="A747" s="2" t="str">
        <f>recipe!C747
</f>
        <v>청양냉면</v>
      </c>
    </row>
    <row r="748">
      <c r="A748" s="2" t="str">
        <f>recipe!C748
</f>
        <v>대박나새우</v>
      </c>
    </row>
    <row r="749">
      <c r="A749" s="2" t="str">
        <f>recipe!C749
</f>
        <v>우리집에 와규~</v>
      </c>
    </row>
    <row r="750">
      <c r="A750" s="2" t="str">
        <f>recipe!C750
</f>
        <v>최고양</v>
      </c>
    </row>
    <row r="751">
      <c r="A751" s="2" t="str">
        <f>recipe!C751
</f>
        <v>오케이 마초샌드</v>
      </c>
    </row>
    <row r="752">
      <c r="A752" s="2" t="str">
        <f>recipe!C752
</f>
        <v>타코 판타지아♬</v>
      </c>
    </row>
    <row r="753">
      <c r="A753" s="2" t="str">
        <f>recipe!C753
</f>
        <v>살몬 판타지아♬</v>
      </c>
    </row>
    <row r="754">
      <c r="A754" s="2" t="str">
        <f>recipe!C754
</f>
        <v>캡틴 아메리카</v>
      </c>
    </row>
    <row r="755">
      <c r="A755" s="2" t="str">
        <f>recipe!C755
</f>
        <v>부산행</v>
      </c>
    </row>
    <row r="756">
      <c r="A756" s="2" t="str">
        <f>recipe!C756
</f>
        <v>풍식 두비두밥♬</v>
      </c>
    </row>
    <row r="757">
      <c r="A757" s="2" t="str">
        <f>recipe!C757
</f>
        <v>한현민 Go! 현민 Go!</v>
      </c>
    </row>
    <row r="758">
      <c r="A758" s="2" t="str">
        <f>recipe!C758
</f>
        <v>한국인의 밥상</v>
      </c>
    </row>
    <row r="759">
      <c r="A759" s="2" t="str">
        <f>recipe!C759
</f>
        <v>아재볼</v>
      </c>
    </row>
    <row r="760">
      <c r="A760" s="2" t="str">
        <f>recipe!C760
</f>
        <v>원 펀치 쓰리 코스</v>
      </c>
    </row>
    <row r="761">
      <c r="A761" s="2" t="str">
        <f>recipe!C761
</f>
        <v>아임 파인다이닝, 앤드 유?</v>
      </c>
    </row>
    <row r="762">
      <c r="A762" s="2" t="str">
        <f>recipe!C762
</f>
        <v>으라차차찜</v>
      </c>
    </row>
    <row r="763">
      <c r="A763" s="2" t="str">
        <f>recipe!C763
</f>
        <v>맛있스리라~</v>
      </c>
    </row>
    <row r="764">
      <c r="A764" s="2" t="str">
        <f>recipe!C764
</f>
        <v>요~으리의 고수</v>
      </c>
    </row>
    <row r="765">
      <c r="A765" s="2" t="str">
        <f>recipe!C765
</f>
        <v>으리으리한 항아~으리!</v>
      </c>
    </row>
    <row r="766">
      <c r="A766" s="2" t="str">
        <f>recipe!C766
</f>
        <v>사나이 가는 길에 기죽지 마라♬</v>
      </c>
    </row>
    <row r="767">
      <c r="A767" s="2" t="str">
        <f>recipe!C767
</f>
        <v>불짬뽕 드새우</v>
      </c>
    </row>
    <row r="768">
      <c r="A768" s="2" t="str">
        <f>recipe!C768
</f>
        <v>원조 테리우스테이크</v>
      </c>
    </row>
    <row r="769">
      <c r="A769" s="2" t="str">
        <f>recipe!C769
</f>
        <v>다이어트는 잊그라</v>
      </c>
    </row>
    <row r="770">
      <c r="A770" s="2" t="str">
        <f>recipe!C770
</f>
        <v>복덩이</v>
      </c>
    </row>
    <row r="771">
      <c r="A771" s="2" t="str">
        <f>recipe!C771
</f>
        <v>한방탕</v>
      </c>
    </row>
    <row r="772">
      <c r="A772" s="2" t="str">
        <f>recipe!C772
</f>
        <v>낫토 먹고 crab! crab! crab! crab!</v>
      </c>
    </row>
    <row r="773">
      <c r="A773" s="2" t="str">
        <f>recipe!C773
</f>
        <v>I'm so sorry 보말 love you♬</v>
      </c>
    </row>
    <row r="774">
      <c r="A774" s="2" t="str">
        <f>recipe!C774
</f>
        <v>I'm so sorry 보말 love you♬</v>
      </c>
    </row>
    <row r="775">
      <c r="A775" s="2" t="str">
        <f>recipe!C775
</f>
        <v>승리의 먹빵</v>
      </c>
    </row>
    <row r="776">
      <c r="A776" s="2" t="str">
        <f>recipe!C776
</f>
        <v>꼬막이 빛나는 밤</v>
      </c>
    </row>
    <row r="777">
      <c r="A777" s="2" t="str">
        <f>recipe!C777
</f>
        <v>화사한 플레이트</v>
      </c>
    </row>
    <row r="778">
      <c r="A778" s="2" t="str">
        <f>recipe!C778
</f>
        <v>화사한 플레이트</v>
      </c>
    </row>
    <row r="779">
      <c r="A779" s="2" t="str">
        <f>recipe!C779
</f>
        <v>장어 is 뭔들</v>
      </c>
    </row>
    <row r="780">
      <c r="A780" s="2" t="str">
        <f>recipe!C780
</f>
        <v>부시리 복치기</v>
      </c>
    </row>
    <row r="781">
      <c r="A781" s="2" t="str">
        <f>recipe!C781
</f>
        <v>수박냉면</v>
      </c>
    </row>
    <row r="782">
      <c r="A782" s="2" t="str">
        <f>recipe!C782
</f>
        <v>Drop the fish</v>
      </c>
    </row>
    <row r="783">
      <c r="A783" s="2" t="str">
        <f>recipe!C783
</f>
        <v>Fish Fish Baby♬</v>
      </c>
    </row>
    <row r="784">
      <c r="A784" s="2" t="str">
        <f>recipe!C784
</f>
        <v>청실홍실</v>
      </c>
    </row>
    <row r="785">
      <c r="A785" s="2" t="str">
        <f>recipe!C785
</f>
        <v>최애 홍파스타</v>
      </c>
    </row>
    <row r="786">
      <c r="A786" s="2" t="str">
        <f>recipe!C786
</f>
        <v>안심하소</v>
      </c>
    </row>
    <row r="787">
      <c r="A787" s="2" t="str">
        <f>recipe!C787
</f>
        <v>고급이양</v>
      </c>
    </row>
    <row r="788">
      <c r="A788" s="2" t="str">
        <f>recipe!C788
</f>
        <v>육개장에 파 하나 놓고 가라</v>
      </c>
    </row>
    <row r="789">
      <c r="A789" s="2" t="str">
        <f>recipe!C789
</f>
        <v>해장이나 잘하세요</v>
      </c>
    </row>
    <row r="790">
      <c r="A790" s="2" t="str">
        <f>recipe!C790
</f>
        <v>연가복</v>
      </c>
    </row>
    <row r="791">
      <c r="A791" s="2" t="str">
        <f>recipe!C791
</f>
        <v>맛있어서 우럭?</v>
      </c>
    </row>
    <row r="792">
      <c r="A792" s="2" t="str">
        <f>recipe!C792
</f>
        <v>쌍칼국수</v>
      </c>
    </row>
    <row r="793">
      <c r="A793" s="2" t="str">
        <f>recipe!C793
</f>
        <v>누들이닭</v>
      </c>
    </row>
    <row r="794">
      <c r="A794" s="2" t="str">
        <f>recipe!C794
</f>
        <v>놀리지말라규♡</v>
      </c>
    </row>
    <row r="795">
      <c r="A795" s="2" t="str">
        <f>recipe!C795
</f>
        <v>떠먹으라규♡</v>
      </c>
    </row>
    <row r="796">
      <c r="A796" s="2" t="str">
        <f>recipe!C796
</f>
        <v>가지가지한다</v>
      </c>
    </row>
    <row r="797">
      <c r="A797" s="2" t="str">
        <f>recipe!C797
</f>
        <v>순대 스마일~</v>
      </c>
    </row>
    <row r="798">
      <c r="A798" s="2" t="str">
        <f>recipe!C798
</f>
        <v>홍삼드삼</v>
      </c>
    </row>
    <row r="799">
      <c r="A799" s="2" t="str">
        <f>recipe!C799
</f>
        <v>홍카엘</v>
      </c>
    </row>
    <row r="800">
      <c r="A800" s="2" t="str">
        <f>recipe!C800
</f>
        <v>팟타이 피플</v>
      </c>
    </row>
    <row r="801">
      <c r="A801" s="2" t="str">
        <f>recipe!C801
</f>
        <v>샘나는 볶음면</v>
      </c>
    </row>
    <row r="802">
      <c r="A802" s="2" t="str">
        <f>recipe!C802
</f>
        <v>찜의 정수</v>
      </c>
    </row>
    <row r="803">
      <c r="A803" s="2" t="str">
        <f>recipe!C803
</f>
        <v>말이야~ 아보말이야♬</v>
      </c>
    </row>
    <row r="804">
      <c r="A804" s="2" t="str">
        <f>recipe!C804
</f>
        <v>연장피</v>
      </c>
    </row>
    <row r="805">
      <c r="A805" s="2" t="str">
        <f>recipe!C805
</f>
        <v>사연장사 만만세♬</v>
      </c>
    </row>
    <row r="806">
      <c r="A806" s="2" t="str">
        <f>recipe!C806
</f>
        <v>김치 잘 먹는 예쁜 누나</v>
      </c>
    </row>
    <row r="807">
      <c r="A807" s="2" t="str">
        <f>recipe!C807
</f>
        <v>맛있으면 김~치</v>
      </c>
    </row>
    <row r="808">
      <c r="A808" s="2" t="str">
        <f>recipe!C808
</f>
        <v>함박84</v>
      </c>
    </row>
    <row r="809">
      <c r="A809" s="2" t="str">
        <f>recipe!C809
</f>
        <v>목살84</v>
      </c>
    </row>
    <row r="810">
      <c r="A810" s="2" t="str">
        <f>recipe!C810
</f>
        <v>덮밥왕</v>
      </c>
    </row>
    <row r="811">
      <c r="A811" s="2" t="str">
        <f>recipe!C811
</f>
        <v>내가 이길 소야</v>
      </c>
    </row>
    <row r="812">
      <c r="A812" s="2" t="str">
        <f>recipe!C812
</f>
        <v>소바로우</v>
      </c>
    </row>
    <row r="813">
      <c r="A813" s="2" t="str">
        <f>recipe!C813
</f>
        <v>해비한 소시지</v>
      </c>
    </row>
    <row r="814">
      <c r="A814" s="2" t="str">
        <f>recipe!C814
</f>
        <v>등심은 맛있어♬</v>
      </c>
    </row>
    <row r="815">
      <c r="A815" s="2" t="str">
        <f>recipe!C815
</f>
        <v>고로케까지 생각했어♬</v>
      </c>
    </row>
    <row r="816">
      <c r="A816" s="2" t="str">
        <f>recipe!C816
</f>
        <v>오골계이득</v>
      </c>
    </row>
    <row r="817">
      <c r="A817" s="2" t="str">
        <f>recipe!C817
</f>
        <v>오골계 국밥</v>
      </c>
    </row>
    <row r="818">
      <c r="A818" s="2" t="str">
        <f>recipe!C818
</f>
        <v>바비큐 Baby~♬</v>
      </c>
    </row>
    <row r="819">
      <c r="A819" s="2" t="str">
        <f>recipe!C819
</f>
        <v>이 돼지의 끝을 잡고♬</v>
      </c>
    </row>
    <row r="820">
      <c r="A820" s="2" t="str">
        <f>recipe!C820
</f>
        <v>꽃게찜 했다♬</v>
      </c>
    </row>
    <row r="821">
      <c r="A821" s="2" t="str">
        <f>recipe!C821
</f>
        <v>씨푸드파이터</v>
      </c>
    </row>
    <row r="822">
      <c r="A822" s="2" t="str">
        <f>recipe!C822
</f>
        <v>고수의 고수</v>
      </c>
    </row>
    <row r="823">
      <c r="A823" s="2" t="str">
        <f>recipe!C823
</f>
        <v>고수테이크</v>
      </c>
    </row>
    <row r="824">
      <c r="A824" s="2" t="str">
        <f>recipe!C824
</f>
        <v>소울 담아 구워 드림</v>
      </c>
    </row>
    <row r="825">
      <c r="A825" s="2" t="str">
        <f>recipe!C825
</f>
        <v>별난 스테이크</v>
      </c>
    </row>
    <row r="826">
      <c r="A826" s="2" t="str">
        <f>recipe!C826
</f>
        <v>하얀 닭발이라고~ 까만 닭발이라고♬</v>
      </c>
    </row>
    <row r="827">
      <c r="A827" s="2" t="str">
        <f>recipe!C827
</f>
        <v>닭발라드</v>
      </c>
    </row>
    <row r="828">
      <c r="A828" s="2" t="str">
        <f>recipe!C828
</f>
        <v>양갈비~ Save Us♬</v>
      </c>
    </row>
    <row r="829">
      <c r="A829" s="2" t="str">
        <f>recipe!C829
</f>
        <v>황도 스피릿</v>
      </c>
    </row>
    <row r="830">
      <c r="A830" s="2" t="str">
        <f>recipe!C830
</f>
        <v>고샌 끝에 낙이 온다</v>
      </c>
    </row>
    <row r="831">
      <c r="A831" s="2" t="str">
        <f>recipe!C831
</f>
        <v>내가 이길 거고등</v>
      </c>
    </row>
    <row r="832">
      <c r="A832" s="2" t="str">
        <f>recipe!C832
</f>
        <v>파짱쫀</v>
      </c>
    </row>
    <row r="833">
      <c r="A833" s="2" t="str">
        <f>recipe!C833
</f>
        <v>대파 Two</v>
      </c>
    </row>
    <row r="834">
      <c r="A834" s="2" t="str">
        <f>recipe!C834
</f>
        <v>오~ 김치 코리아♬</v>
      </c>
    </row>
    <row r="835">
      <c r="A835" s="2" t="str">
        <f>recipe!C835
</f>
        <v>나 백숙 할래♬</v>
      </c>
    </row>
    <row r="836">
      <c r="A836" s="2" t="str">
        <f>recipe!C836
</f>
        <v>맵다고 가지 마라</v>
      </c>
    </row>
    <row r="837">
      <c r="A837" s="2" t="str">
        <f>recipe!C837
</f>
        <v>보헤미안 앤초비</v>
      </c>
    </row>
    <row r="838">
      <c r="A838" s="2" t="str">
        <f>recipe!C838
</f>
        <v>생강나는 장어</v>
      </c>
    </row>
    <row r="839">
      <c r="A839" s="2" t="str">
        <f>recipe!C839
</f>
        <v>매워도 안심하으~리</v>
      </c>
    </row>
    <row r="840">
      <c r="A840" s="2" t="str">
        <f>recipe!C840
</f>
        <v>참치 먹고 싶은 사람? 하이!</v>
      </c>
    </row>
    <row r="841">
      <c r="A841" s="2" t="str">
        <f>recipe!C841
</f>
        <v>추풍낙엽</v>
      </c>
    </row>
    <row r="842">
      <c r="A842" s="2" t="str">
        <f>recipe!C842
</f>
        <v>가슴속에 차오르는 연~어♬</v>
      </c>
    </row>
    <row r="843">
      <c r="A843" s="2" t="str">
        <f>recipe!C843
</f>
        <v>베이징닭</v>
      </c>
    </row>
    <row r="844">
      <c r="A844" s="2" t="str">
        <f>recipe!C844
</f>
        <v>나의 사랑 나의 김치</v>
      </c>
    </row>
    <row r="845">
      <c r="A845" s="2" t="str">
        <f>recipe!C845
</f>
        <v>랄라라♬ 김치라고</v>
      </c>
    </row>
    <row r="846">
      <c r="A846" s="2" t="str">
        <f>recipe!C846
</f>
        <v>투면스</v>
      </c>
    </row>
    <row r="847">
      <c r="A847" s="2" t="str">
        <f>recipe!C847
</f>
        <v>레이면킹</v>
      </c>
    </row>
    <row r="848">
      <c r="A848" s="2" t="str">
        <f>recipe!C848
</f>
        <v>해선만복</v>
      </c>
    </row>
    <row r="849">
      <c r="A849" s="2" t="str">
        <f>recipe!C849
</f>
        <v>저 빠다에 누워♬</v>
      </c>
    </row>
    <row r="850">
      <c r="A850" s="2" t="str">
        <f>recipe!C850
</f>
        <v>날아라 슈퍼푸드</v>
      </c>
    </row>
    <row r="851">
      <c r="A851" s="2" t="str">
        <f>recipe!C851
</f>
        <v>강황장군</v>
      </c>
    </row>
    <row r="852">
      <c r="A852" s="2" t="str">
        <f>recipe!C852
</f>
        <v>복믈렛</v>
      </c>
    </row>
    <row r="853">
      <c r="A853" s="2" t="str">
        <f>recipe!C853
</f>
        <v>감~자봤쌈</v>
      </c>
    </row>
    <row r="854">
      <c r="A854" s="2" t="str">
        <f>recipe!C854
</f>
        <v>담비 내릴 두부</v>
      </c>
    </row>
    <row r="855">
      <c r="A855" s="2" t="str">
        <f>recipe!C855
</f>
        <v>두부퀸</v>
      </c>
    </row>
    <row r="856">
      <c r="A856" s="2" t="str">
        <f>recipe!C856
</f>
        <v>인사이덕</v>
      </c>
    </row>
    <row r="857">
      <c r="A857" s="2" t="str">
        <f>recipe!C857
</f>
        <v>광이 나는 함박♬</v>
      </c>
    </row>
    <row r="858">
      <c r="A858" s="2" t="str">
        <f>recipe!C858
</f>
        <v>마늘 어찌하오리</v>
      </c>
    </row>
    <row r="859">
      <c r="A859" s="2" t="str">
        <f>recipe!C859
</f>
        <v>너마늘 위한 목살</v>
      </c>
    </row>
    <row r="860">
      <c r="A860" s="2" t="str">
        <f>recipe!C860
</f>
        <v>집밥 먹고 치열~업♬</v>
      </c>
    </row>
    <row r="861">
      <c r="A861" s="2" t="str">
        <f>recipe!C861
</f>
        <v>닭개장 먹고 치열스</v>
      </c>
    </row>
    <row r="862">
      <c r="A862" s="2" t="str">
        <f>recipe!C862
</f>
        <v>스테이크 맛있소</v>
      </c>
    </row>
    <row r="863">
      <c r="A863" s="2" t="str">
        <f>recipe!C863
</f>
        <v>소고기, 바로 이 맛 아닙니까!</v>
      </c>
    </row>
    <row r="864">
      <c r="A864" s="2" t="str">
        <f>recipe!C864
</f>
        <v>오늘의 하이라이트닭</v>
      </c>
    </row>
    <row r="865">
      <c r="A865" s="2" t="str">
        <f>recipe!C865
</f>
        <v>유씨네 닭갈비</v>
      </c>
    </row>
    <row r="866">
      <c r="A866" s="2" t="str">
        <f>recipe!C866
</f>
        <v>맛스타</v>
      </c>
    </row>
    <row r="867">
      <c r="A867" s="2" t="str">
        <f>recipe!C867
</f>
        <v>소 정말 Mystery♬</v>
      </c>
    </row>
    <row r="868">
      <c r="A868" s="2" t="str">
        <f>recipe!C868
</f>
        <v>멧돼이먼킴</v>
      </c>
    </row>
    <row r="869">
      <c r="A869" s="2" t="str">
        <f>recipe!C869
</f>
        <v>유씨네 왕족발</v>
      </c>
    </row>
    <row r="870">
      <c r="A870" s="2" t="str">
        <f>recipe!C870
</f>
        <v>치즈 앤 더 시티</v>
      </c>
    </row>
    <row r="871">
      <c r="A871" s="2" t="str">
        <f>recipe!C871
</f>
        <v>극한 짬뽕</v>
      </c>
    </row>
    <row r="872">
      <c r="A872" s="2" t="str">
        <f>recipe!C872
</f>
        <v>지라시스시 맛있저염</v>
      </c>
    </row>
    <row r="873">
      <c r="A873" s="2" t="str">
        <f>recipe!C873
</f>
        <v>특명! 아빠의 도전</v>
      </c>
    </row>
    <row r="874">
      <c r="A874" s="2" t="str">
        <f>recipe!C874
</f>
        <v>술풀 때 야식 한다</v>
      </c>
    </row>
    <row r="875">
      <c r="A875" s="2" t="str">
        <f>recipe!C875
</f>
        <v>술맛 찾으러 가자</v>
      </c>
    </row>
    <row r="876">
      <c r="A876" s="2" t="str">
        <f>recipe!C876
</f>
        <v>내 발가락 내놔</v>
      </c>
    </row>
    <row r="877">
      <c r="A877" s="2" t="str">
        <f>recipe!C877
</f>
        <v>지옥에서 온 손님</v>
      </c>
    </row>
    <row r="878">
      <c r="A878" s="2" t="str">
        <f>recipe!C878
</f>
        <v>돈플갱어</v>
      </c>
    </row>
    <row r="879">
      <c r="A879" s="2" t="str">
        <f>recipe!C879
</f>
        <v>쌀과 함께</v>
      </c>
    </row>
    <row r="880">
      <c r="A880" s="2" t="str">
        <f>recipe!C880
</f>
        <v>킴가네</v>
      </c>
    </row>
    <row r="881">
      <c r="A881" s="2" t="str">
        <f>recipe!C881
</f>
        <v>분식과의 전쟁</v>
      </c>
    </row>
    <row r="882">
      <c r="A882" s="2" t="str">
        <f>recipe!C882
</f>
        <v>후뚜루마뚜루</v>
      </c>
    </row>
    <row r="883">
      <c r="A883" s="2" t="str">
        <f>recipe!C883
</f>
        <v>김치 와장창</v>
      </c>
    </row>
    <row r="884">
      <c r="A884" s="2" t="str">
        <f>recipe!C884
</f>
        <v>소희네 반찬</v>
      </c>
    </row>
    <row r="885">
      <c r="A885" s="2" t="str">
        <f>recipe!C885
</f>
        <v>땡잡은 장아찌</v>
      </c>
    </row>
    <row r="886">
      <c r="A886" s="2" t="str">
        <f>recipe!C886
</f>
        <v>으라차차 스테이키</v>
      </c>
    </row>
    <row r="887">
      <c r="A887" s="2" t="str">
        <f>recipe!C887
</f>
        <v>스테이크가 어~머나!</v>
      </c>
    </row>
    <row r="888">
      <c r="A888" s="2" t="str">
        <f>recipe!C888
</f>
        <v>계모임</v>
      </c>
    </row>
    <row r="889">
      <c r="A889" s="2" t="str">
        <f>recipe!C889
</f>
        <v>샘킴반점</v>
      </c>
    </row>
    <row r="890">
      <c r="A890" s="2" t="str">
        <f>recipe!C890
</f>
        <v>나베로 이경?</v>
      </c>
    </row>
    <row r="891">
      <c r="A891" s="2" t="str">
        <f>recipe!C891
</f>
        <v>전병 가즈아~ 온면도 가보자!</v>
      </c>
    </row>
    <row r="892">
      <c r="A892" s="2" t="str">
        <f>recipe!C892
</f>
        <v>스튜맨이 돌아왔다</v>
      </c>
    </row>
    <row r="893">
      <c r="A893" s="2" t="str">
        <f>recipe!C893
</f>
        <v>미트파이~ 진촤 맛있다</v>
      </c>
    </row>
    <row r="894">
      <c r="A894" s="2" t="str">
        <f>recipe!C894
</f>
        <v>샘해밍떡</v>
      </c>
    </row>
    <row r="895">
      <c r="A895" s="2" t="str">
        <f>recipe!C895
</f>
        <v>게장이 달라 달라♬</v>
      </c>
    </row>
    <row r="896">
      <c r="A896" s="2" t="str">
        <f>recipe!C896
</f>
        <v>완자가 앗 뜨거뜨거♬</v>
      </c>
    </row>
    <row r="897">
      <c r="A897" s="2" t="str">
        <f>recipe!C897
</f>
        <v>초통령</v>
      </c>
    </row>
    <row r="898">
      <c r="A898" s="2" t="str">
        <f>recipe!C898
</f>
        <v>세.나.떡</v>
      </c>
    </row>
    <row r="899">
      <c r="A899" s="2" t="str">
        <f>recipe!C899
</f>
        <v>세.나.피</v>
      </c>
    </row>
    <row r="900">
      <c r="A900" s="2" t="str">
        <f>recipe!C900
</f>
        <v>한 이불 덮었닭</v>
      </c>
    </row>
    <row r="901">
      <c r="A901" s="2" t="str">
        <f>recipe!C901
</f>
        <v>짬짜탕</v>
      </c>
    </row>
    <row r="902">
      <c r="A902" s="2" t="str">
        <f>recipe!C902
</f>
        <v>레이먼의 손아귀</v>
      </c>
    </row>
    <row r="903">
      <c r="A903" s="2" t="str">
        <f>recipe!C903
</f>
        <v>폭식해도 대구</v>
      </c>
    </row>
    <row r="904">
      <c r="A904" s="2" t="str">
        <f>recipe!C904
</f>
        <v>나비족 세트</v>
      </c>
    </row>
    <row r="905">
      <c r="A905" s="2" t="str">
        <f>recipe!C905
</f>
        <v>보헤미안 미슐랭</v>
      </c>
    </row>
    <row r="906">
      <c r="A906" s="2" t="str">
        <f>recipe!C906
</f>
        <v>이런 된장</v>
      </c>
    </row>
    <row r="907">
      <c r="A907" s="2" t="str">
        <f>recipe!C907
</f>
        <v>막걸리 칼라 파워!</v>
      </c>
    </row>
    <row r="908">
      <c r="A908" s="2" t="str">
        <f>recipe!C908
</f>
        <v>청양공주</v>
      </c>
    </row>
    <row r="909">
      <c r="A909" s="2" t="str">
        <f>recipe!C909
</f>
        <v>지금 이 순간~ 전골처럼♬</v>
      </c>
    </row>
    <row r="910">
      <c r="A910" s="2" t="str">
        <f>recipe!C910
</f>
        <v>러시아 가 봤슈?</v>
      </c>
    </row>
    <row r="911">
      <c r="A911" s="2" t="str">
        <f>recipe!C911
</f>
        <v>러시아풍 크레페</v>
      </c>
    </row>
    <row r="912">
      <c r="A912" s="2" t="str">
        <f>recipe!C912
</f>
        <v>보양식이랑깨</v>
      </c>
    </row>
    <row r="913">
      <c r="A913" s="2" t="str">
        <f>recipe!C913
</f>
        <v>잣잣잣~하고 말아 드세요♬</v>
      </c>
    </row>
    <row r="914">
      <c r="A914" s="2" t="str">
        <f>recipe!C914
</f>
        <v>꽃중년 스테이크</v>
      </c>
    </row>
    <row r="915">
      <c r="A915" s="2" t="str">
        <f>recipe!C915
</f>
        <v>애꿎은 스테이크 어이하라고♬</v>
      </c>
    </row>
    <row r="916">
      <c r="A916" s="2" t="str">
        <f>recipe!C916
</f>
        <v>미역도 다시 한 번</v>
      </c>
    </row>
    <row r="917">
      <c r="A917" s="2" t="str">
        <f>recipe!C917
</f>
        <v>불혹에 딱 좋은 면인데♬</v>
      </c>
    </row>
    <row r="918">
      <c r="A918" s="2" t="str">
        <f>recipe!C918
</f>
        <v>레이먼사우르스</v>
      </c>
    </row>
    <row r="919">
      <c r="A919" s="2" t="str">
        <f>recipe!C919
</f>
        <v>코알라 구할 준비됐나요♬</v>
      </c>
    </row>
    <row r="920">
      <c r="A920" s="2" t="str">
        <f>recipe!C920
</f>
        <v>갱년기 날렸찜</v>
      </c>
    </row>
    <row r="921">
      <c r="A921" s="2" t="str">
        <f>recipe!C921
</f>
        <v>문어지지마</v>
      </c>
    </row>
    <row r="922">
      <c r="A922" s="2" t="str">
        <f>recipe!C922
</f>
        <v>아피제닌맨</v>
      </c>
    </row>
    <row r="923">
      <c r="A923" s="2" t="str">
        <f>recipe!C923
</f>
        <v>닥터 호영레인지</v>
      </c>
    </row>
    <row r="924">
      <c r="A924" s="2" t="str">
        <f>recipe!C924
</f>
        <v>버거김</v>
      </c>
    </row>
    <row r="925">
      <c r="A925" s="2" t="str">
        <f>recipe!C925
</f>
        <v>샘도날드</v>
      </c>
    </row>
    <row r="926">
      <c r="A926" s="2" t="str">
        <f>recipe!C926
</f>
        <v>내가 이길고렝</v>
      </c>
    </row>
    <row r="927">
      <c r="A927" s="2" t="str">
        <f>recipe!C927
</f>
        <v>꿍푸팬더</v>
      </c>
    </row>
    <row r="928">
      <c r="A928" s="2" t="str">
        <f>recipe!C928
</f>
        <v>런닝램</v>
      </c>
    </row>
    <row r="929">
      <c r="A929" s="2" t="str">
        <f>recipe!C929
</f>
        <v>의기양양</v>
      </c>
    </row>
    <row r="930">
      <c r="A930" s="2" t="str">
        <f>recipe!C930
</f>
        <v>파리지엥케이크</v>
      </c>
    </row>
    <row r="931">
      <c r="A931" s="2" t="str">
        <f>recipe!C931
</f>
        <v>하와이안 풍딩</v>
      </c>
    </row>
    <row r="932">
      <c r="A932" s="2" t="str">
        <f>recipe!C932
</f>
        <v>유자라면 다가와♬</v>
      </c>
    </row>
    <row r="933">
      <c r="A933" s="2" t="str">
        <f>recipe!C933
</f>
        <v>해결쌈</v>
      </c>
    </row>
    <row r="934">
      <c r="A934" s="2" t="str">
        <f>recipe!C934
</f>
        <v>비지창조</v>
      </c>
    </row>
    <row r="935">
      <c r="A935" s="2" t="str">
        <f>recipe!C935
</f>
        <v>돼지 파국이다!</v>
      </c>
    </row>
    <row r="936">
      <c r="A936" s="2" t="str">
        <f>recipe!C936
</f>
        <v>T.O.P 돔</v>
      </c>
    </row>
    <row r="937">
      <c r="A937" s="2" t="str">
        <f>recipe!C937
</f>
        <v>퍼펙트 돔</v>
      </c>
    </row>
    <row r="938">
      <c r="A938" s="2" t="str">
        <f>recipe!C938
</f>
        <v>와일드 아이즈면</v>
      </c>
    </row>
    <row r="939">
      <c r="A939" s="2" t="str">
        <f>recipe!C939
</f>
        <v>Hey, Come 면!</v>
      </c>
    </row>
    <row r="940">
      <c r="A940" s="2" t="str">
        <f>recipe!C940
</f>
        <v>뉴욕 버터 치킨</v>
      </c>
    </row>
    <row r="941">
      <c r="A941" s="2" t="str">
        <f>recipe!C941
</f>
        <v>베이징닭 말고 뭣이 중헌디!</v>
      </c>
    </row>
    <row r="942">
      <c r="A942" s="2" t="str">
        <f>recipe!C942
</f>
        <v>맛있으면 돼지?</v>
      </c>
    </row>
    <row r="943">
      <c r="A943" s="2" t="str">
        <f>recipe!C943
</f>
        <v>강정으로 이기면 돼지?</v>
      </c>
    </row>
    <row r="944">
      <c r="A944" s="2" t="str">
        <f>recipe!C944
</f>
        <v>짜장왕</v>
      </c>
    </row>
    <row r="945">
      <c r="A945" s="2" t="str">
        <f>recipe!C945
</f>
        <v>만두가 캐비지</v>
      </c>
    </row>
    <row r="946">
      <c r="A946" s="2" t="str">
        <f>recipe!C946
</f>
        <v>응답하라 바스크</v>
      </c>
    </row>
    <row r="947">
      <c r="A947" s="2" t="str">
        <f>recipe!C947
</f>
        <v>응답하라 이탈리아</v>
      </c>
    </row>
    <row r="948">
      <c r="A948" s="2" t="str">
        <f>recipe!C948
</f>
        <v>국밥정상회담</v>
      </c>
    </row>
    <row r="949">
      <c r="A949" s="2" t="str">
        <f>recipe!C949
</f>
        <v>공동만두구역</v>
      </c>
    </row>
    <row r="950">
      <c r="A950" s="2" t="str">
        <f>recipe!C950
</f>
        <v>이게 불낙이야</v>
      </c>
    </row>
    <row r="951">
      <c r="A951" s="2" t="str">
        <f>recipe!C951
</f>
        <v>장어 뺀 보양식, 그거슨 아니지~</v>
      </c>
    </row>
    <row r="952">
      <c r="A952" s="2" t="str">
        <f>recipe!C952
</f>
        <v>순대거탑</v>
      </c>
    </row>
    <row r="953">
      <c r="A953" s="2" t="str">
        <f>recipe!C953
</f>
        <v>흐린 기억 속의 고추장찌개♬</v>
      </c>
    </row>
    <row r="954">
      <c r="A954" s="2" t="str">
        <f>recipe!C954
</f>
        <v>풍장금</v>
      </c>
    </row>
    <row r="955">
      <c r="A955" s="2" t="str">
        <f>recipe!C955
</f>
        <v>내가 왕이 될 밥상인가?</v>
      </c>
    </row>
    <row r="956">
      <c r="A956" s="2" t="str">
        <f>recipe!C956
</f>
        <v>송훈각</v>
      </c>
    </row>
    <row r="957">
      <c r="A957" s="2" t="str">
        <f>recipe!C957
</f>
        <v>풍화반점</v>
      </c>
    </row>
    <row r="958">
      <c r="A958" s="2" t="str">
        <f>recipe!C958
</f>
        <v>신(辛)봤다</v>
      </c>
    </row>
    <row r="959">
      <c r="A959" s="2" t="str">
        <f>recipe!C959
</f>
        <v>스파이시맨</v>
      </c>
    </row>
    <row r="960">
      <c r="A960" s="2" t="str">
        <f>recipe!C960
</f>
        <v>갈치 한판승</v>
      </c>
    </row>
    <row r="961">
      <c r="A961" s="2" t="str">
        <f>recipe!C961
</f>
        <v>뭉쳐야 찐다</v>
      </c>
    </row>
    <row r="962">
      <c r="A962" s="2" t="str">
        <f>recipe!C962
</f>
        <v>갈빗살 베스튜</v>
      </c>
    </row>
    <row r="963">
      <c r="A963" s="2" t="str">
        <f>recipe!C963
</f>
        <v>굴라시로 입맛 잡아!</v>
      </c>
    </row>
    <row r="964">
      <c r="A964" s="2" t="str">
        <f>recipe!C964
</f>
        <v>페이스트리 요정</v>
      </c>
    </row>
    <row r="965">
      <c r="A965" s="2" t="str">
        <f>recipe!C965
</f>
        <v>밀가루 신상임당</v>
      </c>
    </row>
    <row r="966">
      <c r="A966" s="2" t="str">
        <f>recipe!C966
</f>
        <v>패셔니스튜</v>
      </c>
    </row>
    <row r="967">
      <c r="A967" s="2" t="str">
        <f>recipe!C967
</f>
        <v>시칠리아 정식~ 오 솔레미오♬</v>
      </c>
    </row>
    <row r="968">
      <c r="A968" s="2" t="str">
        <f>recipe!C968
</f>
        <v>생생 리소통</v>
      </c>
    </row>
    <row r="969">
      <c r="A969" s="2" t="str">
        <f>recipe!C969
</f>
        <v>니들이 게살수프 맛을 알아?</v>
      </c>
    </row>
    <row r="970">
      <c r="A970" s="2" t="str">
        <f>recipe!C970
</f>
        <v>고인돌 떡갈비</v>
      </c>
    </row>
    <row r="971">
      <c r="A971" s="2" t="str">
        <f>recipe!C971
</f>
        <v>금 나와라 와라~ 금탕♬</v>
      </c>
    </row>
    <row r="972">
      <c r="A972" s="2" t="str">
        <f>recipe!C972
</f>
        <v>기절토풍</v>
      </c>
    </row>
    <row r="973">
      <c r="A973" s="2" t="str">
        <f>recipe!C973
</f>
        <v>봉주르 부야베스</v>
      </c>
    </row>
    <row r="974">
      <c r="A974" s="2" t="str">
        <f>recipe!C974
</f>
        <v>쌀 스틸러</v>
      </c>
    </row>
    <row r="975">
      <c r="A975" s="2" t="str">
        <f>recipe!C975
</f>
        <v>쌀와디캅</v>
      </c>
    </row>
    <row r="976">
      <c r="A976" s="2" t="str">
        <f>recipe!C976
</f>
        <v>쌈밥의 여인♬</v>
      </c>
    </row>
    <row r="977">
      <c r="A977" s="2" t="str">
        <f>recipe!C977
</f>
        <v>바지락상회</v>
      </c>
    </row>
    <row r="978">
      <c r="A978" s="2" t="str">
        <f>recipe!C978
</f>
        <v>옥돔이 뭐길래</v>
      </c>
    </row>
    <row r="979">
      <c r="A979" s="2" t="str">
        <f>recipe!C979
</f>
        <v>와인 아리랑</v>
      </c>
    </row>
    <row r="980">
      <c r="A980" s="2" t="str">
        <f>recipe!C980
</f>
        <v>브루클린 바비큐</v>
      </c>
    </row>
    <row r="981">
      <c r="A981" s="2" t="str">
        <f>recipe!C981
</f>
        <v>오 나의 소고기님</v>
      </c>
    </row>
    <row r="982">
      <c r="A982" s="2" t="str">
        <f>recipe!C982
</f>
        <v>그릇을 부딪치며 단짠짠♬</v>
      </c>
    </row>
    <row r="983">
      <c r="A983" s="2" t="str">
        <f>recipe!C983
</f>
        <v>오징어가 왜 그럴까</v>
      </c>
    </row>
    <row r="984">
      <c r="A984" s="2" t="str">
        <f>recipe!C984
</f>
        <v>삼치바라기</v>
      </c>
    </row>
    <row r="985">
      <c r="A985" s="2" t="str">
        <f>recipe!C985
</f>
        <v>삼치세끼</v>
      </c>
    </row>
    <row r="986">
      <c r="A986" s="2" t="str">
        <f>recipe!C986
</f>
        <v>매일 메밀 기다려♬</v>
      </c>
    </row>
    <row r="987">
      <c r="A987" s="2" t="str">
        <f>recipe!C987
</f>
        <v>메밀면 필 무렵</v>
      </c>
    </row>
    <row r="988">
      <c r="A988" s="2" t="str">
        <f>recipe!C988
</f>
        <v>내가 공주라니!</v>
      </c>
    </row>
    <row r="989">
      <c r="A989" s="2" t="str">
        <f>recipe!C989
</f>
        <v>라니공주와 올라프</v>
      </c>
    </row>
    <row r="990">
      <c r="A990" s="2" t="str">
        <f>recipe!C990
</f>
        <v>문어 입떡</v>
      </c>
    </row>
    <row r="991">
      <c r="A991" s="2" t="str">
        <f>recipe!C991
</f>
        <v>문어밖에 난 몰라♬</v>
      </c>
    </row>
    <row r="992">
      <c r="A992" s="2" t="str">
        <f>recipe!C992
</f>
        <v>수상한 튀김</v>
      </c>
    </row>
    <row r="993">
      <c r="A993" s="2" t="str">
        <f>recipe!C993
</f>
        <v>튀김의 신</v>
      </c>
    </row>
    <row r="994">
      <c r="A994" s="2" t="str">
        <f>recipe!C994
</f>
        <v>맵지호?</v>
      </c>
    </row>
    <row r="995">
      <c r="A995" s="2" t="str">
        <f>recipe!C995
</f>
        <v>매워서 놀라지 마라</v>
      </c>
    </row>
    <row r="996">
      <c r="A996" s="2" t="str">
        <f>recipe!C996
</f>
        <v>알 Killer♬</v>
      </c>
    </row>
    <row r="997">
      <c r="A997" s="2" t="str">
        <f>recipe!C997
</f>
        <v>비주알 센터</v>
      </c>
    </row>
    <row r="998">
      <c r="A998" s="2" t="str">
        <f>recipe!C998
</f>
        <v>닭살돋자냐♡</v>
      </c>
    </row>
    <row r="999">
      <c r="A999" s="2" t="str">
        <f>recipe!C999
</f>
        <v>닭파라치♬</v>
      </c>
    </row>
    <row r="1000">
      <c r="A1000" s="2" t="str">
        <f>recipe!C1000
</f>
        <v>고등램지</v>
      </c>
    </row>
    <row r="1001">
      <c r="A1001" s="2" t="str">
        <f>recipe!C1001
</f>
        <v>파스타 사랑해♬</v>
      </c>
    </row>
    <row r="1002">
      <c r="A1002" s="2" t="str">
        <f>recipe!C1002
</f>
        <v>지구용사 산초맨</v>
      </c>
    </row>
    <row r="1003">
      <c r="A1003" s="2" t="str">
        <f>recipe!C1003
</f>
        <v>마라왕 복탁구</v>
      </c>
    </row>
    <row r="1004">
      <c r="A1004" s="2" t="str">
        <f>recipe!C1004
</f>
        <v>할리우드에서 미트볼을</v>
      </c>
    </row>
    <row r="1005">
      <c r="A1005" s="2" t="str">
        <f>recipe!C1005
</f>
        <v>백 투 더 아메리카</v>
      </c>
    </row>
    <row r="1006">
      <c r="A1006" s="2" t="str">
        <f>recipe!C1006
</f>
        <v>간장, 게 섰거라!</v>
      </c>
    </row>
    <row r="1007">
      <c r="A1007" s="2" t="str">
        <f>recipe!C1007
</f>
        <v>간장 보증수표</v>
      </c>
    </row>
    <row r="1008">
      <c r="A1008" s="2" t="str">
        <f>recipe!C1008
</f>
        <v>복고풍 샐러드</v>
      </c>
    </row>
    <row r="1009">
      <c r="A1009" s="2" t="str">
        <f>recipe!C1009
</f>
        <v>이연복Go 연복Go♬</v>
      </c>
    </row>
    <row r="1010">
      <c r="A1010" s="2" t="str">
        <f>recipe!C1010
</f>
        <v>장칼국수는 장난이 아니야♬</v>
      </c>
    </row>
    <row r="1011">
      <c r="A1011" s="2" t="str">
        <f>recipe!C1011
</f>
        <v>토르티야 먹을 사람 뉴~규?</v>
      </c>
    </row>
    <row r="1012">
      <c r="A1012" s="2" t="str">
        <f>recipe!C1012
</f>
        <v>특수돼지 삼형제</v>
      </c>
    </row>
    <row r="1013">
      <c r="A1013" s="2" t="str">
        <f>recipe!C1013
</f>
        <v>돼지가 스튜에 빠진 날</v>
      </c>
    </row>
    <row r="1014">
      <c r="A1014" s="2" t="str">
        <f>recipe!C1014
</f>
        <v>해산물 꼬치 피었습니다♬</v>
      </c>
    </row>
    <row r="1015">
      <c r="A1015" s="2" t="str">
        <f>recipe!C1015
</f>
        <v>동고샤 돌격 앞으로!</v>
      </c>
    </row>
    <row r="1016">
      <c r="A1016" s="2" t="str">
        <f>recipe!C1016
</f>
        <v>봉주르 캐비지</v>
      </c>
    </row>
    <row r="1017">
      <c r="A1017" s="2" t="str">
        <f>recipe!C1017
</f>
        <v>캐비지 돌풍!</v>
      </c>
    </row>
    <row r="1018">
      <c r="A1018" s="2" t="str">
        <f>recipe!C1018
</f>
        <v>피시 앤 만두</v>
      </c>
    </row>
    <row r="1019">
      <c r="A1019" s="2" t="str">
        <f>recipe!C1019
</f>
        <v>만두 만두 만두 눈꽃만두♬</v>
      </c>
    </row>
  </sheetData>
  <drawing r:id="rId1"/>
</worksheet>
</file>